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35" yWindow="-15" windowWidth="10365" windowHeight="8070"/>
  </bookViews>
  <sheets>
    <sheet name="Master_Data" sheetId="10" r:id="rId1"/>
    <sheet name="RBU" sheetId="34" r:id="rId2"/>
    <sheet name="Proyeksi pend" sheetId="32" state="hidden" r:id="rId3"/>
    <sheet name="Cheklist Inv" sheetId="25" r:id="rId4"/>
    <sheet name="Monitor Inv" sheetId="26" state="hidden" r:id="rId5"/>
    <sheet name="Sheet1" sheetId="33" state="hidden" r:id="rId6"/>
    <sheet name="Pay Reff" sheetId="27" r:id="rId7"/>
    <sheet name="Bill_Out" sheetId="13" state="hidden" r:id="rId8"/>
    <sheet name="Sum_Billing" sheetId="1" state="hidden" r:id="rId9"/>
    <sheet name="Report_BM" sheetId="15" state="hidden" r:id="rId10"/>
    <sheet name="Sum_BM" sheetId="5" state="hidden" r:id="rId11"/>
    <sheet name="Outs Inv" sheetId="16" state="hidden" r:id="rId12"/>
    <sheet name="Lap Akhir Tahun" sheetId="31" state="hidden" r:id="rId13"/>
    <sheet name="Sheet2" sheetId="35" r:id="rId14"/>
  </sheets>
  <definedNames>
    <definedName name="_xlnm._FilterDatabase" localSheetId="0" hidden="1">Master_Data!$B$935:$N$1368</definedName>
    <definedName name="_xlnm._FilterDatabase" localSheetId="11" hidden="1">'Outs Inv'!$A$111:$H$156</definedName>
    <definedName name="_xlnm._FilterDatabase" localSheetId="1" hidden="1">RBU!$A$13:$AI$23</definedName>
    <definedName name="_xlnm.Print_Area" localSheetId="7">Bill_Out!$B$424:$O$472</definedName>
    <definedName name="_xlnm.Print_Area" localSheetId="12">'Lap Akhir Tahun'!$A$1:$E$52</definedName>
    <definedName name="_xlnm.Print_Area" localSheetId="0">Master_Data!$B$933:$N$1372</definedName>
    <definedName name="_xlnm.Print_Area" localSheetId="4">'Monitor Inv'!$A$1:$AH$81</definedName>
    <definedName name="_xlnm.Print_Area" localSheetId="11">'Outs Inv'!$BC$1:$BJ$159</definedName>
    <definedName name="_xlnm.Print_Area" localSheetId="2">'Proyeksi pend'!$A$1:$M$163</definedName>
    <definedName name="_xlnm.Print_Area" localSheetId="1">RBU!$B$13:$L$30</definedName>
    <definedName name="_xlnm.Print_Area" localSheetId="9">Report_BM!$A$1:$DQ$76</definedName>
    <definedName name="_xlnm.Print_Area" localSheetId="8">Sum_Billing!$A$1:$S$61</definedName>
    <definedName name="_xlnm.Print_Area" localSheetId="10">Sum_BM!$A$1:$DD$75</definedName>
    <definedName name="_xlnm.Print_Titles" localSheetId="7">Bill_Out!$1:$2</definedName>
    <definedName name="_xlnm.Print_Titles" localSheetId="0">Master_Data!$148:$152</definedName>
    <definedName name="_xlnm.Print_Titles" localSheetId="4">'Monitor Inv'!$1:$4</definedName>
    <definedName name="_xlnm.Print_Titles" localSheetId="11">'Outs Inv'!$1:$4</definedName>
    <definedName name="_xlnm.Print_Titles" localSheetId="2">'Proyeksi pend'!$1:$4</definedName>
    <definedName name="_xlnm.Print_Titles" localSheetId="1">RBU!$11:$15</definedName>
    <definedName name="_xlnm.Print_Titles" localSheetId="9">Report_BM!$1:$6</definedName>
    <definedName name="_xlnm.Print_Titles" localSheetId="8">Sum_Billing!$A:$C</definedName>
    <definedName name="_xlnm.Print_Titles" localSheetId="10">Sum_BM!$A:$E</definedName>
  </definedNames>
  <calcPr calcId="125725"/>
</workbook>
</file>

<file path=xl/calcChain.xml><?xml version="1.0" encoding="utf-8"?>
<calcChain xmlns="http://schemas.openxmlformats.org/spreadsheetml/2006/main">
  <c r="L1363" i="10"/>
  <c r="N1363" s="1"/>
  <c r="L1311"/>
  <c r="N1311" s="1"/>
  <c r="L1290"/>
  <c r="N1290" s="1"/>
  <c r="T1290"/>
  <c r="L1126"/>
  <c r="N1126" s="1"/>
  <c r="L1140"/>
  <c r="N1140" s="1"/>
  <c r="T1140"/>
  <c r="L1139"/>
  <c r="N1139" s="1"/>
  <c r="T1139"/>
  <c r="L976"/>
  <c r="N976" s="1"/>
  <c r="T976"/>
  <c r="L1090"/>
  <c r="N1090" s="1"/>
  <c r="L1089"/>
  <c r="N1089" s="1"/>
  <c r="L1088"/>
  <c r="N1088" s="1"/>
  <c r="L1087"/>
  <c r="N1087" s="1"/>
  <c r="L970" l="1"/>
  <c r="N970" s="1"/>
  <c r="T970"/>
  <c r="L1301"/>
  <c r="N1301" s="1"/>
  <c r="T1301"/>
  <c r="L1300"/>
  <c r="N1300" s="1"/>
  <c r="T1300"/>
  <c r="L1368"/>
  <c r="N1368" s="1"/>
  <c r="L945" l="1"/>
  <c r="N945" s="1"/>
  <c r="T943"/>
  <c r="N1229"/>
  <c r="L1228"/>
  <c r="N1228" s="1"/>
  <c r="L1227"/>
  <c r="N1227" s="1"/>
  <c r="L1226"/>
  <c r="N1226" s="1"/>
  <c r="L1225"/>
  <c r="N1225" s="1"/>
  <c r="L1224"/>
  <c r="N1224" s="1"/>
  <c r="L1223"/>
  <c r="N1223" s="1"/>
  <c r="L1222"/>
  <c r="N1222" s="1"/>
  <c r="L1221"/>
  <c r="N1221" s="1"/>
  <c r="L1220"/>
  <c r="N1220" s="1"/>
  <c r="L1219"/>
  <c r="N1219" s="1"/>
  <c r="L1218"/>
  <c r="N1218" s="1"/>
  <c r="L1217"/>
  <c r="N1217" s="1"/>
  <c r="L1216"/>
  <c r="N1216" s="1"/>
  <c r="L1215"/>
  <c r="N1215" s="1"/>
  <c r="T1120"/>
  <c r="L941"/>
  <c r="N941" s="1"/>
  <c r="L940"/>
  <c r="N940" s="1"/>
  <c r="L1214"/>
  <c r="N1214" s="1"/>
  <c r="L939"/>
  <c r="N939" s="1"/>
  <c r="T1124" l="1"/>
  <c r="T959"/>
  <c r="T982"/>
  <c r="L1040"/>
  <c r="N1040" s="1"/>
  <c r="L1039"/>
  <c r="N1039" s="1"/>
  <c r="L1038"/>
  <c r="N1038" s="1"/>
  <c r="L1037"/>
  <c r="N1037" s="1"/>
  <c r="L1036"/>
  <c r="N1036" s="1"/>
  <c r="L1035"/>
  <c r="N1035" s="1"/>
  <c r="L1034"/>
  <c r="N1034" s="1"/>
  <c r="L1033"/>
  <c r="N1033" s="1"/>
  <c r="L1032"/>
  <c r="N1032" s="1"/>
  <c r="L1062" l="1"/>
  <c r="N1062" s="1"/>
  <c r="L1061"/>
  <c r="N1061" s="1"/>
  <c r="L1060"/>
  <c r="N1060" s="1"/>
  <c r="T1249"/>
  <c r="T1248"/>
  <c r="T1247"/>
  <c r="T1246"/>
  <c r="T1367"/>
  <c r="T1208"/>
  <c r="T1207"/>
  <c r="T1206"/>
  <c r="T1201"/>
  <c r="T1200"/>
  <c r="T1199"/>
  <c r="T1198"/>
  <c r="T1197"/>
  <c r="T1196"/>
  <c r="T1195"/>
  <c r="T1194"/>
  <c r="T1193"/>
  <c r="T1192"/>
  <c r="T1191"/>
  <c r="T1190"/>
  <c r="T1189"/>
  <c r="T1261"/>
  <c r="T1260"/>
  <c r="T1259"/>
  <c r="T1258"/>
  <c r="T1056"/>
  <c r="T1055"/>
  <c r="T1054"/>
  <c r="T969"/>
  <c r="T968"/>
  <c r="T1349"/>
  <c r="T1348"/>
  <c r="T1347"/>
  <c r="T1346"/>
  <c r="L960" l="1"/>
  <c r="N960" s="1"/>
  <c r="L1344" l="1"/>
  <c r="N1344" s="1"/>
  <c r="L1343"/>
  <c r="N1343" s="1"/>
  <c r="L1342"/>
  <c r="N1342" s="1"/>
  <c r="L1341"/>
  <c r="N1341" s="1"/>
  <c r="L1340"/>
  <c r="N1340" s="1"/>
  <c r="L1339"/>
  <c r="N1339" s="1"/>
  <c r="L1338"/>
  <c r="N1338" s="1"/>
  <c r="L1261"/>
  <c r="N1261" s="1"/>
  <c r="L1275"/>
  <c r="N1275" s="1"/>
  <c r="T1275"/>
  <c r="N1350" l="1"/>
  <c r="L1356" l="1"/>
  <c r="N1356" s="1"/>
  <c r="T1356"/>
  <c r="T1355" l="1"/>
  <c r="L975"/>
  <c r="N975" s="1"/>
  <c r="T975"/>
  <c r="L1283" l="1"/>
  <c r="N1283" s="1"/>
  <c r="T1283"/>
  <c r="T1322" l="1"/>
  <c r="T1321"/>
  <c r="T1082"/>
  <c r="T1081"/>
  <c r="T1080"/>
  <c r="T981"/>
  <c r="T1366"/>
  <c r="T1020"/>
  <c r="T1018"/>
  <c r="T1017"/>
  <c r="T1016"/>
  <c r="T1015"/>
  <c r="T1014"/>
  <c r="T1013"/>
  <c r="T1012"/>
  <c r="T1011"/>
  <c r="T1019"/>
  <c r="L1117" l="1"/>
  <c r="N1117" s="1"/>
  <c r="T1117"/>
  <c r="L1116"/>
  <c r="N1116" s="1"/>
  <c r="T1116"/>
  <c r="L1115"/>
  <c r="N1115" s="1"/>
  <c r="T1115"/>
  <c r="L1114"/>
  <c r="N1114" s="1"/>
  <c r="T1114"/>
  <c r="L1113"/>
  <c r="N1113" s="1"/>
  <c r="T1113"/>
  <c r="L1119"/>
  <c r="N1119" s="1"/>
  <c r="L1120"/>
  <c r="N1120" s="1"/>
  <c r="L1269"/>
  <c r="N1269" s="1"/>
  <c r="T1269"/>
  <c r="L1337"/>
  <c r="N1337" s="1"/>
  <c r="L964"/>
  <c r="N964" s="1"/>
  <c r="L1289"/>
  <c r="N1289" s="1"/>
  <c r="T1289"/>
  <c r="T1309"/>
  <c r="L1310"/>
  <c r="N1310" s="1"/>
  <c r="T1361"/>
  <c r="L1362"/>
  <c r="N1362" s="1"/>
  <c r="L1125"/>
  <c r="N1125" s="1"/>
  <c r="L1138"/>
  <c r="N1138" s="1"/>
  <c r="T1138"/>
  <c r="L1137"/>
  <c r="N1137" s="1"/>
  <c r="T1137"/>
  <c r="L1086"/>
  <c r="N1086" s="1"/>
  <c r="L1085"/>
  <c r="N1085" s="1"/>
  <c r="L1084"/>
  <c r="N1084" s="1"/>
  <c r="L1083"/>
  <c r="N1083" s="1"/>
  <c r="T980"/>
  <c r="T1245"/>
  <c r="T1244"/>
  <c r="T1243"/>
  <c r="T1242"/>
  <c r="T1187"/>
  <c r="T1185"/>
  <c r="T1184"/>
  <c r="T1183"/>
  <c r="T1182"/>
  <c r="T1181"/>
  <c r="T1180"/>
  <c r="T1179"/>
  <c r="T1178"/>
  <c r="T1177"/>
  <c r="T1176"/>
  <c r="T1175"/>
  <c r="T1174"/>
  <c r="T1173"/>
  <c r="T1172"/>
  <c r="N1213"/>
  <c r="N1212"/>
  <c r="N1211"/>
  <c r="N1210"/>
  <c r="L1209"/>
  <c r="N1209" s="1"/>
  <c r="L1208"/>
  <c r="N1208" s="1"/>
  <c r="L1207"/>
  <c r="N1207" s="1"/>
  <c r="L1299"/>
  <c r="N1299" s="1"/>
  <c r="T1299"/>
  <c r="L1298"/>
  <c r="N1298" s="1"/>
  <c r="T1298"/>
  <c r="L1366"/>
  <c r="N1366" s="1"/>
  <c r="L944" l="1"/>
  <c r="N944" s="1"/>
  <c r="T1330"/>
  <c r="T1329"/>
  <c r="T1328"/>
  <c r="T1327"/>
  <c r="T1326"/>
  <c r="T1325"/>
  <c r="L1059" l="1"/>
  <c r="N1059" s="1"/>
  <c r="L1058"/>
  <c r="N1058" s="1"/>
  <c r="L1057"/>
  <c r="N1057" s="1"/>
  <c r="L1030"/>
  <c r="N1030" s="1"/>
  <c r="L1029"/>
  <c r="N1029" s="1"/>
  <c r="L1028"/>
  <c r="N1028" s="1"/>
  <c r="L1027"/>
  <c r="N1027" s="1"/>
  <c r="L1026"/>
  <c r="N1026" s="1"/>
  <c r="L1025"/>
  <c r="N1025" s="1"/>
  <c r="L1024"/>
  <c r="N1024" s="1"/>
  <c r="L1023"/>
  <c r="N1023" s="1"/>
  <c r="L1022"/>
  <c r="N1022" s="1"/>
  <c r="T1112"/>
  <c r="T1111"/>
  <c r="T1110"/>
  <c r="T1109"/>
  <c r="T1108"/>
  <c r="T1107"/>
  <c r="T1106"/>
  <c r="T1105"/>
  <c r="T1104"/>
  <c r="T1103"/>
  <c r="L1256" l="1"/>
  <c r="N1256" s="1"/>
  <c r="L1255"/>
  <c r="N1255" s="1"/>
  <c r="L1254"/>
  <c r="N1254" s="1"/>
  <c r="L1253"/>
  <c r="N1253" s="1"/>
  <c r="L1252"/>
  <c r="N1252" s="1"/>
  <c r="L1251"/>
  <c r="N1251" s="1"/>
  <c r="L1250"/>
  <c r="N1250" s="1"/>
  <c r="T1053"/>
  <c r="T1052"/>
  <c r="T1051"/>
  <c r="L982"/>
  <c r="N982" s="1"/>
  <c r="L969"/>
  <c r="N969" s="1"/>
  <c r="L1367"/>
  <c r="N1367" s="1"/>
  <c r="T1354"/>
  <c r="T1274"/>
  <c r="T1273"/>
  <c r="T1272"/>
  <c r="T958"/>
  <c r="T1010"/>
  <c r="L1355"/>
  <c r="N1355" s="1"/>
  <c r="L1282"/>
  <c r="N1282" s="1"/>
  <c r="T1282"/>
  <c r="L1274" l="1"/>
  <c r="N1274" s="1"/>
  <c r="L1206"/>
  <c r="N1206" s="1"/>
  <c r="T1009"/>
  <c r="T1008"/>
  <c r="T1007"/>
  <c r="T1006"/>
  <c r="T1005"/>
  <c r="T1004"/>
  <c r="T1003"/>
  <c r="T1002"/>
  <c r="L943"/>
  <c r="N943" s="1"/>
  <c r="L1297" l="1"/>
  <c r="N1297" s="1"/>
  <c r="T1297"/>
  <c r="L1296"/>
  <c r="N1296" s="1"/>
  <c r="T1296"/>
  <c r="T1295"/>
  <c r="T1294"/>
  <c r="T1102"/>
  <c r="T1101"/>
  <c r="T1100"/>
  <c r="T1099"/>
  <c r="T1098"/>
  <c r="T974"/>
  <c r="T973"/>
  <c r="T967"/>
  <c r="L1112"/>
  <c r="N1112" s="1"/>
  <c r="L1111"/>
  <c r="N1111" s="1"/>
  <c r="L1110"/>
  <c r="N1110" s="1"/>
  <c r="L1109"/>
  <c r="N1109" s="1"/>
  <c r="L1108"/>
  <c r="N1108" s="1"/>
  <c r="L1336" l="1"/>
  <c r="N1336" s="1"/>
  <c r="L1335"/>
  <c r="N1335" s="1"/>
  <c r="L1334"/>
  <c r="N1334" s="1"/>
  <c r="L1333"/>
  <c r="N1333" s="1"/>
  <c r="L1332"/>
  <c r="N1332" s="1"/>
  <c r="L1331"/>
  <c r="N1331" s="1"/>
  <c r="N1349" l="1"/>
  <c r="T1281" l="1"/>
  <c r="T1280"/>
  <c r="T1279"/>
  <c r="T1278"/>
  <c r="T1277"/>
  <c r="T1276"/>
  <c r="T942"/>
  <c r="L1249"/>
  <c r="N1249" s="1"/>
  <c r="L1248"/>
  <c r="N1248" s="1"/>
  <c r="L1247"/>
  <c r="N1247" s="1"/>
  <c r="L1246"/>
  <c r="N1246" s="1"/>
  <c r="T1257" l="1"/>
  <c r="L1268"/>
  <c r="N1268" s="1"/>
  <c r="T1268"/>
  <c r="L1260" l="1"/>
  <c r="N1260" s="1"/>
  <c r="T1170"/>
  <c r="T1169"/>
  <c r="T1168"/>
  <c r="T1167"/>
  <c r="T1166"/>
  <c r="T1165"/>
  <c r="T1164"/>
  <c r="T1163"/>
  <c r="T1162"/>
  <c r="T1161"/>
  <c r="T1160"/>
  <c r="T1159"/>
  <c r="L1118" l="1"/>
  <c r="N1118" s="1"/>
  <c r="L1124"/>
  <c r="N1124" s="1"/>
  <c r="L1288"/>
  <c r="N1288" s="1"/>
  <c r="T1288"/>
  <c r="L1309" l="1"/>
  <c r="N1309" s="1"/>
  <c r="L1136"/>
  <c r="N1136" s="1"/>
  <c r="T1136"/>
  <c r="L1135"/>
  <c r="N1135" s="1"/>
  <c r="T1135"/>
  <c r="L1361" l="1"/>
  <c r="N1361" s="1"/>
  <c r="L1082"/>
  <c r="N1082" s="1"/>
  <c r="L1081"/>
  <c r="N1081" s="1"/>
  <c r="L1080"/>
  <c r="N1080" s="1"/>
  <c r="L1079"/>
  <c r="N1079" s="1"/>
  <c r="T1079"/>
  <c r="T1134" l="1"/>
  <c r="T1133"/>
  <c r="T1287"/>
  <c r="T1308"/>
  <c r="T1360"/>
  <c r="T1123"/>
  <c r="N1205" l="1"/>
  <c r="N1204"/>
  <c r="N1203"/>
  <c r="N1202" l="1"/>
  <c r="T962"/>
  <c r="T1078"/>
  <c r="T1077"/>
  <c r="T1076"/>
  <c r="T1075"/>
  <c r="T1074"/>
  <c r="T1073"/>
  <c r="L1201"/>
  <c r="N1201" s="1"/>
  <c r="L1200"/>
  <c r="N1200" s="1"/>
  <c r="L1199"/>
  <c r="N1199" s="1"/>
  <c r="L1198"/>
  <c r="N1198" s="1"/>
  <c r="L1197"/>
  <c r="N1197" s="1"/>
  <c r="L1196"/>
  <c r="N1196" s="1"/>
  <c r="L1195"/>
  <c r="N1195" s="1"/>
  <c r="L1194"/>
  <c r="N1194" s="1"/>
  <c r="L1193"/>
  <c r="N1193" s="1"/>
  <c r="L1192"/>
  <c r="N1192" s="1"/>
  <c r="L1191"/>
  <c r="N1191" s="1"/>
  <c r="L1190"/>
  <c r="N1190" s="1"/>
  <c r="L1189"/>
  <c r="N1189" s="1"/>
  <c r="L1230"/>
  <c r="N1230" s="1"/>
  <c r="T1230"/>
  <c r="L1231"/>
  <c r="N1231" s="1"/>
  <c r="T1231"/>
  <c r="L1232"/>
  <c r="N1232" s="1"/>
  <c r="T1232"/>
  <c r="L1233"/>
  <c r="N1233" s="1"/>
  <c r="T1233"/>
  <c r="L1234"/>
  <c r="N1234" s="1"/>
  <c r="T1234"/>
  <c r="L1235"/>
  <c r="N1235" s="1"/>
  <c r="T1235"/>
  <c r="L1236"/>
  <c r="N1236" s="1"/>
  <c r="T1236"/>
  <c r="L1237"/>
  <c r="N1237" s="1"/>
  <c r="T1237"/>
  <c r="L1238"/>
  <c r="N1238" s="1"/>
  <c r="T1238"/>
  <c r="L1239"/>
  <c r="N1239" s="1"/>
  <c r="T1239"/>
  <c r="L1240"/>
  <c r="N1240" s="1"/>
  <c r="T1240"/>
  <c r="L1241"/>
  <c r="N1241" s="1"/>
  <c r="T1241"/>
  <c r="L1242"/>
  <c r="N1242" s="1"/>
  <c r="L963" l="1"/>
  <c r="N963" s="1"/>
  <c r="N1021"/>
  <c r="L1020"/>
  <c r="N1020" s="1"/>
  <c r="T1365"/>
  <c r="L959" l="1"/>
  <c r="N959" s="1"/>
  <c r="L968"/>
  <c r="N968" s="1"/>
  <c r="L1056" l="1"/>
  <c r="N1056" s="1"/>
  <c r="L1055"/>
  <c r="N1055" s="1"/>
  <c r="L1054"/>
  <c r="N1054" s="1"/>
  <c r="L1019" l="1"/>
  <c r="N1019" s="1"/>
  <c r="L1018"/>
  <c r="N1018" s="1"/>
  <c r="L1017"/>
  <c r="N1017" s="1"/>
  <c r="L1016"/>
  <c r="N1016" s="1"/>
  <c r="L1015"/>
  <c r="N1015" s="1"/>
  <c r="L1014"/>
  <c r="N1014" s="1"/>
  <c r="L1013"/>
  <c r="N1013" s="1"/>
  <c r="L1012"/>
  <c r="N1012" s="1"/>
  <c r="L1011"/>
  <c r="N1011" s="1"/>
  <c r="L974"/>
  <c r="N974" s="1"/>
  <c r="L981"/>
  <c r="N981" s="1"/>
  <c r="T956"/>
  <c r="T1323"/>
  <c r="T1320"/>
  <c r="T1319"/>
  <c r="T1318"/>
  <c r="T1317"/>
  <c r="T972" l="1"/>
  <c r="T938" l="1"/>
  <c r="L938"/>
  <c r="N938" s="1"/>
  <c r="L942"/>
  <c r="N942" s="1"/>
  <c r="T1293"/>
  <c r="T979"/>
  <c r="T1292" l="1"/>
  <c r="T1001" l="1"/>
  <c r="T1000"/>
  <c r="T999"/>
  <c r="T998"/>
  <c r="T997"/>
  <c r="T996"/>
  <c r="T995"/>
  <c r="T994"/>
  <c r="T993"/>
  <c r="N1188" l="1"/>
  <c r="L1187"/>
  <c r="N1187" s="1"/>
  <c r="N1186"/>
  <c r="L1185" l="1"/>
  <c r="N1185" s="1"/>
  <c r="L1184"/>
  <c r="N1184" s="1"/>
  <c r="T1050" l="1"/>
  <c r="T1049"/>
  <c r="T1048"/>
  <c r="T1047"/>
  <c r="T1097"/>
  <c r="T1096"/>
  <c r="T1095"/>
  <c r="T1094"/>
  <c r="T1316"/>
  <c r="T1315"/>
  <c r="T1314"/>
  <c r="T1313"/>
  <c r="T1312"/>
  <c r="L1330" l="1"/>
  <c r="N1330" s="1"/>
  <c r="L1329"/>
  <c r="N1329" s="1"/>
  <c r="L1328"/>
  <c r="N1328" s="1"/>
  <c r="L1327"/>
  <c r="N1327" s="1"/>
  <c r="L1326"/>
  <c r="N1326" s="1"/>
  <c r="L1325"/>
  <c r="N1325" s="1"/>
  <c r="L1295"/>
  <c r="N1295" s="1"/>
  <c r="L1294" l="1"/>
  <c r="N1294" s="1"/>
  <c r="L1281" l="1"/>
  <c r="N1281" s="1"/>
  <c r="L1354"/>
  <c r="N1354" s="1"/>
  <c r="T1122" l="1"/>
  <c r="T1359"/>
  <c r="T1307"/>
  <c r="T1353"/>
  <c r="T1271"/>
  <c r="T1072"/>
  <c r="T1071"/>
  <c r="T1070"/>
  <c r="T1069"/>
  <c r="T1068"/>
  <c r="T1067"/>
  <c r="T1132"/>
  <c r="T1131"/>
  <c r="T1286"/>
  <c r="L1293"/>
  <c r="N1293" s="1"/>
  <c r="L1267"/>
  <c r="N1267" s="1"/>
  <c r="T1267"/>
  <c r="L1266"/>
  <c r="N1266" s="1"/>
  <c r="T1266"/>
  <c r="L1272" l="1"/>
  <c r="N1272" s="1"/>
  <c r="T1345"/>
  <c r="N1348" l="1"/>
  <c r="L973" l="1"/>
  <c r="N973" s="1"/>
  <c r="L1259" l="1"/>
  <c r="N1259" s="1"/>
  <c r="L1107"/>
  <c r="N1107" s="1"/>
  <c r="L1106"/>
  <c r="N1106" s="1"/>
  <c r="L1105"/>
  <c r="N1105" s="1"/>
  <c r="L1104"/>
  <c r="N1104" s="1"/>
  <c r="L1103"/>
  <c r="N1103" s="1"/>
  <c r="L1010"/>
  <c r="N1010" s="1"/>
  <c r="L1009"/>
  <c r="N1009" s="1"/>
  <c r="L1008"/>
  <c r="N1008" s="1"/>
  <c r="L1007"/>
  <c r="N1007" s="1"/>
  <c r="L1006"/>
  <c r="N1006" s="1"/>
  <c r="L1005"/>
  <c r="N1005" s="1"/>
  <c r="L1004"/>
  <c r="N1004" s="1"/>
  <c r="L1003"/>
  <c r="N1003" s="1"/>
  <c r="L1002"/>
  <c r="N1002" s="1"/>
  <c r="T1121"/>
  <c r="T1130"/>
  <c r="T1129"/>
  <c r="T1285"/>
  <c r="T1284"/>
  <c r="T1306"/>
  <c r="T1358"/>
  <c r="L1053"/>
  <c r="N1053" s="1"/>
  <c r="L1052"/>
  <c r="N1052" s="1"/>
  <c r="L1051"/>
  <c r="N1051" s="1"/>
  <c r="T966"/>
  <c r="T961"/>
  <c r="T957"/>
  <c r="L1245" l="1"/>
  <c r="N1245" s="1"/>
  <c r="L1244"/>
  <c r="N1244" s="1"/>
  <c r="L1243"/>
  <c r="N1243" s="1"/>
  <c r="T1265" l="1"/>
  <c r="T1264"/>
  <c r="L962"/>
  <c r="N962" s="1"/>
  <c r="T1141"/>
  <c r="L1142"/>
  <c r="L1143"/>
  <c r="L1144"/>
  <c r="L1146"/>
  <c r="L1147"/>
  <c r="L1148"/>
  <c r="L1149"/>
  <c r="L1150"/>
  <c r="L1151"/>
  <c r="L1152"/>
  <c r="L1153"/>
  <c r="L1154"/>
  <c r="L1155"/>
  <c r="L1156"/>
  <c r="L1157"/>
  <c r="T992"/>
  <c r="T991"/>
  <c r="T990"/>
  <c r="T989"/>
  <c r="T988"/>
  <c r="T987"/>
  <c r="T986"/>
  <c r="T985"/>
  <c r="T984"/>
  <c r="T983"/>
  <c r="L967" l="1"/>
  <c r="N967" s="1"/>
  <c r="T965"/>
  <c r="L1360" l="1"/>
  <c r="N1360" s="1"/>
  <c r="L1308" l="1"/>
  <c r="N1308" s="1"/>
  <c r="L1287"/>
  <c r="N1287" s="1"/>
  <c r="L1134" l="1"/>
  <c r="N1134" s="1"/>
  <c r="L1133"/>
  <c r="N1133" s="1"/>
  <c r="T1291"/>
  <c r="L1078"/>
  <c r="N1078" s="1"/>
  <c r="L1077"/>
  <c r="N1077" s="1"/>
  <c r="L1076"/>
  <c r="N1076" s="1"/>
  <c r="L1075"/>
  <c r="N1075" s="1"/>
  <c r="L1123" l="1"/>
  <c r="N1123" s="1"/>
  <c r="L980"/>
  <c r="N980" s="1"/>
  <c r="L1183" l="1"/>
  <c r="N1183" s="1"/>
  <c r="L1182"/>
  <c r="N1182" s="1"/>
  <c r="L1181"/>
  <c r="N1181" s="1"/>
  <c r="L1180"/>
  <c r="N1180" s="1"/>
  <c r="L1179"/>
  <c r="N1179" s="1"/>
  <c r="L1178"/>
  <c r="N1178" s="1"/>
  <c r="L1177"/>
  <c r="N1177" s="1"/>
  <c r="L1176"/>
  <c r="N1176" s="1"/>
  <c r="L1175"/>
  <c r="N1175" s="1"/>
  <c r="L1174"/>
  <c r="N1174" s="1"/>
  <c r="L1173"/>
  <c r="N1173" s="1"/>
  <c r="L1172"/>
  <c r="N1172" s="1"/>
  <c r="L958"/>
  <c r="N958" s="1"/>
  <c r="T1046"/>
  <c r="T1045"/>
  <c r="T1044"/>
  <c r="T1043"/>
  <c r="T1042"/>
  <c r="T1041"/>
  <c r="T1270"/>
  <c r="L1280"/>
  <c r="N1280" s="1"/>
  <c r="T978"/>
  <c r="T971"/>
  <c r="T1157" l="1"/>
  <c r="T1156"/>
  <c r="T1155"/>
  <c r="T1154"/>
  <c r="T1153"/>
  <c r="T1152"/>
  <c r="T1151"/>
  <c r="T1150"/>
  <c r="T1149"/>
  <c r="T1148"/>
  <c r="T1147"/>
  <c r="T1146"/>
  <c r="T1144"/>
  <c r="T1143"/>
  <c r="T1142"/>
  <c r="L1102" l="1"/>
  <c r="N1102" s="1"/>
  <c r="L1101"/>
  <c r="N1101" s="1"/>
  <c r="L1100"/>
  <c r="N1100" s="1"/>
  <c r="L1099"/>
  <c r="N1099" s="1"/>
  <c r="L1098"/>
  <c r="N1098" s="1"/>
  <c r="N1324"/>
  <c r="L1323"/>
  <c r="N1323" s="1"/>
  <c r="L1322"/>
  <c r="N1322" s="1"/>
  <c r="L1321"/>
  <c r="N1321" s="1"/>
  <c r="L1320"/>
  <c r="N1320" s="1"/>
  <c r="L1319"/>
  <c r="N1319" s="1"/>
  <c r="L1318"/>
  <c r="N1318" s="1"/>
  <c r="L1317"/>
  <c r="N1317" s="1"/>
  <c r="L1357" l="1"/>
  <c r="N1357" s="1"/>
  <c r="L966"/>
  <c r="N966" s="1"/>
  <c r="L1258"/>
  <c r="N1258" s="1"/>
  <c r="L1273"/>
  <c r="N1273" s="1"/>
  <c r="L1353" l="1"/>
  <c r="N1353" s="1"/>
  <c r="T1352"/>
  <c r="T1351"/>
  <c r="L972" l="1"/>
  <c r="N972" s="1"/>
  <c r="L1265" l="1"/>
  <c r="N1265" s="1"/>
  <c r="L1264"/>
  <c r="N1264" s="1"/>
  <c r="N1347"/>
  <c r="T977" l="1"/>
  <c r="L1291"/>
  <c r="N1291" s="1"/>
  <c r="L1001"/>
  <c r="N1001" s="1"/>
  <c r="L1000"/>
  <c r="N1000" s="1"/>
  <c r="L999"/>
  <c r="N999" s="1"/>
  <c r="L998"/>
  <c r="N998" s="1"/>
  <c r="L997"/>
  <c r="N997" s="1"/>
  <c r="L996"/>
  <c r="N996" s="1"/>
  <c r="L995"/>
  <c r="N995" s="1"/>
  <c r="L994"/>
  <c r="N994" s="1"/>
  <c r="L993"/>
  <c r="N993" s="1"/>
  <c r="L1050" l="1"/>
  <c r="N1050" s="1"/>
  <c r="L1049"/>
  <c r="N1049" s="1"/>
  <c r="L1048"/>
  <c r="N1048" s="1"/>
  <c r="N1171"/>
  <c r="L1170"/>
  <c r="N1170" s="1"/>
  <c r="L1169"/>
  <c r="N1169" s="1"/>
  <c r="L1168"/>
  <c r="N1168" s="1"/>
  <c r="L1167"/>
  <c r="N1167" s="1"/>
  <c r="L1166"/>
  <c r="N1166" s="1"/>
  <c r="L1165"/>
  <c r="N1165" s="1"/>
  <c r="L1164"/>
  <c r="N1164" s="1"/>
  <c r="L1163"/>
  <c r="N1163" s="1"/>
  <c r="L1162"/>
  <c r="N1162" s="1"/>
  <c r="L1161"/>
  <c r="N1161" s="1"/>
  <c r="L1160"/>
  <c r="N1160" s="1"/>
  <c r="L1159"/>
  <c r="N1159" s="1"/>
  <c r="L1286"/>
  <c r="N1286" s="1"/>
  <c r="L1122" l="1"/>
  <c r="N1122" s="1"/>
  <c r="L1307"/>
  <c r="N1307" s="1"/>
  <c r="L1359" l="1"/>
  <c r="N1359" s="1"/>
  <c r="L1132" l="1"/>
  <c r="N1132" s="1"/>
  <c r="L1131"/>
  <c r="N1131" s="1"/>
  <c r="L1074" l="1"/>
  <c r="N1074" s="1"/>
  <c r="L1073"/>
  <c r="N1073" s="1"/>
  <c r="L1072"/>
  <c r="N1072" s="1"/>
  <c r="L1071"/>
  <c r="N1071" s="1"/>
  <c r="T1066"/>
  <c r="T1065"/>
  <c r="T1064"/>
  <c r="T1063"/>
  <c r="T1263"/>
  <c r="T1262"/>
  <c r="L1365"/>
  <c r="N1365" s="1"/>
  <c r="L946"/>
  <c r="N946" s="1"/>
  <c r="L1292"/>
  <c r="N1292" s="1"/>
  <c r="L961" l="1"/>
  <c r="N961" s="1"/>
  <c r="L979"/>
  <c r="N979" s="1"/>
  <c r="L957" l="1"/>
  <c r="N957" s="1"/>
  <c r="T1093" l="1"/>
  <c r="T1092"/>
  <c r="T1091"/>
  <c r="L971"/>
  <c r="N971" s="1"/>
  <c r="L1364" l="1"/>
  <c r="N1364" s="1"/>
  <c r="L1279"/>
  <c r="N1279" s="1"/>
  <c r="L1278"/>
  <c r="N1278" s="1"/>
  <c r="L1277"/>
  <c r="N1277" s="1"/>
  <c r="L1276"/>
  <c r="N1276" s="1"/>
  <c r="L1316" l="1"/>
  <c r="N1316" s="1"/>
  <c r="L1315"/>
  <c r="N1315" s="1"/>
  <c r="L1314"/>
  <c r="N1314" s="1"/>
  <c r="L1313"/>
  <c r="N1313" s="1"/>
  <c r="L1312"/>
  <c r="N1312" s="1"/>
  <c r="L1271"/>
  <c r="N1271" s="1"/>
  <c r="L1270"/>
  <c r="N1270" s="1"/>
  <c r="L1352" l="1"/>
  <c r="N1352" s="1"/>
  <c r="L1351"/>
  <c r="N1351" s="1"/>
  <c r="L992" l="1"/>
  <c r="N992" s="1"/>
  <c r="L991"/>
  <c r="N991" s="1"/>
  <c r="L990"/>
  <c r="N990" s="1"/>
  <c r="L989"/>
  <c r="N989" s="1"/>
  <c r="L988"/>
  <c r="N988" s="1"/>
  <c r="L987"/>
  <c r="N987" s="1"/>
  <c r="L986"/>
  <c r="N986" s="1"/>
  <c r="L985"/>
  <c r="N985" s="1"/>
  <c r="L984"/>
  <c r="N984" s="1"/>
  <c r="L983"/>
  <c r="N983" s="1"/>
  <c r="T1128" l="1"/>
  <c r="T1127"/>
  <c r="N1047"/>
  <c r="N1046"/>
  <c r="L1045"/>
  <c r="N1045" s="1"/>
  <c r="L1044"/>
  <c r="N1044" s="1"/>
  <c r="L1043"/>
  <c r="N1043" s="1"/>
  <c r="L1042"/>
  <c r="N1042" s="1"/>
  <c r="L1041"/>
  <c r="N1041" s="1"/>
  <c r="L1031"/>
  <c r="N1031" s="1"/>
  <c r="L956" l="1"/>
  <c r="N956" s="1"/>
  <c r="L1257" l="1"/>
  <c r="N1257" s="1"/>
  <c r="L1263" l="1"/>
  <c r="N1263" s="1"/>
  <c r="L1262"/>
  <c r="N1262" s="1"/>
  <c r="N1346"/>
  <c r="N1345"/>
  <c r="L965" l="1"/>
  <c r="N965" s="1"/>
  <c r="L1097" l="1"/>
  <c r="N1097" s="1"/>
  <c r="L1096"/>
  <c r="N1096" s="1"/>
  <c r="L1095"/>
  <c r="N1095" s="1"/>
  <c r="L1094"/>
  <c r="N1094" s="1"/>
  <c r="L1093"/>
  <c r="N1093" s="1"/>
  <c r="L1092"/>
  <c r="N1092" s="1"/>
  <c r="L1091"/>
  <c r="N1091" s="1"/>
  <c r="L1358"/>
  <c r="N1358" s="1"/>
  <c r="L1306" l="1"/>
  <c r="N1306" s="1"/>
  <c r="L1285" l="1"/>
  <c r="N1285" s="1"/>
  <c r="L1284"/>
  <c r="N1284" s="1"/>
  <c r="L1121" l="1"/>
  <c r="N1121" s="1"/>
  <c r="L1130" l="1"/>
  <c r="N1130" s="1"/>
  <c r="L1129"/>
  <c r="N1129" s="1"/>
  <c r="L1128"/>
  <c r="N1128" s="1"/>
  <c r="L1127"/>
  <c r="N1127" s="1"/>
  <c r="L1066" l="1"/>
  <c r="N1066" s="1"/>
  <c r="L1065"/>
  <c r="N1065" s="1"/>
  <c r="L1064"/>
  <c r="N1064" s="1"/>
  <c r="L1063"/>
  <c r="N1063" s="1"/>
  <c r="L978"/>
  <c r="N978" s="1"/>
  <c r="L1067"/>
  <c r="N1067" s="1"/>
  <c r="L1068"/>
  <c r="N1068" s="1"/>
  <c r="L1069"/>
  <c r="N1069" s="1"/>
  <c r="L1070" l="1"/>
  <c r="N1070" s="1"/>
  <c r="N1142"/>
  <c r="L955"/>
  <c r="N955" s="1"/>
  <c r="L977"/>
  <c r="N977" s="1"/>
  <c r="N1141"/>
  <c r="N1158" l="1"/>
  <c r="N1157"/>
  <c r="N1156"/>
  <c r="N1155"/>
  <c r="N1154"/>
  <c r="M1371"/>
  <c r="N1153"/>
  <c r="N1152"/>
  <c r="N1151"/>
  <c r="N1150"/>
  <c r="N1149"/>
  <c r="N1148"/>
  <c r="N1147"/>
  <c r="N1146"/>
  <c r="N1145"/>
  <c r="N1144"/>
  <c r="N1143"/>
  <c r="L183"/>
  <c r="N183" s="1"/>
  <c r="T664"/>
  <c r="T663"/>
  <c r="L954" l="1"/>
  <c r="N954" s="1"/>
  <c r="L953"/>
  <c r="N953" s="1"/>
  <c r="L952"/>
  <c r="N952" s="1"/>
  <c r="L951"/>
  <c r="N951" s="1"/>
  <c r="L950"/>
  <c r="N950" s="1"/>
  <c r="L949"/>
  <c r="N949" s="1"/>
  <c r="L948"/>
  <c r="N948" s="1"/>
  <c r="L947"/>
  <c r="N947" s="1"/>
  <c r="T185"/>
  <c r="T433"/>
  <c r="T432"/>
  <c r="T431"/>
  <c r="T430"/>
  <c r="T429"/>
  <c r="T428"/>
  <c r="N1371" l="1"/>
  <c r="L797"/>
  <c r="N797" s="1"/>
  <c r="L796"/>
  <c r="N796" s="1"/>
  <c r="L795"/>
  <c r="N795" s="1"/>
  <c r="L794"/>
  <c r="N794" s="1"/>
  <c r="L793"/>
  <c r="N793" s="1"/>
  <c r="L792"/>
  <c r="N792" s="1"/>
  <c r="L791"/>
  <c r="N791" s="1"/>
  <c r="L720" l="1"/>
  <c r="N720" s="1"/>
  <c r="AK602"/>
  <c r="T602"/>
  <c r="T577"/>
  <c r="T576"/>
  <c r="T575"/>
  <c r="T574"/>
  <c r="T573"/>
  <c r="T572"/>
  <c r="T571"/>
  <c r="T570"/>
  <c r="T569"/>
  <c r="T568"/>
  <c r="T567"/>
  <c r="T566"/>
  <c r="N447"/>
  <c r="L446"/>
  <c r="N446" s="1"/>
  <c r="L849"/>
  <c r="N849" s="1"/>
  <c r="T684" l="1"/>
  <c r="T307" l="1"/>
  <c r="T306"/>
  <c r="T305"/>
  <c r="T304"/>
  <c r="T303"/>
  <c r="T302"/>
  <c r="T301"/>
  <c r="T300"/>
  <c r="L185" l="1"/>
  <c r="N185" s="1"/>
  <c r="N317"/>
  <c r="L316"/>
  <c r="N316" s="1"/>
  <c r="L315"/>
  <c r="N315" s="1"/>
  <c r="L314"/>
  <c r="N314" s="1"/>
  <c r="L313"/>
  <c r="N313" s="1"/>
  <c r="L312"/>
  <c r="N312" s="1"/>
  <c r="L311"/>
  <c r="N311" s="1"/>
  <c r="L310"/>
  <c r="N310" s="1"/>
  <c r="L309"/>
  <c r="N309" s="1"/>
  <c r="L308"/>
  <c r="N308" s="1"/>
  <c r="AK224" l="1"/>
  <c r="T224"/>
  <c r="T299"/>
  <c r="T298"/>
  <c r="T297"/>
  <c r="T296"/>
  <c r="T295"/>
  <c r="T294"/>
  <c r="T293"/>
  <c r="T292"/>
  <c r="L358"/>
  <c r="N358" s="1"/>
  <c r="L861" l="1"/>
  <c r="N861" s="1"/>
  <c r="L860"/>
  <c r="N860" s="1"/>
  <c r="L859"/>
  <c r="N859" s="1"/>
  <c r="L858"/>
  <c r="N858" s="1"/>
  <c r="L357"/>
  <c r="N357" s="1"/>
  <c r="L356"/>
  <c r="N356" s="1"/>
  <c r="L182"/>
  <c r="N182" s="1"/>
  <c r="T469" l="1"/>
  <c r="AK468"/>
  <c r="T702"/>
  <c r="AK702"/>
  <c r="T444"/>
  <c r="AK444"/>
  <c r="T847"/>
  <c r="AK847"/>
  <c r="T749"/>
  <c r="AK749"/>
  <c r="L688"/>
  <c r="N688" s="1"/>
  <c r="L687"/>
  <c r="L835" l="1"/>
  <c r="N835" s="1"/>
  <c r="L676" l="1"/>
  <c r="N676" s="1"/>
  <c r="L433"/>
  <c r="N433" s="1"/>
  <c r="L432"/>
  <c r="N432" s="1"/>
  <c r="L431"/>
  <c r="N431" s="1"/>
  <c r="L430"/>
  <c r="N430" s="1"/>
  <c r="V601"/>
  <c r="V600"/>
  <c r="V599"/>
  <c r="T601"/>
  <c r="T600"/>
  <c r="T599"/>
  <c r="AK601"/>
  <c r="AK600"/>
  <c r="AK599"/>
  <c r="AK598"/>
  <c r="L209" l="1"/>
  <c r="N209" s="1"/>
  <c r="L224" l="1"/>
  <c r="N224" s="1"/>
  <c r="N818" l="1"/>
  <c r="L640"/>
  <c r="N640" s="1"/>
  <c r="L639"/>
  <c r="N639" s="1"/>
  <c r="L638"/>
  <c r="N638" s="1"/>
  <c r="L637"/>
  <c r="N637" s="1"/>
  <c r="L664" l="1"/>
  <c r="N664" s="1"/>
  <c r="L663"/>
  <c r="N663" s="1"/>
  <c r="L602" l="1"/>
  <c r="N602" s="1"/>
  <c r="L689"/>
  <c r="N689" s="1"/>
  <c r="L603" l="1"/>
  <c r="N603" s="1"/>
  <c r="T603"/>
  <c r="AE603" s="1"/>
  <c r="V603"/>
  <c r="AK603"/>
  <c r="L590"/>
  <c r="N590" s="1"/>
  <c r="L589"/>
  <c r="N589" s="1"/>
  <c r="L588"/>
  <c r="N588" s="1"/>
  <c r="L587"/>
  <c r="N587" s="1"/>
  <c r="L586"/>
  <c r="N586" s="1"/>
  <c r="L585"/>
  <c r="N585" s="1"/>
  <c r="L584"/>
  <c r="N584" s="1"/>
  <c r="L583"/>
  <c r="N583" s="1"/>
  <c r="L582"/>
  <c r="N582" s="1"/>
  <c r="L581"/>
  <c r="N581" s="1"/>
  <c r="L580"/>
  <c r="N580" s="1"/>
  <c r="L579"/>
  <c r="N579" s="1"/>
  <c r="L578"/>
  <c r="N578" s="1"/>
  <c r="AK180"/>
  <c r="L445"/>
  <c r="N445" s="1"/>
  <c r="L848"/>
  <c r="N848" s="1"/>
  <c r="W603" l="1"/>
  <c r="L703"/>
  <c r="N703" s="1"/>
  <c r="L471"/>
  <c r="N471" s="1"/>
  <c r="L470"/>
  <c r="N470" s="1"/>
  <c r="L750" l="1"/>
  <c r="N750" s="1"/>
  <c r="L409"/>
  <c r="N409" s="1"/>
  <c r="L408"/>
  <c r="N408" s="1"/>
  <c r="L407"/>
  <c r="N407" s="1"/>
  <c r="L406"/>
  <c r="N406" s="1"/>
  <c r="T406"/>
  <c r="AK716" l="1"/>
  <c r="S716"/>
  <c r="S715"/>
  <c r="T405" l="1"/>
  <c r="T404"/>
  <c r="T403"/>
  <c r="T685"/>
  <c r="T427"/>
  <c r="T425"/>
  <c r="L181"/>
  <c r="N181" s="1"/>
  <c r="L719"/>
  <c r="N719" s="1"/>
  <c r="T786"/>
  <c r="T785"/>
  <c r="T784"/>
  <c r="T783"/>
  <c r="T782"/>
  <c r="T781"/>
  <c r="T738" l="1"/>
  <c r="T704"/>
  <c r="T426"/>
  <c r="T223"/>
  <c r="L577"/>
  <c r="N577" s="1"/>
  <c r="L576"/>
  <c r="N576" s="1"/>
  <c r="L575"/>
  <c r="N575" s="1"/>
  <c r="L574"/>
  <c r="N574" s="1"/>
  <c r="L573"/>
  <c r="N573" s="1"/>
  <c r="L572"/>
  <c r="N572" s="1"/>
  <c r="L571"/>
  <c r="N571" s="1"/>
  <c r="L570"/>
  <c r="N570" s="1"/>
  <c r="L569"/>
  <c r="N569" s="1"/>
  <c r="L568"/>
  <c r="N568" s="1"/>
  <c r="L567" l="1"/>
  <c r="N567" s="1"/>
  <c r="L566"/>
  <c r="N566" s="1"/>
  <c r="T352" l="1"/>
  <c r="T351"/>
  <c r="N687" l="1"/>
  <c r="T563" l="1"/>
  <c r="T561"/>
  <c r="T560"/>
  <c r="T559"/>
  <c r="T558"/>
  <c r="T557"/>
  <c r="T556"/>
  <c r="T554"/>
  <c r="T553"/>
  <c r="T552"/>
  <c r="T551"/>
  <c r="T555"/>
  <c r="L675" l="1"/>
  <c r="N675" s="1"/>
  <c r="L355"/>
  <c r="N355" s="1"/>
  <c r="L354"/>
  <c r="N354" s="1"/>
  <c r="L353"/>
  <c r="N353" s="1"/>
  <c r="L307"/>
  <c r="N307" s="1"/>
  <c r="L306"/>
  <c r="N306" s="1"/>
  <c r="L305"/>
  <c r="N305" s="1"/>
  <c r="L304"/>
  <c r="N304" s="1"/>
  <c r="L303"/>
  <c r="N303" s="1"/>
  <c r="L302"/>
  <c r="N302" s="1"/>
  <c r="L301"/>
  <c r="N301" s="1"/>
  <c r="L300"/>
  <c r="N300" s="1"/>
  <c r="T443"/>
  <c r="AK443"/>
  <c r="T748"/>
  <c r="AK748"/>
  <c r="T846"/>
  <c r="AK846"/>
  <c r="T701"/>
  <c r="AK701"/>
  <c r="L180"/>
  <c r="T180"/>
  <c r="AK424"/>
  <c r="T424"/>
  <c r="N914" l="1"/>
  <c r="Q144"/>
  <c r="Q864"/>
  <c r="Q870" l="1"/>
  <c r="L836"/>
  <c r="N836" s="1"/>
  <c r="L636" l="1"/>
  <c r="N636" s="1"/>
  <c r="L635"/>
  <c r="N635" s="1"/>
  <c r="L634"/>
  <c r="N634" s="1"/>
  <c r="L633"/>
  <c r="N633" s="1"/>
  <c r="L601"/>
  <c r="N601" s="1"/>
  <c r="L662"/>
  <c r="N662" s="1"/>
  <c r="T662"/>
  <c r="L661"/>
  <c r="N661" s="1"/>
  <c r="T661"/>
  <c r="L429"/>
  <c r="N429" s="1"/>
  <c r="L428"/>
  <c r="N428" s="1"/>
  <c r="N817"/>
  <c r="L208" l="1"/>
  <c r="N208" s="1"/>
  <c r="T208"/>
  <c r="L834"/>
  <c r="N834" s="1"/>
  <c r="L790" l="1"/>
  <c r="N790" s="1"/>
  <c r="L789"/>
  <c r="N789" s="1"/>
  <c r="L788"/>
  <c r="N788" s="1"/>
  <c r="L787"/>
  <c r="N787" s="1"/>
  <c r="L706" l="1"/>
  <c r="N706" s="1"/>
  <c r="L705"/>
  <c r="N705" s="1"/>
  <c r="L749"/>
  <c r="N749" s="1"/>
  <c r="L702" l="1"/>
  <c r="N702" s="1"/>
  <c r="L847" l="1"/>
  <c r="N847" s="1"/>
  <c r="L444" l="1"/>
  <c r="N444" s="1"/>
  <c r="L405"/>
  <c r="N405" s="1"/>
  <c r="L404"/>
  <c r="N404" s="1"/>
  <c r="L403"/>
  <c r="N403" s="1"/>
  <c r="L402"/>
  <c r="N402" s="1"/>
  <c r="T402"/>
  <c r="L469"/>
  <c r="N469" s="1"/>
  <c r="L468"/>
  <c r="N468" s="1"/>
  <c r="T468"/>
  <c r="T831" l="1"/>
  <c r="T837"/>
  <c r="T207"/>
  <c r="T206"/>
  <c r="L184"/>
  <c r="N184" s="1"/>
  <c r="T184"/>
  <c r="L786"/>
  <c r="N786" s="1"/>
  <c r="L223" l="1"/>
  <c r="N223" s="1"/>
  <c r="AK223"/>
  <c r="AK467" l="1"/>
  <c r="AK466"/>
  <c r="T467"/>
  <c r="T466"/>
  <c r="N401"/>
  <c r="T350"/>
  <c r="T349"/>
  <c r="L738" l="1"/>
  <c r="N738" s="1"/>
  <c r="W738" s="1"/>
  <c r="T291"/>
  <c r="T290"/>
  <c r="T289"/>
  <c r="T288"/>
  <c r="T284"/>
  <c r="T400"/>
  <c r="T399"/>
  <c r="T398"/>
  <c r="T397"/>
  <c r="T392"/>
  <c r="T391"/>
  <c r="T390"/>
  <c r="T389"/>
  <c r="L718" l="1"/>
  <c r="N718" s="1"/>
  <c r="T673"/>
  <c r="T672"/>
  <c r="AK673"/>
  <c r="AK672"/>
  <c r="T179"/>
  <c r="T178"/>
  <c r="AK179"/>
  <c r="T660" l="1"/>
  <c r="T659"/>
  <c r="T544" l="1"/>
  <c r="T543"/>
  <c r="T542"/>
  <c r="T541"/>
  <c r="T540"/>
  <c r="T539"/>
  <c r="T538"/>
  <c r="T537"/>
  <c r="T536"/>
  <c r="T535"/>
  <c r="T534"/>
  <c r="T780"/>
  <c r="T779"/>
  <c r="T778"/>
  <c r="T777"/>
  <c r="T776"/>
  <c r="T775"/>
  <c r="T465"/>
  <c r="T464"/>
  <c r="AK465"/>
  <c r="AK464"/>
  <c r="V700"/>
  <c r="T700"/>
  <c r="AK700"/>
  <c r="N565" l="1"/>
  <c r="N896"/>
  <c r="N564"/>
  <c r="L563"/>
  <c r="N563" s="1"/>
  <c r="L591"/>
  <c r="T632"/>
  <c r="T626"/>
  <c r="T625"/>
  <c r="T624"/>
  <c r="T622"/>
  <c r="AK622"/>
  <c r="AK621"/>
  <c r="T621"/>
  <c r="L782"/>
  <c r="N782" s="1"/>
  <c r="L785"/>
  <c r="N785" s="1"/>
  <c r="L781"/>
  <c r="N781" s="1"/>
  <c r="N806"/>
  <c r="AE806"/>
  <c r="N562"/>
  <c r="T845" l="1"/>
  <c r="AK845"/>
  <c r="T348" l="1"/>
  <c r="T347"/>
  <c r="T747" l="1"/>
  <c r="T442"/>
  <c r="AK442"/>
  <c r="L784"/>
  <c r="N784" s="1"/>
  <c r="L783"/>
  <c r="N783" s="1"/>
  <c r="L427"/>
  <c r="N427" s="1"/>
  <c r="W427" s="1"/>
  <c r="L426"/>
  <c r="N426" s="1"/>
  <c r="W426" s="1"/>
  <c r="L833"/>
  <c r="N833" s="1"/>
  <c r="L674"/>
  <c r="N674" s="1"/>
  <c r="L686"/>
  <c r="N686" s="1"/>
  <c r="L207" l="1"/>
  <c r="N207" s="1"/>
  <c r="L660" l="1"/>
  <c r="N660" s="1"/>
  <c r="L659"/>
  <c r="N659" s="1"/>
  <c r="L632"/>
  <c r="N632" s="1"/>
  <c r="AE632"/>
  <c r="L631"/>
  <c r="N631" s="1"/>
  <c r="AE631"/>
  <c r="L630"/>
  <c r="N630" s="1"/>
  <c r="AE630"/>
  <c r="L629"/>
  <c r="N629" s="1"/>
  <c r="AE629"/>
  <c r="L600"/>
  <c r="N600" s="1"/>
  <c r="N816" l="1"/>
  <c r="L827" l="1"/>
  <c r="N827" s="1"/>
  <c r="AK827"/>
  <c r="L352"/>
  <c r="N352" s="1"/>
  <c r="L351"/>
  <c r="N351" s="1"/>
  <c r="L350"/>
  <c r="N350" s="1"/>
  <c r="AK657"/>
  <c r="L299" l="1"/>
  <c r="N299" s="1"/>
  <c r="L298"/>
  <c r="N298" s="1"/>
  <c r="L297"/>
  <c r="N297" s="1"/>
  <c r="L296"/>
  <c r="N296" s="1"/>
  <c r="L295"/>
  <c r="N295" s="1"/>
  <c r="L294"/>
  <c r="L293"/>
  <c r="N293" s="1"/>
  <c r="L292"/>
  <c r="N292" s="1"/>
  <c r="T526"/>
  <c r="T525"/>
  <c r="T524"/>
  <c r="T533"/>
  <c r="T532"/>
  <c r="T531"/>
  <c r="T530"/>
  <c r="T529"/>
  <c r="T528"/>
  <c r="T527"/>
  <c r="T523"/>
  <c r="L561"/>
  <c r="N561" s="1"/>
  <c r="L560"/>
  <c r="N560" s="1"/>
  <c r="L559"/>
  <c r="N559" s="1"/>
  <c r="L558"/>
  <c r="N558" s="1"/>
  <c r="L557"/>
  <c r="N557" s="1"/>
  <c r="L556"/>
  <c r="N556" s="1"/>
  <c r="L555"/>
  <c r="N555" s="1"/>
  <c r="L554"/>
  <c r="N554" s="1"/>
  <c r="L553"/>
  <c r="N553" s="1"/>
  <c r="L552"/>
  <c r="N552" s="1"/>
  <c r="L551"/>
  <c r="N551" s="1"/>
  <c r="N550"/>
  <c r="N549"/>
  <c r="N548"/>
  <c r="N547"/>
  <c r="N546"/>
  <c r="V545"/>
  <c r="N545"/>
  <c r="L701"/>
  <c r="N701" s="1"/>
  <c r="W701" s="1"/>
  <c r="L846"/>
  <c r="N846" s="1"/>
  <c r="L748"/>
  <c r="N748" s="1"/>
  <c r="L467"/>
  <c r="N467" s="1"/>
  <c r="L466"/>
  <c r="N466" s="1"/>
  <c r="L400"/>
  <c r="N400" s="1"/>
  <c r="L399"/>
  <c r="N399" s="1"/>
  <c r="L398"/>
  <c r="N398" s="1"/>
  <c r="L397"/>
  <c r="N397" s="1"/>
  <c r="L895"/>
  <c r="N895" s="1"/>
  <c r="L894"/>
  <c r="N894" s="1"/>
  <c r="L893"/>
  <c r="L892"/>
  <c r="L891"/>
  <c r="L890"/>
  <c r="N890" s="1"/>
  <c r="N893"/>
  <c r="N892"/>
  <c r="N891"/>
  <c r="N294" l="1"/>
  <c r="L443"/>
  <c r="N443" s="1"/>
  <c r="L165" l="1"/>
  <c r="N165" s="1"/>
  <c r="L164"/>
  <c r="N164" s="1"/>
  <c r="L163"/>
  <c r="N163" s="1"/>
  <c r="AK276"/>
  <c r="T396"/>
  <c r="T395"/>
  <c r="T394"/>
  <c r="T393"/>
  <c r="T283"/>
  <c r="T282"/>
  <c r="T281"/>
  <c r="T280"/>
  <c r="T276"/>
  <c r="AE276" s="1"/>
  <c r="L162" l="1"/>
  <c r="N162" s="1"/>
  <c r="L161"/>
  <c r="N161" s="1"/>
  <c r="L160"/>
  <c r="N160" s="1"/>
  <c r="L159"/>
  <c r="N159" s="1"/>
  <c r="L158"/>
  <c r="N158" s="1"/>
  <c r="L157"/>
  <c r="N157" s="1"/>
  <c r="L156"/>
  <c r="N156" s="1"/>
  <c r="L179"/>
  <c r="N179" s="1"/>
  <c r="L780"/>
  <c r="N780" s="1"/>
  <c r="L779"/>
  <c r="N779" s="1"/>
  <c r="L778"/>
  <c r="N778" s="1"/>
  <c r="L777"/>
  <c r="N777" s="1"/>
  <c r="L776"/>
  <c r="N776" s="1"/>
  <c r="L717"/>
  <c r="N717" s="1"/>
  <c r="W717" s="1"/>
  <c r="L716"/>
  <c r="N716" s="1"/>
  <c r="L425"/>
  <c r="N425" s="1"/>
  <c r="W425" s="1"/>
  <c r="AE425"/>
  <c r="L424"/>
  <c r="N424" s="1"/>
  <c r="AE424"/>
  <c r="L349"/>
  <c r="N349" s="1"/>
  <c r="L348"/>
  <c r="N348" s="1"/>
  <c r="L347"/>
  <c r="N347" s="1"/>
  <c r="V423"/>
  <c r="T423"/>
  <c r="AE423" s="1"/>
  <c r="W424" l="1"/>
  <c r="W716"/>
  <c r="L889"/>
  <c r="N889" s="1"/>
  <c r="AK715"/>
  <c r="T463" l="1"/>
  <c r="T462"/>
  <c r="AK463"/>
  <c r="AK462"/>
  <c r="AK805" l="1"/>
  <c r="V746"/>
  <c r="T746"/>
  <c r="AK746"/>
  <c r="T683"/>
  <c r="N888" l="1"/>
  <c r="N886"/>
  <c r="N885"/>
  <c r="N884"/>
  <c r="N883"/>
  <c r="N882"/>
  <c r="L887" l="1"/>
  <c r="N887" s="1"/>
  <c r="T844"/>
  <c r="AK844"/>
  <c r="T422"/>
  <c r="L881"/>
  <c r="N881" s="1"/>
  <c r="L880"/>
  <c r="N880" s="1"/>
  <c r="K287"/>
  <c r="K286"/>
  <c r="K285"/>
  <c r="L291"/>
  <c r="N291" s="1"/>
  <c r="L290"/>
  <c r="N290" s="1"/>
  <c r="L289"/>
  <c r="N289" s="1"/>
  <c r="L288"/>
  <c r="N288" s="1"/>
  <c r="L284"/>
  <c r="N284" s="1"/>
  <c r="T272"/>
  <c r="T273"/>
  <c r="T274"/>
  <c r="T275"/>
  <c r="T268"/>
  <c r="T346"/>
  <c r="T345"/>
  <c r="N879"/>
  <c r="N878"/>
  <c r="N877"/>
  <c r="N876"/>
  <c r="N875"/>
  <c r="N874"/>
  <c r="AK344"/>
  <c r="T773"/>
  <c r="T772"/>
  <c r="AK772"/>
  <c r="L285" l="1"/>
  <c r="N285" s="1"/>
  <c r="T285"/>
  <c r="L287"/>
  <c r="N287" s="1"/>
  <c r="T287"/>
  <c r="L286"/>
  <c r="N286" s="1"/>
  <c r="T286"/>
  <c r="L832"/>
  <c r="N832" s="1"/>
  <c r="L736" l="1"/>
  <c r="N736" s="1"/>
  <c r="L735"/>
  <c r="N735" s="1"/>
  <c r="L734"/>
  <c r="N734" s="1"/>
  <c r="L685"/>
  <c r="N685" s="1"/>
  <c r="M914" l="1"/>
  <c r="U205"/>
  <c r="U204"/>
  <c r="AK204"/>
  <c r="L206"/>
  <c r="N206" s="1"/>
  <c r="L527"/>
  <c r="N527" s="1"/>
  <c r="L528"/>
  <c r="N528" s="1"/>
  <c r="L529"/>
  <c r="N529" s="1"/>
  <c r="L530"/>
  <c r="N530" s="1"/>
  <c r="L531"/>
  <c r="N531" s="1"/>
  <c r="L532"/>
  <c r="N532" s="1"/>
  <c r="L533"/>
  <c r="N533" s="1"/>
  <c r="L534"/>
  <c r="N534" s="1"/>
  <c r="L535"/>
  <c r="N535" s="1"/>
  <c r="L536"/>
  <c r="N536" s="1"/>
  <c r="L537"/>
  <c r="N537" s="1"/>
  <c r="L538"/>
  <c r="N538" s="1"/>
  <c r="L539"/>
  <c r="N539" s="1"/>
  <c r="L540"/>
  <c r="N540" s="1"/>
  <c r="L541"/>
  <c r="N541" s="1"/>
  <c r="L542"/>
  <c r="N542" s="1"/>
  <c r="L543"/>
  <c r="N543" s="1"/>
  <c r="L544"/>
  <c r="N544" s="1"/>
  <c r="L526"/>
  <c r="N526" s="1"/>
  <c r="L525"/>
  <c r="N525" s="1"/>
  <c r="L524"/>
  <c r="N524" s="1"/>
  <c r="L523"/>
  <c r="N523" s="1"/>
  <c r="L599"/>
  <c r="N599" s="1"/>
  <c r="L658"/>
  <c r="N658" s="1"/>
  <c r="T658"/>
  <c r="L657"/>
  <c r="N657" s="1"/>
  <c r="T657"/>
  <c r="L628"/>
  <c r="T628"/>
  <c r="AE628" s="1"/>
  <c r="L627"/>
  <c r="T627"/>
  <c r="AE627" s="1"/>
  <c r="L626"/>
  <c r="N626" s="1"/>
  <c r="AE626"/>
  <c r="L625"/>
  <c r="N625" s="1"/>
  <c r="W625" s="1"/>
  <c r="AE625"/>
  <c r="L624"/>
  <c r="N624" s="1"/>
  <c r="W624" s="1"/>
  <c r="AE624"/>
  <c r="T623"/>
  <c r="L442"/>
  <c r="N442" s="1"/>
  <c r="L845"/>
  <c r="N845" s="1"/>
  <c r="L872"/>
  <c r="N872" l="1"/>
  <c r="N627"/>
  <c r="U627"/>
  <c r="N628"/>
  <c r="U628"/>
  <c r="L700"/>
  <c r="N700" s="1"/>
  <c r="W700" s="1"/>
  <c r="L873"/>
  <c r="N873" s="1"/>
  <c r="T441"/>
  <c r="T699"/>
  <c r="AK815" l="1"/>
  <c r="L746" l="1"/>
  <c r="N746" s="1"/>
  <c r="W746" s="1"/>
  <c r="T745"/>
  <c r="T744"/>
  <c r="L464"/>
  <c r="N464" s="1"/>
  <c r="L463"/>
  <c r="N463" s="1"/>
  <c r="L394"/>
  <c r="N394" s="1"/>
  <c r="L393"/>
  <c r="N393" s="1"/>
  <c r="L391"/>
  <c r="N391" s="1"/>
  <c r="L392"/>
  <c r="N392" s="1"/>
  <c r="N672"/>
  <c r="W672" s="1"/>
  <c r="L805"/>
  <c r="N805" s="1"/>
  <c r="T805"/>
  <c r="AE805" s="1"/>
  <c r="T830"/>
  <c r="T843"/>
  <c r="T804"/>
  <c r="AK804"/>
  <c r="T698"/>
  <c r="T655"/>
  <c r="T656"/>
  <c r="AK656"/>
  <c r="AK655"/>
  <c r="T460"/>
  <c r="T461"/>
  <c r="T440"/>
  <c r="T385"/>
  <c r="T386"/>
  <c r="T387"/>
  <c r="T388"/>
  <c r="T177"/>
  <c r="W805" l="1"/>
  <c r="T770"/>
  <c r="T771"/>
  <c r="V202" l="1"/>
  <c r="T202"/>
  <c r="T825" l="1"/>
  <c r="K188" i="32" l="1"/>
  <c r="G215"/>
  <c r="B215"/>
  <c r="G214"/>
  <c r="B214"/>
  <c r="G213"/>
  <c r="B213"/>
  <c r="G212"/>
  <c r="B212"/>
  <c r="F211"/>
  <c r="B211"/>
  <c r="G210"/>
  <c r="B210"/>
  <c r="G209"/>
  <c r="B209"/>
  <c r="F208"/>
  <c r="B208"/>
  <c r="G207"/>
  <c r="B207"/>
  <c r="G206"/>
  <c r="B206"/>
  <c r="G205"/>
  <c r="B205"/>
  <c r="G204"/>
  <c r="B204"/>
  <c r="G203"/>
  <c r="B203"/>
  <c r="G202"/>
  <c r="B202"/>
  <c r="I100"/>
  <c r="I101"/>
  <c r="I102"/>
  <c r="I103"/>
  <c r="I99"/>
  <c r="H201" s="1"/>
  <c r="H216" s="1"/>
  <c r="G201"/>
  <c r="G200"/>
  <c r="G220" s="1"/>
  <c r="G199"/>
  <c r="B199"/>
  <c r="G198"/>
  <c r="B198"/>
  <c r="G197"/>
  <c r="B197"/>
  <c r="G196"/>
  <c r="B196"/>
  <c r="G195"/>
  <c r="B195"/>
  <c r="G194"/>
  <c r="B194"/>
  <c r="G193"/>
  <c r="B193"/>
  <c r="G192"/>
  <c r="B192"/>
  <c r="G191"/>
  <c r="B191"/>
  <c r="G190"/>
  <c r="B190"/>
  <c r="G189"/>
  <c r="B189"/>
  <c r="G188"/>
  <c r="B188"/>
  <c r="G187"/>
  <c r="B187"/>
  <c r="G186"/>
  <c r="B186"/>
  <c r="G185"/>
  <c r="B185"/>
  <c r="G184"/>
  <c r="B184"/>
  <c r="G183"/>
  <c r="B183"/>
  <c r="G182"/>
  <c r="B182"/>
  <c r="F181"/>
  <c r="B181"/>
  <c r="G180"/>
  <c r="G222" s="1"/>
  <c r="B180"/>
  <c r="G179"/>
  <c r="B179"/>
  <c r="G178"/>
  <c r="B178"/>
  <c r="G177"/>
  <c r="B177"/>
  <c r="G176"/>
  <c r="B176"/>
  <c r="G175"/>
  <c r="B175"/>
  <c r="G174"/>
  <c r="B174"/>
  <c r="G173"/>
  <c r="G219" s="1"/>
  <c r="B173"/>
  <c r="G172"/>
  <c r="B172"/>
  <c r="G171"/>
  <c r="G169"/>
  <c r="G218" s="1"/>
  <c r="M94"/>
  <c r="L198" s="1"/>
  <c r="M128"/>
  <c r="L210" s="1"/>
  <c r="L126"/>
  <c r="L125"/>
  <c r="K209" s="1"/>
  <c r="M123"/>
  <c r="M122"/>
  <c r="M163" s="1"/>
  <c r="K121"/>
  <c r="J206" s="1"/>
  <c r="L110"/>
  <c r="K203" s="1"/>
  <c r="L109"/>
  <c r="L107"/>
  <c r="L106"/>
  <c r="K202" s="1"/>
  <c r="L85"/>
  <c r="K193" s="1"/>
  <c r="K83"/>
  <c r="J191" s="1"/>
  <c r="L82"/>
  <c r="K190" s="1"/>
  <c r="L81"/>
  <c r="K79"/>
  <c r="K80"/>
  <c r="K78"/>
  <c r="J189" s="1"/>
  <c r="L77"/>
  <c r="L72"/>
  <c r="K185" s="1"/>
  <c r="L71"/>
  <c r="L69"/>
  <c r="K184" s="1"/>
  <c r="L56"/>
  <c r="L57"/>
  <c r="L58"/>
  <c r="L55"/>
  <c r="K179" s="1"/>
  <c r="J76"/>
  <c r="I187" s="1"/>
  <c r="I216" s="1"/>
  <c r="K66"/>
  <c r="K65"/>
  <c r="J182" s="1"/>
  <c r="L53"/>
  <c r="L54"/>
  <c r="K178" s="1"/>
  <c r="L52"/>
  <c r="K37"/>
  <c r="K38"/>
  <c r="K39"/>
  <c r="K40"/>
  <c r="K41"/>
  <c r="K42"/>
  <c r="K43"/>
  <c r="K36"/>
  <c r="J177" s="1"/>
  <c r="K31"/>
  <c r="J174" s="1"/>
  <c r="K30"/>
  <c r="K28"/>
  <c r="J172" s="1"/>
  <c r="K26"/>
  <c r="K25"/>
  <c r="J171" s="1"/>
  <c r="H163"/>
  <c r="D8" i="5"/>
  <c r="E8"/>
  <c r="F8"/>
  <c r="G8"/>
  <c r="H8"/>
  <c r="I8"/>
  <c r="J8"/>
  <c r="K8"/>
  <c r="L8"/>
  <c r="S8"/>
  <c r="T8"/>
  <c r="U8"/>
  <c r="V8"/>
  <c r="W8"/>
  <c r="X8"/>
  <c r="Z8"/>
  <c r="AA8"/>
  <c r="AH8"/>
  <c r="AI8"/>
  <c r="AJ8"/>
  <c r="AK8"/>
  <c r="AL8"/>
  <c r="AM8"/>
  <c r="AO8"/>
  <c r="AP8"/>
  <c r="AW8"/>
  <c r="AX8"/>
  <c r="AY8"/>
  <c r="AZ8"/>
  <c r="BA8"/>
  <c r="BB8"/>
  <c r="BD8"/>
  <c r="BE8"/>
  <c r="BL8"/>
  <c r="BM8"/>
  <c r="BN8"/>
  <c r="BO8"/>
  <c r="BP8"/>
  <c r="BQ8"/>
  <c r="BS8"/>
  <c r="BT8"/>
  <c r="CA8"/>
  <c r="CB8"/>
  <c r="CC8"/>
  <c r="CD8"/>
  <c r="CE8"/>
  <c r="CF8"/>
  <c r="CG8"/>
  <c r="CH8"/>
  <c r="CI8"/>
  <c r="CP8"/>
  <c r="CQ8"/>
  <c r="CR8"/>
  <c r="CS8"/>
  <c r="CT8"/>
  <c r="CU8"/>
  <c r="CW8"/>
  <c r="CX8"/>
  <c r="DE8"/>
  <c r="DF8"/>
  <c r="DG8"/>
  <c r="DH8"/>
  <c r="DI8"/>
  <c r="DJ8"/>
  <c r="DL8"/>
  <c r="DM8"/>
  <c r="DT8"/>
  <c r="DU8"/>
  <c r="DV8"/>
  <c r="DW8"/>
  <c r="DX8"/>
  <c r="DY8"/>
  <c r="EA8"/>
  <c r="EB8"/>
  <c r="EI8"/>
  <c r="EJ8"/>
  <c r="EK8"/>
  <c r="EL8"/>
  <c r="EM8"/>
  <c r="EN8"/>
  <c r="EP8"/>
  <c r="EQ8"/>
  <c r="EX8"/>
  <c r="EY8"/>
  <c r="EZ8"/>
  <c r="FA8"/>
  <c r="FB8"/>
  <c r="FC8"/>
  <c r="FE8"/>
  <c r="FF8"/>
  <c r="FM8"/>
  <c r="FN8"/>
  <c r="FO8"/>
  <c r="FP8"/>
  <c r="FQ8"/>
  <c r="FR8"/>
  <c r="FT8"/>
  <c r="FU8"/>
  <c r="N472" i="13"/>
  <c r="FB9" i="15"/>
  <c r="FB10"/>
  <c r="FB11"/>
  <c r="FB12"/>
  <c r="FB13"/>
  <c r="FB14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EX9"/>
  <c r="EX10"/>
  <c r="EX11"/>
  <c r="EX12"/>
  <c r="EX13"/>
  <c r="EX14"/>
  <c r="EX15"/>
  <c r="EX16"/>
  <c r="EX17"/>
  <c r="EX18"/>
  <c r="EX19"/>
  <c r="EX20"/>
  <c r="EX21"/>
  <c r="EX22"/>
  <c r="EX23"/>
  <c r="EX24"/>
  <c r="EX25"/>
  <c r="EX26"/>
  <c r="EX27"/>
  <c r="EX28"/>
  <c r="EX29"/>
  <c r="EX30"/>
  <c r="EX31"/>
  <c r="EX32"/>
  <c r="EX33"/>
  <c r="EX34"/>
  <c r="EX35"/>
  <c r="EX36"/>
  <c r="EX37"/>
  <c r="EX38"/>
  <c r="EX39"/>
  <c r="EX40"/>
  <c r="EX41"/>
  <c r="EX42"/>
  <c r="EX43"/>
  <c r="EX44"/>
  <c r="EX45"/>
  <c r="EX46"/>
  <c r="EX47"/>
  <c r="EX48"/>
  <c r="EX49"/>
  <c r="EX50"/>
  <c r="EX51"/>
  <c r="EX52"/>
  <c r="EX53"/>
  <c r="EX54"/>
  <c r="EX55"/>
  <c r="EX56"/>
  <c r="EX57"/>
  <c r="EX58"/>
  <c r="EX59"/>
  <c r="EX60"/>
  <c r="EX61"/>
  <c r="EX62"/>
  <c r="EX63"/>
  <c r="EX64"/>
  <c r="EX65"/>
  <c r="EX66"/>
  <c r="EX67"/>
  <c r="EX68"/>
  <c r="EX69"/>
  <c r="EX70"/>
  <c r="EX71"/>
  <c r="EX72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C427" i="13"/>
  <c r="AK707" i="10"/>
  <c r="K774"/>
  <c r="L772"/>
  <c r="N772" s="1"/>
  <c r="L773"/>
  <c r="N773" s="1"/>
  <c r="L775"/>
  <c r="N775" s="1"/>
  <c r="L774" l="1"/>
  <c r="N774" s="1"/>
  <c r="T774"/>
  <c r="L216" i="32"/>
  <c r="L207"/>
  <c r="K216"/>
  <c r="J216"/>
  <c r="L423" i="10"/>
  <c r="N423" s="1"/>
  <c r="W423" s="1"/>
  <c r="AK423"/>
  <c r="V172"/>
  <c r="V173"/>
  <c r="V174"/>
  <c r="V175"/>
  <c r="V176"/>
  <c r="V177"/>
  <c r="V178"/>
  <c r="V186"/>
  <c r="V187"/>
  <c r="V188"/>
  <c r="V189"/>
  <c r="V190"/>
  <c r="V191"/>
  <c r="V192"/>
  <c r="V193"/>
  <c r="V194"/>
  <c r="V195"/>
  <c r="V196"/>
  <c r="V197"/>
  <c r="V198"/>
  <c r="V199"/>
  <c r="V200"/>
  <c r="V201"/>
  <c r="V203"/>
  <c r="V204"/>
  <c r="V205"/>
  <c r="V210"/>
  <c r="V211"/>
  <c r="V212"/>
  <c r="V213"/>
  <c r="V214"/>
  <c r="V215"/>
  <c r="V216"/>
  <c r="V217"/>
  <c r="V218"/>
  <c r="V219"/>
  <c r="V220"/>
  <c r="V221"/>
  <c r="V222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5"/>
  <c r="V396"/>
  <c r="V410"/>
  <c r="V411"/>
  <c r="V412"/>
  <c r="V413"/>
  <c r="V414"/>
  <c r="V415"/>
  <c r="V416"/>
  <c r="V417"/>
  <c r="V418"/>
  <c r="V419"/>
  <c r="V420"/>
  <c r="V421"/>
  <c r="V422"/>
  <c r="V434"/>
  <c r="V435"/>
  <c r="V436"/>
  <c r="V437"/>
  <c r="V438"/>
  <c r="V439"/>
  <c r="V440"/>
  <c r="V441"/>
  <c r="V448"/>
  <c r="V449"/>
  <c r="V450"/>
  <c r="V451"/>
  <c r="V452"/>
  <c r="V453"/>
  <c r="V454"/>
  <c r="V455"/>
  <c r="V456"/>
  <c r="V457"/>
  <c r="V458"/>
  <c r="V459"/>
  <c r="V460"/>
  <c r="V461"/>
  <c r="V462"/>
  <c r="V465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91"/>
  <c r="V592"/>
  <c r="V593"/>
  <c r="V594"/>
  <c r="V595"/>
  <c r="V596"/>
  <c r="V597"/>
  <c r="V598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41"/>
  <c r="V642"/>
  <c r="V643"/>
  <c r="V644"/>
  <c r="V645"/>
  <c r="V646"/>
  <c r="V647"/>
  <c r="V648"/>
  <c r="V649"/>
  <c r="V650"/>
  <c r="V651"/>
  <c r="V652"/>
  <c r="V653"/>
  <c r="V654"/>
  <c r="V655"/>
  <c r="V656"/>
  <c r="V665"/>
  <c r="V666"/>
  <c r="V667"/>
  <c r="V668"/>
  <c r="V669"/>
  <c r="V670"/>
  <c r="V671"/>
  <c r="V673"/>
  <c r="V677"/>
  <c r="V678"/>
  <c r="V679"/>
  <c r="V680"/>
  <c r="V681"/>
  <c r="V682"/>
  <c r="V683"/>
  <c r="V684"/>
  <c r="V690"/>
  <c r="V691"/>
  <c r="V692"/>
  <c r="V693"/>
  <c r="V694"/>
  <c r="V695"/>
  <c r="V696"/>
  <c r="V697"/>
  <c r="V698"/>
  <c r="V699"/>
  <c r="V704"/>
  <c r="V708"/>
  <c r="V709"/>
  <c r="V710"/>
  <c r="V711"/>
  <c r="V712"/>
  <c r="V713"/>
  <c r="V714"/>
  <c r="V715"/>
  <c r="V721"/>
  <c r="V722"/>
  <c r="V723"/>
  <c r="V724"/>
  <c r="V725"/>
  <c r="V726"/>
  <c r="V727"/>
  <c r="V728"/>
  <c r="V729"/>
  <c r="V730"/>
  <c r="V731"/>
  <c r="V732"/>
  <c r="V733"/>
  <c r="V737"/>
  <c r="V739"/>
  <c r="V740"/>
  <c r="V741"/>
  <c r="V742"/>
  <c r="V743"/>
  <c r="V744"/>
  <c r="V745"/>
  <c r="V747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98"/>
  <c r="V799"/>
  <c r="V800"/>
  <c r="V801"/>
  <c r="V802"/>
  <c r="V803"/>
  <c r="V804"/>
  <c r="V807"/>
  <c r="V808"/>
  <c r="V809"/>
  <c r="V810"/>
  <c r="V811"/>
  <c r="V812"/>
  <c r="V813"/>
  <c r="V815"/>
  <c r="V819"/>
  <c r="V820"/>
  <c r="V821"/>
  <c r="V822"/>
  <c r="V823"/>
  <c r="V824"/>
  <c r="V825"/>
  <c r="V826"/>
  <c r="V828"/>
  <c r="V829"/>
  <c r="V830"/>
  <c r="V831"/>
  <c r="V837"/>
  <c r="V838"/>
  <c r="V839"/>
  <c r="V840"/>
  <c r="V841"/>
  <c r="V842"/>
  <c r="V843"/>
  <c r="V844"/>
  <c r="V850"/>
  <c r="V851"/>
  <c r="V852"/>
  <c r="V853"/>
  <c r="V854"/>
  <c r="V855"/>
  <c r="V856"/>
  <c r="V857"/>
  <c r="T722"/>
  <c r="T723"/>
  <c r="T724"/>
  <c r="T725"/>
  <c r="T721"/>
  <c r="BJ119" i="16" l="1"/>
  <c r="BJ158"/>
  <c r="T411" i="10"/>
  <c r="L411"/>
  <c r="N411" s="1"/>
  <c r="W411" l="1"/>
  <c r="BJ159" i="16"/>
  <c r="D103" i="31" l="1"/>
  <c r="E102"/>
  <c r="D102"/>
  <c r="E94" l="1"/>
  <c r="D94"/>
  <c r="E65" s="1"/>
  <c r="D65"/>
  <c r="E64"/>
  <c r="E51"/>
  <c r="E38"/>
  <c r="E37"/>
  <c r="M35" l="1"/>
  <c r="E27"/>
  <c r="E25"/>
  <c r="E23"/>
  <c r="E21" l="1"/>
  <c r="E18"/>
  <c r="E16" l="1"/>
  <c r="E9"/>
  <c r="BR238" i="16" l="1"/>
  <c r="CK229" s="1"/>
  <c r="CJ229" l="1"/>
  <c r="CB221"/>
  <c r="CA221"/>
  <c r="BS196" l="1"/>
  <c r="BK195" s="1"/>
  <c r="BK194"/>
  <c r="CT193" s="1"/>
  <c r="CS193" s="1"/>
  <c r="BK193" s="1"/>
  <c r="CT192"/>
  <c r="CS192"/>
  <c r="BK191"/>
  <c r="CT188"/>
  <c r="CS188"/>
  <c r="CT186"/>
  <c r="CS186"/>
  <c r="CT184"/>
  <c r="CS184"/>
  <c r="CK183"/>
  <c r="CB179"/>
  <c r="BA173"/>
  <c r="AZ173" l="1"/>
  <c r="BI158"/>
  <c r="BA172"/>
  <c r="AZ172"/>
  <c r="CT171"/>
  <c r="CS171"/>
  <c r="CK163"/>
  <c r="AI162"/>
  <c r="AH162"/>
  <c r="AI161"/>
  <c r="AH161"/>
  <c r="CT159"/>
  <c r="CS159"/>
  <c r="AR158" s="1"/>
  <c r="AQ158" s="1"/>
  <c r="AR157" l="1"/>
  <c r="AQ157"/>
  <c r="CT154"/>
  <c r="CS154"/>
  <c r="CT152"/>
  <c r="CS152"/>
  <c r="CT150"/>
  <c r="CS150"/>
  <c r="Q149" s="1"/>
  <c r="P149"/>
  <c r="Q148"/>
  <c r="P148"/>
  <c r="CT147"/>
  <c r="CS147"/>
  <c r="CT145"/>
  <c r="CS145"/>
  <c r="BI119"/>
  <c r="BA143"/>
  <c r="AZ143"/>
  <c r="AI142"/>
  <c r="AH142"/>
  <c r="CT139"/>
  <c r="CS139"/>
  <c r="BI159" l="1"/>
  <c r="Z139"/>
  <c r="Y139" s="1"/>
  <c r="CT138"/>
  <c r="Z138"/>
  <c r="Y138"/>
  <c r="AR134"/>
  <c r="AQ134"/>
  <c r="Q134" s="1"/>
  <c r="P134"/>
  <c r="H134" l="1"/>
  <c r="G134" s="1"/>
  <c r="CT133"/>
  <c r="CS133"/>
  <c r="H133"/>
  <c r="G133"/>
  <c r="CT130"/>
  <c r="CS130"/>
  <c r="CT125"/>
  <c r="CS125"/>
  <c r="CT123"/>
  <c r="CS123"/>
  <c r="Z122"/>
  <c r="Y122"/>
  <c r="H122"/>
  <c r="G122"/>
  <c r="CT119"/>
  <c r="CS119"/>
  <c r="CT117"/>
  <c r="CS117"/>
  <c r="DB116"/>
  <c r="DA116" s="1"/>
  <c r="DB115" s="1"/>
  <c r="CT115"/>
  <c r="CS115"/>
  <c r="DB114"/>
  <c r="DA114" l="1"/>
  <c r="CT113"/>
  <c r="CS113"/>
  <c r="CT111"/>
  <c r="CS111"/>
  <c r="DB108"/>
  <c r="CT108"/>
  <c r="CS108"/>
  <c r="DB107"/>
  <c r="CT106"/>
  <c r="CS106"/>
  <c r="CT104"/>
  <c r="CS104"/>
  <c r="DB103"/>
  <c r="CT101"/>
  <c r="CS101"/>
  <c r="DB100"/>
  <c r="DB98" l="1"/>
  <c r="CT97"/>
  <c r="CS97"/>
  <c r="DB96"/>
  <c r="CT95"/>
  <c r="CS95"/>
  <c r="DB92"/>
  <c r="DB90"/>
  <c r="DB88"/>
  <c r="Q88"/>
  <c r="DB85"/>
  <c r="DB81"/>
  <c r="CT70"/>
  <c r="CS70"/>
  <c r="CT68"/>
  <c r="CS68"/>
  <c r="CT66"/>
  <c r="CS66"/>
  <c r="CT64"/>
  <c r="CS64"/>
  <c r="CT61"/>
  <c r="CS61"/>
  <c r="CT59"/>
  <c r="CS59"/>
  <c r="DB57"/>
  <c r="CT57"/>
  <c r="CS57"/>
  <c r="DB55"/>
  <c r="CT53"/>
  <c r="CS53"/>
  <c r="CT51"/>
  <c r="CS51"/>
  <c r="DB49"/>
  <c r="DB47"/>
  <c r="CT47"/>
  <c r="CS47"/>
  <c r="CT44"/>
  <c r="CS44"/>
  <c r="CT39"/>
  <c r="CS39"/>
  <c r="DB38"/>
  <c r="CT37"/>
  <c r="CS37"/>
  <c r="DB36"/>
  <c r="CT35"/>
  <c r="CS35"/>
  <c r="CT33"/>
  <c r="CS33"/>
  <c r="CT31"/>
  <c r="CS31"/>
  <c r="CT24"/>
  <c r="CS24"/>
  <c r="DB21"/>
  <c r="DB19"/>
  <c r="CT12"/>
  <c r="CS12"/>
  <c r="FZ7" i="5" l="1"/>
  <c r="FK7" l="1"/>
  <c r="EV7" l="1"/>
  <c r="EG7"/>
  <c r="DR7"/>
  <c r="DC7"/>
  <c r="CN7"/>
  <c r="BY7" l="1"/>
  <c r="BJ7" l="1"/>
  <c r="AU7"/>
  <c r="AF7"/>
  <c r="Q7"/>
  <c r="L73" i="15" l="1"/>
  <c r="K73"/>
  <c r="GW72"/>
  <c r="GF72"/>
  <c r="FO72"/>
  <c r="EG72" l="1"/>
  <c r="DP72"/>
  <c r="CY72"/>
  <c r="CH72" l="1"/>
  <c r="BQ72"/>
  <c r="AZ72"/>
  <c r="AI72"/>
  <c r="E72"/>
  <c r="B72"/>
  <c r="GW71"/>
  <c r="GF71"/>
  <c r="FO71" l="1"/>
  <c r="EG71"/>
  <c r="DP71"/>
  <c r="CY71"/>
  <c r="CH71"/>
  <c r="BQ71"/>
  <c r="AZ71"/>
  <c r="AI71"/>
  <c r="E71"/>
  <c r="B71"/>
  <c r="GW70"/>
  <c r="GF70"/>
  <c r="FO70"/>
  <c r="EG70"/>
  <c r="DP70" l="1"/>
  <c r="CY70" l="1"/>
  <c r="CH70"/>
  <c r="BQ70"/>
  <c r="AZ70"/>
  <c r="AI70"/>
  <c r="E70"/>
  <c r="B70"/>
  <c r="GW69"/>
  <c r="GF69"/>
  <c r="FO69"/>
  <c r="DP69"/>
  <c r="CY69"/>
  <c r="CH69"/>
  <c r="BQ69"/>
  <c r="AZ69"/>
  <c r="AI69" l="1"/>
  <c r="E69"/>
  <c r="B69"/>
  <c r="GW68"/>
  <c r="GF68"/>
  <c r="FO68"/>
  <c r="DP68"/>
  <c r="CY68"/>
  <c r="CH68"/>
  <c r="BQ68"/>
  <c r="AZ68"/>
  <c r="AI68"/>
  <c r="E68"/>
  <c r="B68"/>
  <c r="GW67"/>
  <c r="GF67"/>
  <c r="FO67"/>
  <c r="DP67"/>
  <c r="CY67"/>
  <c r="CH67"/>
  <c r="BQ67"/>
  <c r="AZ67"/>
  <c r="AI67"/>
  <c r="F67"/>
  <c r="B67"/>
  <c r="GW66"/>
  <c r="GF66"/>
  <c r="FO66"/>
  <c r="DP66"/>
  <c r="CY66"/>
  <c r="CH66"/>
  <c r="BQ66"/>
  <c r="AZ66"/>
  <c r="AI66"/>
  <c r="E66"/>
  <c r="B66"/>
  <c r="GW65"/>
  <c r="GF65"/>
  <c r="FO65" l="1"/>
  <c r="DP65"/>
  <c r="CY65"/>
  <c r="CH65"/>
  <c r="BQ65"/>
  <c r="AZ65"/>
  <c r="AI65" l="1"/>
  <c r="F65"/>
  <c r="E65"/>
  <c r="B65"/>
  <c r="GW64"/>
  <c r="GF64"/>
  <c r="FO64"/>
  <c r="DP64"/>
  <c r="CY64"/>
  <c r="CH64"/>
  <c r="BQ64"/>
  <c r="AZ64"/>
  <c r="AM64"/>
  <c r="AL64"/>
  <c r="AI64"/>
  <c r="B64"/>
  <c r="GW63"/>
  <c r="GF63"/>
  <c r="FO63"/>
  <c r="DP63"/>
  <c r="CY63"/>
  <c r="CH63"/>
  <c r="BQ63"/>
  <c r="AZ63"/>
  <c r="AI63"/>
  <c r="F63"/>
  <c r="B63"/>
  <c r="GW62"/>
  <c r="GF62"/>
  <c r="FO62"/>
  <c r="DP62"/>
  <c r="CY62"/>
  <c r="CH62"/>
  <c r="BQ62"/>
  <c r="AZ62"/>
  <c r="AI62"/>
  <c r="F62"/>
  <c r="E62"/>
  <c r="B62"/>
  <c r="GW61"/>
  <c r="GI61"/>
  <c r="DP61"/>
  <c r="CY61"/>
  <c r="CH61"/>
  <c r="BQ61"/>
  <c r="AZ61"/>
  <c r="AI61"/>
  <c r="E61"/>
  <c r="B61"/>
  <c r="GW60"/>
  <c r="GF60"/>
  <c r="FO60"/>
  <c r="DP60"/>
  <c r="CY60"/>
  <c r="CH60"/>
  <c r="BQ60"/>
  <c r="AZ60"/>
  <c r="AI60"/>
  <c r="E60"/>
  <c r="B60"/>
  <c r="GW59"/>
  <c r="GF59"/>
  <c r="FO59"/>
  <c r="DP59"/>
  <c r="CY59"/>
  <c r="CH59"/>
  <c r="BQ59"/>
  <c r="AZ59"/>
  <c r="AI59"/>
  <c r="E59"/>
  <c r="B59"/>
  <c r="GW58"/>
  <c r="GF58" l="1"/>
  <c r="FO58"/>
  <c r="DP58"/>
  <c r="CY58"/>
  <c r="CH58"/>
  <c r="BQ58"/>
  <c r="AZ58"/>
  <c r="AI58"/>
  <c r="E58"/>
  <c r="B58"/>
  <c r="GW57"/>
  <c r="GF57"/>
  <c r="FO57"/>
  <c r="DP57"/>
  <c r="CY57"/>
  <c r="CH57"/>
  <c r="BQ57"/>
  <c r="AZ57"/>
  <c r="AI57"/>
  <c r="E57" l="1"/>
  <c r="B57"/>
  <c r="GW56"/>
  <c r="GF56"/>
  <c r="FO56"/>
  <c r="DP56"/>
  <c r="CY56"/>
  <c r="CH56" l="1"/>
  <c r="BQ56"/>
  <c r="AZ56"/>
  <c r="AI56"/>
  <c r="E56"/>
  <c r="B56"/>
  <c r="GW55"/>
  <c r="GF55"/>
  <c r="FO55"/>
  <c r="DP55"/>
  <c r="CY55"/>
  <c r="CH55"/>
  <c r="BQ55"/>
  <c r="AZ55"/>
  <c r="AI55"/>
  <c r="E55"/>
  <c r="B55"/>
  <c r="GW54"/>
  <c r="GF54"/>
  <c r="FO54"/>
  <c r="DP54" l="1"/>
  <c r="CY54"/>
  <c r="CH54"/>
  <c r="BQ54"/>
  <c r="AZ54"/>
  <c r="AI54"/>
  <c r="E54"/>
  <c r="B54"/>
  <c r="GW53"/>
  <c r="GF53"/>
  <c r="FO53"/>
  <c r="DP53"/>
  <c r="CY53"/>
  <c r="CH53"/>
  <c r="BQ53"/>
  <c r="AZ53"/>
  <c r="AI53"/>
  <c r="E53"/>
  <c r="B53"/>
  <c r="GW52"/>
  <c r="GF52"/>
  <c r="FO52"/>
  <c r="DP52"/>
  <c r="CY52"/>
  <c r="CH52"/>
  <c r="BQ52"/>
  <c r="AZ52"/>
  <c r="AI52"/>
  <c r="F52"/>
  <c r="E52"/>
  <c r="B52"/>
  <c r="GW51"/>
  <c r="GF51"/>
  <c r="FO51"/>
  <c r="DP51"/>
  <c r="CY51"/>
  <c r="CH51"/>
  <c r="BQ51"/>
  <c r="AZ51"/>
  <c r="AI51"/>
  <c r="F51"/>
  <c r="E51"/>
  <c r="B51"/>
  <c r="GW50"/>
  <c r="GF50"/>
  <c r="FO50"/>
  <c r="DP50"/>
  <c r="CY50"/>
  <c r="CH50"/>
  <c r="BQ50"/>
  <c r="AZ50"/>
  <c r="AI50"/>
  <c r="F50" l="1"/>
  <c r="E50"/>
  <c r="B50"/>
  <c r="GW49"/>
  <c r="GF49"/>
  <c r="FO49"/>
  <c r="DP49"/>
  <c r="CY49"/>
  <c r="CH49"/>
  <c r="BQ49"/>
  <c r="AZ49"/>
  <c r="AI49"/>
  <c r="F49"/>
  <c r="E49"/>
  <c r="B49"/>
  <c r="GW48"/>
  <c r="GF48"/>
  <c r="FO48"/>
  <c r="DP48"/>
  <c r="CY48"/>
  <c r="CH48"/>
  <c r="BQ48"/>
  <c r="AZ48"/>
  <c r="AI48"/>
  <c r="F48"/>
  <c r="E48"/>
  <c r="B48"/>
  <c r="GW47"/>
  <c r="GF47"/>
  <c r="FO47"/>
  <c r="DP47" l="1"/>
  <c r="CY47"/>
  <c r="CH47"/>
  <c r="BQ47"/>
  <c r="AZ47"/>
  <c r="AI47"/>
  <c r="F47"/>
  <c r="E47"/>
  <c r="B47"/>
  <c r="GW46"/>
  <c r="GF46"/>
  <c r="FO46" l="1"/>
  <c r="DP46" l="1"/>
  <c r="CY46"/>
  <c r="CH46"/>
  <c r="BQ46"/>
  <c r="AZ46"/>
  <c r="AI46" l="1"/>
  <c r="E46"/>
  <c r="B46"/>
  <c r="GW45"/>
  <c r="GF45" l="1"/>
  <c r="FO45"/>
  <c r="DP45" l="1"/>
  <c r="CY45"/>
  <c r="CH45"/>
  <c r="BQ45"/>
  <c r="AZ45"/>
  <c r="AI45"/>
  <c r="E45"/>
  <c r="B45"/>
  <c r="GW44"/>
  <c r="GF44"/>
  <c r="FO44"/>
  <c r="DP44"/>
  <c r="DC44"/>
  <c r="DB44" l="1"/>
  <c r="CY44"/>
  <c r="CH44"/>
  <c r="BQ44"/>
  <c r="AZ44"/>
  <c r="AI44"/>
  <c r="B44"/>
  <c r="GW43"/>
  <c r="GF43" l="1"/>
  <c r="FO43"/>
  <c r="DP43"/>
  <c r="CY43"/>
  <c r="CH43"/>
  <c r="BQ43"/>
  <c r="AZ43"/>
  <c r="AI43"/>
  <c r="F43"/>
  <c r="E43"/>
  <c r="B43"/>
  <c r="GW42"/>
  <c r="GF42"/>
  <c r="FO42"/>
  <c r="DP42"/>
  <c r="CY42"/>
  <c r="CH42"/>
  <c r="BQ42"/>
  <c r="AZ42"/>
  <c r="AI42"/>
  <c r="F42" l="1"/>
  <c r="E42" l="1"/>
  <c r="B42"/>
  <c r="GW41"/>
  <c r="GF41"/>
  <c r="FO41"/>
  <c r="DP41"/>
  <c r="CY41"/>
  <c r="CH41"/>
  <c r="BQ41"/>
  <c r="AZ41"/>
  <c r="AI41"/>
  <c r="E41"/>
  <c r="B41"/>
  <c r="GW40" l="1"/>
  <c r="GF40"/>
  <c r="FO40"/>
  <c r="DP40"/>
  <c r="CY40"/>
  <c r="CH40"/>
  <c r="BQ40"/>
  <c r="AZ40"/>
  <c r="AI40"/>
  <c r="E40" l="1"/>
  <c r="B40"/>
  <c r="GW39"/>
  <c r="GF39"/>
  <c r="FO39"/>
  <c r="DP39"/>
  <c r="CY39"/>
  <c r="CH39"/>
  <c r="BQ39"/>
  <c r="AZ39"/>
  <c r="AI39" l="1"/>
  <c r="E39"/>
  <c r="B39"/>
  <c r="GW38"/>
  <c r="GF38"/>
  <c r="FO38"/>
  <c r="DP38"/>
  <c r="CY38"/>
  <c r="CH38"/>
  <c r="BQ38"/>
  <c r="AZ38"/>
  <c r="AI38"/>
  <c r="E38"/>
  <c r="B38"/>
  <c r="GW37"/>
  <c r="GF37"/>
  <c r="FO37"/>
  <c r="DP37"/>
  <c r="CY37"/>
  <c r="CH37"/>
  <c r="BQ37"/>
  <c r="AZ37"/>
  <c r="AI37"/>
  <c r="E37"/>
  <c r="B37"/>
  <c r="GW36"/>
  <c r="GF36"/>
  <c r="FO36"/>
  <c r="DP36"/>
  <c r="CY36"/>
  <c r="CH36"/>
  <c r="BQ36"/>
  <c r="AZ36"/>
  <c r="AI36"/>
  <c r="F36" l="1"/>
  <c r="E36"/>
  <c r="B36"/>
  <c r="GW35"/>
  <c r="GF35"/>
  <c r="FO35"/>
  <c r="DP35"/>
  <c r="CY35"/>
  <c r="CH35"/>
  <c r="BQ35"/>
  <c r="AZ35"/>
  <c r="AI35"/>
  <c r="F35"/>
  <c r="E35"/>
  <c r="B35"/>
  <c r="GW34"/>
  <c r="GF34"/>
  <c r="FO34"/>
  <c r="DP34"/>
  <c r="CY34"/>
  <c r="CH34"/>
  <c r="BQ34"/>
  <c r="AZ34"/>
  <c r="AI34"/>
  <c r="E34"/>
  <c r="B34"/>
  <c r="GW33"/>
  <c r="GF33"/>
  <c r="FO33" l="1"/>
  <c r="DP33"/>
  <c r="CY33"/>
  <c r="CH33"/>
  <c r="BQ33" l="1"/>
  <c r="AZ33"/>
  <c r="AI33"/>
  <c r="F33"/>
  <c r="E33"/>
  <c r="B33"/>
  <c r="GW32"/>
  <c r="GF32" l="1"/>
  <c r="FO32"/>
  <c r="DP32"/>
  <c r="CY32" l="1"/>
  <c r="CH32"/>
  <c r="BQ32"/>
  <c r="AZ32"/>
  <c r="AI32"/>
  <c r="E32"/>
  <c r="B32"/>
  <c r="GW31"/>
  <c r="GF31"/>
  <c r="FO31"/>
  <c r="DP31"/>
  <c r="CY31"/>
  <c r="CH31"/>
  <c r="BQ31"/>
  <c r="AZ31"/>
  <c r="AI31"/>
  <c r="E31" l="1"/>
  <c r="B31"/>
  <c r="GW30"/>
  <c r="GF30"/>
  <c r="FO30"/>
  <c r="DP30"/>
  <c r="CY30"/>
  <c r="CH30"/>
  <c r="BQ30"/>
  <c r="AZ30"/>
  <c r="AI30"/>
  <c r="F30" l="1"/>
  <c r="E30"/>
  <c r="B30"/>
  <c r="GW29"/>
  <c r="GF29"/>
  <c r="FO29"/>
  <c r="DP29"/>
  <c r="CY29"/>
  <c r="CH29"/>
  <c r="BQ29"/>
  <c r="AZ29"/>
  <c r="AI29" l="1"/>
  <c r="E29"/>
  <c r="B29"/>
  <c r="GW28"/>
  <c r="GF28" l="1"/>
  <c r="FO28" l="1"/>
  <c r="DP28"/>
  <c r="CY28"/>
  <c r="CH28"/>
  <c r="BQ28"/>
  <c r="AZ28"/>
  <c r="AI28"/>
  <c r="E28"/>
  <c r="B28"/>
  <c r="GW27"/>
  <c r="GI27"/>
  <c r="DP27"/>
  <c r="CY27"/>
  <c r="CH27"/>
  <c r="BQ27"/>
  <c r="AZ27"/>
  <c r="AI27"/>
  <c r="E27" l="1"/>
  <c r="B27"/>
  <c r="GW26"/>
  <c r="GF26"/>
  <c r="FO26" l="1"/>
  <c r="DP26"/>
  <c r="CY26"/>
  <c r="CH26"/>
  <c r="BQ26" l="1"/>
  <c r="AZ26"/>
  <c r="AI26"/>
  <c r="E26"/>
  <c r="B26"/>
  <c r="GW25"/>
  <c r="GF25"/>
  <c r="FO25"/>
  <c r="DP25"/>
  <c r="CY25"/>
  <c r="CH25"/>
  <c r="BQ25"/>
  <c r="AZ25"/>
  <c r="AI25"/>
  <c r="F25"/>
  <c r="E25"/>
  <c r="B25"/>
  <c r="GW24"/>
  <c r="GF24"/>
  <c r="FO24"/>
  <c r="DP24"/>
  <c r="CY24"/>
  <c r="CH24"/>
  <c r="BQ24"/>
  <c r="AZ24"/>
  <c r="AI24"/>
  <c r="F24" l="1"/>
  <c r="B24"/>
  <c r="GW23"/>
  <c r="GF23"/>
  <c r="FO23"/>
  <c r="DP23"/>
  <c r="CY23"/>
  <c r="CH23"/>
  <c r="BQ23"/>
  <c r="AZ23"/>
  <c r="AI23"/>
  <c r="E23"/>
  <c r="B23"/>
  <c r="GW22" l="1"/>
  <c r="GF22"/>
  <c r="FO22"/>
  <c r="DP22"/>
  <c r="CY22"/>
  <c r="CH22"/>
  <c r="BQ22"/>
  <c r="AZ22" l="1"/>
  <c r="AM22"/>
  <c r="AL22"/>
  <c r="AI22"/>
  <c r="B22"/>
  <c r="GW21"/>
  <c r="GF21"/>
  <c r="FO21"/>
  <c r="DP21"/>
  <c r="CY21"/>
  <c r="CH21"/>
  <c r="BQ21"/>
  <c r="AZ21"/>
  <c r="AI21"/>
  <c r="F21" l="1"/>
  <c r="E21"/>
  <c r="B21"/>
  <c r="GW20"/>
  <c r="GF20" l="1"/>
  <c r="FO20"/>
  <c r="DP20"/>
  <c r="CY20" l="1"/>
  <c r="CH20"/>
  <c r="BQ20"/>
  <c r="AZ20"/>
  <c r="AI20"/>
  <c r="F20"/>
  <c r="E20"/>
  <c r="B20"/>
  <c r="GW19"/>
  <c r="GF19" l="1"/>
  <c r="FO19"/>
  <c r="DP19"/>
  <c r="CY19"/>
  <c r="CH19"/>
  <c r="BQ19" l="1"/>
  <c r="AZ19"/>
  <c r="AI19"/>
  <c r="E19"/>
  <c r="B19"/>
  <c r="GW18"/>
  <c r="GF18"/>
  <c r="FO18"/>
  <c r="DP18"/>
  <c r="CY18"/>
  <c r="CH18"/>
  <c r="BQ18"/>
  <c r="AZ18"/>
  <c r="AI18"/>
  <c r="E18"/>
  <c r="B18"/>
  <c r="GW17"/>
  <c r="GF17" l="1"/>
  <c r="FO17"/>
  <c r="DP17"/>
  <c r="CY17" l="1"/>
  <c r="CH17" l="1"/>
  <c r="BQ17" l="1"/>
  <c r="AZ17" l="1"/>
  <c r="AI17" l="1"/>
  <c r="E17"/>
  <c r="B17"/>
  <c r="GW16"/>
  <c r="GF16"/>
  <c r="FO16"/>
  <c r="DP16" l="1"/>
  <c r="CY16"/>
  <c r="CH16"/>
  <c r="BQ16"/>
  <c r="AZ16"/>
  <c r="AI16"/>
  <c r="E16"/>
  <c r="B16"/>
  <c r="GW15"/>
  <c r="GI15"/>
  <c r="DP15"/>
  <c r="CY15" l="1"/>
  <c r="CH15" l="1"/>
  <c r="BQ15"/>
  <c r="AZ15"/>
  <c r="AI15"/>
  <c r="E15"/>
  <c r="B15"/>
  <c r="GW14"/>
  <c r="GF14"/>
  <c r="FO14"/>
  <c r="DP14"/>
  <c r="CY14"/>
  <c r="CH14"/>
  <c r="BQ14"/>
  <c r="AZ14"/>
  <c r="AI14"/>
  <c r="E14"/>
  <c r="B14"/>
  <c r="GW13"/>
  <c r="GF13"/>
  <c r="FO13"/>
  <c r="DP13"/>
  <c r="CY13"/>
  <c r="CH13"/>
  <c r="BQ13"/>
  <c r="AZ13"/>
  <c r="AI13"/>
  <c r="E13"/>
  <c r="B13"/>
  <c r="DP12"/>
  <c r="CY12"/>
  <c r="CH12"/>
  <c r="BQ12"/>
  <c r="AZ12"/>
  <c r="AI12"/>
  <c r="F12"/>
  <c r="E12"/>
  <c r="B12"/>
  <c r="GW11"/>
  <c r="GF11"/>
  <c r="FO11"/>
  <c r="DP11"/>
  <c r="CY11"/>
  <c r="CH11"/>
  <c r="BQ11"/>
  <c r="AZ11"/>
  <c r="AI11"/>
  <c r="F11"/>
  <c r="E11"/>
  <c r="B11"/>
  <c r="GW10"/>
  <c r="GF10" l="1"/>
  <c r="FO10" l="1"/>
  <c r="DP10" l="1"/>
  <c r="CY10" l="1"/>
  <c r="CH10" l="1"/>
  <c r="BQ10" l="1"/>
  <c r="AZ10" l="1"/>
  <c r="AI10" l="1"/>
  <c r="E10" l="1"/>
  <c r="B10"/>
  <c r="GW9"/>
  <c r="GF9"/>
  <c r="FO9"/>
  <c r="DP9"/>
  <c r="CY9"/>
  <c r="CH9"/>
  <c r="BQ9"/>
  <c r="AZ9"/>
  <c r="AI9"/>
  <c r="F9"/>
  <c r="B9"/>
  <c r="GW8"/>
  <c r="GF8"/>
  <c r="FO8"/>
  <c r="EX8"/>
  <c r="DP8"/>
  <c r="CY8"/>
  <c r="CH8"/>
  <c r="BQ8"/>
  <c r="AZ8" l="1"/>
  <c r="AI8" l="1"/>
  <c r="E8"/>
  <c r="B8"/>
  <c r="GW7"/>
  <c r="GF7"/>
  <c r="FO7"/>
  <c r="EX7"/>
  <c r="EG7"/>
  <c r="DP7"/>
  <c r="CY7"/>
  <c r="CH7"/>
  <c r="BQ7"/>
  <c r="AZ7"/>
  <c r="AI7"/>
  <c r="F7"/>
  <c r="E7"/>
  <c r="B7"/>
  <c r="EP63" i="5" l="1"/>
  <c r="EJ63"/>
  <c r="EQ63"/>
  <c r="EN63"/>
  <c r="EM63" s="1"/>
  <c r="EL63" s="1"/>
  <c r="EK63" s="1"/>
  <c r="EI63"/>
  <c r="EN29"/>
  <c r="EN16"/>
  <c r="AA7"/>
  <c r="W7"/>
  <c r="U7"/>
  <c r="S7"/>
  <c r="Z7"/>
  <c r="V7"/>
  <c r="T7"/>
  <c r="F74"/>
  <c r="F73"/>
  <c r="F72"/>
  <c r="F71"/>
  <c r="F70"/>
  <c r="F69"/>
  <c r="F68"/>
  <c r="G74"/>
  <c r="G73"/>
  <c r="G72"/>
  <c r="G71"/>
  <c r="G70"/>
  <c r="G69"/>
  <c r="G68"/>
  <c r="F67"/>
  <c r="F65"/>
  <c r="F64"/>
  <c r="G67"/>
  <c r="G65"/>
  <c r="G64"/>
  <c r="F63"/>
  <c r="G63"/>
  <c r="F62"/>
  <c r="G62"/>
  <c r="F61"/>
  <c r="G61"/>
  <c r="F60"/>
  <c r="G59"/>
  <c r="G60"/>
  <c r="F59"/>
  <c r="F58"/>
  <c r="F57"/>
  <c r="G58"/>
  <c r="G57"/>
  <c r="F56"/>
  <c r="G56"/>
  <c r="F55"/>
  <c r="F54"/>
  <c r="F53"/>
  <c r="G55"/>
  <c r="G54"/>
  <c r="G53"/>
  <c r="F52"/>
  <c r="F51"/>
  <c r="F50"/>
  <c r="F49"/>
  <c r="G52"/>
  <c r="G51"/>
  <c r="G50"/>
  <c r="G49"/>
  <c r="F48"/>
  <c r="G48"/>
  <c r="F47"/>
  <c r="G47"/>
  <c r="F45"/>
  <c r="G45"/>
  <c r="F44"/>
  <c r="F43"/>
  <c r="F42"/>
  <c r="F41"/>
  <c r="F40"/>
  <c r="G44"/>
  <c r="G43"/>
  <c r="G42"/>
  <c r="G41"/>
  <c r="G40"/>
  <c r="F39"/>
  <c r="F38"/>
  <c r="G39"/>
  <c r="G38"/>
  <c r="F37"/>
  <c r="F36"/>
  <c r="F35"/>
  <c r="F34"/>
  <c r="F33"/>
  <c r="F32"/>
  <c r="G37"/>
  <c r="G36"/>
  <c r="G35"/>
  <c r="G34"/>
  <c r="G33"/>
  <c r="G32"/>
  <c r="F31"/>
  <c r="F30"/>
  <c r="G31"/>
  <c r="G30"/>
  <c r="F29"/>
  <c r="G29"/>
  <c r="F28"/>
  <c r="F27"/>
  <c r="F26"/>
  <c r="F25"/>
  <c r="F24"/>
  <c r="G28"/>
  <c r="G27"/>
  <c r="G26"/>
  <c r="G25"/>
  <c r="G24"/>
  <c r="F22"/>
  <c r="G22"/>
  <c r="F21"/>
  <c r="G21"/>
  <c r="F20"/>
  <c r="F19"/>
  <c r="G20"/>
  <c r="G19"/>
  <c r="F18"/>
  <c r="G18"/>
  <c r="F17"/>
  <c r="G17"/>
  <c r="F16"/>
  <c r="F13"/>
  <c r="G16"/>
  <c r="G15"/>
  <c r="G14"/>
  <c r="G13"/>
  <c r="F15"/>
  <c r="F14"/>
  <c r="F12"/>
  <c r="G12"/>
  <c r="F11"/>
  <c r="F10"/>
  <c r="G11"/>
  <c r="G10"/>
  <c r="F9"/>
  <c r="G9"/>
  <c r="G7"/>
  <c r="F7"/>
  <c r="EB63"/>
  <c r="EB59"/>
  <c r="EB57"/>
  <c r="FE63"/>
  <c r="FB63"/>
  <c r="EZ63"/>
  <c r="EX63"/>
  <c r="FF63"/>
  <c r="FC63"/>
  <c r="FA63"/>
  <c r="EY63"/>
  <c r="FE29"/>
  <c r="FF29"/>
  <c r="FB29"/>
  <c r="EZ29"/>
  <c r="FC29"/>
  <c r="FA29"/>
  <c r="EY29"/>
  <c r="EX29"/>
  <c r="FE16"/>
  <c r="FB16"/>
  <c r="EZ16"/>
  <c r="EX16"/>
  <c r="FF16"/>
  <c r="FC16"/>
  <c r="FA16"/>
  <c r="EY16"/>
  <c r="N756" i="13"/>
  <c r="J22" i="31" s="1"/>
  <c r="C680" i="13" l="1"/>
  <c r="N675"/>
  <c r="D680" l="1"/>
  <c r="C681" l="1"/>
  <c r="D681" s="1"/>
  <c r="L680"/>
  <c r="J680"/>
  <c r="H680"/>
  <c r="K680"/>
  <c r="I680"/>
  <c r="M680"/>
  <c r="G680"/>
  <c r="F680" s="1"/>
  <c r="Q680" s="1"/>
  <c r="C611"/>
  <c r="D611" s="1"/>
  <c r="N606"/>
  <c r="C612" l="1"/>
  <c r="D612" s="1"/>
  <c r="M611"/>
  <c r="K611"/>
  <c r="I611"/>
  <c r="G611"/>
  <c r="F611" s="1"/>
  <c r="Q611" s="1"/>
  <c r="L611"/>
  <c r="J611"/>
  <c r="H611"/>
  <c r="J681"/>
  <c r="F681"/>
  <c r="I681"/>
  <c r="G681"/>
  <c r="L681"/>
  <c r="H681"/>
  <c r="M681"/>
  <c r="K681"/>
  <c r="O680"/>
  <c r="K612" l="1"/>
  <c r="G612"/>
  <c r="J612"/>
  <c r="F612"/>
  <c r="M612"/>
  <c r="I612"/>
  <c r="L612"/>
  <c r="H612"/>
  <c r="O681"/>
  <c r="O756" s="1"/>
  <c r="K22" i="31" s="1"/>
  <c r="O611" i="13"/>
  <c r="C535" l="1"/>
  <c r="D535" s="1"/>
  <c r="N530"/>
  <c r="C536" l="1"/>
  <c r="D536" s="1"/>
  <c r="M535"/>
  <c r="K535"/>
  <c r="I535"/>
  <c r="G535"/>
  <c r="F535" s="1"/>
  <c r="Q535" s="1"/>
  <c r="L535"/>
  <c r="J535"/>
  <c r="H535"/>
  <c r="O535" l="1"/>
  <c r="J536"/>
  <c r="F536"/>
  <c r="K536"/>
  <c r="G536"/>
  <c r="L536"/>
  <c r="H536"/>
  <c r="M536"/>
  <c r="I536"/>
  <c r="O536" l="1"/>
  <c r="O606" s="1"/>
  <c r="K20" i="31" s="1"/>
  <c r="J20" s="1"/>
  <c r="C477" i="13"/>
  <c r="N422" l="1"/>
  <c r="J17" i="31" s="1"/>
  <c r="C376" i="13" l="1"/>
  <c r="N371"/>
  <c r="J16" i="31" s="1"/>
  <c r="C319" i="13" l="1"/>
  <c r="N314"/>
  <c r="C264" l="1"/>
  <c r="N258"/>
  <c r="C194" l="1"/>
  <c r="L193"/>
  <c r="K193"/>
  <c r="J193"/>
  <c r="I193"/>
  <c r="H193"/>
  <c r="G193"/>
  <c r="F193"/>
  <c r="C193"/>
  <c r="N188"/>
  <c r="Q193" l="1"/>
  <c r="C138"/>
  <c r="D138" s="1"/>
  <c r="C139" l="1"/>
  <c r="D139" s="1"/>
  <c r="L138"/>
  <c r="K138"/>
  <c r="I138"/>
  <c r="H138" s="1"/>
  <c r="F138"/>
  <c r="Q138" s="1"/>
  <c r="G138"/>
  <c r="J138"/>
  <c r="L137"/>
  <c r="K137"/>
  <c r="J137"/>
  <c r="I137"/>
  <c r="H137"/>
  <c r="G137"/>
  <c r="F137"/>
  <c r="Q137" s="1"/>
  <c r="C137"/>
  <c r="N132"/>
  <c r="J12" i="31" s="1"/>
  <c r="J139" i="13" l="1"/>
  <c r="H139"/>
  <c r="F139"/>
  <c r="C140"/>
  <c r="I139"/>
  <c r="K139"/>
  <c r="G139"/>
  <c r="Q139" l="1"/>
  <c r="C71"/>
  <c r="D71" s="1"/>
  <c r="K71" l="1"/>
  <c r="I71"/>
  <c r="F71"/>
  <c r="C72"/>
  <c r="J71"/>
  <c r="L71"/>
  <c r="H71"/>
  <c r="G71" s="1"/>
  <c r="L70"/>
  <c r="K70"/>
  <c r="J70"/>
  <c r="I70"/>
  <c r="H70"/>
  <c r="G70"/>
  <c r="F70"/>
  <c r="Q70" s="1"/>
  <c r="C70"/>
  <c r="N65"/>
  <c r="J11" i="31" s="1"/>
  <c r="Q71" i="13" l="1"/>
  <c r="C7"/>
  <c r="D7" s="1"/>
  <c r="K7" l="1"/>
  <c r="L7"/>
  <c r="J7"/>
  <c r="H7"/>
  <c r="C8"/>
  <c r="I7"/>
  <c r="G7"/>
  <c r="F7" s="1"/>
  <c r="L6"/>
  <c r="K6"/>
  <c r="J6"/>
  <c r="I6"/>
  <c r="H6"/>
  <c r="G6"/>
  <c r="F6"/>
  <c r="Q6" s="1"/>
  <c r="C6"/>
  <c r="J19" i="33"/>
  <c r="I19"/>
  <c r="J18"/>
  <c r="I18"/>
  <c r="J17"/>
  <c r="I17"/>
  <c r="H17"/>
  <c r="G17" s="1"/>
  <c r="F17" s="1"/>
  <c r="E17"/>
  <c r="J16"/>
  <c r="I16"/>
  <c r="Q7" i="13" l="1"/>
  <c r="H16" i="33"/>
  <c r="G16" s="1"/>
  <c r="F16"/>
  <c r="E16"/>
  <c r="J15" s="1"/>
  <c r="I15"/>
  <c r="H15"/>
  <c r="G15" s="1"/>
  <c r="F15" s="1"/>
  <c r="E15"/>
  <c r="H14"/>
  <c r="G14" s="1"/>
  <c r="F14"/>
  <c r="E14"/>
  <c r="H13"/>
  <c r="G13" s="1"/>
  <c r="F13" s="1"/>
  <c r="E13"/>
  <c r="H12"/>
  <c r="G12" s="1"/>
  <c r="F12" s="1"/>
  <c r="E12"/>
  <c r="J11"/>
  <c r="H11" s="1"/>
  <c r="G11"/>
  <c r="F11" s="1"/>
  <c r="E11"/>
  <c r="I10"/>
  <c r="J9"/>
  <c r="I9"/>
  <c r="J8"/>
  <c r="I8"/>
  <c r="J7"/>
  <c r="I7"/>
  <c r="H7" s="1"/>
  <c r="G7"/>
  <c r="E7"/>
  <c r="H6" l="1"/>
  <c r="G6"/>
  <c r="E6"/>
  <c r="J5"/>
  <c r="I5"/>
  <c r="H5" s="1"/>
  <c r="G5"/>
  <c r="E5"/>
  <c r="H4" s="1"/>
  <c r="F4" s="1"/>
  <c r="E4"/>
  <c r="D89" i="25"/>
  <c r="D88"/>
  <c r="P75"/>
  <c r="P65"/>
  <c r="B171" i="32" l="1"/>
  <c r="F170"/>
  <c r="F216" s="1"/>
  <c r="B170"/>
  <c r="B169"/>
  <c r="G163"/>
  <c r="L163"/>
  <c r="K163"/>
  <c r="J163"/>
  <c r="L27" i="34"/>
  <c r="F221" i="32" l="1"/>
  <c r="F219"/>
  <c r="G221"/>
  <c r="G223" s="1"/>
  <c r="I163"/>
  <c r="G216"/>
  <c r="K27" i="34"/>
  <c r="AC25" l="1"/>
  <c r="AB25"/>
  <c r="Y25" l="1"/>
  <c r="X25" s="1"/>
  <c r="U25" s="1"/>
  <c r="T25" s="1"/>
  <c r="S25"/>
  <c r="R25"/>
  <c r="Q25"/>
  <c r="P25" s="1"/>
  <c r="O25" s="1"/>
  <c r="L25" l="1"/>
  <c r="K25" s="1"/>
  <c r="J25"/>
  <c r="I25"/>
  <c r="H25" s="1"/>
  <c r="L23" s="1"/>
  <c r="AB20" s="1"/>
  <c r="X20"/>
  <c r="U20"/>
  <c r="Q20"/>
  <c r="O20"/>
  <c r="L20"/>
  <c r="I20" s="1"/>
  <c r="AC19"/>
  <c r="AB19"/>
  <c r="Y19"/>
  <c r="X19"/>
  <c r="U19"/>
  <c r="T19" l="1"/>
  <c r="S19" l="1"/>
  <c r="R19"/>
  <c r="Q19"/>
  <c r="P19"/>
  <c r="O19"/>
  <c r="L19"/>
  <c r="K19"/>
  <c r="J19"/>
  <c r="I19"/>
  <c r="H19"/>
  <c r="AI18"/>
  <c r="U18"/>
  <c r="T18"/>
  <c r="R18"/>
  <c r="Q18"/>
  <c r="L18" s="1"/>
  <c r="J18"/>
  <c r="I18"/>
  <c r="AI17"/>
  <c r="Y17"/>
  <c r="U17" s="1"/>
  <c r="T17"/>
  <c r="R17" l="1"/>
  <c r="Q17"/>
  <c r="L17" s="1"/>
  <c r="J17"/>
  <c r="I17"/>
  <c r="AI16"/>
  <c r="Y16"/>
  <c r="U16"/>
  <c r="T16"/>
  <c r="R16"/>
  <c r="Q16"/>
  <c r="L16" s="1"/>
  <c r="J16"/>
  <c r="I16"/>
  <c r="L10" s="1"/>
  <c r="L9"/>
  <c r="AI8"/>
  <c r="AB8"/>
  <c r="X8"/>
  <c r="U8"/>
  <c r="Q8"/>
  <c r="O8"/>
  <c r="L8" s="1"/>
  <c r="I8"/>
  <c r="AI7"/>
  <c r="AC7"/>
  <c r="AB7"/>
  <c r="Y7" s="1"/>
  <c r="X7"/>
  <c r="U7"/>
  <c r="T7"/>
  <c r="S7"/>
  <c r="R7"/>
  <c r="Q7"/>
  <c r="P7"/>
  <c r="O7"/>
  <c r="L7"/>
  <c r="K7"/>
  <c r="J7"/>
  <c r="I7"/>
  <c r="H7"/>
  <c r="AI6"/>
  <c r="AC6"/>
  <c r="Y6"/>
  <c r="U6" s="1"/>
  <c r="T6"/>
  <c r="L6"/>
  <c r="Z864" i="10" l="1"/>
  <c r="R864"/>
  <c r="M864"/>
  <c r="J864"/>
  <c r="AK863"/>
  <c r="AE863"/>
  <c r="AA863"/>
  <c r="W863"/>
  <c r="V863"/>
  <c r="AK857"/>
  <c r="Q865" l="1"/>
  <c r="Q1376" s="1"/>
  <c r="T857"/>
  <c r="L857"/>
  <c r="AK856"/>
  <c r="T856"/>
  <c r="L856"/>
  <c r="AK855"/>
  <c r="AE855"/>
  <c r="N855"/>
  <c r="AK854"/>
  <c r="AE854"/>
  <c r="N854"/>
  <c r="W854" s="1"/>
  <c r="AK853"/>
  <c r="AE853"/>
  <c r="N856" l="1"/>
  <c r="AE856"/>
  <c r="W855"/>
  <c r="N857"/>
  <c r="AE857"/>
  <c r="N853"/>
  <c r="W853" s="1"/>
  <c r="AK852"/>
  <c r="AE852"/>
  <c r="W852"/>
  <c r="AK851"/>
  <c r="AE851"/>
  <c r="N851"/>
  <c r="W851" s="1"/>
  <c r="AK850"/>
  <c r="AE850"/>
  <c r="AA850"/>
  <c r="W857" l="1"/>
  <c r="W856"/>
  <c r="N850"/>
  <c r="L844"/>
  <c r="AK843"/>
  <c r="AE843"/>
  <c r="N844" l="1"/>
  <c r="W850"/>
  <c r="L843"/>
  <c r="N843" s="1"/>
  <c r="W843" s="1"/>
  <c r="AK842"/>
  <c r="T842"/>
  <c r="AE842" s="1"/>
  <c r="L842"/>
  <c r="N842" s="1"/>
  <c r="AK841"/>
  <c r="W842" l="1"/>
  <c r="T841"/>
  <c r="L841"/>
  <c r="AK840"/>
  <c r="N841" l="1"/>
  <c r="AE841"/>
  <c r="T840"/>
  <c r="AE840" s="1"/>
  <c r="L840"/>
  <c r="N840" s="1"/>
  <c r="AK839"/>
  <c r="T839"/>
  <c r="L839"/>
  <c r="AK838"/>
  <c r="T838"/>
  <c r="L838"/>
  <c r="AK837"/>
  <c r="AA837"/>
  <c r="L837"/>
  <c r="AK831"/>
  <c r="L831"/>
  <c r="N831" s="1"/>
  <c r="AK830"/>
  <c r="AE830"/>
  <c r="W840" l="1"/>
  <c r="N838"/>
  <c r="W841"/>
  <c r="AE838"/>
  <c r="N837"/>
  <c r="W837" s="1"/>
  <c r="AE837"/>
  <c r="N839"/>
  <c r="AE839"/>
  <c r="L830"/>
  <c r="N830" s="1"/>
  <c r="W830" s="1"/>
  <c r="AK829"/>
  <c r="AE829"/>
  <c r="N829"/>
  <c r="W829" s="1"/>
  <c r="AK828"/>
  <c r="AE828"/>
  <c r="L828"/>
  <c r="AK826"/>
  <c r="AE826"/>
  <c r="L826"/>
  <c r="N826" s="1"/>
  <c r="W826" s="1"/>
  <c r="AK825"/>
  <c r="AE825"/>
  <c r="L825"/>
  <c r="N825" s="1"/>
  <c r="W825" s="1"/>
  <c r="AK824"/>
  <c r="T824"/>
  <c r="L824"/>
  <c r="AK823"/>
  <c r="T823"/>
  <c r="L823"/>
  <c r="N823" s="1"/>
  <c r="AK822"/>
  <c r="T822"/>
  <c r="L822"/>
  <c r="AK821"/>
  <c r="T821"/>
  <c r="L821"/>
  <c r="AK820"/>
  <c r="AA820"/>
  <c r="T820"/>
  <c r="L820"/>
  <c r="AK819"/>
  <c r="W838" l="1"/>
  <c r="AE824"/>
  <c r="N821"/>
  <c r="N820"/>
  <c r="W820" s="1"/>
  <c r="AE820"/>
  <c r="N822"/>
  <c r="AE822"/>
  <c r="AE823"/>
  <c r="W823" s="1"/>
  <c r="N824"/>
  <c r="W824" s="1"/>
  <c r="AE821"/>
  <c r="N828"/>
  <c r="W828" s="1"/>
  <c r="W839"/>
  <c r="AA819"/>
  <c r="T819"/>
  <c r="AE819" s="1"/>
  <c r="W821" l="1"/>
  <c r="W822"/>
  <c r="L819"/>
  <c r="N819" s="1"/>
  <c r="W819" s="1"/>
  <c r="L815"/>
  <c r="AK813"/>
  <c r="AE813"/>
  <c r="L813"/>
  <c r="N813" s="1"/>
  <c r="AK812"/>
  <c r="AE812"/>
  <c r="W813" l="1"/>
  <c r="N815"/>
  <c r="L812"/>
  <c r="N812" s="1"/>
  <c r="W812" s="1"/>
  <c r="AK811"/>
  <c r="AE811"/>
  <c r="L811"/>
  <c r="AK810"/>
  <c r="AE810"/>
  <c r="L810"/>
  <c r="N810" s="1"/>
  <c r="W810" s="1"/>
  <c r="AK809"/>
  <c r="AE809"/>
  <c r="L809"/>
  <c r="N809" s="1"/>
  <c r="AK808"/>
  <c r="AE808"/>
  <c r="W815" l="1"/>
  <c r="W809"/>
  <c r="N811"/>
  <c r="W811" s="1"/>
  <c r="L808"/>
  <c r="AK807"/>
  <c r="AE807"/>
  <c r="AA807"/>
  <c r="L807"/>
  <c r="AE804"/>
  <c r="L804"/>
  <c r="N804" s="1"/>
  <c r="AK803"/>
  <c r="W804" l="1"/>
  <c r="N807"/>
  <c r="W807" s="1"/>
  <c r="N808"/>
  <c r="W808" s="1"/>
  <c r="T803"/>
  <c r="AE803" s="1"/>
  <c r="L803" l="1"/>
  <c r="N803" s="1"/>
  <c r="W803" s="1"/>
  <c r="AK802"/>
  <c r="T802"/>
  <c r="AE802" s="1"/>
  <c r="L802"/>
  <c r="N802" s="1"/>
  <c r="AK801"/>
  <c r="T801"/>
  <c r="L801"/>
  <c r="AK800"/>
  <c r="T800"/>
  <c r="L800"/>
  <c r="AK799"/>
  <c r="T799"/>
  <c r="L799"/>
  <c r="AK798"/>
  <c r="AA798"/>
  <c r="T798"/>
  <c r="L798"/>
  <c r="AK771"/>
  <c r="AE771"/>
  <c r="L771"/>
  <c r="N771" s="1"/>
  <c r="W771" s="1"/>
  <c r="AK770"/>
  <c r="AE770"/>
  <c r="L770"/>
  <c r="N770" s="1"/>
  <c r="AK769"/>
  <c r="T769"/>
  <c r="L769"/>
  <c r="AK768"/>
  <c r="T768"/>
  <c r="AE768" s="1"/>
  <c r="L768"/>
  <c r="N768" s="1"/>
  <c r="AK767"/>
  <c r="T767"/>
  <c r="AE767" s="1"/>
  <c r="L767"/>
  <c r="N767" s="1"/>
  <c r="AK766"/>
  <c r="W767" l="1"/>
  <c r="N769"/>
  <c r="N798"/>
  <c r="W798" s="1"/>
  <c r="W802"/>
  <c r="W768"/>
  <c r="N800"/>
  <c r="AE798"/>
  <c r="AE800"/>
  <c r="AE769"/>
  <c r="W770"/>
  <c r="N799"/>
  <c r="AE799"/>
  <c r="N801"/>
  <c r="AE801"/>
  <c r="T766"/>
  <c r="AE766" s="1"/>
  <c r="W800" l="1"/>
  <c r="W769"/>
  <c r="W801"/>
  <c r="W799"/>
  <c r="L766"/>
  <c r="N766" s="1"/>
  <c r="W766" s="1"/>
  <c r="AK765"/>
  <c r="T765"/>
  <c r="L765"/>
  <c r="AK764"/>
  <c r="T764"/>
  <c r="L764"/>
  <c r="AK763"/>
  <c r="T763"/>
  <c r="L763"/>
  <c r="AK762"/>
  <c r="T762"/>
  <c r="L762"/>
  <c r="AK761"/>
  <c r="T761"/>
  <c r="L761"/>
  <c r="AK760"/>
  <c r="T760"/>
  <c r="L760"/>
  <c r="AK759"/>
  <c r="T759"/>
  <c r="AE759" s="1"/>
  <c r="L759"/>
  <c r="AK758"/>
  <c r="T758"/>
  <c r="L758"/>
  <c r="AK757"/>
  <c r="T757"/>
  <c r="L757"/>
  <c r="AK756"/>
  <c r="T756"/>
  <c r="L756"/>
  <c r="AK755"/>
  <c r="AA755"/>
  <c r="T755"/>
  <c r="L755"/>
  <c r="AK754"/>
  <c r="AA754"/>
  <c r="T754"/>
  <c r="AE754" s="1"/>
  <c r="L754"/>
  <c r="N754" s="1"/>
  <c r="AK753"/>
  <c r="AA753"/>
  <c r="T753"/>
  <c r="L753"/>
  <c r="AK752"/>
  <c r="AE752"/>
  <c r="W752"/>
  <c r="AK751"/>
  <c r="AE751"/>
  <c r="AA751"/>
  <c r="N762" l="1"/>
  <c r="N764"/>
  <c r="N757"/>
  <c r="W757" s="1"/>
  <c r="N753"/>
  <c r="W753" s="1"/>
  <c r="N755"/>
  <c r="W755" s="1"/>
  <c r="N758"/>
  <c r="N761"/>
  <c r="W761" s="1"/>
  <c r="AE755"/>
  <c r="AE758"/>
  <c r="AE762"/>
  <c r="AE764"/>
  <c r="W754"/>
  <c r="AE753"/>
  <c r="N756"/>
  <c r="AE756"/>
  <c r="AE757"/>
  <c r="N759"/>
  <c r="W759" s="1"/>
  <c r="N760"/>
  <c r="AE760"/>
  <c r="AE761"/>
  <c r="N763"/>
  <c r="AE763"/>
  <c r="N765"/>
  <c r="AE765"/>
  <c r="K751"/>
  <c r="N751" s="1"/>
  <c r="W751" s="1"/>
  <c r="AK747"/>
  <c r="L747"/>
  <c r="N747" s="1"/>
  <c r="W747" s="1"/>
  <c r="AK745"/>
  <c r="AE745"/>
  <c r="L745"/>
  <c r="N745" s="1"/>
  <c r="AK744"/>
  <c r="AE744"/>
  <c r="L744"/>
  <c r="N744" s="1"/>
  <c r="AK743"/>
  <c r="W762" l="1"/>
  <c r="W764"/>
  <c r="W758"/>
  <c r="W760"/>
  <c r="W756"/>
  <c r="W744"/>
  <c r="W745"/>
  <c r="W765"/>
  <c r="W763"/>
  <c r="T743"/>
  <c r="L743"/>
  <c r="AK742"/>
  <c r="T742"/>
  <c r="L742"/>
  <c r="AK741"/>
  <c r="T741"/>
  <c r="L741"/>
  <c r="AK740"/>
  <c r="T740"/>
  <c r="L740"/>
  <c r="AK739"/>
  <c r="N741" l="1"/>
  <c r="N743"/>
  <c r="AE741"/>
  <c r="AE743"/>
  <c r="N740"/>
  <c r="AE740"/>
  <c r="N742"/>
  <c r="AE742"/>
  <c r="AA739"/>
  <c r="T739"/>
  <c r="L739"/>
  <c r="AK737"/>
  <c r="AE737"/>
  <c r="L737"/>
  <c r="L733"/>
  <c r="N733" s="1"/>
  <c r="W733" s="1"/>
  <c r="L732"/>
  <c r="L731"/>
  <c r="N731" s="1"/>
  <c r="W731" s="1"/>
  <c r="AK730"/>
  <c r="AE730"/>
  <c r="L730"/>
  <c r="N730" s="1"/>
  <c r="AK729"/>
  <c r="AE729"/>
  <c r="L729"/>
  <c r="N729" s="1"/>
  <c r="AK728"/>
  <c r="AE728"/>
  <c r="L728"/>
  <c r="N728" s="1"/>
  <c r="L727"/>
  <c r="N727" s="1"/>
  <c r="W727" s="1"/>
  <c r="L726"/>
  <c r="N726" s="1"/>
  <c r="W726" s="1"/>
  <c r="AK725"/>
  <c r="AE725"/>
  <c r="W741" l="1"/>
  <c r="W743"/>
  <c r="W742"/>
  <c r="W740"/>
  <c r="N739"/>
  <c r="W739" s="1"/>
  <c r="AE739"/>
  <c r="N732"/>
  <c r="W732" s="1"/>
  <c r="N737"/>
  <c r="W737" s="1"/>
  <c r="L725"/>
  <c r="N725" s="1"/>
  <c r="W725" s="1"/>
  <c r="AK724"/>
  <c r="AE724"/>
  <c r="L724"/>
  <c r="N724" s="1"/>
  <c r="AK723"/>
  <c r="AE723"/>
  <c r="L723"/>
  <c r="N723" s="1"/>
  <c r="AK722"/>
  <c r="AE722"/>
  <c r="L722"/>
  <c r="N722" s="1"/>
  <c r="AK721"/>
  <c r="AE721"/>
  <c r="L721"/>
  <c r="N721" s="1"/>
  <c r="L715"/>
  <c r="N715" s="1"/>
  <c r="AK714"/>
  <c r="AE714"/>
  <c r="S714"/>
  <c r="W715" l="1"/>
  <c r="W721"/>
  <c r="W723"/>
  <c r="W724"/>
  <c r="W722"/>
  <c r="L714"/>
  <c r="N714" s="1"/>
  <c r="W714" s="1"/>
  <c r="AK713"/>
  <c r="AE713"/>
  <c r="N713"/>
  <c r="AK712"/>
  <c r="AE712"/>
  <c r="W713" l="1"/>
  <c r="S712"/>
  <c r="L712"/>
  <c r="AK711"/>
  <c r="AE711"/>
  <c r="S711"/>
  <c r="L711"/>
  <c r="N711" s="1"/>
  <c r="AK710"/>
  <c r="AE710"/>
  <c r="W711" l="1"/>
  <c r="N712"/>
  <c r="W712" s="1"/>
  <c r="S710"/>
  <c r="L710"/>
  <c r="AK709"/>
  <c r="AE709"/>
  <c r="S709"/>
  <c r="L709"/>
  <c r="N709" s="1"/>
  <c r="AK708"/>
  <c r="AE708"/>
  <c r="S708"/>
  <c r="L708"/>
  <c r="AK704"/>
  <c r="N710" l="1"/>
  <c r="W710" s="1"/>
  <c r="N708"/>
  <c r="S864"/>
  <c r="AA708"/>
  <c r="W708" s="1"/>
  <c r="W709"/>
  <c r="L704"/>
  <c r="N704" s="1"/>
  <c r="AK699"/>
  <c r="L699"/>
  <c r="N699" s="1"/>
  <c r="AK698"/>
  <c r="AE698"/>
  <c r="L698"/>
  <c r="N698" s="1"/>
  <c r="AK697"/>
  <c r="T697"/>
  <c r="AE697" s="1"/>
  <c r="L697"/>
  <c r="N697" s="1"/>
  <c r="AK696"/>
  <c r="T696"/>
  <c r="AE696" s="1"/>
  <c r="L696"/>
  <c r="N696" s="1"/>
  <c r="AK695"/>
  <c r="T695"/>
  <c r="AE695" s="1"/>
  <c r="L695"/>
  <c r="N695" s="1"/>
  <c r="AK694"/>
  <c r="T694"/>
  <c r="L694"/>
  <c r="AK693"/>
  <c r="AE693"/>
  <c r="L693"/>
  <c r="AK692"/>
  <c r="T692"/>
  <c r="L692"/>
  <c r="AK691"/>
  <c r="AE691"/>
  <c r="N691"/>
  <c r="W691" s="1"/>
  <c r="AK690"/>
  <c r="W704" l="1"/>
  <c r="W699"/>
  <c r="W696"/>
  <c r="N692"/>
  <c r="N694"/>
  <c r="W695"/>
  <c r="W697"/>
  <c r="AE692"/>
  <c r="W698"/>
  <c r="N693"/>
  <c r="W693" s="1"/>
  <c r="AE694"/>
  <c r="T690"/>
  <c r="AE690" s="1"/>
  <c r="L690"/>
  <c r="N690" s="1"/>
  <c r="L684"/>
  <c r="N684" s="1"/>
  <c r="AK683"/>
  <c r="AE683"/>
  <c r="W694" l="1"/>
  <c r="W692"/>
  <c r="W690"/>
  <c r="L683"/>
  <c r="N683" s="1"/>
  <c r="AK682"/>
  <c r="T682"/>
  <c r="AE682" s="1"/>
  <c r="L682"/>
  <c r="N682" s="1"/>
  <c r="AK681"/>
  <c r="T681"/>
  <c r="L681"/>
  <c r="AK680"/>
  <c r="T680"/>
  <c r="AE680" s="1"/>
  <c r="L680"/>
  <c r="N680" s="1"/>
  <c r="AK679"/>
  <c r="T679"/>
  <c r="L679"/>
  <c r="AK678"/>
  <c r="T678"/>
  <c r="L678"/>
  <c r="AK677"/>
  <c r="AA677"/>
  <c r="T677"/>
  <c r="AE677" s="1"/>
  <c r="L677"/>
  <c r="N677" s="1"/>
  <c r="AE673"/>
  <c r="L673"/>
  <c r="N673" s="1"/>
  <c r="W673" s="1"/>
  <c r="AK671"/>
  <c r="T671"/>
  <c r="AE671" s="1"/>
  <c r="L671"/>
  <c r="N671" s="1"/>
  <c r="AK670"/>
  <c r="T670"/>
  <c r="AE670" s="1"/>
  <c r="L670"/>
  <c r="N670" s="1"/>
  <c r="AK669"/>
  <c r="W683" l="1"/>
  <c r="W682"/>
  <c r="W671"/>
  <c r="W670"/>
  <c r="N679"/>
  <c r="W680"/>
  <c r="AE679"/>
  <c r="W677"/>
  <c r="N678"/>
  <c r="AE678"/>
  <c r="N681"/>
  <c r="AE681"/>
  <c r="T669"/>
  <c r="L669"/>
  <c r="AK668"/>
  <c r="T668"/>
  <c r="AE668" s="1"/>
  <c r="L668"/>
  <c r="N668" s="1"/>
  <c r="AK667"/>
  <c r="T667"/>
  <c r="L667"/>
  <c r="AK666"/>
  <c r="T666"/>
  <c r="AE666" s="1"/>
  <c r="L666"/>
  <c r="AK665"/>
  <c r="AA665"/>
  <c r="T665"/>
  <c r="AE665" s="1"/>
  <c r="L665"/>
  <c r="N665" s="1"/>
  <c r="W679" l="1"/>
  <c r="W668"/>
  <c r="W681"/>
  <c r="W678"/>
  <c r="N669"/>
  <c r="W669" s="1"/>
  <c r="AE669"/>
  <c r="W665"/>
  <c r="N666"/>
  <c r="W666" s="1"/>
  <c r="N667"/>
  <c r="AE667"/>
  <c r="L656"/>
  <c r="N656" s="1"/>
  <c r="W656" s="1"/>
  <c r="L655"/>
  <c r="N655" s="1"/>
  <c r="W655" s="1"/>
  <c r="AK654"/>
  <c r="T654"/>
  <c r="AE654" s="1"/>
  <c r="L654"/>
  <c r="N654" s="1"/>
  <c r="AK653"/>
  <c r="T653"/>
  <c r="AE653" s="1"/>
  <c r="L653"/>
  <c r="N653" s="1"/>
  <c r="AK652"/>
  <c r="W654" l="1"/>
  <c r="W653"/>
  <c r="W667"/>
  <c r="T652"/>
  <c r="AE652" s="1"/>
  <c r="L652"/>
  <c r="N652" s="1"/>
  <c r="AK651"/>
  <c r="T651"/>
  <c r="AE651" s="1"/>
  <c r="W652" l="1"/>
  <c r="L651"/>
  <c r="N651" s="1"/>
  <c r="W651" s="1"/>
  <c r="AK650"/>
  <c r="T650"/>
  <c r="L650"/>
  <c r="AK649"/>
  <c r="T649"/>
  <c r="L649"/>
  <c r="AK648"/>
  <c r="T648"/>
  <c r="L648"/>
  <c r="AK647"/>
  <c r="T647"/>
  <c r="L647"/>
  <c r="AK646"/>
  <c r="T646"/>
  <c r="L646"/>
  <c r="AK645"/>
  <c r="T645"/>
  <c r="L645"/>
  <c r="AK644"/>
  <c r="T644"/>
  <c r="AE644" s="1"/>
  <c r="L644"/>
  <c r="AK643"/>
  <c r="T643"/>
  <c r="L643"/>
  <c r="AK642"/>
  <c r="AA642"/>
  <c r="T642"/>
  <c r="L642"/>
  <c r="AK641"/>
  <c r="AA641"/>
  <c r="T641"/>
  <c r="L641"/>
  <c r="AE623"/>
  <c r="L623"/>
  <c r="N623" s="1"/>
  <c r="W623" s="1"/>
  <c r="AE622"/>
  <c r="L622"/>
  <c r="AE621"/>
  <c r="L621"/>
  <c r="AK620"/>
  <c r="T620"/>
  <c r="AE620" s="1"/>
  <c r="L620"/>
  <c r="N620" s="1"/>
  <c r="AK619"/>
  <c r="T619"/>
  <c r="AE619" s="1"/>
  <c r="L619"/>
  <c r="N619" s="1"/>
  <c r="AK618"/>
  <c r="T618"/>
  <c r="AE618" s="1"/>
  <c r="L618"/>
  <c r="N618" s="1"/>
  <c r="AK617"/>
  <c r="T617"/>
  <c r="AE617" s="1"/>
  <c r="L617"/>
  <c r="N617" s="1"/>
  <c r="AK616"/>
  <c r="T616"/>
  <c r="AE616" s="1"/>
  <c r="L616"/>
  <c r="N616" s="1"/>
  <c r="AK615"/>
  <c r="T615"/>
  <c r="AE615" s="1"/>
  <c r="L615"/>
  <c r="N615" s="1"/>
  <c r="AK614"/>
  <c r="T614"/>
  <c r="L614"/>
  <c r="AK613"/>
  <c r="T613"/>
  <c r="L613"/>
  <c r="AK612"/>
  <c r="T612"/>
  <c r="AE612" s="1"/>
  <c r="L612"/>
  <c r="AK611"/>
  <c r="T611"/>
  <c r="L611"/>
  <c r="AK610"/>
  <c r="T610"/>
  <c r="L610"/>
  <c r="AK609"/>
  <c r="T609"/>
  <c r="L609"/>
  <c r="AK608"/>
  <c r="T608"/>
  <c r="AE608" s="1"/>
  <c r="L608"/>
  <c r="AK607"/>
  <c r="T607"/>
  <c r="L607"/>
  <c r="AK606"/>
  <c r="T606"/>
  <c r="L606"/>
  <c r="AK605"/>
  <c r="T605"/>
  <c r="L605"/>
  <c r="AK604"/>
  <c r="T604"/>
  <c r="AE604" s="1"/>
  <c r="L604"/>
  <c r="T598"/>
  <c r="AE598" s="1"/>
  <c r="L598"/>
  <c r="AK597"/>
  <c r="N621" l="1"/>
  <c r="W621" s="1"/>
  <c r="N622"/>
  <c r="W618"/>
  <c r="W620"/>
  <c r="N607"/>
  <c r="N610"/>
  <c r="W610" s="1"/>
  <c r="W619"/>
  <c r="N641"/>
  <c r="W641" s="1"/>
  <c r="N643"/>
  <c r="N646"/>
  <c r="W646" s="1"/>
  <c r="N606"/>
  <c r="W606" s="1"/>
  <c r="N611"/>
  <c r="N614"/>
  <c r="W614" s="1"/>
  <c r="N647"/>
  <c r="N649"/>
  <c r="W615"/>
  <c r="W616"/>
  <c r="W617"/>
  <c r="N598"/>
  <c r="N604"/>
  <c r="W604" s="1"/>
  <c r="N605"/>
  <c r="AE605"/>
  <c r="AE606"/>
  <c r="N608"/>
  <c r="W608" s="1"/>
  <c r="N609"/>
  <c r="AE609"/>
  <c r="AE610"/>
  <c r="N612"/>
  <c r="W612" s="1"/>
  <c r="N613"/>
  <c r="AE613"/>
  <c r="AE614"/>
  <c r="AE641"/>
  <c r="AE643"/>
  <c r="AE647"/>
  <c r="AE649"/>
  <c r="AE607"/>
  <c r="AE611"/>
  <c r="N642"/>
  <c r="W642" s="1"/>
  <c r="AE642"/>
  <c r="N644"/>
  <c r="W644" s="1"/>
  <c r="N645"/>
  <c r="AE645"/>
  <c r="AE646"/>
  <c r="N648"/>
  <c r="AE648"/>
  <c r="N650"/>
  <c r="AE650"/>
  <c r="T597"/>
  <c r="L597"/>
  <c r="AK596"/>
  <c r="W611" l="1"/>
  <c r="W647"/>
  <c r="W649"/>
  <c r="W607"/>
  <c r="W643"/>
  <c r="W650"/>
  <c r="W648"/>
  <c r="W613"/>
  <c r="W609"/>
  <c r="W605"/>
  <c r="N597"/>
  <c r="AE597"/>
  <c r="W645"/>
  <c r="T596"/>
  <c r="AE596" s="1"/>
  <c r="L596"/>
  <c r="N596" s="1"/>
  <c r="AK595"/>
  <c r="T595"/>
  <c r="L595"/>
  <c r="AK594"/>
  <c r="T594"/>
  <c r="L594"/>
  <c r="AK593"/>
  <c r="T593"/>
  <c r="L593"/>
  <c r="AK592"/>
  <c r="W597" l="1"/>
  <c r="W596"/>
  <c r="N594"/>
  <c r="AE594"/>
  <c r="N593"/>
  <c r="AE593"/>
  <c r="N595"/>
  <c r="AE595"/>
  <c r="T592"/>
  <c r="L592"/>
  <c r="AK591"/>
  <c r="AA591"/>
  <c r="T591"/>
  <c r="N591"/>
  <c r="AK522"/>
  <c r="W594" l="1"/>
  <c r="N592"/>
  <c r="W592" s="1"/>
  <c r="W595"/>
  <c r="W593"/>
  <c r="AE591"/>
  <c r="AE592"/>
  <c r="L522"/>
  <c r="N522" s="1"/>
  <c r="AK521"/>
  <c r="T521"/>
  <c r="AE521" s="1"/>
  <c r="L521"/>
  <c r="N521" s="1"/>
  <c r="AK520"/>
  <c r="W591" l="1"/>
  <c r="W521"/>
  <c r="AE522"/>
  <c r="W522" s="1"/>
  <c r="T520"/>
  <c r="AE520" s="1"/>
  <c r="L520"/>
  <c r="N520" s="1"/>
  <c r="AK519"/>
  <c r="T519"/>
  <c r="AE519" s="1"/>
  <c r="L519"/>
  <c r="N519" s="1"/>
  <c r="AK518"/>
  <c r="W519" l="1"/>
  <c r="W520"/>
  <c r="U518"/>
  <c r="T518"/>
  <c r="AE518" s="1"/>
  <c r="L518"/>
  <c r="N518" s="1"/>
  <c r="AK517"/>
  <c r="T517"/>
  <c r="AE517" s="1"/>
  <c r="L517"/>
  <c r="N517" s="1"/>
  <c r="AK516"/>
  <c r="T516"/>
  <c r="AE516" s="1"/>
  <c r="L516"/>
  <c r="N516" s="1"/>
  <c r="AK515"/>
  <c r="T515"/>
  <c r="L515"/>
  <c r="AK514"/>
  <c r="T514"/>
  <c r="L514"/>
  <c r="AK513"/>
  <c r="T513"/>
  <c r="AE513" s="1"/>
  <c r="L513"/>
  <c r="N513" s="1"/>
  <c r="AK512"/>
  <c r="T512"/>
  <c r="AE512" s="1"/>
  <c r="L512"/>
  <c r="N512" s="1"/>
  <c r="AK511"/>
  <c r="T511"/>
  <c r="AE511" s="1"/>
  <c r="L511"/>
  <c r="N511" s="1"/>
  <c r="AK510"/>
  <c r="AE510"/>
  <c r="N510"/>
  <c r="W510" s="1"/>
  <c r="AK509"/>
  <c r="T509"/>
  <c r="AE509" s="1"/>
  <c r="L509"/>
  <c r="N509" s="1"/>
  <c r="AK508"/>
  <c r="AE508"/>
  <c r="N508"/>
  <c r="AK507"/>
  <c r="W509" l="1"/>
  <c r="W511"/>
  <c r="W513"/>
  <c r="W517"/>
  <c r="W518"/>
  <c r="W512"/>
  <c r="W516"/>
  <c r="W508"/>
  <c r="N514"/>
  <c r="AE514"/>
  <c r="N515"/>
  <c r="AE515"/>
  <c r="T507"/>
  <c r="L507"/>
  <c r="AK506"/>
  <c r="AE506"/>
  <c r="U506"/>
  <c r="N506"/>
  <c r="AK505"/>
  <c r="T505"/>
  <c r="L505"/>
  <c r="AK504"/>
  <c r="AE504"/>
  <c r="N504"/>
  <c r="W504" s="1"/>
  <c r="AK503"/>
  <c r="K503"/>
  <c r="T503" s="1"/>
  <c r="AE503" s="1"/>
  <c r="AK502"/>
  <c r="K502"/>
  <c r="T502" s="1"/>
  <c r="AK501"/>
  <c r="K501"/>
  <c r="T501" s="1"/>
  <c r="AE501" s="1"/>
  <c r="AK500"/>
  <c r="L503" l="1"/>
  <c r="N503" s="1"/>
  <c r="W503" s="1"/>
  <c r="L501"/>
  <c r="N501" s="1"/>
  <c r="W501" s="1"/>
  <c r="L502"/>
  <c r="W506"/>
  <c r="N502"/>
  <c r="N505"/>
  <c r="W505" s="1"/>
  <c r="W515"/>
  <c r="W514"/>
  <c r="N507"/>
  <c r="W507" s="1"/>
  <c r="AE502"/>
  <c r="AE505"/>
  <c r="AE507"/>
  <c r="K500"/>
  <c r="T500" s="1"/>
  <c r="AK499"/>
  <c r="K499"/>
  <c r="T499" s="1"/>
  <c r="AE499" s="1"/>
  <c r="AK498"/>
  <c r="K498"/>
  <c r="T498" s="1"/>
  <c r="AK497"/>
  <c r="K497"/>
  <c r="T497" s="1"/>
  <c r="AK496"/>
  <c r="W502" l="1"/>
  <c r="L497"/>
  <c r="N497" s="1"/>
  <c r="L499"/>
  <c r="N499" s="1"/>
  <c r="W499" s="1"/>
  <c r="L498"/>
  <c r="N498" s="1"/>
  <c r="L500"/>
  <c r="N500" s="1"/>
  <c r="W500" s="1"/>
  <c r="AE497"/>
  <c r="AE500"/>
  <c r="AE498"/>
  <c r="K496"/>
  <c r="T496" s="1"/>
  <c r="AK495"/>
  <c r="K495"/>
  <c r="T495" s="1"/>
  <c r="AK494"/>
  <c r="K494"/>
  <c r="T494" s="1"/>
  <c r="AK493"/>
  <c r="AE493"/>
  <c r="L493"/>
  <c r="AK492"/>
  <c r="T492"/>
  <c r="L492"/>
  <c r="AK491"/>
  <c r="L494" l="1"/>
  <c r="N494" s="1"/>
  <c r="W494" s="1"/>
  <c r="L496"/>
  <c r="N496" s="1"/>
  <c r="W496" s="1"/>
  <c r="W497"/>
  <c r="L495"/>
  <c r="N495" s="1"/>
  <c r="N492"/>
  <c r="W498"/>
  <c r="AE495"/>
  <c r="AE492"/>
  <c r="N493"/>
  <c r="W493" s="1"/>
  <c r="AE494"/>
  <c r="AE496"/>
  <c r="K491"/>
  <c r="T491" s="1"/>
  <c r="AE491" s="1"/>
  <c r="AK490"/>
  <c r="T490"/>
  <c r="L490"/>
  <c r="AK489"/>
  <c r="T489"/>
  <c r="L489"/>
  <c r="AK488"/>
  <c r="T488"/>
  <c r="L488"/>
  <c r="AK487"/>
  <c r="T487"/>
  <c r="L487"/>
  <c r="AK486"/>
  <c r="T486"/>
  <c r="L486"/>
  <c r="AK485"/>
  <c r="T485"/>
  <c r="L485"/>
  <c r="AK484"/>
  <c r="T484"/>
  <c r="L484"/>
  <c r="AK483"/>
  <c r="AE483"/>
  <c r="AA483"/>
  <c r="N483"/>
  <c r="W483" s="1"/>
  <c r="AK482"/>
  <c r="AA482"/>
  <c r="T482"/>
  <c r="L482"/>
  <c r="AK481"/>
  <c r="AE481"/>
  <c r="AA481"/>
  <c r="N481"/>
  <c r="W481" s="1"/>
  <c r="AK480"/>
  <c r="AA480"/>
  <c r="T480"/>
  <c r="L480"/>
  <c r="AK479"/>
  <c r="AA479"/>
  <c r="T479"/>
  <c r="L479"/>
  <c r="AK478"/>
  <c r="AA478"/>
  <c r="T478"/>
  <c r="L478"/>
  <c r="AK477"/>
  <c r="AA477"/>
  <c r="T477"/>
  <c r="L477"/>
  <c r="AK476"/>
  <c r="AA476"/>
  <c r="T476"/>
  <c r="L476"/>
  <c r="AK475"/>
  <c r="AA475"/>
  <c r="T475"/>
  <c r="L475"/>
  <c r="AK474"/>
  <c r="AA474"/>
  <c r="T474"/>
  <c r="L474"/>
  <c r="AK473"/>
  <c r="AA473"/>
  <c r="T473"/>
  <c r="L473"/>
  <c r="AK472"/>
  <c r="AA472"/>
  <c r="T472"/>
  <c r="AE472" s="1"/>
  <c r="L472"/>
  <c r="N472" s="1"/>
  <c r="L465"/>
  <c r="N465" s="1"/>
  <c r="L462"/>
  <c r="N462" s="1"/>
  <c r="AK461"/>
  <c r="AE461"/>
  <c r="L461"/>
  <c r="N461" s="1"/>
  <c r="AK460"/>
  <c r="AE460"/>
  <c r="L460"/>
  <c r="N460" s="1"/>
  <c r="AK459"/>
  <c r="T459"/>
  <c r="AE459" s="1"/>
  <c r="L459"/>
  <c r="N459" s="1"/>
  <c r="AK458"/>
  <c r="T458"/>
  <c r="AE458" s="1"/>
  <c r="L458"/>
  <c r="N458" s="1"/>
  <c r="AK457"/>
  <c r="T457"/>
  <c r="AE457" s="1"/>
  <c r="L457"/>
  <c r="AK456"/>
  <c r="T456"/>
  <c r="L456"/>
  <c r="AK455"/>
  <c r="T455"/>
  <c r="AE455" s="1"/>
  <c r="L455"/>
  <c r="N455" s="1"/>
  <c r="AK454"/>
  <c r="T454"/>
  <c r="AE454" s="1"/>
  <c r="L454"/>
  <c r="N454" s="1"/>
  <c r="AK453"/>
  <c r="T453"/>
  <c r="L453"/>
  <c r="AK452"/>
  <c r="T452"/>
  <c r="L452"/>
  <c r="AK451"/>
  <c r="T451"/>
  <c r="L451"/>
  <c r="AK450"/>
  <c r="T450"/>
  <c r="L450"/>
  <c r="AK449"/>
  <c r="AA449"/>
  <c r="T449"/>
  <c r="L449"/>
  <c r="AK448"/>
  <c r="AA448"/>
  <c r="T448"/>
  <c r="L448"/>
  <c r="AK441"/>
  <c r="L441"/>
  <c r="AK440"/>
  <c r="AE440"/>
  <c r="L440"/>
  <c r="N440" s="1"/>
  <c r="W440" s="1"/>
  <c r="AK439"/>
  <c r="T439"/>
  <c r="AE439" s="1"/>
  <c r="L439"/>
  <c r="N439" s="1"/>
  <c r="AK438"/>
  <c r="T438"/>
  <c r="L438"/>
  <c r="AK437"/>
  <c r="T437"/>
  <c r="L437"/>
  <c r="AK436"/>
  <c r="T436"/>
  <c r="AE436" s="1"/>
  <c r="L436"/>
  <c r="AK435"/>
  <c r="T435"/>
  <c r="L435"/>
  <c r="AK434"/>
  <c r="AA434"/>
  <c r="T434"/>
  <c r="L434"/>
  <c r="AK422"/>
  <c r="AE422"/>
  <c r="L422"/>
  <c r="N422" s="1"/>
  <c r="AK421"/>
  <c r="W495" l="1"/>
  <c r="L491"/>
  <c r="N491" s="1"/>
  <c r="W491" s="1"/>
  <c r="N474"/>
  <c r="W474" s="1"/>
  <c r="N476"/>
  <c r="W476" s="1"/>
  <c r="N479"/>
  <c r="W479" s="1"/>
  <c r="W492"/>
  <c r="W458"/>
  <c r="N441"/>
  <c r="W441" s="1"/>
  <c r="N448"/>
  <c r="W448" s="1"/>
  <c r="N450"/>
  <c r="N452"/>
  <c r="N456"/>
  <c r="W459"/>
  <c r="N485"/>
  <c r="N487"/>
  <c r="N489"/>
  <c r="N434"/>
  <c r="W434" s="1"/>
  <c r="N435"/>
  <c r="N438"/>
  <c r="W438" s="1"/>
  <c r="W439"/>
  <c r="W454"/>
  <c r="W455"/>
  <c r="N482"/>
  <c r="W482" s="1"/>
  <c r="AE450"/>
  <c r="AE452"/>
  <c r="W422"/>
  <c r="AE434"/>
  <c r="N436"/>
  <c r="W436" s="1"/>
  <c r="N437"/>
  <c r="AE437"/>
  <c r="AE438"/>
  <c r="N449"/>
  <c r="W449" s="1"/>
  <c r="AE449"/>
  <c r="N451"/>
  <c r="AE451"/>
  <c r="N453"/>
  <c r="AE453"/>
  <c r="N457"/>
  <c r="W461"/>
  <c r="W472"/>
  <c r="N473"/>
  <c r="W473" s="1"/>
  <c r="AE473"/>
  <c r="N475"/>
  <c r="W475" s="1"/>
  <c r="AE475"/>
  <c r="N477"/>
  <c r="W477" s="1"/>
  <c r="AE477"/>
  <c r="AE479"/>
  <c r="AE482"/>
  <c r="AE485"/>
  <c r="AE487"/>
  <c r="AE489"/>
  <c r="AE435"/>
  <c r="AE448"/>
  <c r="AE456"/>
  <c r="W460"/>
  <c r="AE474"/>
  <c r="AE476"/>
  <c r="N478"/>
  <c r="W478" s="1"/>
  <c r="AE478"/>
  <c r="N480"/>
  <c r="W480" s="1"/>
  <c r="AE480"/>
  <c r="N484"/>
  <c r="AE484"/>
  <c r="N486"/>
  <c r="AE486"/>
  <c r="N488"/>
  <c r="AE488"/>
  <c r="N490"/>
  <c r="AE490"/>
  <c r="T421"/>
  <c r="AE421" s="1"/>
  <c r="W487" l="1"/>
  <c r="W456"/>
  <c r="W435"/>
  <c r="W450"/>
  <c r="W489"/>
  <c r="W485"/>
  <c r="W490"/>
  <c r="W488"/>
  <c r="W486"/>
  <c r="W484"/>
  <c r="W452"/>
  <c r="W457"/>
  <c r="W453"/>
  <c r="W451"/>
  <c r="W437"/>
  <c r="L421"/>
  <c r="N421" s="1"/>
  <c r="W421" s="1"/>
  <c r="AK420"/>
  <c r="AE420"/>
  <c r="N420"/>
  <c r="AK419"/>
  <c r="T419"/>
  <c r="AE419" s="1"/>
  <c r="L419"/>
  <c r="N419" s="1"/>
  <c r="AK418"/>
  <c r="K418"/>
  <c r="L418" s="1"/>
  <c r="N418" s="1"/>
  <c r="AN417"/>
  <c r="AK417"/>
  <c r="T417"/>
  <c r="L417"/>
  <c r="AK416"/>
  <c r="T418" l="1"/>
  <c r="AE418" s="1"/>
  <c r="W420"/>
  <c r="N417"/>
  <c r="W419"/>
  <c r="AE417"/>
  <c r="L416"/>
  <c r="K416"/>
  <c r="T416" s="1"/>
  <c r="AK415"/>
  <c r="T415"/>
  <c r="W418" l="1"/>
  <c r="N416"/>
  <c r="W417"/>
  <c r="AE415"/>
  <c r="AE416"/>
  <c r="L415"/>
  <c r="N415" s="1"/>
  <c r="AK414"/>
  <c r="T414"/>
  <c r="AE414" s="1"/>
  <c r="L414"/>
  <c r="N414" s="1"/>
  <c r="AK413"/>
  <c r="T413"/>
  <c r="L413"/>
  <c r="AK412"/>
  <c r="AA412"/>
  <c r="T412"/>
  <c r="L412"/>
  <c r="AK410"/>
  <c r="T410"/>
  <c r="L410"/>
  <c r="L396"/>
  <c r="N396" s="1"/>
  <c r="L395"/>
  <c r="N395" s="1"/>
  <c r="L390"/>
  <c r="N390" s="1"/>
  <c r="L389"/>
  <c r="N389" s="1"/>
  <c r="AK388"/>
  <c r="AE388"/>
  <c r="L388"/>
  <c r="N388" s="1"/>
  <c r="W388" s="1"/>
  <c r="AK387"/>
  <c r="AE387"/>
  <c r="L387"/>
  <c r="N387" s="1"/>
  <c r="W387" s="1"/>
  <c r="AK386"/>
  <c r="AE386"/>
  <c r="L386"/>
  <c r="N386" s="1"/>
  <c r="W386" s="1"/>
  <c r="AK385"/>
  <c r="AE385"/>
  <c r="L385"/>
  <c r="N385" s="1"/>
  <c r="W385" s="1"/>
  <c r="AK384"/>
  <c r="T384"/>
  <c r="AE384" s="1"/>
  <c r="L384"/>
  <c r="N384" s="1"/>
  <c r="AK383"/>
  <c r="W416" l="1"/>
  <c r="N413"/>
  <c r="W413" s="1"/>
  <c r="W414"/>
  <c r="W384"/>
  <c r="N410"/>
  <c r="AE410"/>
  <c r="AE413"/>
  <c r="N412"/>
  <c r="W412" s="1"/>
  <c r="AE412"/>
  <c r="W415"/>
  <c r="T383"/>
  <c r="AE383" s="1"/>
  <c r="L383"/>
  <c r="N383" s="1"/>
  <c r="AK382"/>
  <c r="T382"/>
  <c r="AE382" s="1"/>
  <c r="L382"/>
  <c r="N382" s="1"/>
  <c r="AK381"/>
  <c r="T381"/>
  <c r="AE381" s="1"/>
  <c r="W382" l="1"/>
  <c r="W383"/>
  <c r="W410"/>
  <c r="L381"/>
  <c r="N381" s="1"/>
  <c r="W381" s="1"/>
  <c r="AK380"/>
  <c r="AE380"/>
  <c r="N380"/>
  <c r="AK379"/>
  <c r="W380" l="1"/>
  <c r="T379"/>
  <c r="AE379" s="1"/>
  <c r="L379"/>
  <c r="N379" s="1"/>
  <c r="AK378"/>
  <c r="T378"/>
  <c r="L378"/>
  <c r="AK377"/>
  <c r="T377"/>
  <c r="L377"/>
  <c r="AK376"/>
  <c r="T376"/>
  <c r="L376"/>
  <c r="AK375"/>
  <c r="T375"/>
  <c r="L375"/>
  <c r="AK374"/>
  <c r="T374"/>
  <c r="L374"/>
  <c r="AK373"/>
  <c r="T373"/>
  <c r="L373"/>
  <c r="AK372"/>
  <c r="T372"/>
  <c r="L372"/>
  <c r="AK371"/>
  <c r="T371"/>
  <c r="L371"/>
  <c r="AK370"/>
  <c r="T370"/>
  <c r="L370"/>
  <c r="AK369"/>
  <c r="T369"/>
  <c r="L369"/>
  <c r="AK368"/>
  <c r="W379" l="1"/>
  <c r="N369"/>
  <c r="N371"/>
  <c r="N373"/>
  <c r="N375"/>
  <c r="W375" s="1"/>
  <c r="N376"/>
  <c r="N378"/>
  <c r="W378" s="1"/>
  <c r="AE373"/>
  <c r="W373" s="1"/>
  <c r="AE376"/>
  <c r="AE369"/>
  <c r="AE371"/>
  <c r="W371" s="1"/>
  <c r="N370"/>
  <c r="AE370"/>
  <c r="N372"/>
  <c r="AE372"/>
  <c r="N374"/>
  <c r="AE374"/>
  <c r="AE375"/>
  <c r="N377"/>
  <c r="AE377"/>
  <c r="AE378"/>
  <c r="T368"/>
  <c r="L368"/>
  <c r="AK367"/>
  <c r="T367"/>
  <c r="L367"/>
  <c r="AK366"/>
  <c r="T366"/>
  <c r="L366"/>
  <c r="AK365"/>
  <c r="T365"/>
  <c r="L365"/>
  <c r="AK364"/>
  <c r="T364"/>
  <c r="L364"/>
  <c r="AK363"/>
  <c r="T363"/>
  <c r="L363"/>
  <c r="AK362"/>
  <c r="AA362"/>
  <c r="T362"/>
  <c r="L362"/>
  <c r="AK361"/>
  <c r="AA361"/>
  <c r="T361"/>
  <c r="L361"/>
  <c r="N361" s="1"/>
  <c r="AK360"/>
  <c r="AA360"/>
  <c r="T360"/>
  <c r="L360"/>
  <c r="AK359"/>
  <c r="AA359"/>
  <c r="T359"/>
  <c r="AE359" s="1"/>
  <c r="L359"/>
  <c r="N359" s="1"/>
  <c r="L346"/>
  <c r="N346" s="1"/>
  <c r="L345"/>
  <c r="N345" s="1"/>
  <c r="T344"/>
  <c r="AE344" s="1"/>
  <c r="L344"/>
  <c r="N344" s="1"/>
  <c r="AK343"/>
  <c r="T343"/>
  <c r="AE343" s="1"/>
  <c r="L343"/>
  <c r="N343" s="1"/>
  <c r="AK342"/>
  <c r="T342"/>
  <c r="AE342" s="1"/>
  <c r="L342"/>
  <c r="N342" s="1"/>
  <c r="AK341"/>
  <c r="W369" l="1"/>
  <c r="W343"/>
  <c r="N360"/>
  <c r="W360" s="1"/>
  <c r="N367"/>
  <c r="W367" s="1"/>
  <c r="W374"/>
  <c r="W372"/>
  <c r="W370"/>
  <c r="W376"/>
  <c r="N364"/>
  <c r="W342"/>
  <c r="N368"/>
  <c r="W368" s="1"/>
  <c r="N362"/>
  <c r="W362" s="1"/>
  <c r="AE360"/>
  <c r="AE364"/>
  <c r="N366"/>
  <c r="AE366"/>
  <c r="AE367"/>
  <c r="AE368"/>
  <c r="W377"/>
  <c r="W359"/>
  <c r="AE362"/>
  <c r="W361"/>
  <c r="AE361"/>
  <c r="N363"/>
  <c r="AE363"/>
  <c r="N365"/>
  <c r="AE365"/>
  <c r="T341"/>
  <c r="AE341" s="1"/>
  <c r="L341"/>
  <c r="N341" s="1"/>
  <c r="AK340"/>
  <c r="T340"/>
  <c r="AE340" s="1"/>
  <c r="L340"/>
  <c r="N340" s="1"/>
  <c r="AK339"/>
  <c r="T339"/>
  <c r="AE339" s="1"/>
  <c r="L339"/>
  <c r="N339" s="1"/>
  <c r="AK338"/>
  <c r="T338"/>
  <c r="AE338" s="1"/>
  <c r="W364" l="1"/>
  <c r="W341"/>
  <c r="W365"/>
  <c r="W363"/>
  <c r="W339"/>
  <c r="W340"/>
  <c r="W366"/>
  <c r="L338"/>
  <c r="N338" s="1"/>
  <c r="W338" s="1"/>
  <c r="AK337"/>
  <c r="T337"/>
  <c r="L337"/>
  <c r="N337" s="1"/>
  <c r="AK336"/>
  <c r="T336"/>
  <c r="L336"/>
  <c r="AK335"/>
  <c r="T335"/>
  <c r="L335"/>
  <c r="AK334"/>
  <c r="N335" l="1"/>
  <c r="N336"/>
  <c r="AE336"/>
  <c r="AE337"/>
  <c r="W337" s="1"/>
  <c r="AE335"/>
  <c r="T334"/>
  <c r="AE334" s="1"/>
  <c r="L334"/>
  <c r="AK333"/>
  <c r="K333"/>
  <c r="T333" s="1"/>
  <c r="AK332"/>
  <c r="W335" l="1"/>
  <c r="L333"/>
  <c r="N333" s="1"/>
  <c r="W336"/>
  <c r="AE333"/>
  <c r="N334"/>
  <c r="W334" s="1"/>
  <c r="K332"/>
  <c r="L332" s="1"/>
  <c r="AK331"/>
  <c r="K331"/>
  <c r="T331" s="1"/>
  <c r="AK330"/>
  <c r="T330"/>
  <c r="L330"/>
  <c r="AK329"/>
  <c r="T329"/>
  <c r="L329"/>
  <c r="AK328"/>
  <c r="T328"/>
  <c r="L328"/>
  <c r="AK327"/>
  <c r="T327"/>
  <c r="L327"/>
  <c r="AK326"/>
  <c r="K326"/>
  <c r="T326" s="1"/>
  <c r="AE326" s="1"/>
  <c r="AK325"/>
  <c r="T325"/>
  <c r="L325"/>
  <c r="AK324"/>
  <c r="T324"/>
  <c r="L324"/>
  <c r="AK323"/>
  <c r="T323"/>
  <c r="L323"/>
  <c r="AK322"/>
  <c r="K322"/>
  <c r="T322" s="1"/>
  <c r="AK321"/>
  <c r="AA321"/>
  <c r="T321"/>
  <c r="L321"/>
  <c r="AK320"/>
  <c r="AA320"/>
  <c r="T320"/>
  <c r="L320"/>
  <c r="AK319"/>
  <c r="AA319"/>
  <c r="T319"/>
  <c r="L319"/>
  <c r="AK318"/>
  <c r="AA318"/>
  <c r="K318"/>
  <c r="L318" s="1"/>
  <c r="N318" s="1"/>
  <c r="L283"/>
  <c r="N283" s="1"/>
  <c r="U283" s="1"/>
  <c r="L282"/>
  <c r="N282" s="1"/>
  <c r="U282" s="1"/>
  <c r="L281"/>
  <c r="N281" s="1"/>
  <c r="U281" s="1"/>
  <c r="L280"/>
  <c r="N280" s="1"/>
  <c r="U280" s="1"/>
  <c r="K279"/>
  <c r="K278"/>
  <c r="K277"/>
  <c r="L276"/>
  <c r="N276" s="1"/>
  <c r="U276" s="1"/>
  <c r="AK275"/>
  <c r="AE275"/>
  <c r="L275"/>
  <c r="N275" s="1"/>
  <c r="U275" s="1"/>
  <c r="AK274"/>
  <c r="AE274"/>
  <c r="L274"/>
  <c r="N274" s="1"/>
  <c r="AK273"/>
  <c r="AE273"/>
  <c r="L273"/>
  <c r="N273" s="1"/>
  <c r="W273" s="1"/>
  <c r="AK272"/>
  <c r="AE272"/>
  <c r="L272"/>
  <c r="N272" s="1"/>
  <c r="AK271"/>
  <c r="K271"/>
  <c r="AK270"/>
  <c r="K270"/>
  <c r="AK269"/>
  <c r="K269"/>
  <c r="AK268"/>
  <c r="AE268"/>
  <c r="L277" l="1"/>
  <c r="N277" s="1"/>
  <c r="T277"/>
  <c r="L279"/>
  <c r="N279" s="1"/>
  <c r="T279"/>
  <c r="L278"/>
  <c r="N278" s="1"/>
  <c r="T278"/>
  <c r="L270"/>
  <c r="N270" s="1"/>
  <c r="T270"/>
  <c r="AE270" s="1"/>
  <c r="L269"/>
  <c r="N269" s="1"/>
  <c r="T269"/>
  <c r="AE269" s="1"/>
  <c r="L271"/>
  <c r="N271" s="1"/>
  <c r="T271"/>
  <c r="AE271" s="1"/>
  <c r="L331"/>
  <c r="N331" s="1"/>
  <c r="W331" s="1"/>
  <c r="W333"/>
  <c r="L326"/>
  <c r="N326" s="1"/>
  <c r="W326" s="1"/>
  <c r="T318"/>
  <c r="L322"/>
  <c r="N322" s="1"/>
  <c r="T332"/>
  <c r="AE332" s="1"/>
  <c r="N324"/>
  <c r="N332"/>
  <c r="N319"/>
  <c r="W319" s="1"/>
  <c r="AE319"/>
  <c r="N321"/>
  <c r="W321" s="1"/>
  <c r="AE321"/>
  <c r="N323"/>
  <c r="AE323"/>
  <c r="N325"/>
  <c r="AE325"/>
  <c r="N328"/>
  <c r="AE328"/>
  <c r="N330"/>
  <c r="AE330"/>
  <c r="AE331"/>
  <c r="W272"/>
  <c r="W275"/>
  <c r="W274"/>
  <c r="N320"/>
  <c r="W320" s="1"/>
  <c r="AE320"/>
  <c r="AE322"/>
  <c r="AE324"/>
  <c r="N327"/>
  <c r="AE327"/>
  <c r="N329"/>
  <c r="AE329"/>
  <c r="L268"/>
  <c r="N268" s="1"/>
  <c r="AK267"/>
  <c r="AE318" l="1"/>
  <c r="U278"/>
  <c r="U279"/>
  <c r="U277"/>
  <c r="W269"/>
  <c r="W271"/>
  <c r="W270"/>
  <c r="W318"/>
  <c r="W332"/>
  <c r="W322"/>
  <c r="W324"/>
  <c r="W330"/>
  <c r="W328"/>
  <c r="W325"/>
  <c r="W268"/>
  <c r="W329"/>
  <c r="W327"/>
  <c r="W323"/>
  <c r="K267"/>
  <c r="T267" s="1"/>
  <c r="AE267" s="1"/>
  <c r="AK266"/>
  <c r="T266"/>
  <c r="AE266" s="1"/>
  <c r="L266"/>
  <c r="N266" s="1"/>
  <c r="AK265"/>
  <c r="L267" l="1"/>
  <c r="N267" s="1"/>
  <c r="W267" s="1"/>
  <c r="W266"/>
  <c r="T265"/>
  <c r="AE265" s="1"/>
  <c r="L265"/>
  <c r="N265" s="1"/>
  <c r="AK264"/>
  <c r="T264"/>
  <c r="AE264" s="1"/>
  <c r="L264"/>
  <c r="N264" s="1"/>
  <c r="AK263"/>
  <c r="K263"/>
  <c r="L263" s="1"/>
  <c r="N263" s="1"/>
  <c r="AK262"/>
  <c r="K262"/>
  <c r="L262" s="1"/>
  <c r="N262" s="1"/>
  <c r="AK261"/>
  <c r="K261"/>
  <c r="AK260"/>
  <c r="T260"/>
  <c r="AE260" s="1"/>
  <c r="L260"/>
  <c r="N260" s="1"/>
  <c r="AK259"/>
  <c r="T259"/>
  <c r="AE259" s="1"/>
  <c r="L259"/>
  <c r="AK258"/>
  <c r="T258"/>
  <c r="AE258" s="1"/>
  <c r="L258"/>
  <c r="AK257"/>
  <c r="T257"/>
  <c r="AE257" s="1"/>
  <c r="L257"/>
  <c r="AK256"/>
  <c r="K256"/>
  <c r="L256" s="1"/>
  <c r="N256" s="1"/>
  <c r="AK255"/>
  <c r="K255"/>
  <c r="L255" s="1"/>
  <c r="AK254"/>
  <c r="T254"/>
  <c r="L254"/>
  <c r="AK253"/>
  <c r="K253"/>
  <c r="T253" s="1"/>
  <c r="AE253" s="1"/>
  <c r="AK252"/>
  <c r="T252"/>
  <c r="AE252" s="1"/>
  <c r="L252"/>
  <c r="AK251"/>
  <c r="T251"/>
  <c r="AE251" s="1"/>
  <c r="L251"/>
  <c r="AK250"/>
  <c r="K250"/>
  <c r="T250" s="1"/>
  <c r="AE250" s="1"/>
  <c r="AK249"/>
  <c r="K249"/>
  <c r="T249" s="1"/>
  <c r="AE249" s="1"/>
  <c r="AK248"/>
  <c r="K248"/>
  <c r="T248" s="1"/>
  <c r="AE248" s="1"/>
  <c r="AK247"/>
  <c r="K247"/>
  <c r="T247" s="1"/>
  <c r="AK246"/>
  <c r="T246"/>
  <c r="AE246" s="1"/>
  <c r="L246"/>
  <c r="AK245"/>
  <c r="T245"/>
  <c r="AE245" s="1"/>
  <c r="L245"/>
  <c r="AK244"/>
  <c r="K244"/>
  <c r="T244" s="1"/>
  <c r="AE244" s="1"/>
  <c r="AK243"/>
  <c r="K243"/>
  <c r="T243" s="1"/>
  <c r="AE243" s="1"/>
  <c r="AK242"/>
  <c r="K242"/>
  <c r="T242" s="1"/>
  <c r="AE242" s="1"/>
  <c r="AK241"/>
  <c r="K241"/>
  <c r="T241" s="1"/>
  <c r="AE241" s="1"/>
  <c r="AK240"/>
  <c r="T240"/>
  <c r="AE240" s="1"/>
  <c r="L240"/>
  <c r="AK239"/>
  <c r="T239"/>
  <c r="L239"/>
  <c r="AK238"/>
  <c r="T238"/>
  <c r="L238"/>
  <c r="AK237"/>
  <c r="T237"/>
  <c r="L237"/>
  <c r="AK236"/>
  <c r="L261" l="1"/>
  <c r="N261" s="1"/>
  <c r="L247"/>
  <c r="L241"/>
  <c r="L253"/>
  <c r="N253" s="1"/>
  <c r="L243"/>
  <c r="N243" s="1"/>
  <c r="W243" s="1"/>
  <c r="L249"/>
  <c r="N249" s="1"/>
  <c r="W249" s="1"/>
  <c r="L242"/>
  <c r="N242" s="1"/>
  <c r="W242" s="1"/>
  <c r="L244"/>
  <c r="N244" s="1"/>
  <c r="W244" s="1"/>
  <c r="L248"/>
  <c r="N248" s="1"/>
  <c r="W248" s="1"/>
  <c r="L250"/>
  <c r="N250" s="1"/>
  <c r="W250" s="1"/>
  <c r="T255"/>
  <c r="AE255" s="1"/>
  <c r="T256"/>
  <c r="AE256" s="1"/>
  <c r="T261"/>
  <c r="AE261" s="1"/>
  <c r="T262"/>
  <c r="AE262" s="1"/>
  <c r="T263"/>
  <c r="AE263" s="1"/>
  <c r="W264"/>
  <c r="N241"/>
  <c r="W241" s="1"/>
  <c r="N247"/>
  <c r="N255"/>
  <c r="W255" s="1"/>
  <c r="N257"/>
  <c r="W257" s="1"/>
  <c r="W260"/>
  <c r="N252"/>
  <c r="W252" s="1"/>
  <c r="W265"/>
  <c r="N238"/>
  <c r="AE238"/>
  <c r="N240"/>
  <c r="W240" s="1"/>
  <c r="N246"/>
  <c r="N251"/>
  <c r="N258"/>
  <c r="N237"/>
  <c r="AE237"/>
  <c r="N239"/>
  <c r="AE239"/>
  <c r="N245"/>
  <c r="W245" s="1"/>
  <c r="AE247"/>
  <c r="N254"/>
  <c r="AE254"/>
  <c r="N259"/>
  <c r="K236"/>
  <c r="T236" s="1"/>
  <c r="AE236" s="1"/>
  <c r="AK235"/>
  <c r="L236" l="1"/>
  <c r="N236" s="1"/>
  <c r="W263"/>
  <c r="W261"/>
  <c r="W256"/>
  <c r="W262"/>
  <c r="W239"/>
  <c r="W237"/>
  <c r="W247"/>
  <c r="W258"/>
  <c r="W253"/>
  <c r="W246"/>
  <c r="W238"/>
  <c r="W259"/>
  <c r="W254"/>
  <c r="W236"/>
  <c r="W251"/>
  <c r="K235"/>
  <c r="L235" s="1"/>
  <c r="AK234"/>
  <c r="K234"/>
  <c r="L234" s="1"/>
  <c r="N234" s="1"/>
  <c r="AK233"/>
  <c r="T233"/>
  <c r="L233"/>
  <c r="AK232"/>
  <c r="AE232"/>
  <c r="AA232"/>
  <c r="N232"/>
  <c r="W232" s="1"/>
  <c r="AK231"/>
  <c r="AA231"/>
  <c r="T231"/>
  <c r="L231"/>
  <c r="AK230"/>
  <c r="AA230"/>
  <c r="T230"/>
  <c r="L230"/>
  <c r="AK229"/>
  <c r="AA229"/>
  <c r="K229"/>
  <c r="L229" s="1"/>
  <c r="N229" s="1"/>
  <c r="AK228"/>
  <c r="AA228"/>
  <c r="K228"/>
  <c r="T228" s="1"/>
  <c r="AE228" s="1"/>
  <c r="AK227"/>
  <c r="AA227"/>
  <c r="L228" l="1"/>
  <c r="N228" s="1"/>
  <c r="T229"/>
  <c r="AE229" s="1"/>
  <c r="T234"/>
  <c r="AE234" s="1"/>
  <c r="T235"/>
  <c r="AE235" s="1"/>
  <c r="N230"/>
  <c r="W230" s="1"/>
  <c r="N231"/>
  <c r="W231" s="1"/>
  <c r="AE231"/>
  <c r="N235"/>
  <c r="W228"/>
  <c r="AE230"/>
  <c r="N233"/>
  <c r="AE233"/>
  <c r="K227"/>
  <c r="T227" s="1"/>
  <c r="AE227" s="1"/>
  <c r="AK226"/>
  <c r="AA226"/>
  <c r="K226"/>
  <c r="L226" s="1"/>
  <c r="N226" s="1"/>
  <c r="AK225"/>
  <c r="AA225"/>
  <c r="T225"/>
  <c r="L225"/>
  <c r="AK222"/>
  <c r="AE222"/>
  <c r="L222"/>
  <c r="AK221"/>
  <c r="T221"/>
  <c r="L221"/>
  <c r="AK220"/>
  <c r="AE220"/>
  <c r="L220"/>
  <c r="AK219"/>
  <c r="T219"/>
  <c r="L219"/>
  <c r="AK218"/>
  <c r="AE218"/>
  <c r="AA218"/>
  <c r="L227" l="1"/>
  <c r="N227" s="1"/>
  <c r="W229"/>
  <c r="W227"/>
  <c r="W235"/>
  <c r="T226"/>
  <c r="W226" s="1"/>
  <c r="W234"/>
  <c r="W233"/>
  <c r="N219"/>
  <c r="W219" s="1"/>
  <c r="H24" i="5"/>
  <c r="N221" i="10"/>
  <c r="W221" s="1"/>
  <c r="N225"/>
  <c r="W225" s="1"/>
  <c r="AE225"/>
  <c r="AE226"/>
  <c r="AE219"/>
  <c r="N220"/>
  <c r="W220" s="1"/>
  <c r="AE221"/>
  <c r="N222"/>
  <c r="W222" s="1"/>
  <c r="L218"/>
  <c r="N218" s="1"/>
  <c r="W218" s="1"/>
  <c r="AK217"/>
  <c r="AA217"/>
  <c r="T217"/>
  <c r="L217"/>
  <c r="AK216"/>
  <c r="K216"/>
  <c r="T216" s="1"/>
  <c r="AE216" s="1"/>
  <c r="AK215"/>
  <c r="K215"/>
  <c r="T215" s="1"/>
  <c r="AE215" s="1"/>
  <c r="AK214"/>
  <c r="K214"/>
  <c r="T214" s="1"/>
  <c r="AK213"/>
  <c r="K213"/>
  <c r="T213" s="1"/>
  <c r="AK212"/>
  <c r="AE212"/>
  <c r="N212"/>
  <c r="W212" s="1"/>
  <c r="AK211"/>
  <c r="L214" l="1"/>
  <c r="N214" s="1"/>
  <c r="W214" s="1"/>
  <c r="L216"/>
  <c r="N216" s="1"/>
  <c r="W216" s="1"/>
  <c r="L213"/>
  <c r="N213" s="1"/>
  <c r="W213" s="1"/>
  <c r="L215"/>
  <c r="N215" s="1"/>
  <c r="W215" s="1"/>
  <c r="AE213"/>
  <c r="AE214"/>
  <c r="N217"/>
  <c r="W217" s="1"/>
  <c r="AE217"/>
  <c r="K211" l="1"/>
  <c r="T211" s="1"/>
  <c r="AE211" s="1"/>
  <c r="AK210"/>
  <c r="AA210"/>
  <c r="K210"/>
  <c r="T210" s="1"/>
  <c r="AE210" s="1"/>
  <c r="K205"/>
  <c r="K204"/>
  <c r="AK203"/>
  <c r="T203"/>
  <c r="L203"/>
  <c r="AK202"/>
  <c r="AE202"/>
  <c r="L202"/>
  <c r="N202" s="1"/>
  <c r="W202" s="1"/>
  <c r="AK201"/>
  <c r="L204" l="1"/>
  <c r="N204" s="1"/>
  <c r="T204"/>
  <c r="L205"/>
  <c r="T205"/>
  <c r="L210"/>
  <c r="N210" s="1"/>
  <c r="W210" s="1"/>
  <c r="L211"/>
  <c r="N211" s="1"/>
  <c r="W211" s="1"/>
  <c r="N203"/>
  <c r="AE203"/>
  <c r="N205"/>
  <c r="T201"/>
  <c r="AE201" s="1"/>
  <c r="W203" l="1"/>
  <c r="L201"/>
  <c r="N201" s="1"/>
  <c r="W201" s="1"/>
  <c r="AK200"/>
  <c r="T200"/>
  <c r="L200"/>
  <c r="AK199"/>
  <c r="T199"/>
  <c r="L199"/>
  <c r="N199" s="1"/>
  <c r="AK198"/>
  <c r="T198"/>
  <c r="L198"/>
  <c r="AK197"/>
  <c r="T197"/>
  <c r="L197"/>
  <c r="AK196"/>
  <c r="AA196"/>
  <c r="T196"/>
  <c r="AE196" s="1"/>
  <c r="L196"/>
  <c r="N196" s="1"/>
  <c r="AK195"/>
  <c r="AE195"/>
  <c r="N197" l="1"/>
  <c r="AE197"/>
  <c r="W196"/>
  <c r="N198"/>
  <c r="AE198"/>
  <c r="AE199"/>
  <c r="W199" s="1"/>
  <c r="N200"/>
  <c r="AE200"/>
  <c r="L195"/>
  <c r="N195" s="1"/>
  <c r="W195" s="1"/>
  <c r="AK194"/>
  <c r="AE194"/>
  <c r="L194"/>
  <c r="AK193"/>
  <c r="T193"/>
  <c r="AE193" s="1"/>
  <c r="L193"/>
  <c r="N193" s="1"/>
  <c r="AK192"/>
  <c r="T192"/>
  <c r="AE192" s="1"/>
  <c r="L192"/>
  <c r="N192" s="1"/>
  <c r="AK191"/>
  <c r="W193" l="1"/>
  <c r="W192"/>
  <c r="W198"/>
  <c r="W197"/>
  <c r="N194"/>
  <c r="W194" s="1"/>
  <c r="W200"/>
  <c r="T191"/>
  <c r="AE191" s="1"/>
  <c r="L191"/>
  <c r="AK190"/>
  <c r="T190"/>
  <c r="AE190" s="1"/>
  <c r="L190"/>
  <c r="N190" s="1"/>
  <c r="AK189"/>
  <c r="T189"/>
  <c r="L189"/>
  <c r="AK188"/>
  <c r="T188"/>
  <c r="AE188" s="1"/>
  <c r="W190" l="1"/>
  <c r="N189"/>
  <c r="AE189"/>
  <c r="N191"/>
  <c r="W191" s="1"/>
  <c r="L188"/>
  <c r="N188" s="1"/>
  <c r="W188" s="1"/>
  <c r="AK187"/>
  <c r="AA187"/>
  <c r="T187"/>
  <c r="L187"/>
  <c r="AK186"/>
  <c r="AA186"/>
  <c r="K186"/>
  <c r="L186" s="1"/>
  <c r="AK178"/>
  <c r="T186" l="1"/>
  <c r="AE186" s="1"/>
  <c r="W189"/>
  <c r="N186"/>
  <c r="N187"/>
  <c r="W187" s="1"/>
  <c r="AE187"/>
  <c r="L178"/>
  <c r="AK177"/>
  <c r="AE177"/>
  <c r="L177"/>
  <c r="N177" s="1"/>
  <c r="AK176"/>
  <c r="K176"/>
  <c r="T176" s="1"/>
  <c r="AE176" s="1"/>
  <c r="AK175"/>
  <c r="W186" l="1"/>
  <c r="N178"/>
  <c r="L176"/>
  <c r="N176" s="1"/>
  <c r="T864"/>
  <c r="W176"/>
  <c r="W177"/>
  <c r="T175"/>
  <c r="AE175" s="1"/>
  <c r="L175" l="1"/>
  <c r="N175" s="1"/>
  <c r="W175" s="1"/>
  <c r="AK174"/>
  <c r="T174"/>
  <c r="AE174" s="1"/>
  <c r="L174"/>
  <c r="N174" s="1"/>
  <c r="AK173"/>
  <c r="K173"/>
  <c r="L173" s="1"/>
  <c r="AK172"/>
  <c r="K172"/>
  <c r="L172" s="1"/>
  <c r="N172" s="1"/>
  <c r="AK171"/>
  <c r="T172" l="1"/>
  <c r="AE172" s="1"/>
  <c r="W172" s="1"/>
  <c r="T173"/>
  <c r="AE173" s="1"/>
  <c r="N173"/>
  <c r="W174"/>
  <c r="V171"/>
  <c r="K171"/>
  <c r="L171" s="1"/>
  <c r="AK170"/>
  <c r="V170"/>
  <c r="K170"/>
  <c r="L170" s="1"/>
  <c r="AK169"/>
  <c r="T170" l="1"/>
  <c r="AE170" s="1"/>
  <c r="T171"/>
  <c r="AE171" s="1"/>
  <c r="W173"/>
  <c r="N170"/>
  <c r="N171"/>
  <c r="V169"/>
  <c r="K169"/>
  <c r="L169" s="1"/>
  <c r="M71" i="13" s="1"/>
  <c r="O71" s="1"/>
  <c r="AK168" i="10"/>
  <c r="W171" l="1"/>
  <c r="W170"/>
  <c r="T169"/>
  <c r="N169"/>
  <c r="AE169"/>
  <c r="V168"/>
  <c r="U168"/>
  <c r="K168"/>
  <c r="L168" s="1"/>
  <c r="M70" i="13" s="1"/>
  <c r="O70" s="1"/>
  <c r="AK167" i="10"/>
  <c r="AA167"/>
  <c r="V167"/>
  <c r="U167"/>
  <c r="K167"/>
  <c r="T167" s="1"/>
  <c r="AK166"/>
  <c r="AD166"/>
  <c r="AD864" s="1"/>
  <c r="AA166"/>
  <c r="V166"/>
  <c r="K166"/>
  <c r="AK155"/>
  <c r="V155"/>
  <c r="T155"/>
  <c r="L155"/>
  <c r="M139" i="13" s="1"/>
  <c r="L139" s="1"/>
  <c r="O139" s="1"/>
  <c r="AK154" i="10"/>
  <c r="AA154"/>
  <c r="V154"/>
  <c r="T154"/>
  <c r="AE154" s="1"/>
  <c r="L154"/>
  <c r="N154" s="1"/>
  <c r="AK153"/>
  <c r="AA153"/>
  <c r="V153"/>
  <c r="T153"/>
  <c r="AE153" s="1"/>
  <c r="K864" l="1"/>
  <c r="L167"/>
  <c r="M7" i="13" s="1"/>
  <c r="O7" s="1"/>
  <c r="T166" i="10"/>
  <c r="Y11" i="5" s="1"/>
  <c r="T168" i="10"/>
  <c r="AN11" i="5" s="1"/>
  <c r="L166" i="10"/>
  <c r="M6" i="13" s="1"/>
  <c r="O6" s="1"/>
  <c r="N168" i="10"/>
  <c r="W168" s="1"/>
  <c r="Y8" i="5"/>
  <c r="BC8"/>
  <c r="DK8"/>
  <c r="EO8"/>
  <c r="FS8"/>
  <c r="FK9" i="15"/>
  <c r="FK10"/>
  <c r="FK11"/>
  <c r="FK12"/>
  <c r="FK13"/>
  <c r="FK14"/>
  <c r="FK15"/>
  <c r="FK16"/>
  <c r="FK17"/>
  <c r="FK18"/>
  <c r="FK19"/>
  <c r="FK20"/>
  <c r="FK21"/>
  <c r="FK22"/>
  <c r="FK23"/>
  <c r="FK24"/>
  <c r="FK25"/>
  <c r="FK26"/>
  <c r="FK27"/>
  <c r="FK28"/>
  <c r="FK29"/>
  <c r="FK30"/>
  <c r="FK31"/>
  <c r="FK32"/>
  <c r="FK33"/>
  <c r="FK34"/>
  <c r="AN8" i="5"/>
  <c r="BR8"/>
  <c r="CV8"/>
  <c r="DZ8"/>
  <c r="FD8"/>
  <c r="ET9" i="15"/>
  <c r="ET11"/>
  <c r="ET12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C9"/>
  <c r="EC11"/>
  <c r="EC13"/>
  <c r="EC15"/>
  <c r="EC17"/>
  <c r="EC19"/>
  <c r="EC21"/>
  <c r="EC23"/>
  <c r="EC25"/>
  <c r="EC27"/>
  <c r="EC29"/>
  <c r="EC31"/>
  <c r="EC33"/>
  <c r="EC35"/>
  <c r="EC37"/>
  <c r="EC49"/>
  <c r="EC57"/>
  <c r="EC63"/>
  <c r="EC69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C8"/>
  <c r="EC10"/>
  <c r="EC12"/>
  <c r="EC14"/>
  <c r="EC16"/>
  <c r="EC18"/>
  <c r="EC20"/>
  <c r="EC22"/>
  <c r="EC24"/>
  <c r="EC26"/>
  <c r="EC28"/>
  <c r="EC30"/>
  <c r="EC32"/>
  <c r="EC34"/>
  <c r="EC36"/>
  <c r="EC38"/>
  <c r="EC40"/>
  <c r="EC42"/>
  <c r="EC44"/>
  <c r="EC46"/>
  <c r="EC48"/>
  <c r="EC50"/>
  <c r="EC52"/>
  <c r="EC54"/>
  <c r="EC56"/>
  <c r="EC58"/>
  <c r="EC60"/>
  <c r="EC62"/>
  <c r="EC64"/>
  <c r="EC66"/>
  <c r="EC68"/>
  <c r="EC70"/>
  <c r="EC39"/>
  <c r="EC41"/>
  <c r="EC43"/>
  <c r="EC45"/>
  <c r="EC47"/>
  <c r="EC51"/>
  <c r="EC53"/>
  <c r="EC55"/>
  <c r="EC59"/>
  <c r="EC61"/>
  <c r="EC65"/>
  <c r="EC67"/>
  <c r="N155" i="10"/>
  <c r="W155" s="1"/>
  <c r="AE167"/>
  <c r="W169"/>
  <c r="V864"/>
  <c r="FS74" i="5"/>
  <c r="FD74"/>
  <c r="EO74"/>
  <c r="DZ74"/>
  <c r="DK74"/>
  <c r="CV74"/>
  <c r="BR74"/>
  <c r="BC74"/>
  <c r="AN74"/>
  <c r="Y74"/>
  <c r="FD73"/>
  <c r="EO73"/>
  <c r="DK73"/>
  <c r="BR73"/>
  <c r="AN73"/>
  <c r="FD72"/>
  <c r="DZ72"/>
  <c r="DK72"/>
  <c r="CV72"/>
  <c r="FS70"/>
  <c r="DZ70"/>
  <c r="DK70"/>
  <c r="CV70"/>
  <c r="Y70"/>
  <c r="DZ69"/>
  <c r="DK69"/>
  <c r="BC69"/>
  <c r="FS68"/>
  <c r="EO68"/>
  <c r="DZ68"/>
  <c r="BR68"/>
  <c r="FS73"/>
  <c r="DZ73"/>
  <c r="CV73"/>
  <c r="BC73"/>
  <c r="Y73"/>
  <c r="FS72"/>
  <c r="EO72"/>
  <c r="BR72"/>
  <c r="BC72"/>
  <c r="AN72"/>
  <c r="Y72"/>
  <c r="FS71"/>
  <c r="FD71"/>
  <c r="EO71"/>
  <c r="DZ71"/>
  <c r="DK71"/>
  <c r="CV71"/>
  <c r="BR71"/>
  <c r="BC71"/>
  <c r="AN71"/>
  <c r="Y71"/>
  <c r="FD70"/>
  <c r="EO70"/>
  <c r="BR70"/>
  <c r="BC70"/>
  <c r="AN70"/>
  <c r="FS69"/>
  <c r="FD69"/>
  <c r="EO69"/>
  <c r="CV69"/>
  <c r="BR69"/>
  <c r="AN69"/>
  <c r="Y69"/>
  <c r="FD68"/>
  <c r="DK68"/>
  <c r="CV68"/>
  <c r="BC68"/>
  <c r="Y68"/>
  <c r="FS67"/>
  <c r="AN68"/>
  <c r="EO67"/>
  <c r="FD67"/>
  <c r="DK67"/>
  <c r="BR67"/>
  <c r="AN67"/>
  <c r="BC67"/>
  <c r="Y67"/>
  <c r="DZ67"/>
  <c r="CV67"/>
  <c r="CV64"/>
  <c r="BC64"/>
  <c r="Y64"/>
  <c r="FS63"/>
  <c r="EO63"/>
  <c r="DZ63"/>
  <c r="DK63"/>
  <c r="CV63"/>
  <c r="BC63"/>
  <c r="Y63"/>
  <c r="CV66"/>
  <c r="BR66"/>
  <c r="FS65"/>
  <c r="FD65"/>
  <c r="EO65"/>
  <c r="DZ65"/>
  <c r="DK65"/>
  <c r="CV65"/>
  <c r="BR65"/>
  <c r="BC65"/>
  <c r="AN65"/>
  <c r="Y65"/>
  <c r="FS64"/>
  <c r="FD64"/>
  <c r="EO64"/>
  <c r="DZ64"/>
  <c r="DK64"/>
  <c r="BR64"/>
  <c r="AN64"/>
  <c r="FD63"/>
  <c r="BR63"/>
  <c r="AN63"/>
  <c r="EO62"/>
  <c r="DK62"/>
  <c r="BC62"/>
  <c r="AN62"/>
  <c r="FS62"/>
  <c r="FD62"/>
  <c r="DZ62"/>
  <c r="CV62"/>
  <c r="BR62"/>
  <c r="Y62"/>
  <c r="FD61"/>
  <c r="EO61"/>
  <c r="DZ61"/>
  <c r="DK61"/>
  <c r="BC61"/>
  <c r="FS61"/>
  <c r="CV61"/>
  <c r="BR61"/>
  <c r="AN61"/>
  <c r="FS60"/>
  <c r="FD60"/>
  <c r="EO60"/>
  <c r="CV60"/>
  <c r="BC60"/>
  <c r="AN60"/>
  <c r="Y60"/>
  <c r="Y61"/>
  <c r="DZ60"/>
  <c r="DK60"/>
  <c r="BR60"/>
  <c r="EO59"/>
  <c r="DZ59"/>
  <c r="BC59"/>
  <c r="EO58"/>
  <c r="DZ58"/>
  <c r="BR58"/>
  <c r="Y58"/>
  <c r="FS59"/>
  <c r="FD59"/>
  <c r="DK59"/>
  <c r="CV59"/>
  <c r="BR59"/>
  <c r="AN59"/>
  <c r="Y59"/>
  <c r="FS58"/>
  <c r="FD58"/>
  <c r="DK58"/>
  <c r="CV58"/>
  <c r="BC58"/>
  <c r="AN58"/>
  <c r="FD57"/>
  <c r="DZ57"/>
  <c r="FS56"/>
  <c r="FD56"/>
  <c r="EO56"/>
  <c r="DZ56"/>
  <c r="DK56"/>
  <c r="CV56"/>
  <c r="BR56"/>
  <c r="BC56"/>
  <c r="AN56"/>
  <c r="Y56"/>
  <c r="FS57"/>
  <c r="EO57"/>
  <c r="DK57"/>
  <c r="CV57"/>
  <c r="BR57"/>
  <c r="BC57"/>
  <c r="AN57"/>
  <c r="Y57"/>
  <c r="EO55"/>
  <c r="DZ55"/>
  <c r="CV55"/>
  <c r="BR55"/>
  <c r="BC55"/>
  <c r="AN55"/>
  <c r="Y55"/>
  <c r="FS55"/>
  <c r="FD55"/>
  <c r="DK55"/>
  <c r="BR54"/>
  <c r="AN54"/>
  <c r="FS53"/>
  <c r="EO53"/>
  <c r="CV53"/>
  <c r="BC53"/>
  <c r="Y53"/>
  <c r="FD52"/>
  <c r="EO52"/>
  <c r="DZ52"/>
  <c r="CV52"/>
  <c r="BC52"/>
  <c r="Y52"/>
  <c r="CV54"/>
  <c r="BC54"/>
  <c r="Y54"/>
  <c r="FD53"/>
  <c r="DZ53"/>
  <c r="DK53"/>
  <c r="BR53"/>
  <c r="AN53"/>
  <c r="FS52"/>
  <c r="DK52"/>
  <c r="BR52"/>
  <c r="AN52"/>
  <c r="FS51"/>
  <c r="FD51"/>
  <c r="EO51"/>
  <c r="DZ51"/>
  <c r="DK51"/>
  <c r="CV51"/>
  <c r="BR51"/>
  <c r="BC51"/>
  <c r="AN51"/>
  <c r="Y51"/>
  <c r="FS50"/>
  <c r="FD50"/>
  <c r="EO50"/>
  <c r="DZ50"/>
  <c r="DK50"/>
  <c r="CV50"/>
  <c r="BR50"/>
  <c r="BC50"/>
  <c r="AN50"/>
  <c r="Y50"/>
  <c r="FS49"/>
  <c r="FD49"/>
  <c r="EO49"/>
  <c r="DZ49"/>
  <c r="DK49"/>
  <c r="CV49"/>
  <c r="BR49"/>
  <c r="BC49"/>
  <c r="AN49"/>
  <c r="Y49"/>
  <c r="FS48"/>
  <c r="FD48"/>
  <c r="EO48"/>
  <c r="DZ48"/>
  <c r="DK48"/>
  <c r="CV48"/>
  <c r="BR48"/>
  <c r="BC48"/>
  <c r="AN48"/>
  <c r="Y48"/>
  <c r="FS47"/>
  <c r="FD47"/>
  <c r="EO47"/>
  <c r="DZ47"/>
  <c r="DK47"/>
  <c r="CV47"/>
  <c r="BR47"/>
  <c r="BC47"/>
  <c r="AN47"/>
  <c r="Y47"/>
  <c r="DZ45"/>
  <c r="CV45"/>
  <c r="BR45"/>
  <c r="AN45"/>
  <c r="Y45"/>
  <c r="CV46"/>
  <c r="FS45"/>
  <c r="FD45"/>
  <c r="EO45"/>
  <c r="DK45"/>
  <c r="BC45"/>
  <c r="BC44"/>
  <c r="AN44"/>
  <c r="Y44"/>
  <c r="CV44"/>
  <c r="BR44"/>
  <c r="DK42"/>
  <c r="CV42"/>
  <c r="BR42"/>
  <c r="BC42"/>
  <c r="AN42"/>
  <c r="Y42"/>
  <c r="FS41"/>
  <c r="FD41"/>
  <c r="EO41"/>
  <c r="DZ41"/>
  <c r="DK41"/>
  <c r="CV41"/>
  <c r="BR41"/>
  <c r="BC41"/>
  <c r="AN41"/>
  <c r="Y41"/>
  <c r="FS40"/>
  <c r="FD40"/>
  <c r="EO40"/>
  <c r="DZ40"/>
  <c r="DK40"/>
  <c r="CV40"/>
  <c r="BR40"/>
  <c r="BC40"/>
  <c r="AN40"/>
  <c r="Y40"/>
  <c r="FS39"/>
  <c r="FD39"/>
  <c r="EO39"/>
  <c r="DZ39"/>
  <c r="DK39"/>
  <c r="CV39"/>
  <c r="BR39"/>
  <c r="BC39"/>
  <c r="AN39"/>
  <c r="Y39"/>
  <c r="FS43"/>
  <c r="FD43"/>
  <c r="EO43"/>
  <c r="DZ43"/>
  <c r="DK43"/>
  <c r="CV43"/>
  <c r="BR43"/>
  <c r="BC43"/>
  <c r="AN43"/>
  <c r="Y43"/>
  <c r="FS42"/>
  <c r="FD42"/>
  <c r="EO42"/>
  <c r="DZ42"/>
  <c r="DK38"/>
  <c r="FD37"/>
  <c r="EO37"/>
  <c r="CV37"/>
  <c r="FS38"/>
  <c r="FD38"/>
  <c r="EO38"/>
  <c r="DZ38"/>
  <c r="CV38"/>
  <c r="BR38"/>
  <c r="BC38"/>
  <c r="AN38"/>
  <c r="Y38"/>
  <c r="FS37"/>
  <c r="DZ37"/>
  <c r="DK37"/>
  <c r="BC37"/>
  <c r="AN37"/>
  <c r="Y37"/>
  <c r="BR37"/>
  <c r="FD36"/>
  <c r="DZ36"/>
  <c r="CV36"/>
  <c r="BR36"/>
  <c r="AN36"/>
  <c r="Y36"/>
  <c r="FD35"/>
  <c r="BC35"/>
  <c r="AN35"/>
  <c r="FD34"/>
  <c r="EO34"/>
  <c r="FS33"/>
  <c r="FD33"/>
  <c r="EO33"/>
  <c r="DZ33"/>
  <c r="DK33"/>
  <c r="CV33"/>
  <c r="BR33"/>
  <c r="BC33"/>
  <c r="AN33"/>
  <c r="Y33"/>
  <c r="FS36"/>
  <c r="EO36"/>
  <c r="DK36"/>
  <c r="BC36"/>
  <c r="FS35"/>
  <c r="EO35"/>
  <c r="DZ35"/>
  <c r="DK35"/>
  <c r="CV35"/>
  <c r="BR35"/>
  <c r="Y35"/>
  <c r="FS34"/>
  <c r="DZ34"/>
  <c r="DK34"/>
  <c r="CV34"/>
  <c r="BR34"/>
  <c r="BC34"/>
  <c r="AN34"/>
  <c r="Y34"/>
  <c r="FS32"/>
  <c r="FD32"/>
  <c r="EO32"/>
  <c r="DZ32"/>
  <c r="DK32"/>
  <c r="CV32"/>
  <c r="BR32"/>
  <c r="BC32"/>
  <c r="AN32"/>
  <c r="Y32"/>
  <c r="FS31"/>
  <c r="FD31"/>
  <c r="EO31"/>
  <c r="DZ31"/>
  <c r="DK31"/>
  <c r="CV31"/>
  <c r="BR31"/>
  <c r="BC31"/>
  <c r="AN31"/>
  <c r="Y31"/>
  <c r="FD30"/>
  <c r="EO30"/>
  <c r="DZ30"/>
  <c r="CV30"/>
  <c r="BC30"/>
  <c r="AN30"/>
  <c r="Y30"/>
  <c r="FS29"/>
  <c r="FD29"/>
  <c r="FS30"/>
  <c r="DK30"/>
  <c r="BR30"/>
  <c r="EO29"/>
  <c r="DZ29"/>
  <c r="DK29"/>
  <c r="CV29"/>
  <c r="BR29"/>
  <c r="BC29"/>
  <c r="AN29"/>
  <c r="Y29"/>
  <c r="FS28"/>
  <c r="FD28"/>
  <c r="EO28"/>
  <c r="DZ28"/>
  <c r="DK28"/>
  <c r="CV28"/>
  <c r="BC28"/>
  <c r="AN28"/>
  <c r="Y28"/>
  <c r="BR28"/>
  <c r="FD27"/>
  <c r="DK27"/>
  <c r="CV27"/>
  <c r="Y27"/>
  <c r="FS26"/>
  <c r="FD26"/>
  <c r="EO26"/>
  <c r="DK26"/>
  <c r="CV26"/>
  <c r="BR26"/>
  <c r="BC26"/>
  <c r="AN26"/>
  <c r="Y26"/>
  <c r="DZ25"/>
  <c r="DK25"/>
  <c r="BC25"/>
  <c r="Y25"/>
  <c r="FD24"/>
  <c r="EO24"/>
  <c r="CV24"/>
  <c r="BC24"/>
  <c r="FS27"/>
  <c r="EO27"/>
  <c r="DZ27"/>
  <c r="BR27"/>
  <c r="BC27"/>
  <c r="AN27"/>
  <c r="DZ26"/>
  <c r="FS25"/>
  <c r="FD25"/>
  <c r="EO25"/>
  <c r="CV25"/>
  <c r="BR25"/>
  <c r="AN25"/>
  <c r="FS24"/>
  <c r="DZ24"/>
  <c r="DK24"/>
  <c r="BR24"/>
  <c r="AN24"/>
  <c r="Y24"/>
  <c r="DK22"/>
  <c r="CV22"/>
  <c r="BR22"/>
  <c r="CV23"/>
  <c r="BR23"/>
  <c r="BC23"/>
  <c r="FS22"/>
  <c r="FD22"/>
  <c r="EO22"/>
  <c r="DZ22"/>
  <c r="BC22"/>
  <c r="AN22"/>
  <c r="Y22"/>
  <c r="FS21"/>
  <c r="FD21"/>
  <c r="EO21"/>
  <c r="DZ21"/>
  <c r="DK21"/>
  <c r="CV21"/>
  <c r="BR21"/>
  <c r="BC21"/>
  <c r="AN21"/>
  <c r="Y21"/>
  <c r="BC20"/>
  <c r="AN20"/>
  <c r="Y20"/>
  <c r="FS20"/>
  <c r="FD20"/>
  <c r="EO20"/>
  <c r="DZ20"/>
  <c r="DK20"/>
  <c r="CV20"/>
  <c r="BR20"/>
  <c r="FS18"/>
  <c r="FS19"/>
  <c r="FD19"/>
  <c r="EO19"/>
  <c r="DZ19"/>
  <c r="DK19"/>
  <c r="CV19"/>
  <c r="BR19"/>
  <c r="BC19"/>
  <c r="AN19"/>
  <c r="Y19"/>
  <c r="FD18"/>
  <c r="EO18"/>
  <c r="DZ18"/>
  <c r="DK18"/>
  <c r="CV18"/>
  <c r="BR18"/>
  <c r="BC18"/>
  <c r="AN18"/>
  <c r="Y18"/>
  <c r="FD17"/>
  <c r="DZ17"/>
  <c r="DK17"/>
  <c r="CV17"/>
  <c r="BR17"/>
  <c r="BC17"/>
  <c r="AN17"/>
  <c r="Y17"/>
  <c r="FS17"/>
  <c r="EO17"/>
  <c r="EO16"/>
  <c r="FS16"/>
  <c r="FD16"/>
  <c r="DZ16"/>
  <c r="DK16"/>
  <c r="CV16"/>
  <c r="BR16"/>
  <c r="BC16"/>
  <c r="AN16"/>
  <c r="Y16"/>
  <c r="FS14"/>
  <c r="FD14"/>
  <c r="DZ14"/>
  <c r="DK14"/>
  <c r="CV14"/>
  <c r="BC14"/>
  <c r="Y14"/>
  <c r="CV13"/>
  <c r="FS15"/>
  <c r="FD15"/>
  <c r="EO15"/>
  <c r="DZ15"/>
  <c r="DK15"/>
  <c r="CV15"/>
  <c r="BR15"/>
  <c r="BC15"/>
  <c r="AN15"/>
  <c r="Y15"/>
  <c r="EO14"/>
  <c r="BR14"/>
  <c r="AN14"/>
  <c r="BR13"/>
  <c r="AN13"/>
  <c r="FS12"/>
  <c r="DZ12"/>
  <c r="CV12"/>
  <c r="BC12"/>
  <c r="AN12"/>
  <c r="BC13"/>
  <c r="Y13"/>
  <c r="FD12"/>
  <c r="EO12"/>
  <c r="DK12"/>
  <c r="BR12"/>
  <c r="Y12"/>
  <c r="FS11"/>
  <c r="FD11"/>
  <c r="EO11"/>
  <c r="DK11"/>
  <c r="CV11"/>
  <c r="BR11"/>
  <c r="BC11"/>
  <c r="FS10"/>
  <c r="FD10"/>
  <c r="EO10"/>
  <c r="DZ10"/>
  <c r="DK10"/>
  <c r="CV10"/>
  <c r="BR10"/>
  <c r="BC10"/>
  <c r="AN10"/>
  <c r="Y10"/>
  <c r="EO9"/>
  <c r="CV9"/>
  <c r="BR9"/>
  <c r="BC9"/>
  <c r="AN9"/>
  <c r="Y9"/>
  <c r="FS9"/>
  <c r="FD9"/>
  <c r="DZ9"/>
  <c r="DK9"/>
  <c r="FS7"/>
  <c r="FD7"/>
  <c r="DZ7"/>
  <c r="CV7"/>
  <c r="EO7"/>
  <c r="DK7"/>
  <c r="BR7"/>
  <c r="BC7"/>
  <c r="AN7"/>
  <c r="Y7"/>
  <c r="GS72" i="15"/>
  <c r="GB72"/>
  <c r="FK72"/>
  <c r="EC72"/>
  <c r="DL72"/>
  <c r="CD72"/>
  <c r="BM72"/>
  <c r="AV72"/>
  <c r="GS71"/>
  <c r="GB71"/>
  <c r="FK71"/>
  <c r="EC71"/>
  <c r="DL71"/>
  <c r="CD71"/>
  <c r="BM71"/>
  <c r="AV71"/>
  <c r="GS70"/>
  <c r="GB70"/>
  <c r="FK70"/>
  <c r="DL70"/>
  <c r="CD70"/>
  <c r="BM70"/>
  <c r="AV70"/>
  <c r="GS69"/>
  <c r="GB69"/>
  <c r="FK69"/>
  <c r="DL69"/>
  <c r="CD69"/>
  <c r="BM69"/>
  <c r="AV69"/>
  <c r="GS68"/>
  <c r="GB68"/>
  <c r="FK68"/>
  <c r="DL68"/>
  <c r="CD68"/>
  <c r="BM68"/>
  <c r="AV68"/>
  <c r="GS67"/>
  <c r="GB67"/>
  <c r="FK67"/>
  <c r="DL67"/>
  <c r="CD67"/>
  <c r="BM67"/>
  <c r="AV67"/>
  <c r="GS66"/>
  <c r="GB66"/>
  <c r="FK66"/>
  <c r="DL66"/>
  <c r="CD66"/>
  <c r="BM66"/>
  <c r="AV66"/>
  <c r="GS65"/>
  <c r="GB65"/>
  <c r="FK65"/>
  <c r="DL65"/>
  <c r="CD65"/>
  <c r="BM65"/>
  <c r="AV65"/>
  <c r="GS62"/>
  <c r="GB62"/>
  <c r="FK62"/>
  <c r="DL62"/>
  <c r="CD62"/>
  <c r="BM62"/>
  <c r="AV62"/>
  <c r="GS61"/>
  <c r="DL59"/>
  <c r="CD59"/>
  <c r="BM59"/>
  <c r="AV59"/>
  <c r="DL64"/>
  <c r="CD64"/>
  <c r="BM64"/>
  <c r="AV64"/>
  <c r="GS63"/>
  <c r="GB63"/>
  <c r="FK63"/>
  <c r="DL63"/>
  <c r="CD63"/>
  <c r="BM63"/>
  <c r="AV63"/>
  <c r="GB61"/>
  <c r="GD61" s="1"/>
  <c r="FK61"/>
  <c r="FM61" s="1"/>
  <c r="DL61"/>
  <c r="CD61"/>
  <c r="BM61"/>
  <c r="AV61"/>
  <c r="GS60"/>
  <c r="GB60"/>
  <c r="FK60"/>
  <c r="DL60"/>
  <c r="CD60"/>
  <c r="BM60"/>
  <c r="AV60"/>
  <c r="GS59"/>
  <c r="GB59"/>
  <c r="FK59"/>
  <c r="GS58"/>
  <c r="GB58"/>
  <c r="FK58"/>
  <c r="DL58"/>
  <c r="CD58"/>
  <c r="BM58"/>
  <c r="AV58"/>
  <c r="GS57"/>
  <c r="GB57"/>
  <c r="FK57"/>
  <c r="DL57"/>
  <c r="CD57"/>
  <c r="BM57"/>
  <c r="AV57"/>
  <c r="GS56"/>
  <c r="GB56"/>
  <c r="FK56"/>
  <c r="DL56"/>
  <c r="CD56"/>
  <c r="BM56"/>
  <c r="AV56"/>
  <c r="GS55"/>
  <c r="GB55"/>
  <c r="FK55"/>
  <c r="DL55"/>
  <c r="CD55"/>
  <c r="BM55"/>
  <c r="AV55"/>
  <c r="GS54"/>
  <c r="GB54"/>
  <c r="FK54"/>
  <c r="DL52"/>
  <c r="CD52"/>
  <c r="BM52"/>
  <c r="AV52"/>
  <c r="GS51"/>
  <c r="GB51"/>
  <c r="FK51"/>
  <c r="DL51"/>
  <c r="CD51"/>
  <c r="BM51"/>
  <c r="AV51"/>
  <c r="GS50"/>
  <c r="GB50"/>
  <c r="FK50"/>
  <c r="DL50"/>
  <c r="CD50"/>
  <c r="BM50"/>
  <c r="AV50"/>
  <c r="DL54"/>
  <c r="CD54"/>
  <c r="BM54"/>
  <c r="AV54"/>
  <c r="GS53"/>
  <c r="GB53"/>
  <c r="FK53"/>
  <c r="DL53"/>
  <c r="CD53"/>
  <c r="BM53"/>
  <c r="AV53"/>
  <c r="DL49"/>
  <c r="CD49"/>
  <c r="BM49"/>
  <c r="AV49"/>
  <c r="GS48"/>
  <c r="GB48"/>
  <c r="FK48"/>
  <c r="GB47"/>
  <c r="FK47"/>
  <c r="GS49"/>
  <c r="GB49"/>
  <c r="FK49"/>
  <c r="DL48"/>
  <c r="CD48"/>
  <c r="BM48"/>
  <c r="AV48"/>
  <c r="GS47"/>
  <c r="DL47"/>
  <c r="CD47"/>
  <c r="BM47"/>
  <c r="AV47"/>
  <c r="GS46"/>
  <c r="GB46"/>
  <c r="FK46"/>
  <c r="DL46"/>
  <c r="CD46"/>
  <c r="BM46"/>
  <c r="AV46"/>
  <c r="GS45"/>
  <c r="GB45"/>
  <c r="DL44"/>
  <c r="FK45"/>
  <c r="DL45"/>
  <c r="CD45"/>
  <c r="BM45"/>
  <c r="AV45"/>
  <c r="GS43"/>
  <c r="GB43"/>
  <c r="FK43"/>
  <c r="DL43"/>
  <c r="CD43"/>
  <c r="BM43"/>
  <c r="AV43"/>
  <c r="DL42"/>
  <c r="CD42"/>
  <c r="BM42"/>
  <c r="AV42"/>
  <c r="GS41"/>
  <c r="GB41"/>
  <c r="FK41"/>
  <c r="DL41"/>
  <c r="CD41"/>
  <c r="BM41"/>
  <c r="AV41"/>
  <c r="GS40"/>
  <c r="GB40"/>
  <c r="FK40"/>
  <c r="DL40"/>
  <c r="CD40"/>
  <c r="BM40"/>
  <c r="AV40"/>
  <c r="GS39"/>
  <c r="GB39"/>
  <c r="FK39"/>
  <c r="DL39"/>
  <c r="CD39"/>
  <c r="BM39"/>
  <c r="AV39"/>
  <c r="GS38"/>
  <c r="GB38"/>
  <c r="FK38"/>
  <c r="DL38"/>
  <c r="CD38"/>
  <c r="BM38"/>
  <c r="AV38"/>
  <c r="GS37"/>
  <c r="GB37"/>
  <c r="FK37"/>
  <c r="DL37"/>
  <c r="CD37"/>
  <c r="BM37"/>
  <c r="AV37"/>
  <c r="GS36"/>
  <c r="GB36"/>
  <c r="FK36"/>
  <c r="DL36"/>
  <c r="CD36"/>
  <c r="AV36"/>
  <c r="BM36"/>
  <c r="GS33"/>
  <c r="GB33"/>
  <c r="GS35"/>
  <c r="GB35"/>
  <c r="FK35"/>
  <c r="DL35"/>
  <c r="CD35"/>
  <c r="BM35"/>
  <c r="AV35"/>
  <c r="GS34"/>
  <c r="GB34"/>
  <c r="DL34"/>
  <c r="CD34"/>
  <c r="BM34"/>
  <c r="AV34"/>
  <c r="DL33"/>
  <c r="CD33"/>
  <c r="BM33"/>
  <c r="AV33"/>
  <c r="GS32"/>
  <c r="GB32"/>
  <c r="DL32"/>
  <c r="CD32"/>
  <c r="BM32"/>
  <c r="AV32"/>
  <c r="GS31"/>
  <c r="GB31"/>
  <c r="DL31"/>
  <c r="CD31"/>
  <c r="BM31"/>
  <c r="AV31"/>
  <c r="GS30"/>
  <c r="GB30"/>
  <c r="DL30"/>
  <c r="CD30"/>
  <c r="BM30"/>
  <c r="AV30"/>
  <c r="GS29"/>
  <c r="GB29"/>
  <c r="DL29"/>
  <c r="CD29"/>
  <c r="BM29"/>
  <c r="AV29"/>
  <c r="GS28"/>
  <c r="GB28"/>
  <c r="DL28"/>
  <c r="CD28"/>
  <c r="BM28"/>
  <c r="AV28"/>
  <c r="GS27"/>
  <c r="GB27"/>
  <c r="DL27"/>
  <c r="CD27"/>
  <c r="BM27"/>
  <c r="AV27"/>
  <c r="GS26"/>
  <c r="GB26"/>
  <c r="DL26"/>
  <c r="CD26"/>
  <c r="BM26"/>
  <c r="AV26"/>
  <c r="GS25"/>
  <c r="GB25"/>
  <c r="DL25"/>
  <c r="CD25"/>
  <c r="BM25"/>
  <c r="AV25"/>
  <c r="GS24"/>
  <c r="GB24"/>
  <c r="DL24"/>
  <c r="CD24"/>
  <c r="BM24"/>
  <c r="AV24"/>
  <c r="GS23"/>
  <c r="GB23"/>
  <c r="DL23"/>
  <c r="CD23"/>
  <c r="BM23"/>
  <c r="AV23"/>
  <c r="FQ24" i="5"/>
  <c r="FO24"/>
  <c r="FB24"/>
  <c r="EM24"/>
  <c r="EK24"/>
  <c r="DX24"/>
  <c r="DI24"/>
  <c r="DG24"/>
  <c r="CT24"/>
  <c r="CR24"/>
  <c r="CG24"/>
  <c r="CE24"/>
  <c r="CC24"/>
  <c r="AY24"/>
  <c r="AJ24"/>
  <c r="U24"/>
  <c r="I24"/>
  <c r="CF24"/>
  <c r="CD24"/>
  <c r="AZ24"/>
  <c r="AM24"/>
  <c r="AL24" s="1"/>
  <c r="X24"/>
  <c r="V24"/>
  <c r="J24"/>
  <c r="DL22" i="15"/>
  <c r="CD22"/>
  <c r="BM22"/>
  <c r="AV22"/>
  <c r="GS21"/>
  <c r="GB21"/>
  <c r="DL21"/>
  <c r="CD21"/>
  <c r="BM21"/>
  <c r="AV21"/>
  <c r="GS20"/>
  <c r="GB20"/>
  <c r="DL20"/>
  <c r="CD20"/>
  <c r="BM20"/>
  <c r="AV20"/>
  <c r="GS19"/>
  <c r="GB19"/>
  <c r="DL19"/>
  <c r="CD19"/>
  <c r="BM19"/>
  <c r="AV19"/>
  <c r="GS18"/>
  <c r="GB18"/>
  <c r="DL18"/>
  <c r="CD18"/>
  <c r="BM18"/>
  <c r="AV18"/>
  <c r="GS17"/>
  <c r="GB17"/>
  <c r="DL17"/>
  <c r="CD17"/>
  <c r="BM17"/>
  <c r="AV17"/>
  <c r="GS16"/>
  <c r="GB16"/>
  <c r="DL16"/>
  <c r="CD16"/>
  <c r="BM16"/>
  <c r="AV16"/>
  <c r="GS15"/>
  <c r="GB15"/>
  <c r="GD15" s="1"/>
  <c r="DL15"/>
  <c r="CD15"/>
  <c r="BM15"/>
  <c r="AV15"/>
  <c r="GS14"/>
  <c r="GB14"/>
  <c r="DL14"/>
  <c r="CD14"/>
  <c r="BM14"/>
  <c r="AV14"/>
  <c r="GS13"/>
  <c r="GB13"/>
  <c r="DL13"/>
  <c r="CD13"/>
  <c r="BM13"/>
  <c r="AV13"/>
  <c r="DL12"/>
  <c r="CD12"/>
  <c r="BM12"/>
  <c r="AV12"/>
  <c r="GS11"/>
  <c r="GB11"/>
  <c r="DL11"/>
  <c r="CD11"/>
  <c r="BM11"/>
  <c r="AV11"/>
  <c r="GS10"/>
  <c r="GB10"/>
  <c r="DL10"/>
  <c r="CD10"/>
  <c r="BM10"/>
  <c r="GS9"/>
  <c r="GB9"/>
  <c r="DL9"/>
  <c r="CD9"/>
  <c r="BM9"/>
  <c r="AV9"/>
  <c r="GS8"/>
  <c r="GB8"/>
  <c r="FK8"/>
  <c r="ET8"/>
  <c r="DL8"/>
  <c r="CD8"/>
  <c r="BM8"/>
  <c r="AV8"/>
  <c r="GS7"/>
  <c r="GB7"/>
  <c r="FK7"/>
  <c r="ET7"/>
  <c r="EC7"/>
  <c r="DL7"/>
  <c r="CD7"/>
  <c r="BM7"/>
  <c r="AV7"/>
  <c r="AA864" i="10"/>
  <c r="AE155"/>
  <c r="N167"/>
  <c r="W167" s="1"/>
  <c r="W154"/>
  <c r="L153"/>
  <c r="AK145"/>
  <c r="AK144"/>
  <c r="Z144"/>
  <c r="Z870" s="1"/>
  <c r="R144"/>
  <c r="Q145" s="1"/>
  <c r="J144"/>
  <c r="J870" s="1"/>
  <c r="J1376" s="1"/>
  <c r="AK143"/>
  <c r="AA143"/>
  <c r="V143"/>
  <c r="T143"/>
  <c r="AE143" s="1"/>
  <c r="L143"/>
  <c r="N143" s="1"/>
  <c r="AK142"/>
  <c r="AA142"/>
  <c r="V142"/>
  <c r="T142"/>
  <c r="AE142" s="1"/>
  <c r="L142"/>
  <c r="N142" s="1"/>
  <c r="AK141"/>
  <c r="AE141"/>
  <c r="AA141"/>
  <c r="V141"/>
  <c r="L141"/>
  <c r="N141" s="1"/>
  <c r="AK140"/>
  <c r="AE140"/>
  <c r="AA140"/>
  <c r="V140"/>
  <c r="N140"/>
  <c r="F71" i="15" s="1"/>
  <c r="AK139" i="10"/>
  <c r="AE139"/>
  <c r="AA139"/>
  <c r="V139"/>
  <c r="N139"/>
  <c r="F70" i="15" s="1"/>
  <c r="AK138" i="10"/>
  <c r="AE138"/>
  <c r="AA138"/>
  <c r="V138"/>
  <c r="K138"/>
  <c r="N138" s="1"/>
  <c r="W138" s="1"/>
  <c r="AK137"/>
  <c r="AE137"/>
  <c r="AA137"/>
  <c r="V137"/>
  <c r="N137"/>
  <c r="W137" s="1"/>
  <c r="AK136"/>
  <c r="AE136"/>
  <c r="AA136"/>
  <c r="V136"/>
  <c r="N136"/>
  <c r="W136" s="1"/>
  <c r="AK135"/>
  <c r="AE135"/>
  <c r="AA135"/>
  <c r="V135"/>
  <c r="N135"/>
  <c r="W135" s="1"/>
  <c r="AK134"/>
  <c r="AE134"/>
  <c r="AA134"/>
  <c r="V134"/>
  <c r="N134"/>
  <c r="W134" s="1"/>
  <c r="AK133"/>
  <c r="AE133"/>
  <c r="AA133"/>
  <c r="V133"/>
  <c r="N133"/>
  <c r="W133" s="1"/>
  <c r="AK132"/>
  <c r="AE132"/>
  <c r="AA132"/>
  <c r="V132"/>
  <c r="N132"/>
  <c r="W132" s="1"/>
  <c r="AK131"/>
  <c r="AE131"/>
  <c r="AA131"/>
  <c r="V131"/>
  <c r="N131"/>
  <c r="W131" s="1"/>
  <c r="AK130"/>
  <c r="AE130"/>
  <c r="AA130"/>
  <c r="V130"/>
  <c r="N130"/>
  <c r="W130" s="1"/>
  <c r="AK129"/>
  <c r="AE129"/>
  <c r="AA129"/>
  <c r="V129"/>
  <c r="N129"/>
  <c r="W129" s="1"/>
  <c r="AK128"/>
  <c r="AE128"/>
  <c r="V128"/>
  <c r="N128"/>
  <c r="W128" s="1"/>
  <c r="AK127"/>
  <c r="AE127"/>
  <c r="AA127"/>
  <c r="V127"/>
  <c r="K127"/>
  <c r="AK126"/>
  <c r="AE126"/>
  <c r="AA126"/>
  <c r="V126"/>
  <c r="L126"/>
  <c r="N126" s="1"/>
  <c r="AK125"/>
  <c r="AE125"/>
  <c r="AA125"/>
  <c r="V125"/>
  <c r="L125"/>
  <c r="N125" s="1"/>
  <c r="W125" s="1"/>
  <c r="AK124"/>
  <c r="AE124"/>
  <c r="AA124"/>
  <c r="V124"/>
  <c r="L124"/>
  <c r="N124" s="1"/>
  <c r="AK123"/>
  <c r="AE123"/>
  <c r="AA123"/>
  <c r="V123"/>
  <c r="L123"/>
  <c r="N123" s="1"/>
  <c r="AK122"/>
  <c r="AE122"/>
  <c r="AA122"/>
  <c r="V122"/>
  <c r="L122"/>
  <c r="N122" s="1"/>
  <c r="W122" s="1"/>
  <c r="AK121"/>
  <c r="AE121"/>
  <c r="AA121"/>
  <c r="V121"/>
  <c r="L121"/>
  <c r="N121" s="1"/>
  <c r="AK120"/>
  <c r="AE120"/>
  <c r="AA120"/>
  <c r="V120"/>
  <c r="L120"/>
  <c r="N120" s="1"/>
  <c r="AK119"/>
  <c r="AE119"/>
  <c r="AA119"/>
  <c r="V119"/>
  <c r="L119"/>
  <c r="N119" s="1"/>
  <c r="W119" s="1"/>
  <c r="AK118"/>
  <c r="AE118"/>
  <c r="AA118"/>
  <c r="V118"/>
  <c r="L118"/>
  <c r="N118" s="1"/>
  <c r="AK117"/>
  <c r="AE117"/>
  <c r="AA117"/>
  <c r="V117"/>
  <c r="N117"/>
  <c r="W117" s="1"/>
  <c r="AK116"/>
  <c r="AE116"/>
  <c r="AA116"/>
  <c r="V116"/>
  <c r="L116"/>
  <c r="N116" s="1"/>
  <c r="AK115"/>
  <c r="AE115"/>
  <c r="AA115"/>
  <c r="W115"/>
  <c r="M115"/>
  <c r="V115" s="1"/>
  <c r="L115"/>
  <c r="AK114"/>
  <c r="AE114"/>
  <c r="AA114"/>
  <c r="W114"/>
  <c r="M114"/>
  <c r="V114" s="1"/>
  <c r="L114"/>
  <c r="AK113"/>
  <c r="AE113"/>
  <c r="AA113"/>
  <c r="W113"/>
  <c r="M113"/>
  <c r="V113" s="1"/>
  <c r="L113"/>
  <c r="AK112"/>
  <c r="AE112"/>
  <c r="AA112"/>
  <c r="W112"/>
  <c r="M112"/>
  <c r="V112" s="1"/>
  <c r="AK111"/>
  <c r="AA111"/>
  <c r="V111"/>
  <c r="T111"/>
  <c r="AE111" s="1"/>
  <c r="L111"/>
  <c r="N111" s="1"/>
  <c r="F66" i="15" s="1"/>
  <c r="AK110" i="10"/>
  <c r="AE110"/>
  <c r="AA110"/>
  <c r="W110"/>
  <c r="M110"/>
  <c r="E63" i="15" s="1"/>
  <c r="AK109" i="10"/>
  <c r="AE109"/>
  <c r="AA109"/>
  <c r="V109"/>
  <c r="L109"/>
  <c r="N109" s="1"/>
  <c r="F61" i="15" s="1"/>
  <c r="AK108" i="10"/>
  <c r="AE108"/>
  <c r="AA108"/>
  <c r="V108"/>
  <c r="L108"/>
  <c r="N108" s="1"/>
  <c r="AK107"/>
  <c r="AE107"/>
  <c r="AA107"/>
  <c r="V107"/>
  <c r="L107"/>
  <c r="AK106"/>
  <c r="AE106"/>
  <c r="AA106"/>
  <c r="V106"/>
  <c r="L106"/>
  <c r="N106" s="1"/>
  <c r="AK105"/>
  <c r="AE105"/>
  <c r="AA105"/>
  <c r="V105"/>
  <c r="L105"/>
  <c r="N105" s="1"/>
  <c r="AK104"/>
  <c r="AE104"/>
  <c r="AA104"/>
  <c r="V104"/>
  <c r="L104"/>
  <c r="N104" s="1"/>
  <c r="AK103"/>
  <c r="AE103"/>
  <c r="AA103"/>
  <c r="V103"/>
  <c r="L103"/>
  <c r="AK102"/>
  <c r="AE102"/>
  <c r="AA102"/>
  <c r="V102"/>
  <c r="L102"/>
  <c r="N102" s="1"/>
  <c r="AK101"/>
  <c r="AA101"/>
  <c r="V101"/>
  <c r="T101"/>
  <c r="L101"/>
  <c r="AK100"/>
  <c r="AA100"/>
  <c r="V100"/>
  <c r="T100"/>
  <c r="AE100" s="1"/>
  <c r="L100"/>
  <c r="N100" s="1"/>
  <c r="AK99"/>
  <c r="AE99"/>
  <c r="AA99"/>
  <c r="V99"/>
  <c r="K99"/>
  <c r="N99" s="1"/>
  <c r="W99" s="1"/>
  <c r="AK98"/>
  <c r="W98"/>
  <c r="V98"/>
  <c r="AK97"/>
  <c r="W97"/>
  <c r="V97"/>
  <c r="AK96"/>
  <c r="AE96"/>
  <c r="AA96"/>
  <c r="V96"/>
  <c r="K96"/>
  <c r="N96" s="1"/>
  <c r="AK95"/>
  <c r="AE95"/>
  <c r="AA95"/>
  <c r="V95"/>
  <c r="U95"/>
  <c r="N95"/>
  <c r="AK94"/>
  <c r="AE94"/>
  <c r="AA94"/>
  <c r="V94"/>
  <c r="N94"/>
  <c r="AK93"/>
  <c r="AE93"/>
  <c r="AA93"/>
  <c r="V93"/>
  <c r="K93"/>
  <c r="N93" s="1"/>
  <c r="AK92"/>
  <c r="AA92"/>
  <c r="V92"/>
  <c r="T92"/>
  <c r="AE92" s="1"/>
  <c r="L92"/>
  <c r="N92" s="1"/>
  <c r="AK91"/>
  <c r="AA91"/>
  <c r="V91"/>
  <c r="T91"/>
  <c r="L91"/>
  <c r="N91" s="1"/>
  <c r="AK90"/>
  <c r="AA90"/>
  <c r="V90"/>
  <c r="T90"/>
  <c r="AE90" s="1"/>
  <c r="L90"/>
  <c r="N90" s="1"/>
  <c r="AK89"/>
  <c r="AA89"/>
  <c r="V89"/>
  <c r="T89"/>
  <c r="L89"/>
  <c r="N89" s="1"/>
  <c r="AK88"/>
  <c r="AA88"/>
  <c r="V88"/>
  <c r="T88"/>
  <c r="AE88" s="1"/>
  <c r="L88"/>
  <c r="N88" s="1"/>
  <c r="AK87"/>
  <c r="AE87"/>
  <c r="V87"/>
  <c r="S87"/>
  <c r="L87"/>
  <c r="AK86"/>
  <c r="AA86"/>
  <c r="V86"/>
  <c r="T86"/>
  <c r="AE86" s="1"/>
  <c r="L86"/>
  <c r="N86" s="1"/>
  <c r="AK85"/>
  <c r="AA85"/>
  <c r="V85"/>
  <c r="T85"/>
  <c r="AE85" s="1"/>
  <c r="L85"/>
  <c r="N85" s="1"/>
  <c r="AK84"/>
  <c r="AA84"/>
  <c r="V84"/>
  <c r="T84"/>
  <c r="AE84" s="1"/>
  <c r="L84"/>
  <c r="N84" s="1"/>
  <c r="AK83"/>
  <c r="AA83"/>
  <c r="V83"/>
  <c r="T83"/>
  <c r="AE83" s="1"/>
  <c r="L83"/>
  <c r="N83" s="1"/>
  <c r="F53" i="15" s="1"/>
  <c r="AK82" i="10"/>
  <c r="AE82"/>
  <c r="AA82"/>
  <c r="V82"/>
  <c r="N82"/>
  <c r="F46" i="15" s="1"/>
  <c r="AK81" i="10"/>
  <c r="AE81"/>
  <c r="AA81"/>
  <c r="V81"/>
  <c r="L81"/>
  <c r="N81" s="1"/>
  <c r="F45" i="15" s="1"/>
  <c r="AK80" i="10"/>
  <c r="AE80"/>
  <c r="AA80"/>
  <c r="V80"/>
  <c r="L80"/>
  <c r="AK79"/>
  <c r="AE79"/>
  <c r="AA79"/>
  <c r="V79"/>
  <c r="N79"/>
  <c r="AK78"/>
  <c r="AE78"/>
  <c r="AA78"/>
  <c r="V78"/>
  <c r="N78"/>
  <c r="AK77"/>
  <c r="AA77"/>
  <c r="V77"/>
  <c r="T77"/>
  <c r="AE77" s="1"/>
  <c r="L77"/>
  <c r="N77" s="1"/>
  <c r="F39" i="15" s="1"/>
  <c r="AK76" i="10"/>
  <c r="AE76"/>
  <c r="AA76"/>
  <c r="V76"/>
  <c r="N76"/>
  <c r="F38" i="15" s="1"/>
  <c r="AK75" i="10"/>
  <c r="AA75"/>
  <c r="V75"/>
  <c r="T75"/>
  <c r="AE75" s="1"/>
  <c r="AE166" l="1"/>
  <c r="AE168"/>
  <c r="AV10" i="15"/>
  <c r="AV73" s="1"/>
  <c r="W85" i="10"/>
  <c r="EC73" i="15"/>
  <c r="N127" i="10"/>
  <c r="F69" i="15" s="1"/>
  <c r="W142" i="10"/>
  <c r="W95"/>
  <c r="N166"/>
  <c r="W166" s="1"/>
  <c r="F57" i="15"/>
  <c r="F54"/>
  <c r="N107" i="10"/>
  <c r="W107" s="1"/>
  <c r="F40" i="15"/>
  <c r="F56"/>
  <c r="AE89" i="10"/>
  <c r="F68" i="15"/>
  <c r="W143" i="10"/>
  <c r="W100"/>
  <c r="W82"/>
  <c r="W93"/>
  <c r="W96"/>
  <c r="W102"/>
  <c r="W106"/>
  <c r="W111"/>
  <c r="W121"/>
  <c r="W139"/>
  <c r="F72" i="15"/>
  <c r="W141" i="10"/>
  <c r="W77"/>
  <c r="W78"/>
  <c r="W79"/>
  <c r="N80"/>
  <c r="F41" i="15" s="1"/>
  <c r="W83" i="10"/>
  <c r="W86"/>
  <c r="N87"/>
  <c r="F55" i="15" s="1"/>
  <c r="AA87" i="10"/>
  <c r="W89"/>
  <c r="W90"/>
  <c r="AE91"/>
  <c r="W94"/>
  <c r="N101"/>
  <c r="W101" s="1"/>
  <c r="AE101"/>
  <c r="N103"/>
  <c r="F59" i="15" s="1"/>
  <c r="W108" i="10"/>
  <c r="W109"/>
  <c r="V110"/>
  <c r="E67" i="15"/>
  <c r="W116" i="10"/>
  <c r="W118"/>
  <c r="W123"/>
  <c r="W124"/>
  <c r="W140"/>
  <c r="W76"/>
  <c r="W81"/>
  <c r="W84"/>
  <c r="W88"/>
  <c r="W91"/>
  <c r="W92"/>
  <c r="W104"/>
  <c r="W105"/>
  <c r="W120"/>
  <c r="W126"/>
  <c r="AN75" i="5"/>
  <c r="AV7" s="1"/>
  <c r="FS75"/>
  <c r="P22" i="31" s="1"/>
  <c r="Y75" i="5"/>
  <c r="P12" i="31" s="1"/>
  <c r="BC75" i="5"/>
  <c r="BK7" s="1"/>
  <c r="FD75"/>
  <c r="P21" i="31" s="1"/>
  <c r="DL73" i="15"/>
  <c r="GB73"/>
  <c r="BR75" i="5"/>
  <c r="BZ7" s="1"/>
  <c r="EO75"/>
  <c r="P20" i="31" s="1"/>
  <c r="M137" i="13"/>
  <c r="O137" s="1"/>
  <c r="L864" i="10"/>
  <c r="DH24" i="5"/>
  <c r="EL24"/>
  <c r="FP24"/>
  <c r="GD27" i="15"/>
  <c r="N153" i="10"/>
  <c r="BM73" i="15"/>
  <c r="CD73"/>
  <c r="FK73"/>
  <c r="GS73"/>
  <c r="W24" i="5"/>
  <c r="AK24"/>
  <c r="CS24"/>
  <c r="DW24"/>
  <c r="DV24" s="1"/>
  <c r="FA24"/>
  <c r="EZ24" s="1"/>
  <c r="BQ24"/>
  <c r="BP24" s="1"/>
  <c r="BO24" s="1"/>
  <c r="BN24" s="1"/>
  <c r="DY24"/>
  <c r="BB24"/>
  <c r="BA24" s="1"/>
  <c r="EN24"/>
  <c r="DK75"/>
  <c r="CV75"/>
  <c r="DJ24"/>
  <c r="FR24"/>
  <c r="CU24"/>
  <c r="FC24"/>
  <c r="L75" i="10"/>
  <c r="N75" s="1"/>
  <c r="W75" s="1"/>
  <c r="AK74"/>
  <c r="AA74"/>
  <c r="V74"/>
  <c r="T74"/>
  <c r="AE74" s="1"/>
  <c r="L74"/>
  <c r="N74" s="1"/>
  <c r="AK73"/>
  <c r="AA73"/>
  <c r="V73"/>
  <c r="T73"/>
  <c r="AE73" s="1"/>
  <c r="L73"/>
  <c r="N73" s="1"/>
  <c r="AK72"/>
  <c r="AA72"/>
  <c r="V72"/>
  <c r="T72"/>
  <c r="L72"/>
  <c r="N72" s="1"/>
  <c r="AK71"/>
  <c r="AA71"/>
  <c r="V71"/>
  <c r="T71"/>
  <c r="AE71" s="1"/>
  <c r="L71"/>
  <c r="N71" s="1"/>
  <c r="AK70"/>
  <c r="AA70"/>
  <c r="V70"/>
  <c r="T70"/>
  <c r="AE70" s="1"/>
  <c r="AE864" l="1"/>
  <c r="F60" i="15"/>
  <c r="W127" i="10"/>
  <c r="W73"/>
  <c r="F37" i="15"/>
  <c r="AE72" i="10"/>
  <c r="F34" i="15"/>
  <c r="W87" i="10"/>
  <c r="W71"/>
  <c r="W72"/>
  <c r="W74"/>
  <c r="W103"/>
  <c r="W80"/>
  <c r="F58" i="15"/>
  <c r="P15" i="31"/>
  <c r="P13"/>
  <c r="GA7" i="5"/>
  <c r="EW7"/>
  <c r="AG7"/>
  <c r="G75"/>
  <c r="P17" i="31"/>
  <c r="DD7" i="5"/>
  <c r="P18" i="31"/>
  <c r="DS7" i="5"/>
  <c r="N864" i="10"/>
  <c r="W153"/>
  <c r="L70"/>
  <c r="N70" s="1"/>
  <c r="W70" s="1"/>
  <c r="AK69"/>
  <c r="AA69"/>
  <c r="V69"/>
  <c r="T69"/>
  <c r="L69"/>
  <c r="N69" s="1"/>
  <c r="AK68"/>
  <c r="AA68"/>
  <c r="V68"/>
  <c r="T68"/>
  <c r="AE68" s="1"/>
  <c r="L68"/>
  <c r="N68" s="1"/>
  <c r="AK67"/>
  <c r="AA67"/>
  <c r="AD865" l="1"/>
  <c r="W68"/>
  <c r="AE69"/>
  <c r="M72" i="15"/>
  <c r="W69" i="10"/>
  <c r="F75" i="5"/>
  <c r="Q5" s="1"/>
  <c r="Q6"/>
  <c r="V67" i="10"/>
  <c r="K67"/>
  <c r="T67" s="1"/>
  <c r="AE67" s="1"/>
  <c r="AK66"/>
  <c r="M71" i="15" s="1"/>
  <c r="AA66" i="10"/>
  <c r="V66"/>
  <c r="T66"/>
  <c r="AE66" s="1"/>
  <c r="L66"/>
  <c r="N66" s="1"/>
  <c r="W66" s="1"/>
  <c r="AK65"/>
  <c r="M70" i="15" s="1"/>
  <c r="AA65" i="10"/>
  <c r="V65"/>
  <c r="T65"/>
  <c r="AE65" s="1"/>
  <c r="L65"/>
  <c r="N65" s="1"/>
  <c r="W65" s="1"/>
  <c r="AK64"/>
  <c r="M69" i="15" s="1"/>
  <c r="AA64" i="10"/>
  <c r="V64"/>
  <c r="T64"/>
  <c r="AE64" s="1"/>
  <c r="L64"/>
  <c r="N64" s="1"/>
  <c r="W64" s="1"/>
  <c r="AK63"/>
  <c r="M68" i="15" s="1"/>
  <c r="AA63" i="10"/>
  <c r="V63"/>
  <c r="T63"/>
  <c r="AE63" s="1"/>
  <c r="L63"/>
  <c r="N63" s="1"/>
  <c r="W63" s="1"/>
  <c r="AK62"/>
  <c r="M67" i="15" s="1"/>
  <c r="AA62" i="10"/>
  <c r="V62"/>
  <c r="T62"/>
  <c r="AE62" s="1"/>
  <c r="L62"/>
  <c r="N62" s="1"/>
  <c r="W62" s="1"/>
  <c r="AK61"/>
  <c r="M66" i="15" s="1"/>
  <c r="AA61" i="10"/>
  <c r="V61"/>
  <c r="T61"/>
  <c r="AE61" s="1"/>
  <c r="L61"/>
  <c r="N61" s="1"/>
  <c r="W61" s="1"/>
  <c r="AK60"/>
  <c r="M65" i="15" s="1"/>
  <c r="AE60" i="10"/>
  <c r="AA60"/>
  <c r="V60"/>
  <c r="N60"/>
  <c r="W60" s="1"/>
  <c r="AK59"/>
  <c r="AE59"/>
  <c r="AA59"/>
  <c r="V59"/>
  <c r="N59"/>
  <c r="W59" s="1"/>
  <c r="AK58"/>
  <c r="AA58"/>
  <c r="V58"/>
  <c r="T58"/>
  <c r="AE58" s="1"/>
  <c r="L58"/>
  <c r="N58" s="1"/>
  <c r="W58" s="1"/>
  <c r="AK57"/>
  <c r="AE57"/>
  <c r="AA57"/>
  <c r="V57"/>
  <c r="N57"/>
  <c r="W57" s="1"/>
  <c r="AK56"/>
  <c r="AE56"/>
  <c r="AA56"/>
  <c r="V56"/>
  <c r="U56"/>
  <c r="N56"/>
  <c r="AK55"/>
  <c r="AE55"/>
  <c r="AA55"/>
  <c r="V55"/>
  <c r="N55"/>
  <c r="AK54"/>
  <c r="AE54"/>
  <c r="AA54"/>
  <c r="V54"/>
  <c r="K54"/>
  <c r="N54" s="1"/>
  <c r="F31" i="15" s="1"/>
  <c r="AK53" i="10"/>
  <c r="AA53"/>
  <c r="V53"/>
  <c r="T53"/>
  <c r="AE53" s="1"/>
  <c r="L53"/>
  <c r="N53" s="1"/>
  <c r="F29" i="15" s="1"/>
  <c r="AK52" i="10"/>
  <c r="AE52"/>
  <c r="AA52"/>
  <c r="V52"/>
  <c r="N52"/>
  <c r="F28" i="15" s="1"/>
  <c r="AK51" i="10"/>
  <c r="V51"/>
  <c r="T51"/>
  <c r="S51"/>
  <c r="N51"/>
  <c r="F27" i="15" s="1"/>
  <c r="AK50" i="10"/>
  <c r="AA50"/>
  <c r="V50"/>
  <c r="T50"/>
  <c r="AE50" s="1"/>
  <c r="L50"/>
  <c r="N50" s="1"/>
  <c r="AK49"/>
  <c r="AA49"/>
  <c r="V49"/>
  <c r="T49"/>
  <c r="AE49" s="1"/>
  <c r="L49"/>
  <c r="N49" s="1"/>
  <c r="AK48"/>
  <c r="AE48"/>
  <c r="AA48"/>
  <c r="W48"/>
  <c r="M48"/>
  <c r="E24" i="15" s="1"/>
  <c r="L48" i="10"/>
  <c r="AK47"/>
  <c r="AA47"/>
  <c r="V47"/>
  <c r="F26" i="15" l="1"/>
  <c r="M54"/>
  <c r="M58"/>
  <c r="H60" i="5" s="1"/>
  <c r="W56" i="10"/>
  <c r="M61" i="15"/>
  <c r="H63" i="5" s="1"/>
  <c r="M62" i="15"/>
  <c r="Z865" i="10"/>
  <c r="Z1376" s="1"/>
  <c r="M51" i="15"/>
  <c r="M56"/>
  <c r="M60"/>
  <c r="H62" i="5" s="1"/>
  <c r="M63" i="15"/>
  <c r="M53"/>
  <c r="M52"/>
  <c r="W49" i="10"/>
  <c r="W52"/>
  <c r="V48"/>
  <c r="W50"/>
  <c r="M55" i="15"/>
  <c r="AE51" i="10"/>
  <c r="W53"/>
  <c r="M57" i="15"/>
  <c r="H59" i="5" s="1"/>
  <c r="W54" i="10"/>
  <c r="W55"/>
  <c r="M59" i="15"/>
  <c r="W51" i="10"/>
  <c r="N11" i="31"/>
  <c r="T47" i="10"/>
  <c r="AE47" s="1"/>
  <c r="L47"/>
  <c r="N47" s="1"/>
  <c r="AK46"/>
  <c r="M50" i="15" s="1"/>
  <c r="AA46" i="10"/>
  <c r="V46"/>
  <c r="T46"/>
  <c r="AE46" s="1"/>
  <c r="L46"/>
  <c r="N46" s="1"/>
  <c r="AK45"/>
  <c r="AA45"/>
  <c r="V45"/>
  <c r="T45"/>
  <c r="AE45" s="1"/>
  <c r="L45"/>
  <c r="N45" s="1"/>
  <c r="AK44"/>
  <c r="AA44"/>
  <c r="V44"/>
  <c r="T44"/>
  <c r="AE44" s="1"/>
  <c r="L44"/>
  <c r="N44" s="1"/>
  <c r="AK43"/>
  <c r="AA43"/>
  <c r="V43"/>
  <c r="T43"/>
  <c r="AE43" s="1"/>
  <c r="L43"/>
  <c r="N43" s="1"/>
  <c r="AK42"/>
  <c r="AE42"/>
  <c r="AA42"/>
  <c r="V42"/>
  <c r="N42"/>
  <c r="W42" s="1"/>
  <c r="AK41"/>
  <c r="AE41"/>
  <c r="AA41"/>
  <c r="V41"/>
  <c r="N41"/>
  <c r="W41" s="1"/>
  <c r="AK40"/>
  <c r="AA40"/>
  <c r="V40"/>
  <c r="T40"/>
  <c r="AE40" s="1"/>
  <c r="L40"/>
  <c r="N40" s="1"/>
  <c r="AK39"/>
  <c r="AE39"/>
  <c r="AA39"/>
  <c r="V39"/>
  <c r="N39"/>
  <c r="W39" s="1"/>
  <c r="AK38"/>
  <c r="AE38"/>
  <c r="AA38"/>
  <c r="V38"/>
  <c r="N38"/>
  <c r="AK37"/>
  <c r="AE37"/>
  <c r="AA37"/>
  <c r="V37"/>
  <c r="L37"/>
  <c r="N37" s="1"/>
  <c r="AK36"/>
  <c r="AA36"/>
  <c r="V36"/>
  <c r="T36"/>
  <c r="L36"/>
  <c r="N36" s="1"/>
  <c r="AK35"/>
  <c r="AE35"/>
  <c r="AA35"/>
  <c r="V35"/>
  <c r="F19" i="15" l="1"/>
  <c r="M46"/>
  <c r="M48"/>
  <c r="M38"/>
  <c r="M40"/>
  <c r="M45"/>
  <c r="M43"/>
  <c r="M42"/>
  <c r="F23"/>
  <c r="W47" i="10"/>
  <c r="W40"/>
  <c r="W44"/>
  <c r="W36"/>
  <c r="F18" i="15"/>
  <c r="W38" i="10"/>
  <c r="M41" i="15"/>
  <c r="W43" i="10"/>
  <c r="M47" i="15"/>
  <c r="W45" i="10"/>
  <c r="M49" i="15"/>
  <c r="AE36" i="10"/>
  <c r="M39" i="15"/>
  <c r="W37" i="10"/>
  <c r="W46"/>
  <c r="L11" i="31"/>
  <c r="L35" i="10"/>
  <c r="N35" s="1"/>
  <c r="W35" s="1"/>
  <c r="AK34"/>
  <c r="M37" i="15" s="1"/>
  <c r="AA34" i="10"/>
  <c r="V34"/>
  <c r="T34"/>
  <c r="AE34" s="1"/>
  <c r="L34"/>
  <c r="N34" s="1"/>
  <c r="AK33"/>
  <c r="AA33"/>
  <c r="V33"/>
  <c r="K33"/>
  <c r="T33" s="1"/>
  <c r="AK32"/>
  <c r="AA32"/>
  <c r="V32"/>
  <c r="T32"/>
  <c r="AE32" s="1"/>
  <c r="L32"/>
  <c r="N32" s="1"/>
  <c r="F15" i="15" s="1"/>
  <c r="AK31" i="10"/>
  <c r="AE31"/>
  <c r="AA31"/>
  <c r="V31"/>
  <c r="N31"/>
  <c r="F14" i="15" s="1"/>
  <c r="AK30" i="10"/>
  <c r="AA30"/>
  <c r="V30"/>
  <c r="T30"/>
  <c r="AE30" s="1"/>
  <c r="L30"/>
  <c r="N30" s="1"/>
  <c r="F13" i="15" s="1"/>
  <c r="AK29" i="10"/>
  <c r="AA29"/>
  <c r="V29"/>
  <c r="T29"/>
  <c r="L29"/>
  <c r="N29" s="1"/>
  <c r="AK28"/>
  <c r="AA28"/>
  <c r="V28"/>
  <c r="U28"/>
  <c r="K28"/>
  <c r="T28" s="1"/>
  <c r="AE28" s="1"/>
  <c r="AK27"/>
  <c r="AA27"/>
  <c r="V27"/>
  <c r="T27"/>
  <c r="AE27" s="1"/>
  <c r="M36" i="15" l="1"/>
  <c r="M34"/>
  <c r="M30"/>
  <c r="M31"/>
  <c r="M33"/>
  <c r="M35"/>
  <c r="AE29" i="10"/>
  <c r="M32" i="15"/>
  <c r="F17"/>
  <c r="W29" i="10"/>
  <c r="W30"/>
  <c r="W31"/>
  <c r="W32"/>
  <c r="AE33"/>
  <c r="W34"/>
  <c r="L27"/>
  <c r="N27" s="1"/>
  <c r="W27" s="1"/>
  <c r="AK26"/>
  <c r="M29" i="15" s="1"/>
  <c r="AD26" i="10"/>
  <c r="AA26"/>
  <c r="V26"/>
  <c r="U26"/>
  <c r="U144" s="1"/>
  <c r="K26"/>
  <c r="T26" s="1"/>
  <c r="T144" s="1"/>
  <c r="AK25"/>
  <c r="M28" i="15" s="1"/>
  <c r="AE25" i="10"/>
  <c r="AA25"/>
  <c r="L26" l="1"/>
  <c r="N26" s="1"/>
  <c r="W26" s="1"/>
  <c r="S144"/>
  <c r="S870" s="1"/>
  <c r="R870" s="1"/>
  <c r="R1376" s="1"/>
  <c r="Q1377" s="1"/>
  <c r="T870"/>
  <c r="T1376" s="1"/>
  <c r="S145"/>
  <c r="AE26"/>
  <c r="V25"/>
  <c r="N25"/>
  <c r="W25" s="1"/>
  <c r="AK24"/>
  <c r="M27" i="15" s="1"/>
  <c r="AE24" i="10"/>
  <c r="AA24"/>
  <c r="V24"/>
  <c r="N24"/>
  <c r="AK23"/>
  <c r="AE23"/>
  <c r="AA23"/>
  <c r="W23"/>
  <c r="M23"/>
  <c r="V23" s="1"/>
  <c r="L23"/>
  <c r="AK22"/>
  <c r="AE22"/>
  <c r="AA22"/>
  <c r="W22"/>
  <c r="M22"/>
  <c r="V22" s="1"/>
  <c r="L22"/>
  <c r="AK21"/>
  <c r="AE21"/>
  <c r="AA21"/>
  <c r="W21"/>
  <c r="M21"/>
  <c r="V21" s="1"/>
  <c r="L21"/>
  <c r="AK20"/>
  <c r="AE20"/>
  <c r="AA20"/>
  <c r="W20"/>
  <c r="M20"/>
  <c r="V20" s="1"/>
  <c r="L20"/>
  <c r="AK19"/>
  <c r="AE19"/>
  <c r="AA19"/>
  <c r="W19"/>
  <c r="M19"/>
  <c r="V19" s="1"/>
  <c r="L19"/>
  <c r="AK18"/>
  <c r="AE18"/>
  <c r="AA18"/>
  <c r="W18"/>
  <c r="M18"/>
  <c r="V18" s="1"/>
  <c r="L18"/>
  <c r="AK17"/>
  <c r="AE17"/>
  <c r="AA17"/>
  <c r="W17"/>
  <c r="M17"/>
  <c r="V17" s="1"/>
  <c r="L17"/>
  <c r="AK16"/>
  <c r="AE16"/>
  <c r="AA16"/>
  <c r="W16"/>
  <c r="M16"/>
  <c r="V16" s="1"/>
  <c r="L16"/>
  <c r="AK15"/>
  <c r="AE15"/>
  <c r="AA15"/>
  <c r="W15"/>
  <c r="M15"/>
  <c r="V15" s="1"/>
  <c r="L15"/>
  <c r="AK14"/>
  <c r="AE14"/>
  <c r="AA14"/>
  <c r="W14"/>
  <c r="M14"/>
  <c r="V14" s="1"/>
  <c r="L14"/>
  <c r="AK13"/>
  <c r="AE13"/>
  <c r="AA13"/>
  <c r="W13"/>
  <c r="M13"/>
  <c r="L13"/>
  <c r="AK12"/>
  <c r="AE12"/>
  <c r="AA12"/>
  <c r="V12"/>
  <c r="N12"/>
  <c r="W12" s="1"/>
  <c r="AK11"/>
  <c r="AE11"/>
  <c r="AA11"/>
  <c r="V11"/>
  <c r="N11"/>
  <c r="W11" s="1"/>
  <c r="AK10"/>
  <c r="AE10"/>
  <c r="AA10"/>
  <c r="V10"/>
  <c r="N10"/>
  <c r="W10" s="1"/>
  <c r="AK9"/>
  <c r="AE9"/>
  <c r="AA9"/>
  <c r="V9"/>
  <c r="N9"/>
  <c r="W9" s="1"/>
  <c r="AK8"/>
  <c r="AE8"/>
  <c r="AA8"/>
  <c r="V8"/>
  <c r="N8"/>
  <c r="W8" s="1"/>
  <c r="AK7"/>
  <c r="AE7"/>
  <c r="AA7"/>
  <c r="V7"/>
  <c r="N7"/>
  <c r="W7" s="1"/>
  <c r="AK6"/>
  <c r="AE6"/>
  <c r="AA6"/>
  <c r="V6"/>
  <c r="N6"/>
  <c r="D8" i="13"/>
  <c r="L8" s="1"/>
  <c r="D72"/>
  <c r="L72" s="1"/>
  <c r="D140"/>
  <c r="L140" s="1"/>
  <c r="M138"/>
  <c r="D194"/>
  <c r="H194" s="1"/>
  <c r="C537"/>
  <c r="D537" s="1"/>
  <c r="Q536"/>
  <c r="C613"/>
  <c r="D613" s="1"/>
  <c r="Q612"/>
  <c r="C682"/>
  <c r="D682" s="1"/>
  <c r="Q681"/>
  <c r="O612"/>
  <c r="O675" s="1"/>
  <c r="K21" i="31" s="1"/>
  <c r="J21" s="1"/>
  <c r="GJ15" i="15"/>
  <c r="GJ27"/>
  <c r="FB48"/>
  <c r="FB49"/>
  <c r="GJ61"/>
  <c r="FL7" i="5"/>
  <c r="J15" i="31"/>
  <c r="P14"/>
  <c r="J14"/>
  <c r="J13"/>
  <c r="E13"/>
  <c r="AA144" i="10" l="1"/>
  <c r="AA870" s="1"/>
  <c r="AA1376" s="1"/>
  <c r="Z1377" s="1"/>
  <c r="M15" i="15"/>
  <c r="H16" i="5" s="1"/>
  <c r="M17" i="15"/>
  <c r="H18" i="5" s="1"/>
  <c r="M23" i="15"/>
  <c r="H25" i="5" s="1"/>
  <c r="M21" i="15"/>
  <c r="H22" i="5" s="1"/>
  <c r="M25" i="15"/>
  <c r="H27" i="5" s="1"/>
  <c r="M11" i="15"/>
  <c r="H12" i="5" s="1"/>
  <c r="M14" i="15"/>
  <c r="H15" i="5" s="1"/>
  <c r="M16" i="15"/>
  <c r="H17" i="5" s="1"/>
  <c r="M19" i="15"/>
  <c r="H20" i="5" s="1"/>
  <c r="M24" i="15"/>
  <c r="H26" i="5" s="1"/>
  <c r="M26" i="15"/>
  <c r="H28" i="5" s="1"/>
  <c r="CQ7" i="15"/>
  <c r="AU7"/>
  <c r="CC7"/>
  <c r="DK7"/>
  <c r="ES7"/>
  <c r="GA7"/>
  <c r="O8"/>
  <c r="J9" i="5" s="1"/>
  <c r="AC7" i="15"/>
  <c r="DJ7"/>
  <c r="ER7"/>
  <c r="FZ7"/>
  <c r="AA8"/>
  <c r="AU8"/>
  <c r="AM9" i="5" s="1"/>
  <c r="BI8" i="15"/>
  <c r="AY9" i="5" s="1"/>
  <c r="CC8" i="15"/>
  <c r="BQ9" i="5" s="1"/>
  <c r="DK8" i="15"/>
  <c r="CU9" i="5" s="1"/>
  <c r="FJ8" i="15"/>
  <c r="EN9" i="5" s="1"/>
  <c r="GR8" i="15"/>
  <c r="FR9" i="5" s="1"/>
  <c r="AU9" i="15"/>
  <c r="AM10" i="5" s="1"/>
  <c r="M10" i="15"/>
  <c r="H11" i="5" s="1"/>
  <c r="FG10" i="15"/>
  <c r="EK11" i="5" s="1"/>
  <c r="FG12" i="15"/>
  <c r="FG14"/>
  <c r="EK15" i="5" s="1"/>
  <c r="FG16" i="15"/>
  <c r="FG18"/>
  <c r="FG20"/>
  <c r="EK21" i="5" s="1"/>
  <c r="FG22" i="15"/>
  <c r="FG24"/>
  <c r="FG26"/>
  <c r="EK28" i="5" s="1"/>
  <c r="FG28" i="15"/>
  <c r="FG30"/>
  <c r="FG32"/>
  <c r="EK34" i="5" s="1"/>
  <c r="FG34" i="15"/>
  <c r="EK36" i="5" s="1"/>
  <c r="ES10" i="15"/>
  <c r="DY11" i="5" s="1"/>
  <c r="ES12" i="15"/>
  <c r="ES14"/>
  <c r="DY15" i="5" s="1"/>
  <c r="ES16" i="15"/>
  <c r="DY17" i="5" s="1"/>
  <c r="ES18" i="15"/>
  <c r="DY19" i="5" s="1"/>
  <c r="ES20" i="15"/>
  <c r="DY21" i="5" s="1"/>
  <c r="FH10" i="15"/>
  <c r="EL11" i="5" s="1"/>
  <c r="FH12" i="15"/>
  <c r="FH14"/>
  <c r="EL15" i="5" s="1"/>
  <c r="FH16" i="15"/>
  <c r="FH18"/>
  <c r="EL19" i="5" s="1"/>
  <c r="FH20" i="15"/>
  <c r="EL21" i="5" s="1"/>
  <c r="FH22" i="15"/>
  <c r="FH24"/>
  <c r="FH26"/>
  <c r="FH28"/>
  <c r="EL30" i="5" s="1"/>
  <c r="FH30" i="15"/>
  <c r="EL32" i="5" s="1"/>
  <c r="FH32" i="15"/>
  <c r="EL34" i="5" s="1"/>
  <c r="FH34" i="15"/>
  <c r="EL36" i="5" s="1"/>
  <c r="ER12" i="15"/>
  <c r="ER14"/>
  <c r="ER16"/>
  <c r="ER18"/>
  <c r="ER20"/>
  <c r="ER22"/>
  <c r="ER24"/>
  <c r="ER26"/>
  <c r="ER28"/>
  <c r="DX30" i="5" s="1"/>
  <c r="ER30" i="15"/>
  <c r="ER32"/>
  <c r="DX34" i="5" s="1"/>
  <c r="ER34" i="15"/>
  <c r="ER36"/>
  <c r="ER38"/>
  <c r="ER40"/>
  <c r="ER42"/>
  <c r="ER44"/>
  <c r="ER46"/>
  <c r="ER48"/>
  <c r="ER50"/>
  <c r="DX52" i="5" s="1"/>
  <c r="ES22" i="15"/>
  <c r="ES26"/>
  <c r="DY28" i="5" s="1"/>
  <c r="DX28" s="1"/>
  <c r="ES30" i="15"/>
  <c r="DY32" i="5" s="1"/>
  <c r="ES34" i="15"/>
  <c r="DY36" i="5" s="1"/>
  <c r="DX36" s="1"/>
  <c r="ES38" i="15"/>
  <c r="DY40" i="5" s="1"/>
  <c r="ES42" i="15"/>
  <c r="ES46"/>
  <c r="DY48" i="5" s="1"/>
  <c r="ES50" i="15"/>
  <c r="DY52" i="5" s="1"/>
  <c r="EQ53" i="15"/>
  <c r="EQ55"/>
  <c r="DW57" i="5" s="1"/>
  <c r="EQ57" i="15"/>
  <c r="DW59" i="5" s="1"/>
  <c r="EQ59" i="15"/>
  <c r="DW61" i="5" s="1"/>
  <c r="EQ61" i="15"/>
  <c r="EQ63"/>
  <c r="DW65" i="5" s="1"/>
  <c r="EQ65" i="15"/>
  <c r="EQ67"/>
  <c r="EQ69"/>
  <c r="DW71" i="5" s="1"/>
  <c r="EQ71" i="15"/>
  <c r="DW73" i="5" s="1"/>
  <c r="DZ8" i="15"/>
  <c r="EB10"/>
  <c r="DJ11" i="5" s="1"/>
  <c r="DZ12" i="15"/>
  <c r="EB14"/>
  <c r="DJ15" i="5" s="1"/>
  <c r="DZ16" i="15"/>
  <c r="EB18"/>
  <c r="DJ19" i="5" s="1"/>
  <c r="DZ20" i="15"/>
  <c r="DH21" i="5" s="1"/>
  <c r="EB22" i="15"/>
  <c r="DZ24"/>
  <c r="DH26" i="5" s="1"/>
  <c r="EB26" i="15"/>
  <c r="DJ28" i="5" s="1"/>
  <c r="DZ28" i="15"/>
  <c r="DH30" i="5" s="1"/>
  <c r="EB30" i="15"/>
  <c r="DJ32" i="5" s="1"/>
  <c r="DZ32" i="15"/>
  <c r="EB34"/>
  <c r="DJ36" i="5" s="1"/>
  <c r="DZ36" i="15"/>
  <c r="EB38"/>
  <c r="DJ40" i="5" s="1"/>
  <c r="EA41" i="15"/>
  <c r="EA45"/>
  <c r="DY49"/>
  <c r="EB52"/>
  <c r="DZ56"/>
  <c r="DH58" i="5" s="1"/>
  <c r="EA61" i="15"/>
  <c r="EB64"/>
  <c r="EQ21"/>
  <c r="EQ25"/>
  <c r="EQ29"/>
  <c r="DW31" i="5" s="1"/>
  <c r="EQ33" i="15"/>
  <c r="DW35" i="5" s="1"/>
  <c r="EQ37" i="15"/>
  <c r="DW39" i="5" s="1"/>
  <c r="EQ41" i="15"/>
  <c r="DW43" i="5" s="1"/>
  <c r="EQ45" i="15"/>
  <c r="DW47" i="5" s="1"/>
  <c r="EQ49" i="15"/>
  <c r="ER52"/>
  <c r="ER54"/>
  <c r="ER56"/>
  <c r="DX58" i="5" s="1"/>
  <c r="ER58" i="15"/>
  <c r="DX60" i="5" s="1"/>
  <c r="ER60" i="15"/>
  <c r="ER62"/>
  <c r="DX64" i="5" s="1"/>
  <c r="ER64" i="15"/>
  <c r="ER66"/>
  <c r="ER68"/>
  <c r="ER70"/>
  <c r="ER72"/>
  <c r="EB9"/>
  <c r="DJ10" i="5" s="1"/>
  <c r="DZ11" i="15"/>
  <c r="DH12" i="5" s="1"/>
  <c r="EB13" i="15"/>
  <c r="DJ14" i="5" s="1"/>
  <c r="DZ15" i="15"/>
  <c r="EB17"/>
  <c r="DJ18" i="5" s="1"/>
  <c r="DZ19" i="15"/>
  <c r="DH20" i="5" s="1"/>
  <c r="EB21" i="15"/>
  <c r="DJ22" i="5" s="1"/>
  <c r="FG9" i="15"/>
  <c r="EK10" i="5" s="1"/>
  <c r="FG11" i="15"/>
  <c r="EK12" i="5" s="1"/>
  <c r="FG13" i="15"/>
  <c r="EK14" i="5" s="1"/>
  <c r="FG15" i="15"/>
  <c r="FG17"/>
  <c r="EK18" i="5" s="1"/>
  <c r="FG19" i="15"/>
  <c r="EK20" i="5" s="1"/>
  <c r="FG21" i="15"/>
  <c r="EK22" i="5" s="1"/>
  <c r="FG23" i="15"/>
  <c r="FG25"/>
  <c r="EK27" i="5" s="1"/>
  <c r="FG27" i="15"/>
  <c r="FG29"/>
  <c r="EK31" i="5" s="1"/>
  <c r="FG31" i="15"/>
  <c r="EK33" i="5" s="1"/>
  <c r="FG33" i="15"/>
  <c r="EK35" i="5" s="1"/>
  <c r="EQ9" i="15"/>
  <c r="DW10" i="5" s="1"/>
  <c r="EQ11" i="15"/>
  <c r="DW12" i="5" s="1"/>
  <c r="EQ13" i="15"/>
  <c r="DW14" i="5" s="1"/>
  <c r="EQ15" i="15"/>
  <c r="EQ17"/>
  <c r="DW18" i="5" s="1"/>
  <c r="EQ19" i="15"/>
  <c r="FJ9"/>
  <c r="EN10" i="5" s="1"/>
  <c r="FJ11" i="15"/>
  <c r="EN12" i="5" s="1"/>
  <c r="FJ13" i="15"/>
  <c r="EN14" i="5" s="1"/>
  <c r="FJ15" i="15"/>
  <c r="FJ17"/>
  <c r="EN18" i="5" s="1"/>
  <c r="FJ19" i="15"/>
  <c r="EN20" i="5" s="1"/>
  <c r="FJ21" i="15"/>
  <c r="EN22" i="5" s="1"/>
  <c r="FJ23" i="15"/>
  <c r="EN25" i="5" s="1"/>
  <c r="FJ25" i="15"/>
  <c r="EN27" i="5" s="1"/>
  <c r="FJ27" i="15"/>
  <c r="FJ29"/>
  <c r="EN31" i="5" s="1"/>
  <c r="FJ31" i="15"/>
  <c r="EN33" i="5" s="1"/>
  <c r="FJ33" i="15"/>
  <c r="EN35" i="5" s="1"/>
  <c r="ER9" i="15"/>
  <c r="ER11"/>
  <c r="DX12" i="5" s="1"/>
  <c r="ER13" i="15"/>
  <c r="DX14" i="5" s="1"/>
  <c r="ER15" i="15"/>
  <c r="ER17"/>
  <c r="ER19"/>
  <c r="ER21"/>
  <c r="ER23"/>
  <c r="ER25"/>
  <c r="ER27"/>
  <c r="ER29"/>
  <c r="ER31"/>
  <c r="ER33"/>
  <c r="ER35"/>
  <c r="DX37" i="5" s="1"/>
  <c r="ER37" i="15"/>
  <c r="ER39"/>
  <c r="ER41"/>
  <c r="ER43"/>
  <c r="ER45"/>
  <c r="ER47"/>
  <c r="ER49"/>
  <c r="ER51"/>
  <c r="DX53" i="5" s="1"/>
  <c r="ES23" i="15"/>
  <c r="DY25" i="5" s="1"/>
  <c r="ES27" i="15"/>
  <c r="DY29" i="5" s="1"/>
  <c r="ES31" i="15"/>
  <c r="DY33" i="5" s="1"/>
  <c r="ES35" i="15"/>
  <c r="DY37" i="5" s="1"/>
  <c r="ES39" i="15"/>
  <c r="DY41" i="5" s="1"/>
  <c r="ES43" i="15"/>
  <c r="DY45" i="5" s="1"/>
  <c r="DX45" s="1"/>
  <c r="ES47" i="15"/>
  <c r="DY49" i="5" s="1"/>
  <c r="ES51" i="15"/>
  <c r="DY53" i="5" s="1"/>
  <c r="ES53" i="15"/>
  <c r="DY55" i="5" s="1"/>
  <c r="ES55" i="15"/>
  <c r="DY57" i="5" s="1"/>
  <c r="ES57" i="15"/>
  <c r="DY59" i="5" s="1"/>
  <c r="ES59" i="15"/>
  <c r="DY61" i="5" s="1"/>
  <c r="ES61" i="15"/>
  <c r="DY63" i="5" s="1"/>
  <c r="ES63" i="15"/>
  <c r="DY65" i="5" s="1"/>
  <c r="ES65" i="15"/>
  <c r="DY67" i="5" s="1"/>
  <c r="ES67" i="15"/>
  <c r="DY69" i="5" s="1"/>
  <c r="ES69" i="15"/>
  <c r="DY71" i="5" s="1"/>
  <c r="ES71" i="15"/>
  <c r="DY73" i="5" s="1"/>
  <c r="EB8" i="15"/>
  <c r="DJ9" i="5" s="1"/>
  <c r="DZ10" i="15"/>
  <c r="EB12"/>
  <c r="DZ14"/>
  <c r="DH15" i="5" s="1"/>
  <c r="EB16" i="15"/>
  <c r="DJ17" i="5" s="1"/>
  <c r="DK9" i="15"/>
  <c r="CU10" i="5" s="1"/>
  <c r="AE7" i="15"/>
  <c r="AD7"/>
  <c r="BL7"/>
  <c r="CT7"/>
  <c r="EB7"/>
  <c r="FJ7"/>
  <c r="EN7" i="5" s="1"/>
  <c r="GR7" i="15"/>
  <c r="AD8"/>
  <c r="X9" i="5" s="1"/>
  <c r="CU7" i="15"/>
  <c r="DY7"/>
  <c r="FG7"/>
  <c r="GO7"/>
  <c r="AE8"/>
  <c r="AT8"/>
  <c r="AL9" i="5" s="1"/>
  <c r="BL8" i="15"/>
  <c r="BB9" i="5" s="1"/>
  <c r="CT8" i="15"/>
  <c r="CF9" i="5" s="1"/>
  <c r="ES8" i="15"/>
  <c r="DY9" i="5" s="1"/>
  <c r="GA8" i="15"/>
  <c r="FC9" i="5" s="1"/>
  <c r="O9" i="15"/>
  <c r="J10" i="5" s="1"/>
  <c r="CC9" i="15"/>
  <c r="BQ10" i="5" s="1"/>
  <c r="FI9" i="15"/>
  <c r="FI11"/>
  <c r="EM12" i="5" s="1"/>
  <c r="FI13" i="15"/>
  <c r="EM14" i="5" s="1"/>
  <c r="FI15" i="15"/>
  <c r="FI17"/>
  <c r="FI19"/>
  <c r="FI21"/>
  <c r="FI23"/>
  <c r="FI25"/>
  <c r="FI27"/>
  <c r="FI29"/>
  <c r="FI31"/>
  <c r="FI33"/>
  <c r="ES9"/>
  <c r="DY10" i="5" s="1"/>
  <c r="ES11" i="15"/>
  <c r="DY12" i="5" s="1"/>
  <c r="ES13" i="15"/>
  <c r="DY14" i="5" s="1"/>
  <c r="ES15" i="15"/>
  <c r="DY16" i="5" s="1"/>
  <c r="ES17" i="15"/>
  <c r="DY18" i="5" s="1"/>
  <c r="ES19" i="15"/>
  <c r="DY20" i="5" s="1"/>
  <c r="FH9" i="15"/>
  <c r="EL10" i="5" s="1"/>
  <c r="FH11" i="15"/>
  <c r="EL12" i="5" s="1"/>
  <c r="FH13" i="15"/>
  <c r="EL14" i="5" s="1"/>
  <c r="FH15" i="15"/>
  <c r="FH17"/>
  <c r="EL18" i="5" s="1"/>
  <c r="FH19" i="15"/>
  <c r="EL20" i="5" s="1"/>
  <c r="FH21" i="15"/>
  <c r="EL22" i="5" s="1"/>
  <c r="FH23" i="15"/>
  <c r="FH25"/>
  <c r="FH27"/>
  <c r="FH29"/>
  <c r="EL31" i="5" s="1"/>
  <c r="FH31" i="15"/>
  <c r="EL33" i="5" s="1"/>
  <c r="FH33" i="15"/>
  <c r="EL35" i="5" s="1"/>
  <c r="EP9" i="15"/>
  <c r="DV10" i="5" s="1"/>
  <c r="EP11" i="15"/>
  <c r="DV12" i="5" s="1"/>
  <c r="EP13" i="15"/>
  <c r="EP15"/>
  <c r="EP17"/>
  <c r="DV18" i="5" s="1"/>
  <c r="EP19" i="15"/>
  <c r="DV20" i="5" s="1"/>
  <c r="EP21" i="15"/>
  <c r="EP23"/>
  <c r="DV25" i="5" s="1"/>
  <c r="EP25" i="15"/>
  <c r="EP27"/>
  <c r="EP29"/>
  <c r="DV31" i="5" s="1"/>
  <c r="EP31" i="15"/>
  <c r="DV33" i="5" s="1"/>
  <c r="EP33" i="15"/>
  <c r="DV35" i="5" s="1"/>
  <c r="EP35" i="15"/>
  <c r="DV37" i="5" s="1"/>
  <c r="EP37" i="15"/>
  <c r="DV39" i="5" s="1"/>
  <c r="EP39" i="15"/>
  <c r="DV41" i="5" s="1"/>
  <c r="EP41" i="15"/>
  <c r="DV43" i="5" s="1"/>
  <c r="EP43" i="15"/>
  <c r="EP45"/>
  <c r="DV47" i="5" s="1"/>
  <c r="EP47" i="15"/>
  <c r="DV49" i="5" s="1"/>
  <c r="EP49" i="15"/>
  <c r="EP51"/>
  <c r="ES24"/>
  <c r="DY26" i="5" s="1"/>
  <c r="ES28" i="15"/>
  <c r="DY30" i="5" s="1"/>
  <c r="ES32" i="15"/>
  <c r="DY34" i="5" s="1"/>
  <c r="ES36" i="15"/>
  <c r="DY38" i="5" s="1"/>
  <c r="DX38" s="1"/>
  <c r="ES40" i="15"/>
  <c r="DY42" i="5" s="1"/>
  <c r="ES44" i="15"/>
  <c r="ES48"/>
  <c r="DY50" i="5" s="1"/>
  <c r="EQ52" i="15"/>
  <c r="EQ54"/>
  <c r="DW56" i="5" s="1"/>
  <c r="EQ56" i="15"/>
  <c r="DW58" i="5" s="1"/>
  <c r="EQ58" i="15"/>
  <c r="DW60" i="5" s="1"/>
  <c r="EQ60" i="15"/>
  <c r="EQ62"/>
  <c r="DW64" i="5" s="1"/>
  <c r="EQ64" i="15"/>
  <c r="EQ66"/>
  <c r="EQ68"/>
  <c r="DW70" i="5" s="1"/>
  <c r="EQ70" i="15"/>
  <c r="DW72" i="5" s="1"/>
  <c r="EQ72" i="15"/>
  <c r="DW74" i="5" s="1"/>
  <c r="DY9" i="15"/>
  <c r="EA11"/>
  <c r="DI12" i="5" s="1"/>
  <c r="DY13" i="15"/>
  <c r="DG14" i="5" s="1"/>
  <c r="EA15" i="15"/>
  <c r="DY17"/>
  <c r="DG18" i="5" s="1"/>
  <c r="EA19" i="15"/>
  <c r="DY21"/>
  <c r="DG22" i="5" s="1"/>
  <c r="EA23" i="15"/>
  <c r="DY25"/>
  <c r="DG27" i="5" s="1"/>
  <c r="EA27" i="15"/>
  <c r="DY29"/>
  <c r="DG31" i="5" s="1"/>
  <c r="EA31" i="15"/>
  <c r="DY33"/>
  <c r="EA35"/>
  <c r="DI37" i="5" s="1"/>
  <c r="DY37" i="15"/>
  <c r="EA39"/>
  <c r="EA43"/>
  <c r="EA47"/>
  <c r="EB50"/>
  <c r="DJ52" i="5" s="1"/>
  <c r="DZ54" i="15"/>
  <c r="DH56" i="5" s="1"/>
  <c r="EA59" i="15"/>
  <c r="DY63"/>
  <c r="DG65" i="5" s="1"/>
  <c r="EB66" i="15"/>
  <c r="DJ68" i="5" s="1"/>
  <c r="EQ23" i="15"/>
  <c r="DW25" i="5" s="1"/>
  <c r="EQ27" i="15"/>
  <c r="EQ31"/>
  <c r="DW33" i="5" s="1"/>
  <c r="EQ35" i="15"/>
  <c r="DW37" i="5" s="1"/>
  <c r="EQ39" i="15"/>
  <c r="DW41" i="5" s="1"/>
  <c r="EQ43" i="15"/>
  <c r="EQ47"/>
  <c r="EQ51"/>
  <c r="DW53" i="5" s="1"/>
  <c r="EP53" i="15"/>
  <c r="EP55"/>
  <c r="DV57" i="5" s="1"/>
  <c r="EP57" i="15"/>
  <c r="DV59" i="5" s="1"/>
  <c r="EP59" i="15"/>
  <c r="DV61" i="5" s="1"/>
  <c r="EP61" i="15"/>
  <c r="EP63"/>
  <c r="DV65" i="5" s="1"/>
  <c r="EP65" i="15"/>
  <c r="EP67"/>
  <c r="DV69" i="5" s="1"/>
  <c r="EP69" i="15"/>
  <c r="DV71" i="5" s="1"/>
  <c r="EP71" i="15"/>
  <c r="DV73" i="5" s="1"/>
  <c r="DY8" i="15"/>
  <c r="EA10"/>
  <c r="DY12"/>
  <c r="EA14"/>
  <c r="DY16"/>
  <c r="DG17" i="5" s="1"/>
  <c r="EA18" i="15"/>
  <c r="DY20"/>
  <c r="DG21" i="5" s="1"/>
  <c r="EA22" i="15"/>
  <c r="FI10"/>
  <c r="FI12"/>
  <c r="FI14"/>
  <c r="FI16"/>
  <c r="FI18"/>
  <c r="FI20"/>
  <c r="FI22"/>
  <c r="FI24"/>
  <c r="FI26"/>
  <c r="FI28"/>
  <c r="FI30"/>
  <c r="FI32"/>
  <c r="EM34" i="5" s="1"/>
  <c r="FI34" i="15"/>
  <c r="EQ10"/>
  <c r="DW11" i="5" s="1"/>
  <c r="EQ12" i="15"/>
  <c r="EQ14"/>
  <c r="DW15" i="5" s="1"/>
  <c r="EQ16" i="15"/>
  <c r="EQ18"/>
  <c r="DW19" i="5" s="1"/>
  <c r="EQ20" i="15"/>
  <c r="FJ10"/>
  <c r="EN11" i="5" s="1"/>
  <c r="FJ12" i="15"/>
  <c r="FJ14"/>
  <c r="EN15" i="5" s="1"/>
  <c r="FJ16" i="15"/>
  <c r="EN17" i="5" s="1"/>
  <c r="FJ18" i="15"/>
  <c r="EN19" i="5" s="1"/>
  <c r="FJ20" i="15"/>
  <c r="EN21" i="5" s="1"/>
  <c r="FJ22" i="15"/>
  <c r="FJ24"/>
  <c r="EN26" i="5" s="1"/>
  <c r="FJ26" i="15"/>
  <c r="EN28" i="5" s="1"/>
  <c r="FJ28" i="15"/>
  <c r="EN30" i="5" s="1"/>
  <c r="FJ30" i="15"/>
  <c r="EN32" i="5" s="1"/>
  <c r="FJ32" i="15"/>
  <c r="EN34" i="5" s="1"/>
  <c r="FJ34" i="15"/>
  <c r="EN36" i="5" s="1"/>
  <c r="EP10" i="15"/>
  <c r="DV11" i="5" s="1"/>
  <c r="EP12" i="15"/>
  <c r="EP14"/>
  <c r="DV15" i="5" s="1"/>
  <c r="EP16" i="15"/>
  <c r="DV17" i="5" s="1"/>
  <c r="EP18" i="15"/>
  <c r="DV19" i="5" s="1"/>
  <c r="EP20" i="15"/>
  <c r="DV21" i="5" s="1"/>
  <c r="EP22" i="15"/>
  <c r="EP24"/>
  <c r="EP26"/>
  <c r="DV28" i="5" s="1"/>
  <c r="EP28" i="15"/>
  <c r="DV30" i="5" s="1"/>
  <c r="EP30" i="15"/>
  <c r="DV32" i="5" s="1"/>
  <c r="EP32" i="15"/>
  <c r="EP34"/>
  <c r="EP36"/>
  <c r="EP38"/>
  <c r="EP40"/>
  <c r="EP42"/>
  <c r="EP44"/>
  <c r="EP46"/>
  <c r="EP48"/>
  <c r="EP50"/>
  <c r="DV52" i="5" s="1"/>
  <c r="ES21" i="15"/>
  <c r="DY22" i="5" s="1"/>
  <c r="DX22" s="1"/>
  <c r="DW22" s="1"/>
  <c r="DV22" s="1"/>
  <c r="ES25" i="15"/>
  <c r="DY27" i="5" s="1"/>
  <c r="ES29" i="15"/>
  <c r="DY31" i="5" s="1"/>
  <c r="DX31" s="1"/>
  <c r="ES33" i="15"/>
  <c r="DY35" i="5" s="1"/>
  <c r="ES37" i="15"/>
  <c r="DY39" i="5" s="1"/>
  <c r="DX39" s="1"/>
  <c r="ES41" i="15"/>
  <c r="DY43" i="5" s="1"/>
  <c r="ES45" i="15"/>
  <c r="DY47" i="5" s="1"/>
  <c r="DX47" s="1"/>
  <c r="ES49" i="15"/>
  <c r="DY51" i="5" s="1"/>
  <c r="ES52" i="15"/>
  <c r="ES54"/>
  <c r="DY56" i="5" s="1"/>
  <c r="DX56" s="1"/>
  <c r="ES56" i="15"/>
  <c r="DY58" i="5" s="1"/>
  <c r="ES58" i="15"/>
  <c r="DY60" i="5" s="1"/>
  <c r="ES60" i="15"/>
  <c r="DY62" i="5" s="1"/>
  <c r="ES62" i="15"/>
  <c r="DY64" i="5" s="1"/>
  <c r="ES64" i="15"/>
  <c r="ES66"/>
  <c r="DY68" i="5" s="1"/>
  <c r="DX68" s="1"/>
  <c r="ES68" i="15"/>
  <c r="DY70" i="5" s="1"/>
  <c r="DX70" s="1"/>
  <c r="ES70" i="15"/>
  <c r="DY72" i="5" s="1"/>
  <c r="DX72" s="1"/>
  <c r="ES72" i="15"/>
  <c r="DY74" i="5" s="1"/>
  <c r="DX74" s="1"/>
  <c r="EA9" i="15"/>
  <c r="DY11"/>
  <c r="DG12" i="5" s="1"/>
  <c r="EA13" i="15"/>
  <c r="DY15"/>
  <c r="EA17"/>
  <c r="DY19"/>
  <c r="DG20" i="5" s="1"/>
  <c r="EA21" i="15"/>
  <c r="DY23"/>
  <c r="EB20"/>
  <c r="DJ21" i="5" s="1"/>
  <c r="EB24" i="15"/>
  <c r="DJ26" i="5" s="1"/>
  <c r="DZ26" i="15"/>
  <c r="DH28" i="5" s="1"/>
  <c r="EB28" i="15"/>
  <c r="DJ30" i="5" s="1"/>
  <c r="DZ30" i="15"/>
  <c r="DH32" i="5" s="1"/>
  <c r="EB32" i="15"/>
  <c r="DJ34" i="5" s="1"/>
  <c r="DZ34" i="15"/>
  <c r="EB36"/>
  <c r="DJ38" i="5" s="1"/>
  <c r="DZ38" i="15"/>
  <c r="DH40" i="5" s="1"/>
  <c r="EB40" i="15"/>
  <c r="DJ42" i="5" s="1"/>
  <c r="EB44" i="15"/>
  <c r="DZ48"/>
  <c r="EA53"/>
  <c r="DY57"/>
  <c r="DZ60"/>
  <c r="EA65"/>
  <c r="DZ70"/>
  <c r="DH72" i="5" s="1"/>
  <c r="EQ24" i="15"/>
  <c r="EQ28"/>
  <c r="DW30" i="5" s="1"/>
  <c r="EQ32" i="15"/>
  <c r="DW34" i="5" s="1"/>
  <c r="DV34" s="1"/>
  <c r="EQ36" i="15"/>
  <c r="EQ40"/>
  <c r="EQ44"/>
  <c r="EQ48"/>
  <c r="EP52"/>
  <c r="EP54"/>
  <c r="DV56" i="5" s="1"/>
  <c r="EP56" i="15"/>
  <c r="DV58" i="5" s="1"/>
  <c r="EP58" i="15"/>
  <c r="EP60"/>
  <c r="EP62"/>
  <c r="EP64"/>
  <c r="EP66"/>
  <c r="EP68"/>
  <c r="DV70" i="5" s="1"/>
  <c r="EP70" i="15"/>
  <c r="DV72" i="5" s="1"/>
  <c r="EP72" i="15"/>
  <c r="DV74" i="5" s="1"/>
  <c r="DZ9" i="15"/>
  <c r="DH10" i="5" s="1"/>
  <c r="DG10" s="1"/>
  <c r="EB11" i="15"/>
  <c r="DJ12" i="5" s="1"/>
  <c r="DZ13" i="15"/>
  <c r="EB15"/>
  <c r="DJ16" i="5" s="1"/>
  <c r="DZ17" i="15"/>
  <c r="DH18" i="5" s="1"/>
  <c r="EB19" i="15"/>
  <c r="DJ20" i="5" s="1"/>
  <c r="DI20" s="1"/>
  <c r="DZ21" i="15"/>
  <c r="DH22" i="5" s="1"/>
  <c r="EB23" i="15"/>
  <c r="DJ25" i="5" s="1"/>
  <c r="DI25" s="1"/>
  <c r="DZ25" i="15"/>
  <c r="EB27"/>
  <c r="DJ29" i="5" s="1"/>
  <c r="DZ29" i="15"/>
  <c r="DH31" i="5" s="1"/>
  <c r="EB31" i="15"/>
  <c r="DJ33" i="5" s="1"/>
  <c r="DI33" s="1"/>
  <c r="DZ33" i="15"/>
  <c r="DH35" i="5" s="1"/>
  <c r="DG35" s="1"/>
  <c r="EB35" i="15"/>
  <c r="DJ37" i="5" s="1"/>
  <c r="DZ23" i="15"/>
  <c r="DZ27"/>
  <c r="DZ31"/>
  <c r="DH33" i="5" s="1"/>
  <c r="DZ35" i="15"/>
  <c r="DH37" i="5" s="1"/>
  <c r="EA38" i="15"/>
  <c r="DY40"/>
  <c r="EA42"/>
  <c r="DY44"/>
  <c r="EA46"/>
  <c r="DY48"/>
  <c r="EA50"/>
  <c r="DI52" i="5" s="1"/>
  <c r="DY52" i="15"/>
  <c r="EA54"/>
  <c r="DY56"/>
  <c r="DG58" i="5" s="1"/>
  <c r="EA58" i="15"/>
  <c r="DI60" i="5" s="1"/>
  <c r="DY60" i="15"/>
  <c r="EA62"/>
  <c r="DI64" i="5" s="1"/>
  <c r="DY64" i="15"/>
  <c r="EA66"/>
  <c r="DI68" i="5" s="1"/>
  <c r="DY68" i="15"/>
  <c r="DG70" i="5" s="1"/>
  <c r="EA70" i="15"/>
  <c r="DZ42"/>
  <c r="DZ46"/>
  <c r="DH48" i="5" s="1"/>
  <c r="DY51" i="15"/>
  <c r="DG53" i="5" s="1"/>
  <c r="EA55" i="15"/>
  <c r="DZ58"/>
  <c r="DH60" i="5" s="1"/>
  <c r="EB62" i="15"/>
  <c r="DJ64" i="5" s="1"/>
  <c r="DY67" i="15"/>
  <c r="DY69"/>
  <c r="DG71" i="5" s="1"/>
  <c r="GO72" i="15"/>
  <c r="FG72"/>
  <c r="EK74" i="5" s="1"/>
  <c r="FY72" i="15"/>
  <c r="FA74" i="5" s="1"/>
  <c r="DY72" i="15"/>
  <c r="CU72"/>
  <c r="CG74" i="5" s="1"/>
  <c r="DZ72" i="15"/>
  <c r="DH74" i="5" s="1"/>
  <c r="DG74" s="1"/>
  <c r="CR72" i="15"/>
  <c r="CD74" i="5" s="1"/>
  <c r="BI72" i="15"/>
  <c r="AY74" i="5" s="1"/>
  <c r="AE72" i="15"/>
  <c r="GO71"/>
  <c r="CC72"/>
  <c r="BQ74" i="5" s="1"/>
  <c r="AU72" i="15"/>
  <c r="AM74" i="5" s="1"/>
  <c r="O72" i="15"/>
  <c r="J74" i="5" s="1"/>
  <c r="FY71" i="15"/>
  <c r="FA73" i="5" s="1"/>
  <c r="EA71" i="15"/>
  <c r="CS71"/>
  <c r="CE73" i="5" s="1"/>
  <c r="BK71" i="15"/>
  <c r="AC71"/>
  <c r="W73" i="5" s="1"/>
  <c r="GQ70" i="15"/>
  <c r="FI70"/>
  <c r="EB71"/>
  <c r="DJ73" i="5" s="1"/>
  <c r="DI73" s="1"/>
  <c r="CT71" i="15"/>
  <c r="CF73" i="5" s="1"/>
  <c r="BL71" i="15"/>
  <c r="BB73" i="5" s="1"/>
  <c r="BA73" s="1"/>
  <c r="AB71" i="15"/>
  <c r="V73" i="5" s="1"/>
  <c r="FJ70" i="15"/>
  <c r="EN72" i="5" s="1"/>
  <c r="FH70" i="15"/>
  <c r="DK70"/>
  <c r="CU72" i="5" s="1"/>
  <c r="CQ70" i="15"/>
  <c r="CC72" i="5" s="1"/>
  <c r="BI70" i="15"/>
  <c r="AE70"/>
  <c r="GO69"/>
  <c r="FG69"/>
  <c r="EK71" i="5" s="1"/>
  <c r="CU69" i="15"/>
  <c r="CG71" i="5" s="1"/>
  <c r="CB69" i="15"/>
  <c r="AT69"/>
  <c r="AL71" i="5" s="1"/>
  <c r="BJ70" i="15"/>
  <c r="AZ72" i="5" s="1"/>
  <c r="GA69" i="15"/>
  <c r="FC71" i="5" s="1"/>
  <c r="CA69" i="15"/>
  <c r="BO71" i="5" s="1"/>
  <c r="BL70" i="15"/>
  <c r="BB72" i="5" s="1"/>
  <c r="GP69" i="15"/>
  <c r="FP71" i="5" s="1"/>
  <c r="CR69" i="15"/>
  <c r="CD71" i="5" s="1"/>
  <c r="AS69" i="15"/>
  <c r="AK71" i="5" s="1"/>
  <c r="N69" i="15"/>
  <c r="I71" i="5" s="1"/>
  <c r="H71" s="1"/>
  <c r="FX68" i="15"/>
  <c r="DH68"/>
  <c r="CR70" i="5" s="1"/>
  <c r="BZ68" i="15"/>
  <c r="BN70" i="5" s="1"/>
  <c r="AR68" i="15"/>
  <c r="AJ70" i="5" s="1"/>
  <c r="N68" i="15"/>
  <c r="I70" i="5" s="1"/>
  <c r="H70" s="1"/>
  <c r="FX67" i="15"/>
  <c r="EZ69" i="5" s="1"/>
  <c r="DJ67" i="15"/>
  <c r="CQ67"/>
  <c r="CC69" i="5" s="1"/>
  <c r="BI67" i="15"/>
  <c r="AY69" i="5" s="1"/>
  <c r="AE67" i="15"/>
  <c r="GR66"/>
  <c r="FR68" i="5" s="1"/>
  <c r="FJ66" i="15"/>
  <c r="EN68" i="5" s="1"/>
  <c r="CT66" i="15"/>
  <c r="CF68" i="5" s="1"/>
  <c r="BL66" i="15"/>
  <c r="BB68" i="5" s="1"/>
  <c r="AD66" i="15"/>
  <c r="X68" i="5" s="1"/>
  <c r="FY65" i="15"/>
  <c r="FA67" i="5" s="1"/>
  <c r="GR68" i="15"/>
  <c r="FR70" i="5" s="1"/>
  <c r="FJ68" i="15"/>
  <c r="EN70" i="5" s="1"/>
  <c r="CR68" i="15"/>
  <c r="CD70" i="5" s="1"/>
  <c r="BJ68" i="15"/>
  <c r="AB68"/>
  <c r="V70" i="5" s="1"/>
  <c r="GA67" i="15"/>
  <c r="FC69" i="5" s="1"/>
  <c r="DK67" i="15"/>
  <c r="CU69" i="5" s="1"/>
  <c r="CT69" s="1"/>
  <c r="CC67" i="15"/>
  <c r="BQ69" i="5" s="1"/>
  <c r="AU67" i="15"/>
  <c r="AM69" i="5" s="1"/>
  <c r="O67" i="15"/>
  <c r="J69" i="5" s="1"/>
  <c r="FX66" i="15"/>
  <c r="DJ66"/>
  <c r="CQ66"/>
  <c r="CC68" i="5" s="1"/>
  <c r="BI66" i="15"/>
  <c r="AY68" i="5" s="1"/>
  <c r="AE66" i="15"/>
  <c r="GO65"/>
  <c r="GP65"/>
  <c r="DJ65"/>
  <c r="CT67" i="5" s="1"/>
  <c r="CQ65" i="15"/>
  <c r="CC67" i="5" s="1"/>
  <c r="BI65" i="15"/>
  <c r="FJ65"/>
  <c r="EN67" i="5" s="1"/>
  <c r="CT65" i="15"/>
  <c r="CF67" i="5" s="1"/>
  <c r="BL65" i="15"/>
  <c r="BB67" i="5" s="1"/>
  <c r="AE65" i="15"/>
  <c r="DK64"/>
  <c r="CU66" i="5" s="1"/>
  <c r="CC64" i="15"/>
  <c r="BQ66" i="5" s="1"/>
  <c r="AU64" i="15"/>
  <c r="GA63"/>
  <c r="FC65" i="5" s="1"/>
  <c r="DK63" i="15"/>
  <c r="CU65" i="5" s="1"/>
  <c r="CC63" i="15"/>
  <c r="BQ65" i="5" s="1"/>
  <c r="AU63" i="15"/>
  <c r="AM65" i="5" s="1"/>
  <c r="O63" i="15"/>
  <c r="J65" i="5" s="1"/>
  <c r="FX62" i="15"/>
  <c r="EZ64" i="5" s="1"/>
  <c r="DJ62" i="15"/>
  <c r="CT64" i="5" s="1"/>
  <c r="CQ62" i="15"/>
  <c r="CC64" i="5" s="1"/>
  <c r="BI62" i="15"/>
  <c r="AY64" i="5" s="1"/>
  <c r="EB25" i="15"/>
  <c r="DJ27" i="5" s="1"/>
  <c r="EB29" i="15"/>
  <c r="DJ31" i="5" s="1"/>
  <c r="EB33" i="15"/>
  <c r="DJ35" i="5" s="1"/>
  <c r="DZ37" i="15"/>
  <c r="DH39" i="5" s="1"/>
  <c r="EB39" i="15"/>
  <c r="DJ41" i="5" s="1"/>
  <c r="DZ41" i="15"/>
  <c r="DH43" i="5" s="1"/>
  <c r="EB43" i="15"/>
  <c r="DJ45" i="5" s="1"/>
  <c r="DI45" s="1"/>
  <c r="DZ45" i="15"/>
  <c r="DH47" i="5" s="1"/>
  <c r="EB47" i="15"/>
  <c r="DJ49" i="5" s="1"/>
  <c r="DZ49" i="15"/>
  <c r="EB51"/>
  <c r="DJ53" i="5" s="1"/>
  <c r="DZ53" i="15"/>
  <c r="EB55"/>
  <c r="DJ57" i="5" s="1"/>
  <c r="DZ57" i="15"/>
  <c r="EB59"/>
  <c r="DJ61" i="5" s="1"/>
  <c r="DI61" s="1"/>
  <c r="DZ61" i="15"/>
  <c r="DH63" i="5" s="1"/>
  <c r="EB63" i="15"/>
  <c r="DJ65" i="5" s="1"/>
  <c r="DZ65" i="15"/>
  <c r="EB67"/>
  <c r="DJ69" i="5" s="1"/>
  <c r="DZ69" i="15"/>
  <c r="DH71" i="5" s="1"/>
  <c r="DZ40" i="15"/>
  <c r="DH42" i="5" s="1"/>
  <c r="DZ44" i="15"/>
  <c r="EB48"/>
  <c r="DJ50" i="5" s="1"/>
  <c r="DY53" i="15"/>
  <c r="EA57"/>
  <c r="EB60"/>
  <c r="DJ62" i="5" s="1"/>
  <c r="DY65" i="15"/>
  <c r="EB68"/>
  <c r="DJ70" i="5" s="1"/>
  <c r="GQ72" i="15"/>
  <c r="FI72"/>
  <c r="GA72"/>
  <c r="FC74" i="5" s="1"/>
  <c r="EA72" i="15"/>
  <c r="CS72"/>
  <c r="CE74" i="5" s="1"/>
  <c r="DK72" i="15"/>
  <c r="CU74" i="5" s="1"/>
  <c r="BZ72" i="15"/>
  <c r="BN74" i="5" s="1"/>
  <c r="AR72" i="15"/>
  <c r="AJ74" i="5" s="1"/>
  <c r="N72" i="15"/>
  <c r="I74" i="5" s="1"/>
  <c r="H74" s="1"/>
  <c r="FX71" i="15"/>
  <c r="EZ73" i="5" s="1"/>
  <c r="BJ72" i="15"/>
  <c r="AB72"/>
  <c r="GA71"/>
  <c r="FC73" i="5" s="1"/>
  <c r="DY71" i="15"/>
  <c r="CU71"/>
  <c r="CG73" i="5" s="1"/>
  <c r="CB71" i="15"/>
  <c r="AT71"/>
  <c r="AL73" i="5" s="1"/>
  <c r="AA71" i="15"/>
  <c r="U73" i="5" s="1"/>
  <c r="FZ70" i="15"/>
  <c r="FH71"/>
  <c r="DI71"/>
  <c r="CS73" i="5" s="1"/>
  <c r="CA71" i="15"/>
  <c r="AD71"/>
  <c r="X73" i="5" s="1"/>
  <c r="GA70" i="15"/>
  <c r="FC72" i="5" s="1"/>
  <c r="FY70" i="15"/>
  <c r="FA72" i="5" s="1"/>
  <c r="DI70" i="15"/>
  <c r="BZ70"/>
  <c r="BN72" i="5" s="1"/>
  <c r="AR70" i="15"/>
  <c r="N70"/>
  <c r="I72" i="5" s="1"/>
  <c r="H72" s="1"/>
  <c r="FX69" i="15"/>
  <c r="DH69"/>
  <c r="CR71" i="5" s="1"/>
  <c r="BZ69" i="15"/>
  <c r="BN71" i="5" s="1"/>
  <c r="AR69" i="15"/>
  <c r="AJ71" i="5" s="1"/>
  <c r="AS70" i="15"/>
  <c r="AK72" i="5" s="1"/>
  <c r="AJ72" s="1"/>
  <c r="FJ69" i="15"/>
  <c r="EN71" i="5" s="1"/>
  <c r="BJ69" i="15"/>
  <c r="AZ71" i="5" s="1"/>
  <c r="AU70" i="15"/>
  <c r="AM72" i="5" s="1"/>
  <c r="FY69" i="15"/>
  <c r="FA71" i="5" s="1"/>
  <c r="EZ71" s="1"/>
  <c r="CC69" i="15"/>
  <c r="BQ71" i="5" s="1"/>
  <c r="BP71" s="1"/>
  <c r="AE69" i="15"/>
  <c r="GO68"/>
  <c r="FG68"/>
  <c r="CU68"/>
  <c r="CG70" i="5" s="1"/>
  <c r="CB68" i="15"/>
  <c r="AT68"/>
  <c r="AA68"/>
  <c r="FZ67"/>
  <c r="DH67"/>
  <c r="CR69" i="5" s="1"/>
  <c r="BZ67" i="15"/>
  <c r="AR67"/>
  <c r="AJ69" i="5" s="1"/>
  <c r="N67" i="15"/>
  <c r="I69" i="5" s="1"/>
  <c r="H69" s="1"/>
  <c r="FY66" i="15"/>
  <c r="DI66"/>
  <c r="CA66"/>
  <c r="AS66"/>
  <c r="DZ18"/>
  <c r="DH19" i="5" s="1"/>
  <c r="DZ22" i="15"/>
  <c r="EA25"/>
  <c r="DY27"/>
  <c r="EA29"/>
  <c r="DY31"/>
  <c r="DG33" i="5" s="1"/>
  <c r="EA33" i="15"/>
  <c r="DY35"/>
  <c r="DG37" i="5" s="1"/>
  <c r="EA37" i="15"/>
  <c r="DY39"/>
  <c r="DG41" i="5" s="1"/>
  <c r="EB42" i="15"/>
  <c r="EB46"/>
  <c r="DJ48" i="5" s="1"/>
  <c r="DI48" s="1"/>
  <c r="EA51" i="15"/>
  <c r="DI53" i="5" s="1"/>
  <c r="DY55" i="15"/>
  <c r="EB58"/>
  <c r="DJ60" i="5" s="1"/>
  <c r="DZ62" i="15"/>
  <c r="DH64" i="5" s="1"/>
  <c r="EA67" i="15"/>
  <c r="EQ22"/>
  <c r="EQ26"/>
  <c r="DW28" i="5" s="1"/>
  <c r="EQ30" i="15"/>
  <c r="DW32" i="5" s="1"/>
  <c r="EQ34" i="15"/>
  <c r="EQ38"/>
  <c r="DW40" i="5" s="1"/>
  <c r="EQ42" i="15"/>
  <c r="EQ46"/>
  <c r="DW48" i="5" s="1"/>
  <c r="EQ50" i="15"/>
  <c r="DW52" i="5" s="1"/>
  <c r="ER53" i="15"/>
  <c r="ER55"/>
  <c r="DX57" i="5" s="1"/>
  <c r="ER57" i="15"/>
  <c r="DX59" i="5" s="1"/>
  <c r="ER59" i="15"/>
  <c r="ER61"/>
  <c r="DX63" i="5" s="1"/>
  <c r="ER63" i="15"/>
  <c r="ER65"/>
  <c r="ER67"/>
  <c r="ER69"/>
  <c r="ER71"/>
  <c r="DX73" i="5" s="1"/>
  <c r="EA8" i="15"/>
  <c r="DY10"/>
  <c r="DG11" i="5" s="1"/>
  <c r="EA12" i="15"/>
  <c r="DY14"/>
  <c r="DG15" i="5" s="1"/>
  <c r="EA16" i="15"/>
  <c r="DY18"/>
  <c r="DG19" i="5" s="1"/>
  <c r="EA20" i="15"/>
  <c r="DY22"/>
  <c r="EA24"/>
  <c r="DY26"/>
  <c r="DG28" i="5" s="1"/>
  <c r="EA28" i="15"/>
  <c r="DI30" i="5" s="1"/>
  <c r="DY30" i="15"/>
  <c r="DG32" i="5" s="1"/>
  <c r="EA32" i="15"/>
  <c r="DY34"/>
  <c r="EA36"/>
  <c r="EA26"/>
  <c r="EA30"/>
  <c r="EA34"/>
  <c r="EB37"/>
  <c r="DJ39" i="5" s="1"/>
  <c r="DZ39" i="15"/>
  <c r="EB41"/>
  <c r="DJ43" i="5" s="1"/>
  <c r="DZ43" i="15"/>
  <c r="DH45" i="5" s="1"/>
  <c r="EB45" i="15"/>
  <c r="DJ47" i="5" s="1"/>
  <c r="DI47" s="1"/>
  <c r="DZ47" i="15"/>
  <c r="DH49" i="5" s="1"/>
  <c r="EB49" i="15"/>
  <c r="DJ51" i="5" s="1"/>
  <c r="DZ51" i="15"/>
  <c r="DH53" i="5" s="1"/>
  <c r="EB53" i="15"/>
  <c r="DJ55" i="5" s="1"/>
  <c r="DZ55" i="15"/>
  <c r="EB57"/>
  <c r="DJ59" i="5" s="1"/>
  <c r="DZ59" i="15"/>
  <c r="EB61"/>
  <c r="DJ63" i="5" s="1"/>
  <c r="DI63" s="1"/>
  <c r="DZ63" i="15"/>
  <c r="DH65" i="5" s="1"/>
  <c r="EB65" i="15"/>
  <c r="DJ67" i="5" s="1"/>
  <c r="DI67" s="1"/>
  <c r="DZ67" i="15"/>
  <c r="EB69"/>
  <c r="DJ71" i="5" s="1"/>
  <c r="DY41" i="15"/>
  <c r="DG43" i="5" s="1"/>
  <c r="DY45" i="15"/>
  <c r="DG47" i="5" s="1"/>
  <c r="EA49" i="15"/>
  <c r="DZ52"/>
  <c r="EB56"/>
  <c r="DJ58" i="5" s="1"/>
  <c r="DY61" i="15"/>
  <c r="DG63" i="5" s="1"/>
  <c r="DZ64" i="15"/>
  <c r="DZ68"/>
  <c r="EB70"/>
  <c r="DJ72" i="5" s="1"/>
  <c r="FZ72" i="15"/>
  <c r="GP72"/>
  <c r="FH72"/>
  <c r="EL74" i="5" s="1"/>
  <c r="DJ72" i="15"/>
  <c r="CQ72"/>
  <c r="CC74" i="5" s="1"/>
  <c r="DI72" i="15"/>
  <c r="CS74" i="5" s="1"/>
  <c r="CB72" i="15"/>
  <c r="AT72"/>
  <c r="AL74" i="5" s="1"/>
  <c r="AA72" i="15"/>
  <c r="FZ71"/>
  <c r="BL72"/>
  <c r="BB74" i="5" s="1"/>
  <c r="AD72" i="15"/>
  <c r="X74" i="5" s="1"/>
  <c r="GP71" i="15"/>
  <c r="FI71"/>
  <c r="DH71"/>
  <c r="CR73" i="5" s="1"/>
  <c r="BZ71" i="15"/>
  <c r="AR71"/>
  <c r="AJ73" i="5" s="1"/>
  <c r="N71" i="15"/>
  <c r="I73" i="5" s="1"/>
  <c r="H73" s="1"/>
  <c r="FX70" i="15"/>
  <c r="EZ72" i="5" s="1"/>
  <c r="FJ71" i="15"/>
  <c r="EN73" i="5" s="1"/>
  <c r="EM73" s="1"/>
  <c r="EL73" s="1"/>
  <c r="DK71" i="15"/>
  <c r="CU73" i="5" s="1"/>
  <c r="CC71" i="15"/>
  <c r="BQ73" i="5" s="1"/>
  <c r="BP73" s="1"/>
  <c r="BO73" s="1"/>
  <c r="BN73" s="1"/>
  <c r="AU71" i="15"/>
  <c r="AM73" i="5" s="1"/>
  <c r="GR70" i="15"/>
  <c r="FR72" i="5" s="1"/>
  <c r="FQ72" s="1"/>
  <c r="GP70" i="15"/>
  <c r="DJ70"/>
  <c r="CU70"/>
  <c r="CG72" i="5" s="1"/>
  <c r="CB70" i="15"/>
  <c r="AT70"/>
  <c r="AL72" i="5" s="1"/>
  <c r="AA70" i="15"/>
  <c r="U72" i="5" s="1"/>
  <c r="FZ69" i="15"/>
  <c r="DJ69"/>
  <c r="CQ69"/>
  <c r="CC71" i="5" s="1"/>
  <c r="BI69" i="15"/>
  <c r="AY71" i="5" s="1"/>
  <c r="CR70" i="15"/>
  <c r="CD72" i="5" s="1"/>
  <c r="O70" i="15"/>
  <c r="J72" i="5" s="1"/>
  <c r="DK69" i="15"/>
  <c r="CU71" i="5" s="1"/>
  <c r="CT70" i="15"/>
  <c r="CF72" i="5" s="1"/>
  <c r="AD70" i="15"/>
  <c r="X72" i="5" s="1"/>
  <c r="FH69" i="15"/>
  <c r="EL71" i="5" s="1"/>
  <c r="BL69" i="15"/>
  <c r="BB71" i="5" s="1"/>
  <c r="AC69" i="15"/>
  <c r="GQ68"/>
  <c r="FI68"/>
  <c r="CS68"/>
  <c r="CE70" i="5" s="1"/>
  <c r="BK68" i="15"/>
  <c r="AC68"/>
  <c r="W70" i="5" s="1"/>
  <c r="GQ67" i="15"/>
  <c r="FI67"/>
  <c r="CU67"/>
  <c r="CG69" i="5" s="1"/>
  <c r="CB67" i="15"/>
  <c r="AT67"/>
  <c r="AL69" i="5" s="1"/>
  <c r="AA67" i="15"/>
  <c r="GA66"/>
  <c r="FC68" i="5" s="1"/>
  <c r="DK66" i="15"/>
  <c r="CU68" i="5" s="1"/>
  <c r="CC66" i="15"/>
  <c r="BQ68" i="5" s="1"/>
  <c r="AU66" i="15"/>
  <c r="AM68" i="5" s="1"/>
  <c r="O66" i="15"/>
  <c r="J68" i="5" s="1"/>
  <c r="AB69" i="15"/>
  <c r="V71" i="5" s="1"/>
  <c r="GA68" i="15"/>
  <c r="FC70" i="5" s="1"/>
  <c r="DI68" i="15"/>
  <c r="CS70" i="5" s="1"/>
  <c r="CA68" i="15"/>
  <c r="BO70" i="5" s="1"/>
  <c r="AS68" i="15"/>
  <c r="AK70" i="5" s="1"/>
  <c r="GR67" i="15"/>
  <c r="FR69" i="5" s="1"/>
  <c r="FQ69" s="1"/>
  <c r="FJ67" i="15"/>
  <c r="EN69" i="5" s="1"/>
  <c r="EM69" s="1"/>
  <c r="CT67" i="15"/>
  <c r="CF69" i="5" s="1"/>
  <c r="BL67" i="15"/>
  <c r="BB69" i="5" s="1"/>
  <c r="AD67" i="15"/>
  <c r="X69" i="5" s="1"/>
  <c r="GQ66" i="15"/>
  <c r="FQ68" i="5" s="1"/>
  <c r="FI66" i="15"/>
  <c r="EM68" i="5" s="1"/>
  <c r="CU66" i="15"/>
  <c r="CG68" i="5" s="1"/>
  <c r="CB66" i="15"/>
  <c r="AT66"/>
  <c r="AL68" i="5" s="1"/>
  <c r="AK68" s="1"/>
  <c r="AA66" i="15"/>
  <c r="U68" i="5" s="1"/>
  <c r="FZ65" i="15"/>
  <c r="FB67" i="5" s="1"/>
  <c r="FG65" i="15"/>
  <c r="CU65"/>
  <c r="CG67" i="5" s="1"/>
  <c r="CB65" i="15"/>
  <c r="AT65"/>
  <c r="DK65"/>
  <c r="CU67" i="5" s="1"/>
  <c r="CC65" i="15"/>
  <c r="BQ67" i="5" s="1"/>
  <c r="AU65" i="15"/>
  <c r="AM67" i="5" s="1"/>
  <c r="AA65" i="15"/>
  <c r="U67" i="5" s="1"/>
  <c r="CT64" i="15"/>
  <c r="CF66" i="5" s="1"/>
  <c r="BL64" i="15"/>
  <c r="GR63"/>
  <c r="FR65" i="5" s="1"/>
  <c r="FJ63" i="15"/>
  <c r="EN65" i="5" s="1"/>
  <c r="CT63" i="15"/>
  <c r="CF65" i="5" s="1"/>
  <c r="BL63" i="15"/>
  <c r="BB65" i="5" s="1"/>
  <c r="AD63" i="15"/>
  <c r="X65" i="5" s="1"/>
  <c r="GQ62" i="15"/>
  <c r="FQ64" i="5" s="1"/>
  <c r="FI62" i="15"/>
  <c r="EM64" i="5" s="1"/>
  <c r="CU62" i="15"/>
  <c r="CG64" i="5" s="1"/>
  <c r="CB62" i="15"/>
  <c r="DY24"/>
  <c r="DG26" i="5" s="1"/>
  <c r="DY28" i="15"/>
  <c r="DG30" i="5" s="1"/>
  <c r="DY32" i="15"/>
  <c r="DG34" i="5" s="1"/>
  <c r="DY36" i="15"/>
  <c r="DY38"/>
  <c r="DG40" i="5" s="1"/>
  <c r="EA40" i="15"/>
  <c r="DY42"/>
  <c r="EA44"/>
  <c r="DY46"/>
  <c r="DG48" i="5" s="1"/>
  <c r="EA48" i="15"/>
  <c r="DY50"/>
  <c r="DG52" i="5" s="1"/>
  <c r="EA52" i="15"/>
  <c r="DY54"/>
  <c r="DG56" i="5" s="1"/>
  <c r="EA56" i="15"/>
  <c r="DY58"/>
  <c r="DG60" i="5" s="1"/>
  <c r="EA60" i="15"/>
  <c r="DY62"/>
  <c r="DG64" i="5" s="1"/>
  <c r="EA64" i="15"/>
  <c r="DY66"/>
  <c r="DG68" i="5" s="1"/>
  <c r="EA68" i="15"/>
  <c r="DY70"/>
  <c r="DG72" i="5" s="1"/>
  <c r="DY43" i="15"/>
  <c r="DG45" i="5" s="1"/>
  <c r="DY47" i="15"/>
  <c r="DG49" i="5" s="1"/>
  <c r="DZ50" i="15"/>
  <c r="DH52" i="5" s="1"/>
  <c r="EB54" i="15"/>
  <c r="DJ56" i="5" s="1"/>
  <c r="DI56" s="1"/>
  <c r="DY59" i="15"/>
  <c r="EA63"/>
  <c r="DZ66"/>
  <c r="DH68" i="5" s="1"/>
  <c r="EA69" i="15"/>
  <c r="FX72"/>
  <c r="EZ74" i="5" s="1"/>
  <c r="GR72" i="15"/>
  <c r="FR74" i="5" s="1"/>
  <c r="FQ74" s="1"/>
  <c r="FJ72" i="15"/>
  <c r="EN74" i="5" s="1"/>
  <c r="EM74" s="1"/>
  <c r="DH72" i="15"/>
  <c r="CR74" i="5" s="1"/>
  <c r="EB72" i="15"/>
  <c r="DJ74" i="5" s="1"/>
  <c r="DI74" s="1"/>
  <c r="CT72" i="15"/>
  <c r="CF74" i="5" s="1"/>
  <c r="BK72" i="15"/>
  <c r="AC72"/>
  <c r="W74" i="5" s="1"/>
  <c r="GQ71" i="15"/>
  <c r="CA72"/>
  <c r="BO74" i="5" s="1"/>
  <c r="AS72" i="15"/>
  <c r="AK74" i="5" s="1"/>
  <c r="GR71" i="15"/>
  <c r="FR73" i="5" s="1"/>
  <c r="FG71" i="15"/>
  <c r="DJ71"/>
  <c r="CT73" i="5" s="1"/>
  <c r="CQ71" i="15"/>
  <c r="CC73" i="5" s="1"/>
  <c r="BI71" i="15"/>
  <c r="AE71"/>
  <c r="GO70"/>
  <c r="FG70"/>
  <c r="DZ71"/>
  <c r="CR71"/>
  <c r="CD73" i="5" s="1"/>
  <c r="BJ71" i="15"/>
  <c r="O71"/>
  <c r="J73" i="5" s="1"/>
  <c r="AS71" i="15"/>
  <c r="AK73" i="5" s="1"/>
  <c r="DH70" i="15"/>
  <c r="CS70"/>
  <c r="CE72" i="5" s="1"/>
  <c r="BK70" i="15"/>
  <c r="AC70"/>
  <c r="W72" i="5" s="1"/>
  <c r="GQ69" i="15"/>
  <c r="FI69"/>
  <c r="CS69"/>
  <c r="CE71" i="5" s="1"/>
  <c r="BK69" i="15"/>
  <c r="CA70"/>
  <c r="BO72" i="5" s="1"/>
  <c r="GR69" i="15"/>
  <c r="FR71" i="5" s="1"/>
  <c r="CT69" i="15"/>
  <c r="CF71" i="5" s="1"/>
  <c r="CC70" i="15"/>
  <c r="BQ72" i="5" s="1"/>
  <c r="AB70" i="15"/>
  <c r="V72" i="5" s="1"/>
  <c r="DI69" i="15"/>
  <c r="CS71" i="5" s="1"/>
  <c r="AU69" i="15"/>
  <c r="AM71" i="5" s="1"/>
  <c r="AA69" i="15"/>
  <c r="FZ68"/>
  <c r="DJ68"/>
  <c r="CQ68"/>
  <c r="CC70" i="5" s="1"/>
  <c r="BI68" i="15"/>
  <c r="AY70" i="5" s="1"/>
  <c r="AE68" i="15"/>
  <c r="GO67"/>
  <c r="FG67"/>
  <c r="EK69" i="5" s="1"/>
  <c r="CS67" i="15"/>
  <c r="CE69" i="5" s="1"/>
  <c r="BK67" i="15"/>
  <c r="AC67"/>
  <c r="W69" i="5" s="1"/>
  <c r="GP66" i="15"/>
  <c r="FP68" i="5" s="1"/>
  <c r="FH66" i="15"/>
  <c r="EL68" i="5" s="1"/>
  <c r="CR66" i="15"/>
  <c r="CD68" i="5" s="1"/>
  <c r="BJ66" i="15"/>
  <c r="AZ68" i="5" s="1"/>
  <c r="AB66" i="15"/>
  <c r="V68" i="5" s="1"/>
  <c r="AD69" i="15"/>
  <c r="X71" i="5" s="1"/>
  <c r="GP68" i="15"/>
  <c r="FH68"/>
  <c r="CT68"/>
  <c r="CF70" i="5" s="1"/>
  <c r="BL68" i="15"/>
  <c r="BB70" i="5" s="1"/>
  <c r="AD68" i="15"/>
  <c r="X70" i="5" s="1"/>
  <c r="GP67" i="15"/>
  <c r="FP69" i="5" s="1"/>
  <c r="FO69" s="1"/>
  <c r="FH67" i="15"/>
  <c r="EL69" i="5" s="1"/>
  <c r="CR67" i="15"/>
  <c r="CD69" i="5" s="1"/>
  <c r="BJ67" i="15"/>
  <c r="AZ69" i="5" s="1"/>
  <c r="AB67" i="15"/>
  <c r="V69" i="5" s="1"/>
  <c r="U69" s="1"/>
  <c r="FZ66" i="15"/>
  <c r="DH66"/>
  <c r="O69"/>
  <c r="J71" i="5" s="1"/>
  <c r="DK68" i="15"/>
  <c r="CU70" i="5" s="1"/>
  <c r="CT70" s="1"/>
  <c r="AU68" i="15"/>
  <c r="AM70" i="5" s="1"/>
  <c r="FY67" i="15"/>
  <c r="CA67"/>
  <c r="GO66"/>
  <c r="FO68" i="5" s="1"/>
  <c r="CS66" i="15"/>
  <c r="CE68" i="5" s="1"/>
  <c r="BK66" i="15"/>
  <c r="BA68" i="5" s="1"/>
  <c r="AC66" i="15"/>
  <c r="W68" i="5" s="1"/>
  <c r="GQ65" i="15"/>
  <c r="GA65"/>
  <c r="FC67" i="5" s="1"/>
  <c r="DH65" i="15"/>
  <c r="CR67" i="5" s="1"/>
  <c r="BZ65" i="15"/>
  <c r="AR65"/>
  <c r="DI65"/>
  <c r="CS67" i="5" s="1"/>
  <c r="CA65" i="15"/>
  <c r="AS65"/>
  <c r="AK67" i="5" s="1"/>
  <c r="N65" i="15"/>
  <c r="I67" i="5" s="1"/>
  <c r="H67" s="1"/>
  <c r="CR64" i="15"/>
  <c r="CD66" i="5" s="1"/>
  <c r="BJ64" i="15"/>
  <c r="GP63"/>
  <c r="FP65" i="5" s="1"/>
  <c r="FH63" i="15"/>
  <c r="EL65" i="5" s="1"/>
  <c r="CR63" i="15"/>
  <c r="CD65" i="5" s="1"/>
  <c r="BJ63" i="15"/>
  <c r="AZ65" i="5" s="1"/>
  <c r="AB63" i="15"/>
  <c r="V65" i="5" s="1"/>
  <c r="FZ62" i="15"/>
  <c r="DH62"/>
  <c r="CR64" i="5" s="1"/>
  <c r="BZ62" i="15"/>
  <c r="AR62"/>
  <c r="AJ64" i="5" s="1"/>
  <c r="N62" i="15"/>
  <c r="I64" i="5" s="1"/>
  <c r="H64" s="1"/>
  <c r="DK61" i="15"/>
  <c r="CU63" i="5" s="1"/>
  <c r="CC61" i="15"/>
  <c r="BQ63" i="5" s="1"/>
  <c r="AU61" i="15"/>
  <c r="AM63" i="5" s="1"/>
  <c r="O61" i="15"/>
  <c r="J63" i="5" s="1"/>
  <c r="FY60" i="15"/>
  <c r="FA62" i="5" s="1"/>
  <c r="DI60" i="15"/>
  <c r="CS62" i="5" s="1"/>
  <c r="CA60" i="15"/>
  <c r="AS60"/>
  <c r="GR59"/>
  <c r="FR61" i="5" s="1"/>
  <c r="FJ59" i="15"/>
  <c r="EN61" i="5" s="1"/>
  <c r="CR59" i="15"/>
  <c r="CD61" i="5" s="1"/>
  <c r="BJ59" i="15"/>
  <c r="AB59"/>
  <c r="CS59"/>
  <c r="CE61" i="5" s="1"/>
  <c r="BK59" i="15"/>
  <c r="AA59"/>
  <c r="O65"/>
  <c r="J67" i="5" s="1"/>
  <c r="CU64" i="15"/>
  <c r="CG66" i="5" s="1"/>
  <c r="CB64" i="15"/>
  <c r="AT64"/>
  <c r="FZ63"/>
  <c r="DJ63"/>
  <c r="CQ63"/>
  <c r="CC65" i="5" s="1"/>
  <c r="BI63" i="15"/>
  <c r="AY65" i="5" s="1"/>
  <c r="AE63" i="15"/>
  <c r="GR62"/>
  <c r="FR64" i="5" s="1"/>
  <c r="FJ62" i="15"/>
  <c r="EN64" i="5" s="1"/>
  <c r="CT62" i="15"/>
  <c r="CF64" i="5" s="1"/>
  <c r="AT62" i="15"/>
  <c r="AL64" i="5" s="1"/>
  <c r="GO61" i="15"/>
  <c r="FO63" i="5" s="1"/>
  <c r="BJ61" i="15"/>
  <c r="GA60"/>
  <c r="FC62" i="5" s="1"/>
  <c r="CC60" i="15"/>
  <c r="BQ62" i="5" s="1"/>
  <c r="O60" i="15"/>
  <c r="J62" i="5" s="1"/>
  <c r="DK59" i="15"/>
  <c r="CU61" i="5" s="1"/>
  <c r="AU59" i="15"/>
  <c r="AM61" i="5" s="1"/>
  <c r="GQ58" i="15"/>
  <c r="BZ64"/>
  <c r="BN66" i="5" s="1"/>
  <c r="AR64" i="15"/>
  <c r="FX63"/>
  <c r="EZ65" i="5" s="1"/>
  <c r="DH63" i="15"/>
  <c r="CR65" i="5" s="1"/>
  <c r="GP62" i="15"/>
  <c r="FP64" i="5" s="1"/>
  <c r="CR62" i="15"/>
  <c r="CD64" i="5" s="1"/>
  <c r="AU62" i="15"/>
  <c r="AM64" i="5" s="1"/>
  <c r="O62" i="15"/>
  <c r="J64" i="5" s="1"/>
  <c r="DJ61" i="15"/>
  <c r="CT63" i="5" s="1"/>
  <c r="CQ61" i="15"/>
  <c r="CC63" i="5" s="1"/>
  <c r="BI61" i="15"/>
  <c r="AE61"/>
  <c r="GO60"/>
  <c r="FO62" i="5" s="1"/>
  <c r="FG60" i="15"/>
  <c r="CU60"/>
  <c r="CG62" i="5" s="1"/>
  <c r="CB60" i="15"/>
  <c r="AT60"/>
  <c r="AL62" i="5" s="1"/>
  <c r="AK62" s="1"/>
  <c r="AA60" i="15"/>
  <c r="U62" i="5" s="1"/>
  <c r="FZ59" i="15"/>
  <c r="CU59"/>
  <c r="CG61" i="5" s="1"/>
  <c r="AR59" i="15"/>
  <c r="AJ61" i="5" s="1"/>
  <c r="GO58" i="15"/>
  <c r="FO60" i="5" s="1"/>
  <c r="FG58" i="15"/>
  <c r="EK60" i="5" s="1"/>
  <c r="CS58" i="15"/>
  <c r="CE60" i="5" s="1"/>
  <c r="BK58" i="15"/>
  <c r="BA60" i="5" s="1"/>
  <c r="AC58" i="15"/>
  <c r="W60" i="5" s="1"/>
  <c r="GQ57" i="15"/>
  <c r="FQ59" i="5" s="1"/>
  <c r="FI57" i="15"/>
  <c r="EM59" i="5" s="1"/>
  <c r="CT57" i="15"/>
  <c r="CF59" i="5" s="1"/>
  <c r="BL57" i="15"/>
  <c r="BB59" i="5" s="1"/>
  <c r="AD57" i="15"/>
  <c r="X59" i="5" s="1"/>
  <c r="FY58" i="15"/>
  <c r="FA60" i="5" s="1"/>
  <c r="DI58" i="15"/>
  <c r="CS60" i="5" s="1"/>
  <c r="CA58" i="15"/>
  <c r="AS58"/>
  <c r="AK60" i="5" s="1"/>
  <c r="GR57" i="15"/>
  <c r="FR59" i="5" s="1"/>
  <c r="FJ57" i="15"/>
  <c r="EN59" i="5" s="1"/>
  <c r="CS57" i="15"/>
  <c r="CE59" i="5" s="1"/>
  <c r="BK57" i="15"/>
  <c r="BA59" i="5" s="1"/>
  <c r="AC57" i="15"/>
  <c r="W59" i="5" s="1"/>
  <c r="GP56" i="15"/>
  <c r="FP58" i="5" s="1"/>
  <c r="FH56" i="15"/>
  <c r="EL58" i="5" s="1"/>
  <c r="CR56" i="15"/>
  <c r="CD58" i="5" s="1"/>
  <c r="FZ56" i="15"/>
  <c r="FB58" i="5" s="1"/>
  <c r="DH56" i="15"/>
  <c r="CR58" i="5" s="1"/>
  <c r="CB56" i="15"/>
  <c r="AT56"/>
  <c r="AL58" i="5" s="1"/>
  <c r="AA56" i="15"/>
  <c r="U58" i="5" s="1"/>
  <c r="FZ55" i="15"/>
  <c r="DI55"/>
  <c r="CS57" i="5" s="1"/>
  <c r="CA55" i="15"/>
  <c r="BO57" i="5" s="1"/>
  <c r="AS55" i="15"/>
  <c r="AK57" i="5" s="1"/>
  <c r="GR54" i="15"/>
  <c r="FR56" i="5" s="1"/>
  <c r="FJ54" i="15"/>
  <c r="EN56" i="5" s="1"/>
  <c r="BL56" i="15"/>
  <c r="BB58" i="5" s="1"/>
  <c r="AD56" i="15"/>
  <c r="X58" i="5" s="1"/>
  <c r="GP55" i="15"/>
  <c r="FH55"/>
  <c r="CU55"/>
  <c r="CG57" i="5" s="1"/>
  <c r="CB55" i="15"/>
  <c r="AT55"/>
  <c r="AL57" i="5" s="1"/>
  <c r="AA55" i="15"/>
  <c r="FZ54"/>
  <c r="CR54"/>
  <c r="CD56" i="5" s="1"/>
  <c r="BJ54" i="15"/>
  <c r="AZ56" i="5" s="1"/>
  <c r="AB54" i="15"/>
  <c r="V56" i="5" s="1"/>
  <c r="GA53" i="15"/>
  <c r="FC55" i="5" s="1"/>
  <c r="DK53" i="15"/>
  <c r="CU55" i="5" s="1"/>
  <c r="CC53" i="15"/>
  <c r="BQ55" i="5" s="1"/>
  <c r="AU53" i="15"/>
  <c r="AM55" i="5" s="1"/>
  <c r="O53" i="15"/>
  <c r="J55" i="5" s="1"/>
  <c r="CU52" i="15"/>
  <c r="CG54" i="5" s="1"/>
  <c r="CB52" i="15"/>
  <c r="AT52"/>
  <c r="AL54" i="5" s="1"/>
  <c r="AA52" i="15"/>
  <c r="U54" i="5" s="1"/>
  <c r="FZ51" i="15"/>
  <c r="FB53" i="5" s="1"/>
  <c r="DH51" i="15"/>
  <c r="CR53" i="5" s="1"/>
  <c r="BZ51" i="15"/>
  <c r="AR51"/>
  <c r="AJ53" i="5" s="1"/>
  <c r="N51" i="15"/>
  <c r="I53" i="5" s="1"/>
  <c r="H53" s="1"/>
  <c r="FX50" i="15"/>
  <c r="DH50"/>
  <c r="CR52" i="5" s="1"/>
  <c r="BZ50" i="15"/>
  <c r="AR50"/>
  <c r="AJ52" i="5" s="1"/>
  <c r="DJ54" i="15"/>
  <c r="CQ54"/>
  <c r="CC56" i="5" s="1"/>
  <c r="BI54" i="15"/>
  <c r="AY56" i="5" s="1"/>
  <c r="AE54" i="15"/>
  <c r="GO53"/>
  <c r="FO55" i="5" s="1"/>
  <c r="FG53" i="15"/>
  <c r="EK55" i="5" s="1"/>
  <c r="CU53" i="15"/>
  <c r="CG55" i="5" s="1"/>
  <c r="CB53" i="15"/>
  <c r="AT53"/>
  <c r="AL55" i="5" s="1"/>
  <c r="AA53" i="15"/>
  <c r="U55" i="5" s="1"/>
  <c r="CT52" i="15"/>
  <c r="CF54" i="5" s="1"/>
  <c r="BL52" i="15"/>
  <c r="BB54" i="5" s="1"/>
  <c r="AD52" i="15"/>
  <c r="X54" i="5" s="1"/>
  <c r="GP51" i="15"/>
  <c r="FP53" i="5" s="1"/>
  <c r="FH51" i="15"/>
  <c r="EL53" i="5" s="1"/>
  <c r="CR51" i="15"/>
  <c r="CD53" i="5" s="1"/>
  <c r="BJ51" i="15"/>
  <c r="AZ53" i="5" s="1"/>
  <c r="AB51" i="15"/>
  <c r="V53" i="5" s="1"/>
  <c r="GA50" i="15"/>
  <c r="FC52" i="5" s="1"/>
  <c r="DK50" i="15"/>
  <c r="CU52" i="5" s="1"/>
  <c r="CC50" i="15"/>
  <c r="BQ52" i="5" s="1"/>
  <c r="AU50" i="15"/>
  <c r="AM52" i="5" s="1"/>
  <c r="O50" i="15"/>
  <c r="J52" i="5" s="1"/>
  <c r="GP49" i="15"/>
  <c r="FH49"/>
  <c r="CU49"/>
  <c r="CG51" i="5" s="1"/>
  <c r="CB49" i="15"/>
  <c r="AT49"/>
  <c r="AL51" i="5" s="1"/>
  <c r="AA49" i="15"/>
  <c r="U51" i="5" s="1"/>
  <c r="FZ48" i="15"/>
  <c r="DI48"/>
  <c r="CA48"/>
  <c r="BO50" i="5" s="1"/>
  <c r="AS48" i="15"/>
  <c r="AK50" i="5" s="1"/>
  <c r="GR47" i="15"/>
  <c r="FR49" i="5" s="1"/>
  <c r="FJ47" i="15"/>
  <c r="EN49" i="5" s="1"/>
  <c r="FZ49" i="15"/>
  <c r="DI49"/>
  <c r="CS51" i="5" s="1"/>
  <c r="CA49" i="15"/>
  <c r="BO51" i="5" s="1"/>
  <c r="AS49" i="15"/>
  <c r="AK51" i="5" s="1"/>
  <c r="GR48" i="15"/>
  <c r="FR50" i="5" s="1"/>
  <c r="FJ48" i="15"/>
  <c r="EN50" i="5" s="1"/>
  <c r="CS48" i="15"/>
  <c r="CE50" i="5" s="1"/>
  <c r="BK48" i="15"/>
  <c r="AC48"/>
  <c r="W50" i="5" s="1"/>
  <c r="GQ47" i="15"/>
  <c r="DH47"/>
  <c r="CR49" i="5" s="1"/>
  <c r="BZ47" i="15"/>
  <c r="BN49" i="5" s="1"/>
  <c r="AR47" i="15"/>
  <c r="AJ49" i="5" s="1"/>
  <c r="N47" i="15"/>
  <c r="I49" i="5" s="1"/>
  <c r="H49" s="1"/>
  <c r="DK47" i="15"/>
  <c r="CU49" i="5" s="1"/>
  <c r="CC47" i="15"/>
  <c r="BQ49" i="5" s="1"/>
  <c r="AU47" i="15"/>
  <c r="AM49" i="5" s="1"/>
  <c r="O47" i="15"/>
  <c r="J49" i="5" s="1"/>
  <c r="FY46" i="15"/>
  <c r="FA48" i="5" s="1"/>
  <c r="FH46" i="15"/>
  <c r="EL48" i="5" s="1"/>
  <c r="CS46" i="15"/>
  <c r="CE48" i="5" s="1"/>
  <c r="BK46" i="15"/>
  <c r="CR46"/>
  <c r="CD48" i="5" s="1"/>
  <c r="BJ46" i="15"/>
  <c r="AZ48" i="5" s="1"/>
  <c r="AE46" i="15"/>
  <c r="GO45"/>
  <c r="FO47" i="5" s="1"/>
  <c r="GR45" i="15"/>
  <c r="FR47" i="5" s="1"/>
  <c r="FY45" i="15"/>
  <c r="FA47" i="5" s="1"/>
  <c r="DI45" i="15"/>
  <c r="CS47" i="5" s="1"/>
  <c r="CA45" i="15"/>
  <c r="BO47" i="5" s="1"/>
  <c r="AS45" i="15"/>
  <c r="AK47" i="5" s="1"/>
  <c r="DH44" i="15"/>
  <c r="CR46" i="5" s="1"/>
  <c r="DK44" i="15"/>
  <c r="CU46" i="5" s="1"/>
  <c r="DH45" i="15"/>
  <c r="CR47" i="5" s="1"/>
  <c r="BZ45" i="15"/>
  <c r="BN47" i="5" s="1"/>
  <c r="AE45" i="15"/>
  <c r="GP43"/>
  <c r="FX43"/>
  <c r="EZ45" i="5" s="1"/>
  <c r="DJ43" i="15"/>
  <c r="CQ43"/>
  <c r="CC45" i="5" s="1"/>
  <c r="BI43" i="15"/>
  <c r="AY45" i="5" s="1"/>
  <c r="AE43" i="15"/>
  <c r="DK42"/>
  <c r="CU44" i="5" s="1"/>
  <c r="CC42" i="15"/>
  <c r="BQ44" i="5" s="1"/>
  <c r="AU42" i="15"/>
  <c r="AM44" i="5" s="1"/>
  <c r="O42" i="15"/>
  <c r="J44" i="5" s="1"/>
  <c r="FH43" i="15"/>
  <c r="EL45" i="5" s="1"/>
  <c r="CT43" i="15"/>
  <c r="CF45" i="5" s="1"/>
  <c r="BL43" i="15"/>
  <c r="BB45" i="5" s="1"/>
  <c r="AD43" i="15"/>
  <c r="X45" i="5" s="1"/>
  <c r="DJ42" i="15"/>
  <c r="CT44" i="5" s="1"/>
  <c r="CQ42" i="15"/>
  <c r="CC44" i="5" s="1"/>
  <c r="BI42" i="15"/>
  <c r="AY44" i="5" s="1"/>
  <c r="AE42" i="15"/>
  <c r="GO41"/>
  <c r="FO43" i="5" s="1"/>
  <c r="FG41" i="15"/>
  <c r="EK43" i="5" s="1"/>
  <c r="CU41" i="15"/>
  <c r="CG43" i="5" s="1"/>
  <c r="CB41" i="15"/>
  <c r="AT41"/>
  <c r="AA41"/>
  <c r="U43" i="5" s="1"/>
  <c r="GA41" i="15"/>
  <c r="FC43" i="5" s="1"/>
  <c r="DK41" i="15"/>
  <c r="CU43" i="5" s="1"/>
  <c r="CC41" i="15"/>
  <c r="BQ43" i="5" s="1"/>
  <c r="AU41" i="15"/>
  <c r="AM43" i="5" s="1"/>
  <c r="O41" i="15"/>
  <c r="J43" i="5" s="1"/>
  <c r="FX40" i="15"/>
  <c r="EZ42" i="5" s="1"/>
  <c r="DH40" i="15"/>
  <c r="CR42" i="5" s="1"/>
  <c r="BZ40" i="15"/>
  <c r="BN42" i="5" s="1"/>
  <c r="AR40" i="15"/>
  <c r="AJ42" i="5" s="1"/>
  <c r="GP40" i="15"/>
  <c r="FP42" i="5" s="1"/>
  <c r="FH40" i="15"/>
  <c r="EL42" i="5" s="1"/>
  <c r="CT40" i="15"/>
  <c r="CF42" i="5" s="1"/>
  <c r="BL40" i="15"/>
  <c r="BB42" i="5" s="1"/>
  <c r="AD40" i="15"/>
  <c r="X42" i="5" s="1"/>
  <c r="AA40" i="15"/>
  <c r="U42" i="5" s="1"/>
  <c r="FX39" i="15"/>
  <c r="EZ41" i="5" s="1"/>
  <c r="DJ39" i="15"/>
  <c r="CQ39"/>
  <c r="CC41" i="5" s="1"/>
  <c r="BI39" i="15"/>
  <c r="AY41" i="5" s="1"/>
  <c r="AS39" i="15"/>
  <c r="AK41" i="5" s="1"/>
  <c r="FY39" i="15"/>
  <c r="FA41" i="5" s="1"/>
  <c r="DK39" i="15"/>
  <c r="CU41" i="5" s="1"/>
  <c r="CC39" i="15"/>
  <c r="BQ41" i="5" s="1"/>
  <c r="AU39" i="15"/>
  <c r="AM41" i="5" s="1"/>
  <c r="N39" i="15"/>
  <c r="I41" i="5" s="1"/>
  <c r="H41" s="1"/>
  <c r="FX38" i="15"/>
  <c r="EZ40" i="5" s="1"/>
  <c r="DH38" i="15"/>
  <c r="CR40" i="5" s="1"/>
  <c r="BZ38" i="15"/>
  <c r="BN40" i="5" s="1"/>
  <c r="AR38" i="15"/>
  <c r="AJ40" i="5" s="1"/>
  <c r="N38" i="15"/>
  <c r="I40" i="5" s="1"/>
  <c r="H40" s="1"/>
  <c r="FX37" i="15"/>
  <c r="EZ39" i="5" s="1"/>
  <c r="DH37" i="15"/>
  <c r="CR39" i="5" s="1"/>
  <c r="BZ37" i="15"/>
  <c r="BN39" i="5" s="1"/>
  <c r="AR37" i="15"/>
  <c r="AJ39" i="5" s="1"/>
  <c r="N37" i="15"/>
  <c r="I39" i="5" s="1"/>
  <c r="H39" s="1"/>
  <c r="FX36" i="15"/>
  <c r="DH36"/>
  <c r="BZ36"/>
  <c r="AD39"/>
  <c r="X41" i="5" s="1"/>
  <c r="GP38" i="15"/>
  <c r="FP40" i="5" s="1"/>
  <c r="FH38" i="15"/>
  <c r="EL40" i="5" s="1"/>
  <c r="CR38" i="15"/>
  <c r="CD40" i="5" s="1"/>
  <c r="BJ38" i="15"/>
  <c r="AZ40" i="5" s="1"/>
  <c r="AB38" i="15"/>
  <c r="V40" i="5" s="1"/>
  <c r="GA37" i="15"/>
  <c r="FC39" i="5" s="1"/>
  <c r="DK37" i="15"/>
  <c r="CU39" i="5" s="1"/>
  <c r="CC37" i="15"/>
  <c r="BQ39" i="5" s="1"/>
  <c r="AU37" i="15"/>
  <c r="AM39" i="5" s="1"/>
  <c r="O37" i="15"/>
  <c r="J39" i="5" s="1"/>
  <c r="FY36" i="15"/>
  <c r="FA38" i="5" s="1"/>
  <c r="EZ38" s="1"/>
  <c r="DI36" i="15"/>
  <c r="CS38" i="5" s="1"/>
  <c r="CR38" s="1"/>
  <c r="CA36" i="15"/>
  <c r="BO38" i="5" s="1"/>
  <c r="BN38" s="1"/>
  <c r="AS36" i="15"/>
  <c r="AT36"/>
  <c r="AL38" i="5" s="1"/>
  <c r="GP35" i="15"/>
  <c r="FP37" i="5" s="1"/>
  <c r="FH35" i="15"/>
  <c r="EL37" i="5" s="1"/>
  <c r="CR35" i="15"/>
  <c r="CD37" i="5" s="1"/>
  <c r="BJ35" i="15"/>
  <c r="AB35"/>
  <c r="GA34"/>
  <c r="FC36" i="5" s="1"/>
  <c r="AE62" i="15"/>
  <c r="CA61"/>
  <c r="GR60"/>
  <c r="FR62" i="5" s="1"/>
  <c r="CT60" i="15"/>
  <c r="CF62" i="5" s="1"/>
  <c r="AD60" i="15"/>
  <c r="X62" i="5" s="1"/>
  <c r="FH59" i="15"/>
  <c r="BL59"/>
  <c r="BB61" i="5" s="1"/>
  <c r="BA61" s="1"/>
  <c r="GP58" i="15"/>
  <c r="FP60" i="5" s="1"/>
  <c r="AE59" i="15"/>
  <c r="DH64"/>
  <c r="CR66" i="5" s="1"/>
  <c r="BZ63" i="15"/>
  <c r="BN65" i="5" s="1"/>
  <c r="AR63" i="15"/>
  <c r="AJ65" i="5" s="1"/>
  <c r="FY62" i="15"/>
  <c r="CA62"/>
  <c r="AS62"/>
  <c r="AK64" i="5" s="1"/>
  <c r="GR61" i="15"/>
  <c r="FR63" i="5" s="1"/>
  <c r="CS61" i="15"/>
  <c r="CE63" i="5" s="1"/>
  <c r="BK61" i="15"/>
  <c r="AC61"/>
  <c r="W63" i="5" s="1"/>
  <c r="GQ60" i="15"/>
  <c r="FQ62" i="5" s="1"/>
  <c r="FI60" i="15"/>
  <c r="CS60"/>
  <c r="CE62" i="5" s="1"/>
  <c r="BK60" i="15"/>
  <c r="AC60"/>
  <c r="W62" i="5" s="1"/>
  <c r="GQ59" i="15"/>
  <c r="FI59"/>
  <c r="CQ59"/>
  <c r="CC61" i="5" s="1"/>
  <c r="AC59" i="15"/>
  <c r="W61" i="5" s="1"/>
  <c r="FI58" i="15"/>
  <c r="EM60" i="5" s="1"/>
  <c r="CU58" i="15"/>
  <c r="CG60" i="5" s="1"/>
  <c r="CB58" i="15"/>
  <c r="AT58"/>
  <c r="AL60" i="5" s="1"/>
  <c r="AA58" i="15"/>
  <c r="U60" i="5" s="1"/>
  <c r="FZ57" i="15"/>
  <c r="FB59" i="5" s="1"/>
  <c r="DI57" i="15"/>
  <c r="CS59" i="5" s="1"/>
  <c r="CA57" i="15"/>
  <c r="AS57"/>
  <c r="AK59" i="5" s="1"/>
  <c r="GA58" i="15"/>
  <c r="FC60" i="5" s="1"/>
  <c r="DK58" i="15"/>
  <c r="CU60" i="5" s="1"/>
  <c r="CC58" i="15"/>
  <c r="BQ60" i="5" s="1"/>
  <c r="AU58" i="15"/>
  <c r="AM60" i="5" s="1"/>
  <c r="O58" i="15"/>
  <c r="J60" i="5" s="1"/>
  <c r="FY57" i="15"/>
  <c r="FA59" i="5" s="1"/>
  <c r="DJ57" i="15"/>
  <c r="CQ57"/>
  <c r="CC59" i="5" s="1"/>
  <c r="BI57" i="15"/>
  <c r="AY59" i="5" s="1"/>
  <c r="AE57" i="15"/>
  <c r="GR56"/>
  <c r="FR58" i="5" s="1"/>
  <c r="FJ56" i="15"/>
  <c r="EN58" i="5" s="1"/>
  <c r="CT56" i="15"/>
  <c r="CF58" i="5" s="1"/>
  <c r="GQ56" i="15"/>
  <c r="FI56"/>
  <c r="CU56"/>
  <c r="CG58" i="5" s="1"/>
  <c r="BK56" i="15"/>
  <c r="AC56"/>
  <c r="W58" i="5" s="1"/>
  <c r="GQ55" i="15"/>
  <c r="FI55"/>
  <c r="CT55"/>
  <c r="CF57" i="5" s="1"/>
  <c r="BL55" i="15"/>
  <c r="BB57" i="5" s="1"/>
  <c r="AD55" i="15"/>
  <c r="X57" i="5" s="1"/>
  <c r="GP54" i="15"/>
  <c r="FP56" i="5" s="1"/>
  <c r="FH54" i="15"/>
  <c r="EL56" i="5" s="1"/>
  <c r="CA56" i="15"/>
  <c r="AS56"/>
  <c r="AK58" i="5" s="1"/>
  <c r="GR55" i="15"/>
  <c r="FR57" i="5" s="1"/>
  <c r="FJ55" i="15"/>
  <c r="EN57" i="5" s="1"/>
  <c r="CS55" i="15"/>
  <c r="CE57" i="5" s="1"/>
  <c r="BK55" i="15"/>
  <c r="AC55"/>
  <c r="W57" i="5" s="1"/>
  <c r="GQ54" i="15"/>
  <c r="FI54"/>
  <c r="CT54"/>
  <c r="CF56" i="5" s="1"/>
  <c r="BL54" i="15"/>
  <c r="BB56" i="5" s="1"/>
  <c r="AD54" i="15"/>
  <c r="X56" i="5" s="1"/>
  <c r="GP53" i="15"/>
  <c r="FP55" i="5" s="1"/>
  <c r="FH53" i="15"/>
  <c r="EL55" i="5" s="1"/>
  <c r="CR53" i="15"/>
  <c r="CD55" i="5" s="1"/>
  <c r="BJ53" i="15"/>
  <c r="AZ55" i="5" s="1"/>
  <c r="AB53" i="15"/>
  <c r="V55" i="5" s="1"/>
  <c r="CS52" i="15"/>
  <c r="CE54" i="5" s="1"/>
  <c r="BK52" i="15"/>
  <c r="BA54" i="5" s="1"/>
  <c r="AC52" i="15"/>
  <c r="W54" i="5" s="1"/>
  <c r="GQ51" i="15"/>
  <c r="FQ53" i="5" s="1"/>
  <c r="FI51" i="15"/>
  <c r="EM53" i="5" s="1"/>
  <c r="CU51" i="15"/>
  <c r="CG53" i="5" s="1"/>
  <c r="CB51" i="15"/>
  <c r="AT51"/>
  <c r="AL53" i="5" s="1"/>
  <c r="AA51" i="15"/>
  <c r="U53" i="5" s="1"/>
  <c r="FZ50" i="15"/>
  <c r="FB52" i="5" s="1"/>
  <c r="DJ50" i="15"/>
  <c r="CT52" i="5" s="1"/>
  <c r="CQ50" i="15"/>
  <c r="CC52" i="5" s="1"/>
  <c r="BI50" i="15"/>
  <c r="AY52" i="5" s="1"/>
  <c r="AE50" i="15"/>
  <c r="CS54"/>
  <c r="CE56" i="5" s="1"/>
  <c r="BK54" i="15"/>
  <c r="AC54"/>
  <c r="W56" i="5" s="1"/>
  <c r="GQ53" i="15"/>
  <c r="FI53"/>
  <c r="CS53"/>
  <c r="CE55" i="5" s="1"/>
  <c r="BK53" i="15"/>
  <c r="AC53"/>
  <c r="W55" i="5" s="1"/>
  <c r="DI52" i="15"/>
  <c r="CS54" i="5" s="1"/>
  <c r="CA52" i="15"/>
  <c r="AS52"/>
  <c r="AK54" i="5" s="1"/>
  <c r="GR51" i="15"/>
  <c r="FR53" i="5" s="1"/>
  <c r="FJ51" i="15"/>
  <c r="EN53" i="5" s="1"/>
  <c r="CT51" i="15"/>
  <c r="CF53" i="5" s="1"/>
  <c r="BL51" i="15"/>
  <c r="BB53" i="5" s="1"/>
  <c r="AD51" i="15"/>
  <c r="X53" i="5" s="1"/>
  <c r="GP50" i="15"/>
  <c r="FP52" i="5" s="1"/>
  <c r="FH50" i="15"/>
  <c r="EL52" i="5" s="1"/>
  <c r="CR50" i="15"/>
  <c r="CD52" i="5" s="1"/>
  <c r="BJ50" i="15"/>
  <c r="AZ52" i="5" s="1"/>
  <c r="AB50" i="15"/>
  <c r="V52" i="5" s="1"/>
  <c r="GR49" i="15"/>
  <c r="FR51" i="5" s="1"/>
  <c r="FJ49" i="15"/>
  <c r="EN51" i="5" s="1"/>
  <c r="CS49" i="15"/>
  <c r="CE51" i="5" s="1"/>
  <c r="BK49" i="15"/>
  <c r="AC49"/>
  <c r="W51" i="5" s="1"/>
  <c r="GQ48" i="15"/>
  <c r="FI48"/>
  <c r="CT48"/>
  <c r="CF50" i="5" s="1"/>
  <c r="BL48" i="15"/>
  <c r="BB50" i="5" s="1"/>
  <c r="AD48" i="15"/>
  <c r="X50" i="5" s="1"/>
  <c r="GP47" i="15"/>
  <c r="FP49" i="5" s="1"/>
  <c r="FH47" i="15"/>
  <c r="EL49" i="5" s="1"/>
  <c r="FI47" i="15"/>
  <c r="FX49"/>
  <c r="EZ51" i="5" s="1"/>
  <c r="DK49" i="15"/>
  <c r="CU51" i="5" s="1"/>
  <c r="CC49" i="15"/>
  <c r="BQ51" i="5" s="1"/>
  <c r="BP51" s="1"/>
  <c r="AU49" i="15"/>
  <c r="AM51" i="5" s="1"/>
  <c r="O49" i="15"/>
  <c r="J51" i="5" s="1"/>
  <c r="FY48" i="15"/>
  <c r="FA50" i="5" s="1"/>
  <c r="DJ48" i="15"/>
  <c r="CQ48"/>
  <c r="CC50" i="5" s="1"/>
  <c r="BI48" i="15"/>
  <c r="AY50" i="5" s="1"/>
  <c r="AE48" i="15"/>
  <c r="GO47"/>
  <c r="FO49" i="5" s="1"/>
  <c r="DJ47" i="15"/>
  <c r="CQ47"/>
  <c r="CC49" i="5" s="1"/>
  <c r="BI47" i="15"/>
  <c r="AY49" i="5" s="1"/>
  <c r="AE47" i="15"/>
  <c r="GO46"/>
  <c r="FO48" i="5" s="1"/>
  <c r="DI47" i="15"/>
  <c r="CS49" i="5" s="1"/>
  <c r="CA47" i="15"/>
  <c r="BO49" i="5" s="1"/>
  <c r="AS47" i="15"/>
  <c r="AK49" i="5" s="1"/>
  <c r="GR46" i="15"/>
  <c r="FR48" i="5" s="1"/>
  <c r="FX46" i="15"/>
  <c r="EZ48" i="5" s="1"/>
  <c r="FJ46" i="15"/>
  <c r="EN48" i="5" s="1"/>
  <c r="CU46" i="15"/>
  <c r="CG48" i="5" s="1"/>
  <c r="CB46" i="15"/>
  <c r="AT46"/>
  <c r="AL48" i="5" s="1"/>
  <c r="CT46" i="15"/>
  <c r="CF48" i="5" s="1"/>
  <c r="BL46" i="15"/>
  <c r="BB48" i="5" s="1"/>
  <c r="BA48" s="1"/>
  <c r="AR46" i="15"/>
  <c r="AJ48" i="5" s="1"/>
  <c r="N46" i="15"/>
  <c r="I48" i="5" s="1"/>
  <c r="H48" s="1"/>
  <c r="AD46" i="15"/>
  <c r="X48" i="5" s="1"/>
  <c r="GP45" i="15"/>
  <c r="FP47" i="5" s="1"/>
  <c r="GA45" i="15"/>
  <c r="FC47" i="5" s="1"/>
  <c r="DK45" i="15"/>
  <c r="CU47" i="5" s="1"/>
  <c r="CC45" i="15"/>
  <c r="BQ47" i="5" s="1"/>
  <c r="AU45" i="15"/>
  <c r="AM47" i="5" s="1"/>
  <c r="O45" i="15"/>
  <c r="J47" i="5" s="1"/>
  <c r="AR45" i="15"/>
  <c r="AJ47" i="5" s="1"/>
  <c r="FG45" i="15"/>
  <c r="EK47" i="5" s="1"/>
  <c r="CU45" i="15"/>
  <c r="CG47" i="5" s="1"/>
  <c r="CB45" i="15"/>
  <c r="AT45"/>
  <c r="AL47" i="5" s="1"/>
  <c r="GR43" i="15"/>
  <c r="FR45" i="5" s="1"/>
  <c r="FZ43" i="15"/>
  <c r="DH43"/>
  <c r="CR45" i="5" s="1"/>
  <c r="GR65" i="15"/>
  <c r="FR67" i="5" s="1"/>
  <c r="FQ67" s="1"/>
  <c r="FP67" s="1"/>
  <c r="FY68" i="15"/>
  <c r="FA70" i="5" s="1"/>
  <c r="CC68" i="15"/>
  <c r="BQ70" i="5" s="1"/>
  <c r="O68" i="15"/>
  <c r="J70" i="5" s="1"/>
  <c r="DI67" i="15"/>
  <c r="AS67"/>
  <c r="AK69" i="5" s="1"/>
  <c r="FG66" i="15"/>
  <c r="EK68" i="5" s="1"/>
  <c r="BZ66" i="15"/>
  <c r="AR66"/>
  <c r="N66"/>
  <c r="I68" i="5" s="1"/>
  <c r="H68" s="1"/>
  <c r="FX65" i="15"/>
  <c r="EZ67" i="5" s="1"/>
  <c r="FI65" i="15"/>
  <c r="CS65"/>
  <c r="CE67" i="5" s="1"/>
  <c r="BK65" i="15"/>
  <c r="FH65"/>
  <c r="CR65"/>
  <c r="CD67" i="5" s="1"/>
  <c r="BJ65" i="15"/>
  <c r="AC65"/>
  <c r="DI64"/>
  <c r="CS66" i="5" s="1"/>
  <c r="CA64" i="15"/>
  <c r="BO66" i="5" s="1"/>
  <c r="AS64" i="15"/>
  <c r="FY63"/>
  <c r="FA65" i="5" s="1"/>
  <c r="DI63" i="15"/>
  <c r="CS65" i="5" s="1"/>
  <c r="CA63" i="15"/>
  <c r="BO65" i="5" s="1"/>
  <c r="AS63" i="15"/>
  <c r="AK65" i="5" s="1"/>
  <c r="GO62" i="15"/>
  <c r="FG62"/>
  <c r="CS62"/>
  <c r="CE64" i="5" s="1"/>
  <c r="BK62" i="15"/>
  <c r="BA64" i="5" s="1"/>
  <c r="AC62" i="15"/>
  <c r="W64" i="5" s="1"/>
  <c r="GQ61" i="15"/>
  <c r="FQ63" i="5" s="1"/>
  <c r="CT61" i="15"/>
  <c r="CF63" i="5" s="1"/>
  <c r="BL61" i="15"/>
  <c r="BB63" i="5" s="1"/>
  <c r="BA63" s="1"/>
  <c r="AD61" i="15"/>
  <c r="X63" i="5" s="1"/>
  <c r="GP60" i="15"/>
  <c r="FP62" i="5" s="1"/>
  <c r="FH60" i="15"/>
  <c r="CR60"/>
  <c r="CD62" i="5" s="1"/>
  <c r="BJ60" i="15"/>
  <c r="AB60"/>
  <c r="V62" i="5" s="1"/>
  <c r="GA59" i="15"/>
  <c r="FC61" i="5" s="1"/>
  <c r="DI59" i="15"/>
  <c r="CS61" i="5" s="1"/>
  <c r="CA59" i="15"/>
  <c r="AS59"/>
  <c r="GR58"/>
  <c r="FR60" i="5" s="1"/>
  <c r="FQ60" s="1"/>
  <c r="CB59" i="15"/>
  <c r="AT59"/>
  <c r="AL61" i="5" s="1"/>
  <c r="AD65" i="15"/>
  <c r="X67" i="5" s="1"/>
  <c r="DJ64" i="15"/>
  <c r="CQ64"/>
  <c r="CC66" i="5" s="1"/>
  <c r="BI64" i="15"/>
  <c r="GO63"/>
  <c r="FO65" i="5" s="1"/>
  <c r="FG63" i="15"/>
  <c r="EK65" i="5" s="1"/>
  <c r="CU63" i="15"/>
  <c r="CG65" i="5" s="1"/>
  <c r="CB63" i="15"/>
  <c r="AT63"/>
  <c r="AL65" i="5" s="1"/>
  <c r="AA63" i="15"/>
  <c r="U65" i="5" s="1"/>
  <c r="GA62" i="15"/>
  <c r="FC64" i="5" s="1"/>
  <c r="FB64" s="1"/>
  <c r="DK62" i="15"/>
  <c r="CU64" i="5" s="1"/>
  <c r="CC62" i="15"/>
  <c r="BQ64" i="5" s="1"/>
  <c r="AA62" i="15"/>
  <c r="CR61"/>
  <c r="CD63" i="5" s="1"/>
  <c r="AB61" i="15"/>
  <c r="DK60"/>
  <c r="CU62" i="5" s="1"/>
  <c r="AU60" i="15"/>
  <c r="AM62" i="5" s="1"/>
  <c r="FY59" i="15"/>
  <c r="FA61" i="5" s="1"/>
  <c r="CC59" i="15"/>
  <c r="BQ61" i="5" s="1"/>
  <c r="O59" i="15"/>
  <c r="J61" i="5" s="1"/>
  <c r="CS64" i="15"/>
  <c r="CE66" i="5" s="1"/>
  <c r="BK64" i="15"/>
  <c r="GQ63"/>
  <c r="FI63"/>
  <c r="AC63"/>
  <c r="W65" i="5" s="1"/>
  <c r="FH62" i="15"/>
  <c r="EL64" i="5" s="1"/>
  <c r="EK64" s="1"/>
  <c r="BL62" i="15"/>
  <c r="BB64" i="5" s="1"/>
  <c r="AD62" i="15"/>
  <c r="X64" i="5" s="1"/>
  <c r="GP61" i="15"/>
  <c r="FP63" i="5" s="1"/>
  <c r="CU61" i="15"/>
  <c r="CG63" i="5" s="1"/>
  <c r="CB61" i="15"/>
  <c r="AT61"/>
  <c r="AL63" i="5" s="1"/>
  <c r="AA61" i="15"/>
  <c r="FZ60"/>
  <c r="FB62" i="5" s="1"/>
  <c r="DJ60" i="15"/>
  <c r="CQ60"/>
  <c r="CC62" i="5" s="1"/>
  <c r="BI60" i="15"/>
  <c r="AY62" i="5" s="1"/>
  <c r="AE60" i="15"/>
  <c r="GO59"/>
  <c r="FG59"/>
  <c r="EK61" i="5" s="1"/>
  <c r="BZ59" i="15"/>
  <c r="N59"/>
  <c r="I61" i="5" s="1"/>
  <c r="H61" s="1"/>
  <c r="FZ58" i="15"/>
  <c r="FB60" i="5" s="1"/>
  <c r="DH58" i="15"/>
  <c r="CR60" i="5" s="1"/>
  <c r="BZ58" i="15"/>
  <c r="AR58"/>
  <c r="N58"/>
  <c r="I60" i="5" s="1"/>
  <c r="FX57" i="15"/>
  <c r="EZ59" i="5" s="1"/>
  <c r="DK57" i="15"/>
  <c r="CU59" i="5" s="1"/>
  <c r="CC57" i="15"/>
  <c r="BQ59" i="5" s="1"/>
  <c r="AU57" i="15"/>
  <c r="AM59" i="5" s="1"/>
  <c r="O57" i="15"/>
  <c r="J59" i="5" s="1"/>
  <c r="FH58" i="15"/>
  <c r="EL60" i="5" s="1"/>
  <c r="CR58" i="15"/>
  <c r="CD60" i="5" s="1"/>
  <c r="BJ58" i="15"/>
  <c r="AZ60" i="5" s="1"/>
  <c r="AB58" i="15"/>
  <c r="V60" i="5" s="1"/>
  <c r="GA57" i="15"/>
  <c r="FC59" i="5" s="1"/>
  <c r="DH57" i="15"/>
  <c r="CR59" i="5" s="1"/>
  <c r="BZ57" i="15"/>
  <c r="AR57"/>
  <c r="AJ59" i="5" s="1"/>
  <c r="N57" i="15"/>
  <c r="I59" i="5" s="1"/>
  <c r="FY56" i="15"/>
  <c r="FA58" i="5" s="1"/>
  <c r="DI56" i="15"/>
  <c r="CS58" i="5" s="1"/>
  <c r="GO56" i="15"/>
  <c r="FO58" i="5" s="1"/>
  <c r="FG56" i="15"/>
  <c r="EK58" i="5" s="1"/>
  <c r="CS56" i="15"/>
  <c r="CE58" i="5" s="1"/>
  <c r="BI56" i="15"/>
  <c r="AY58" i="5" s="1"/>
  <c r="AE56" i="15"/>
  <c r="GO55"/>
  <c r="FG55"/>
  <c r="CR55"/>
  <c r="CD57" i="5" s="1"/>
  <c r="BJ55" i="15"/>
  <c r="AZ57" i="5" s="1"/>
  <c r="AB55" i="15"/>
  <c r="GA54"/>
  <c r="FC56" i="5" s="1"/>
  <c r="FB56" s="1"/>
  <c r="CC56" i="15"/>
  <c r="BQ58" i="5" s="1"/>
  <c r="BP58" s="1"/>
  <c r="BO58" s="1"/>
  <c r="AU56" i="15"/>
  <c r="AM58" i="5" s="1"/>
  <c r="O56" i="15"/>
  <c r="J58" i="5" s="1"/>
  <c r="FY55" i="15"/>
  <c r="DJ55"/>
  <c r="CQ55"/>
  <c r="CC57" i="5" s="1"/>
  <c r="BI55" i="15"/>
  <c r="AY57" i="5" s="1"/>
  <c r="AE55" i="15"/>
  <c r="GO54"/>
  <c r="FO56" i="5" s="1"/>
  <c r="DI54" i="15"/>
  <c r="CS56" i="5" s="1"/>
  <c r="CA54" i="15"/>
  <c r="BO56" i="5" s="1"/>
  <c r="AS54" i="15"/>
  <c r="AK56" i="5" s="1"/>
  <c r="GR53" i="15"/>
  <c r="FR55" i="5" s="1"/>
  <c r="FQ55" s="1"/>
  <c r="FJ53" i="15"/>
  <c r="EN55" i="5" s="1"/>
  <c r="EM55" s="1"/>
  <c r="CT53" i="15"/>
  <c r="CF55" i="5" s="1"/>
  <c r="BL53" i="15"/>
  <c r="BB55" i="5" s="1"/>
  <c r="BA55" s="1"/>
  <c r="AD53" i="15"/>
  <c r="X55" i="5" s="1"/>
  <c r="DJ52" i="15"/>
  <c r="CT54" i="5" s="1"/>
  <c r="CQ52" i="15"/>
  <c r="CC54" i="5" s="1"/>
  <c r="BI52" i="15"/>
  <c r="AY54" i="5" s="1"/>
  <c r="AE52" i="15"/>
  <c r="GO51"/>
  <c r="FO53" i="5" s="1"/>
  <c r="FG51" i="15"/>
  <c r="EK53" i="5" s="1"/>
  <c r="CS51" i="15"/>
  <c r="CE53" i="5" s="1"/>
  <c r="BK51" i="15"/>
  <c r="BA53" i="5" s="1"/>
  <c r="AC51" i="15"/>
  <c r="W53" i="5" s="1"/>
  <c r="GQ50" i="15"/>
  <c r="FQ52" i="5" s="1"/>
  <c r="FI50" i="15"/>
  <c r="EM52" i="5" s="1"/>
  <c r="CS50" i="15"/>
  <c r="CE52" i="5" s="1"/>
  <c r="BK50" i="15"/>
  <c r="BA52" i="5" s="1"/>
  <c r="AA50" i="15"/>
  <c r="U52" i="5" s="1"/>
  <c r="CU54" i="15"/>
  <c r="CG56" i="5" s="1"/>
  <c r="CB54" i="15"/>
  <c r="AT54"/>
  <c r="AL56" i="5" s="1"/>
  <c r="AA54" i="15"/>
  <c r="U56" i="5" s="1"/>
  <c r="FZ53" i="15"/>
  <c r="DJ53"/>
  <c r="CQ53"/>
  <c r="CC55" i="5" s="1"/>
  <c r="BI53" i="15"/>
  <c r="AY55" i="5" s="1"/>
  <c r="AE53" i="15"/>
  <c r="DK52"/>
  <c r="CU54" i="5" s="1"/>
  <c r="CC52" i="15"/>
  <c r="BQ54" i="5" s="1"/>
  <c r="BP54" s="1"/>
  <c r="AU52" i="15"/>
  <c r="AM54" i="5" s="1"/>
  <c r="O52" i="15"/>
  <c r="J54" i="5" s="1"/>
  <c r="FY51" i="15"/>
  <c r="FA53" i="5" s="1"/>
  <c r="DI51" i="15"/>
  <c r="CS53" i="5" s="1"/>
  <c r="CA51" i="15"/>
  <c r="AS51"/>
  <c r="AK53" i="5" s="1"/>
  <c r="GR50" i="15"/>
  <c r="FR52" i="5" s="1"/>
  <c r="FJ50" i="15"/>
  <c r="EN52" i="5" s="1"/>
  <c r="CT50" i="15"/>
  <c r="CF52" i="5" s="1"/>
  <c r="BL50" i="15"/>
  <c r="BB52" i="5" s="1"/>
  <c r="AD50" i="15"/>
  <c r="X52" i="5" s="1"/>
  <c r="N50" i="15"/>
  <c r="I52" i="5" s="1"/>
  <c r="H52" s="1"/>
  <c r="FY49" i="15"/>
  <c r="FA51" i="5" s="1"/>
  <c r="DJ49" i="15"/>
  <c r="CQ49"/>
  <c r="CC51" i="5" s="1"/>
  <c r="BI49" i="15"/>
  <c r="AE49"/>
  <c r="GO48"/>
  <c r="FO50" i="5" s="1"/>
  <c r="FG48" i="15"/>
  <c r="EK50" i="5" s="1"/>
  <c r="CR48" i="15"/>
  <c r="CD50" i="5" s="1"/>
  <c r="BJ48" i="15"/>
  <c r="AZ50" i="5" s="1"/>
  <c r="AB48" i="15"/>
  <c r="V50" i="5" s="1"/>
  <c r="GA47" i="15"/>
  <c r="FC49" i="5" s="1"/>
  <c r="GO49" i="15"/>
  <c r="FO51" i="5" s="1"/>
  <c r="FG49" i="15"/>
  <c r="EK51" i="5" s="1"/>
  <c r="CR49" i="15"/>
  <c r="CD51" i="5" s="1"/>
  <c r="BJ49" i="15"/>
  <c r="AZ51" i="5" s="1"/>
  <c r="AB49" i="15"/>
  <c r="V51" i="5" s="1"/>
  <c r="GA48" i="15"/>
  <c r="FC50" i="5" s="1"/>
  <c r="FB50" s="1"/>
  <c r="DH48" i="15"/>
  <c r="CR50" i="5" s="1"/>
  <c r="BZ48" i="15"/>
  <c r="BN50" i="5" s="1"/>
  <c r="AR48" i="15"/>
  <c r="AJ50" i="5" s="1"/>
  <c r="N48" i="15"/>
  <c r="I50" i="5" s="1"/>
  <c r="H50" s="1"/>
  <c r="FX47" i="15"/>
  <c r="EZ49" i="5" s="1"/>
  <c r="CS47" i="15"/>
  <c r="CE49" i="5" s="1"/>
  <c r="BK47" i="15"/>
  <c r="AC47"/>
  <c r="GQ46"/>
  <c r="CT47"/>
  <c r="CF49" i="5" s="1"/>
  <c r="BL47" i="15"/>
  <c r="BB49" i="5" s="1"/>
  <c r="BA49" s="1"/>
  <c r="AD47" i="15"/>
  <c r="X49" i="5" s="1"/>
  <c r="W49" s="1"/>
  <c r="GP46" i="15"/>
  <c r="FP48" i="5" s="1"/>
  <c r="FG46" i="15"/>
  <c r="EK48" i="5" s="1"/>
  <c r="DH46" i="15"/>
  <c r="CR48" i="5" s="1"/>
  <c r="BZ46" i="15"/>
  <c r="BN48" i="5" s="1"/>
  <c r="DI46" i="15"/>
  <c r="CS48" i="5" s="1"/>
  <c r="CA46" i="15"/>
  <c r="BO48" i="5" s="1"/>
  <c r="AS46" i="15"/>
  <c r="AK48" i="5" s="1"/>
  <c r="AA46" i="15"/>
  <c r="AB46"/>
  <c r="V48" i="5" s="1"/>
  <c r="FX45" i="15"/>
  <c r="EZ47" i="5" s="1"/>
  <c r="FH45" i="15"/>
  <c r="EL47" i="5" s="1"/>
  <c r="CR45" i="15"/>
  <c r="CD47" i="5" s="1"/>
  <c r="BJ45" i="15"/>
  <c r="AZ47" i="5" s="1"/>
  <c r="AB45" i="15"/>
  <c r="V47" i="5" s="1"/>
  <c r="AC45" i="15"/>
  <c r="W47" i="5" s="1"/>
  <c r="FI45" i="15"/>
  <c r="CS45"/>
  <c r="CE47" i="5" s="1"/>
  <c r="BK45" i="15"/>
  <c r="DI44"/>
  <c r="CS46" i="5" s="1"/>
  <c r="GQ43" i="15"/>
  <c r="FI43"/>
  <c r="CU43"/>
  <c r="CG45" i="5" s="1"/>
  <c r="CB43" i="15"/>
  <c r="AT43"/>
  <c r="AL45" i="5" s="1"/>
  <c r="AA43" i="15"/>
  <c r="U45" i="5" s="1"/>
  <c r="CT42" i="15"/>
  <c r="CF44" i="5" s="1"/>
  <c r="BL42" i="15"/>
  <c r="BB44" i="5" s="1"/>
  <c r="AD42" i="15"/>
  <c r="X44" i="5" s="1"/>
  <c r="FY43" i="15"/>
  <c r="DK43"/>
  <c r="CU45" i="5" s="1"/>
  <c r="CT45" s="1"/>
  <c r="CC43" i="15"/>
  <c r="BQ45" i="5" s="1"/>
  <c r="AU43" i="15"/>
  <c r="AM45" i="5" s="1"/>
  <c r="O43" i="15"/>
  <c r="J45" i="5" s="1"/>
  <c r="CU42" i="15"/>
  <c r="CG44" i="5" s="1"/>
  <c r="CB42" i="15"/>
  <c r="AT42"/>
  <c r="AL44" i="5" s="1"/>
  <c r="AA42" i="15"/>
  <c r="U44" i="5" s="1"/>
  <c r="FZ41" i="15"/>
  <c r="DJ41"/>
  <c r="CQ41"/>
  <c r="CC43" i="5" s="1"/>
  <c r="BI41" i="15"/>
  <c r="AY43" i="5" s="1"/>
  <c r="AE41" i="15"/>
  <c r="GR41"/>
  <c r="FR43" i="5" s="1"/>
  <c r="FJ41" i="15"/>
  <c r="EN43" i="5" s="1"/>
  <c r="CT41" i="15"/>
  <c r="CF43" i="5" s="1"/>
  <c r="BL41" i="15"/>
  <c r="BB43" i="5" s="1"/>
  <c r="AD41" i="15"/>
  <c r="X43" i="5" s="1"/>
  <c r="GQ40" i="15"/>
  <c r="FI40"/>
  <c r="CS40"/>
  <c r="CE42" i="5" s="1"/>
  <c r="BK40" i="15"/>
  <c r="N40"/>
  <c r="I42" i="5" s="1"/>
  <c r="H42" s="1"/>
  <c r="FY40" i="15"/>
  <c r="FA42" i="5" s="1"/>
  <c r="DK40" i="15"/>
  <c r="CU42" i="5" s="1"/>
  <c r="CC40" i="15"/>
  <c r="BQ42" i="5" s="1"/>
  <c r="AU40" i="15"/>
  <c r="AM42" i="5" s="1"/>
  <c r="O40" i="15"/>
  <c r="J42" i="5" s="1"/>
  <c r="GQ39" i="15"/>
  <c r="FI39"/>
  <c r="CU39"/>
  <c r="CG41" i="5" s="1"/>
  <c r="CB39" i="15"/>
  <c r="AT39"/>
  <c r="AL41" i="5" s="1"/>
  <c r="GP39" i="15"/>
  <c r="FH39"/>
  <c r="CT39"/>
  <c r="CF41" i="5" s="1"/>
  <c r="BL39" i="15"/>
  <c r="BB41" i="5" s="1"/>
  <c r="AC39" i="15"/>
  <c r="W41" i="5" s="1"/>
  <c r="GQ38" i="15"/>
  <c r="FI38"/>
  <c r="CS38"/>
  <c r="CE40" i="5" s="1"/>
  <c r="BK38" i="15"/>
  <c r="AC38"/>
  <c r="W40" i="5" s="1"/>
  <c r="GQ37" i="15"/>
  <c r="FI37"/>
  <c r="CS37"/>
  <c r="CE39" i="5" s="1"/>
  <c r="BK37" i="15"/>
  <c r="AC37"/>
  <c r="GQ36"/>
  <c r="FI36"/>
  <c r="CS36"/>
  <c r="CE38" i="5" s="1"/>
  <c r="AC36" i="15"/>
  <c r="W38" i="5" s="1"/>
  <c r="O39" i="15"/>
  <c r="J41" i="5" s="1"/>
  <c r="FY38" i="15"/>
  <c r="FA40" i="5" s="1"/>
  <c r="DI38" i="15"/>
  <c r="CS40" i="5" s="1"/>
  <c r="CA38" i="15"/>
  <c r="BO40" i="5" s="1"/>
  <c r="AS38" i="15"/>
  <c r="AK40" i="5" s="1"/>
  <c r="GR37" i="15"/>
  <c r="FR39" i="5" s="1"/>
  <c r="FQ39" s="1"/>
  <c r="FJ37" i="15"/>
  <c r="EN39" i="5" s="1"/>
  <c r="EM39" s="1"/>
  <c r="CT37" i="15"/>
  <c r="CF39" i="5" s="1"/>
  <c r="BL37" i="15"/>
  <c r="BB39" i="5" s="1"/>
  <c r="BA39" s="1"/>
  <c r="AD37" i="15"/>
  <c r="X39" i="5" s="1"/>
  <c r="W39" s="1"/>
  <c r="GP36" i="15"/>
  <c r="FP38" i="5" s="1"/>
  <c r="FH36" i="15"/>
  <c r="EL38" i="5" s="1"/>
  <c r="CR36" i="15"/>
  <c r="CD38" i="5" s="1"/>
  <c r="BJ36" i="15"/>
  <c r="AZ38" i="5" s="1"/>
  <c r="AB36" i="15"/>
  <c r="V38" i="5" s="1"/>
  <c r="N36" i="15"/>
  <c r="I38" i="5" s="1"/>
  <c r="H38" s="1"/>
  <c r="FY35" i="15"/>
  <c r="FA37" i="5" s="1"/>
  <c r="DI35" i="15"/>
  <c r="CS37" i="5" s="1"/>
  <c r="CA35" i="15"/>
  <c r="AS35"/>
  <c r="AK37" i="5" s="1"/>
  <c r="GR34" i="15"/>
  <c r="FR36" i="5" s="1"/>
  <c r="DI34" i="15"/>
  <c r="DI61"/>
  <c r="CS63" i="5" s="1"/>
  <c r="AS61" i="15"/>
  <c r="AK63" i="5" s="1"/>
  <c r="FJ60" i="15"/>
  <c r="EN62" i="5" s="1"/>
  <c r="BL60" i="15"/>
  <c r="BB62" i="5" s="1"/>
  <c r="GP59" i="15"/>
  <c r="CT59"/>
  <c r="CF61" i="5" s="1"/>
  <c r="AD59" i="15"/>
  <c r="X61" i="5" s="1"/>
  <c r="DH59" i="15"/>
  <c r="CR61" i="5" s="1"/>
  <c r="AB65" i="15"/>
  <c r="V67" i="5" s="1"/>
  <c r="CS63" i="15"/>
  <c r="CE65" i="5" s="1"/>
  <c r="BK63" i="15"/>
  <c r="N63"/>
  <c r="I65" i="5" s="1"/>
  <c r="H65" s="1"/>
  <c r="DI62" i="15"/>
  <c r="CS64" i="5" s="1"/>
  <c r="BJ62" i="15"/>
  <c r="AZ64" i="5" s="1"/>
  <c r="AB62" i="15"/>
  <c r="V64" i="5" s="1"/>
  <c r="U64" s="1"/>
  <c r="DH61" i="15"/>
  <c r="CR63" i="5" s="1"/>
  <c r="BZ61" i="15"/>
  <c r="AR61"/>
  <c r="AJ63" i="5" s="1"/>
  <c r="N61" i="15"/>
  <c r="I63" i="5" s="1"/>
  <c r="FX60" i="15"/>
  <c r="EZ62" i="5" s="1"/>
  <c r="DH60" i="15"/>
  <c r="CR62" i="5" s="1"/>
  <c r="BZ60" i="15"/>
  <c r="AR60"/>
  <c r="N60"/>
  <c r="I62" i="5" s="1"/>
  <c r="FX59" i="15"/>
  <c r="EZ61" i="5" s="1"/>
  <c r="DJ59" i="15"/>
  <c r="BI59"/>
  <c r="AY61" i="5" s="1"/>
  <c r="FX58" i="15"/>
  <c r="DJ58"/>
  <c r="CT60" i="5" s="1"/>
  <c r="CQ58" i="15"/>
  <c r="CC60" i="5" s="1"/>
  <c r="BI58" i="15"/>
  <c r="AE58"/>
  <c r="GO57"/>
  <c r="FG57"/>
  <c r="CR57"/>
  <c r="CD59" i="5" s="1"/>
  <c r="BJ57" i="15"/>
  <c r="AZ59" i="5" s="1"/>
  <c r="AB57" i="15"/>
  <c r="V59" i="5" s="1"/>
  <c r="FJ58" i="15"/>
  <c r="EN60" i="5" s="1"/>
  <c r="CT58" i="15"/>
  <c r="CF60" i="5" s="1"/>
  <c r="BL58" i="15"/>
  <c r="BB60" i="5" s="1"/>
  <c r="AD58" i="15"/>
  <c r="X60" i="5" s="1"/>
  <c r="GP57" i="15"/>
  <c r="FP59" i="5" s="1"/>
  <c r="FH57" i="15"/>
  <c r="EL59" i="5" s="1"/>
  <c r="CU57" i="15"/>
  <c r="CG59" i="5" s="1"/>
  <c r="CB57" i="15"/>
  <c r="AT57"/>
  <c r="AL59" i="5" s="1"/>
  <c r="AA57" i="15"/>
  <c r="U59" i="5" s="1"/>
  <c r="GA56" i="15"/>
  <c r="FC58" i="5" s="1"/>
  <c r="DK56" i="15"/>
  <c r="CU58" i="5" s="1"/>
  <c r="CQ56" i="15"/>
  <c r="CC58" i="5" s="1"/>
  <c r="FX56" i="15"/>
  <c r="EZ58" i="5" s="1"/>
  <c r="DJ56" i="15"/>
  <c r="CT58" i="5" s="1"/>
  <c r="BZ56" i="15"/>
  <c r="AR56"/>
  <c r="AJ58" i="5" s="1"/>
  <c r="N56" i="15"/>
  <c r="I58" i="5" s="1"/>
  <c r="H58" s="1"/>
  <c r="FX55" i="15"/>
  <c r="DK55"/>
  <c r="CU57" i="5" s="1"/>
  <c r="CC55" i="15"/>
  <c r="BQ57" i="5" s="1"/>
  <c r="AU55" i="15"/>
  <c r="AM57" i="5" s="1"/>
  <c r="O55" i="15"/>
  <c r="J57" i="5" s="1"/>
  <c r="FY54" i="15"/>
  <c r="FA56" i="5" s="1"/>
  <c r="FG54" i="15"/>
  <c r="EK56" i="5" s="1"/>
  <c r="BJ56" i="15"/>
  <c r="AB56"/>
  <c r="GA55"/>
  <c r="FC57" i="5" s="1"/>
  <c r="DH55" i="15"/>
  <c r="CR57" i="5" s="1"/>
  <c r="BZ55" i="15"/>
  <c r="BN57" i="5" s="1"/>
  <c r="AR55" i="15"/>
  <c r="AJ57" i="5" s="1"/>
  <c r="N55" i="15"/>
  <c r="I57" i="5" s="1"/>
  <c r="H57" s="1"/>
  <c r="FX54" i="15"/>
  <c r="EZ56" i="5" s="1"/>
  <c r="DK54" i="15"/>
  <c r="CU56" i="5" s="1"/>
  <c r="CC54" i="15"/>
  <c r="BQ56" i="5" s="1"/>
  <c r="AU54" i="15"/>
  <c r="AM56" i="5" s="1"/>
  <c r="O54" i="15"/>
  <c r="J56" i="5" s="1"/>
  <c r="FY53" i="15"/>
  <c r="DI53"/>
  <c r="CS55" i="5" s="1"/>
  <c r="CA53" i="15"/>
  <c r="BO55" i="5" s="1"/>
  <c r="AS53" i="15"/>
  <c r="AK55" i="5" s="1"/>
  <c r="DH52" i="15"/>
  <c r="CR54" i="5" s="1"/>
  <c r="BZ52" i="15"/>
  <c r="AR52"/>
  <c r="AJ54" i="5" s="1"/>
  <c r="N52" i="15"/>
  <c r="I54" i="5" s="1"/>
  <c r="H54" s="1"/>
  <c r="FX51" i="15"/>
  <c r="EZ53" i="5" s="1"/>
  <c r="DJ51" i="15"/>
  <c r="CT53" i="5" s="1"/>
  <c r="CQ51" i="15"/>
  <c r="CC53" i="5" s="1"/>
  <c r="BI51" i="15"/>
  <c r="AY53" i="5" s="1"/>
  <c r="AE51" i="15"/>
  <c r="GO50"/>
  <c r="FO52" i="5" s="1"/>
  <c r="FG50" i="15"/>
  <c r="CU50"/>
  <c r="CG52" i="5" s="1"/>
  <c r="CB50" i="15"/>
  <c r="AT50"/>
  <c r="AL52" i="5" s="1"/>
  <c r="DH54" i="15"/>
  <c r="CR56" i="5" s="1"/>
  <c r="BZ54" i="15"/>
  <c r="BN56" i="5" s="1"/>
  <c r="AR54" i="15"/>
  <c r="AJ56" i="5" s="1"/>
  <c r="N54" i="15"/>
  <c r="I56" i="5" s="1"/>
  <c r="H56" s="1"/>
  <c r="FX53" i="15"/>
  <c r="DH53"/>
  <c r="CR55" i="5" s="1"/>
  <c r="BZ53" i="15"/>
  <c r="BN55" i="5" s="1"/>
  <c r="AR53" i="15"/>
  <c r="AJ55" i="5" s="1"/>
  <c r="N53" i="15"/>
  <c r="I55" i="5" s="1"/>
  <c r="H55" s="1"/>
  <c r="CR52" i="15"/>
  <c r="CD54" i="5" s="1"/>
  <c r="BJ52" i="15"/>
  <c r="AZ54" i="5" s="1"/>
  <c r="AB52" i="15"/>
  <c r="V54" i="5" s="1"/>
  <c r="GA51" i="15"/>
  <c r="FC53" i="5" s="1"/>
  <c r="DK51" i="15"/>
  <c r="CU53" i="5" s="1"/>
  <c r="CC51" i="15"/>
  <c r="BQ53" i="5" s="1"/>
  <c r="AU51" i="15"/>
  <c r="AM53" i="5" s="1"/>
  <c r="O51" i="15"/>
  <c r="J53" i="5" s="1"/>
  <c r="FY50" i="15"/>
  <c r="FA52" i="5" s="1"/>
  <c r="EZ52" s="1"/>
  <c r="DI50" i="15"/>
  <c r="CS52" i="5" s="1"/>
  <c r="CA50" i="15"/>
  <c r="AS50"/>
  <c r="AK52" i="5" s="1"/>
  <c r="AC50" i="15"/>
  <c r="W52" i="5" s="1"/>
  <c r="GA49" i="15"/>
  <c r="FC51" i="5" s="1"/>
  <c r="FB51" s="1"/>
  <c r="DH49" i="15"/>
  <c r="CR51" i="5" s="1"/>
  <c r="BZ49" i="15"/>
  <c r="BN51" i="5" s="1"/>
  <c r="AR49" i="15"/>
  <c r="AJ51" i="5" s="1"/>
  <c r="N49" i="15"/>
  <c r="I51" i="5" s="1"/>
  <c r="H51" s="1"/>
  <c r="FX48" i="15"/>
  <c r="EZ50" i="5" s="1"/>
  <c r="DK48" i="15"/>
  <c r="CU50" i="5" s="1"/>
  <c r="CC48" i="15"/>
  <c r="BQ50" i="5" s="1"/>
  <c r="AU48" i="15"/>
  <c r="AM50" i="5" s="1"/>
  <c r="O48" i="15"/>
  <c r="J50" i="5" s="1"/>
  <c r="FY47" i="15"/>
  <c r="FA49" i="5" s="1"/>
  <c r="FZ47" i="15"/>
  <c r="GQ49"/>
  <c r="FI49"/>
  <c r="CT49"/>
  <c r="CF51" i="5" s="1"/>
  <c r="BL49" i="15"/>
  <c r="BB51" i="5" s="1"/>
  <c r="BA51" s="1"/>
  <c r="AD49" i="15"/>
  <c r="X51" i="5" s="1"/>
  <c r="GP48" i="15"/>
  <c r="FP50" i="5" s="1"/>
  <c r="FH48" i="15"/>
  <c r="EL50" i="5" s="1"/>
  <c r="CU48" i="15"/>
  <c r="CG50" i="5" s="1"/>
  <c r="CB48" i="15"/>
  <c r="AT48"/>
  <c r="AL50" i="5" s="1"/>
  <c r="AA48" i="15"/>
  <c r="U50" i="5" s="1"/>
  <c r="FG47" i="15"/>
  <c r="EK49" i="5" s="1"/>
  <c r="CU47" i="15"/>
  <c r="CG49" i="5" s="1"/>
  <c r="CB47" i="15"/>
  <c r="AT47"/>
  <c r="AL49" i="5" s="1"/>
  <c r="AA47" i="15"/>
  <c r="FZ46"/>
  <c r="CR47"/>
  <c r="CD49" i="5" s="1"/>
  <c r="BJ47" i="15"/>
  <c r="AZ49" i="5" s="1"/>
  <c r="AB47" i="15"/>
  <c r="V49" i="5" s="1"/>
  <c r="U49" s="1"/>
  <c r="GA46" i="15"/>
  <c r="FC48" i="5" s="1"/>
  <c r="FI46" i="15"/>
  <c r="DJ46"/>
  <c r="CQ46"/>
  <c r="CC48" i="5" s="1"/>
  <c r="BI46" i="15"/>
  <c r="AY48" i="5" s="1"/>
  <c r="DK46" i="15"/>
  <c r="CU48" i="5" s="1"/>
  <c r="CC46" i="15"/>
  <c r="BQ48" i="5" s="1"/>
  <c r="BP48" s="1"/>
  <c r="AU46" i="15"/>
  <c r="AM48" i="5" s="1"/>
  <c r="AC46" i="15"/>
  <c r="W48" i="5" s="1"/>
  <c r="GQ45" i="15"/>
  <c r="O46"/>
  <c r="J48" i="5" s="1"/>
  <c r="FZ45" i="15"/>
  <c r="FJ45"/>
  <c r="EN47" i="5" s="1"/>
  <c r="EM47" s="1"/>
  <c r="CT45" i="15"/>
  <c r="CF47" i="5" s="1"/>
  <c r="BL45" i="15"/>
  <c r="BB47" i="5" s="1"/>
  <c r="BA47" s="1"/>
  <c r="AD45" i="15"/>
  <c r="X47" i="5" s="1"/>
  <c r="DJ44" i="15"/>
  <c r="N45"/>
  <c r="I47" i="5" s="1"/>
  <c r="H47" s="1"/>
  <c r="DJ45" i="15"/>
  <c r="CQ45"/>
  <c r="CC47" i="5" s="1"/>
  <c r="BI45" i="15"/>
  <c r="AY47" i="5" s="1"/>
  <c r="AA45" i="15"/>
  <c r="U47" i="5" s="1"/>
  <c r="GO43" i="15"/>
  <c r="FO45" i="5" s="1"/>
  <c r="FG43" i="15"/>
  <c r="EK45" i="5" s="1"/>
  <c r="CS43" i="15"/>
  <c r="CE45" i="5" s="1"/>
  <c r="BK43" i="15"/>
  <c r="AC43"/>
  <c r="W45" i="5" s="1"/>
  <c r="DI42" i="15"/>
  <c r="CS44" i="5" s="1"/>
  <c r="CA42" i="15"/>
  <c r="AS42"/>
  <c r="AK44" i="5" s="1"/>
  <c r="GA43" i="15"/>
  <c r="FC45" i="5" s="1"/>
  <c r="DI43" i="15"/>
  <c r="CA43"/>
  <c r="AS43"/>
  <c r="DH42"/>
  <c r="CR44" i="5" s="1"/>
  <c r="BZ42" i="15"/>
  <c r="AR42"/>
  <c r="AJ44" i="5" s="1"/>
  <c r="N42" i="15"/>
  <c r="I44" i="5" s="1"/>
  <c r="H44" s="1"/>
  <c r="FX41" i="15"/>
  <c r="DH41"/>
  <c r="BZ41"/>
  <c r="AR41"/>
  <c r="N41"/>
  <c r="I43" i="5" s="1"/>
  <c r="H43" s="1"/>
  <c r="FY41" i="15"/>
  <c r="FA43" i="5" s="1"/>
  <c r="DI41" i="15"/>
  <c r="CS43" i="5" s="1"/>
  <c r="CA41" i="15"/>
  <c r="BO43" i="5" s="1"/>
  <c r="AS41" i="15"/>
  <c r="AK43" i="5" s="1"/>
  <c r="GO40" i="15"/>
  <c r="FO42" i="5" s="1"/>
  <c r="FG40" i="15"/>
  <c r="EK42" i="5" s="1"/>
  <c r="CU40" i="15"/>
  <c r="CG42" i="5" s="1"/>
  <c r="CB40" i="15"/>
  <c r="AT40"/>
  <c r="AL42" i="5" s="1"/>
  <c r="GR40" i="15"/>
  <c r="FR42" i="5" s="1"/>
  <c r="FQ42" s="1"/>
  <c r="FJ40" i="15"/>
  <c r="EN42" i="5" s="1"/>
  <c r="EM42" s="1"/>
  <c r="CR40" i="15"/>
  <c r="CD42" i="5" s="1"/>
  <c r="BJ40" i="15"/>
  <c r="AZ42" i="5" s="1"/>
  <c r="AB40" i="15"/>
  <c r="V42" i="5" s="1"/>
  <c r="GO39" i="15"/>
  <c r="FO41" i="5" s="1"/>
  <c r="FG39" i="15"/>
  <c r="EK41" i="5" s="1"/>
  <c r="AR43" i="15"/>
  <c r="AJ45" i="5" s="1"/>
  <c r="CR42" i="15"/>
  <c r="CD44" i="5" s="1"/>
  <c r="AB42" i="15"/>
  <c r="V44" i="5" s="1"/>
  <c r="CR43" i="15"/>
  <c r="CD45" i="5" s="1"/>
  <c r="AB43" i="15"/>
  <c r="V45" i="5" s="1"/>
  <c r="BK42" i="15"/>
  <c r="GQ41"/>
  <c r="CS41"/>
  <c r="CE43" i="5" s="1"/>
  <c r="AC41" i="15"/>
  <c r="W43" i="5" s="1"/>
  <c r="FH41" i="15"/>
  <c r="EL43" i="5" s="1"/>
  <c r="BJ41" i="15"/>
  <c r="AZ43" i="5" s="1"/>
  <c r="FZ40" i="15"/>
  <c r="CQ40"/>
  <c r="CC42" i="5" s="1"/>
  <c r="AC40" i="15"/>
  <c r="W42" i="5" s="1"/>
  <c r="DI40" i="15"/>
  <c r="CS42" i="5" s="1"/>
  <c r="AS40" i="15"/>
  <c r="AK42" i="5" s="1"/>
  <c r="FZ39" i="15"/>
  <c r="CS39"/>
  <c r="CE41" i="5" s="1"/>
  <c r="BK39" i="15"/>
  <c r="GR39"/>
  <c r="FR41" i="5" s="1"/>
  <c r="FQ41" s="1"/>
  <c r="FJ39" i="15"/>
  <c r="EN41" i="5" s="1"/>
  <c r="EM41" s="1"/>
  <c r="CR39" i="15"/>
  <c r="CD41" i="5" s="1"/>
  <c r="BJ39" i="15"/>
  <c r="AA39"/>
  <c r="U41" i="5" s="1"/>
  <c r="FZ38" i="15"/>
  <c r="DJ38"/>
  <c r="CQ38"/>
  <c r="CC40" i="5" s="1"/>
  <c r="BI38" i="15"/>
  <c r="AY40" i="5" s="1"/>
  <c r="AE38" i="15"/>
  <c r="GO37"/>
  <c r="FG37"/>
  <c r="EK39" i="5" s="1"/>
  <c r="CU37" i="15"/>
  <c r="CG39" i="5" s="1"/>
  <c r="CB37" i="15"/>
  <c r="AT37"/>
  <c r="AL39" i="5" s="1"/>
  <c r="AA37" i="15"/>
  <c r="FZ36"/>
  <c r="DJ36"/>
  <c r="CQ36"/>
  <c r="CC38" i="5" s="1"/>
  <c r="BK36" i="15"/>
  <c r="AA36"/>
  <c r="U38" i="5" s="1"/>
  <c r="GR38" i="15"/>
  <c r="FR40" i="5" s="1"/>
  <c r="FJ38" i="15"/>
  <c r="EN40" i="5" s="1"/>
  <c r="CC38" i="15"/>
  <c r="BQ40" i="5" s="1"/>
  <c r="O38" i="15"/>
  <c r="J40" i="5" s="1"/>
  <c r="CR37" i="15"/>
  <c r="CD39" i="5" s="1"/>
  <c r="AB37" i="15"/>
  <c r="V39" i="5" s="1"/>
  <c r="DK36" i="15"/>
  <c r="CU38" i="5" s="1"/>
  <c r="CT38" s="1"/>
  <c r="AU36" i="15"/>
  <c r="AM38" i="5" s="1"/>
  <c r="BI36" i="15"/>
  <c r="AY38" i="5" s="1"/>
  <c r="FJ35" i="15"/>
  <c r="EN37" i="5" s="1"/>
  <c r="BL35" i="15"/>
  <c r="BB37" i="5" s="1"/>
  <c r="GP34" i="15"/>
  <c r="FP36" i="5" s="1"/>
  <c r="CR34" i="15"/>
  <c r="CD36" i="5" s="1"/>
  <c r="BJ34" i="15"/>
  <c r="AZ36" i="5" s="1"/>
  <c r="AB34" i="15"/>
  <c r="V36" i="5" s="1"/>
  <c r="GA33" i="15"/>
  <c r="FC35" i="5" s="1"/>
  <c r="GQ33" i="15"/>
  <c r="FQ35" i="5" s="1"/>
  <c r="GQ35" i="15"/>
  <c r="FQ37" i="5" s="1"/>
  <c r="FI35" i="15"/>
  <c r="EM37" i="5" s="1"/>
  <c r="CU35" i="15"/>
  <c r="CG37" i="5" s="1"/>
  <c r="CB35" i="15"/>
  <c r="AT35"/>
  <c r="AL37" i="5" s="1"/>
  <c r="AA35" i="15"/>
  <c r="U37" i="5" s="1"/>
  <c r="FZ34" i="15"/>
  <c r="CU34"/>
  <c r="CG36" i="5" s="1"/>
  <c r="CB34" i="15"/>
  <c r="AT34"/>
  <c r="AL36" i="5" s="1"/>
  <c r="AA34" i="15"/>
  <c r="U36" i="5" s="1"/>
  <c r="DJ33" i="15"/>
  <c r="CQ33"/>
  <c r="CC35" i="5" s="1"/>
  <c r="DK33" i="15"/>
  <c r="CU35" i="5" s="1"/>
  <c r="CC33" i="15"/>
  <c r="BQ35" i="5" s="1"/>
  <c r="BK33" i="15"/>
  <c r="BA35" i="5" s="1"/>
  <c r="AC33" i="15"/>
  <c r="W35" i="5" s="1"/>
  <c r="GQ32" i="15"/>
  <c r="FQ34" i="5" s="1"/>
  <c r="AU33" i="15"/>
  <c r="AM35" i="5" s="1"/>
  <c r="O33" i="15"/>
  <c r="J35" i="5" s="1"/>
  <c r="FZ32" i="15"/>
  <c r="FB34" i="5" s="1"/>
  <c r="FY32" i="15"/>
  <c r="FA34" i="5" s="1"/>
  <c r="CS32" i="15"/>
  <c r="CE34" i="5" s="1"/>
  <c r="BK32" i="15"/>
  <c r="AC32"/>
  <c r="W34" i="5" s="1"/>
  <c r="GQ31" i="15"/>
  <c r="FQ33" i="5" s="1"/>
  <c r="DJ31" i="15"/>
  <c r="CQ31"/>
  <c r="CC33" i="5" s="1"/>
  <c r="BI31" i="15"/>
  <c r="AY33" i="5" s="1"/>
  <c r="AE31" i="15"/>
  <c r="CT32"/>
  <c r="CF34" i="5" s="1"/>
  <c r="BL32" i="15"/>
  <c r="BB34" i="5" s="1"/>
  <c r="BA34" s="1"/>
  <c r="AD32" i="15"/>
  <c r="X34" i="5" s="1"/>
  <c r="GP31" i="15"/>
  <c r="FP33" i="5" s="1"/>
  <c r="DK31" i="15"/>
  <c r="CU33" i="5" s="1"/>
  <c r="CT33" s="1"/>
  <c r="CC31" i="15"/>
  <c r="BQ33" i="5" s="1"/>
  <c r="AU31" i="15"/>
  <c r="AM33" i="5" s="1"/>
  <c r="O31" i="15"/>
  <c r="J33" i="5" s="1"/>
  <c r="FX30" i="15"/>
  <c r="EZ32" i="5" s="1"/>
  <c r="CU30" i="15"/>
  <c r="CG32" i="5" s="1"/>
  <c r="CB30" i="15"/>
  <c r="BP32" i="5" s="1"/>
  <c r="AT30" i="15"/>
  <c r="AL32" i="5" s="1"/>
  <c r="N30" i="15"/>
  <c r="I32" i="5" s="1"/>
  <c r="H32" s="1"/>
  <c r="FY30" i="15"/>
  <c r="FA32" i="5" s="1"/>
  <c r="CT30" i="15"/>
  <c r="CF32" i="5" s="1"/>
  <c r="BL30" i="15"/>
  <c r="BB32" i="5" s="1"/>
  <c r="AD30" i="15"/>
  <c r="X32" i="5" s="1"/>
  <c r="GO29" i="15"/>
  <c r="FO31" i="5" s="1"/>
  <c r="DH29" i="15"/>
  <c r="CR31" i="5" s="1"/>
  <c r="BZ29" i="15"/>
  <c r="BN31" i="5" s="1"/>
  <c r="AR29" i="15"/>
  <c r="AJ31" i="5" s="1"/>
  <c r="FY29" i="15"/>
  <c r="FA31" i="5" s="1"/>
  <c r="CT29" i="15"/>
  <c r="CF31" i="5" s="1"/>
  <c r="BL29" i="15"/>
  <c r="BB31" i="5" s="1"/>
  <c r="AE29" i="15"/>
  <c r="GO28"/>
  <c r="GR28"/>
  <c r="FR30" i="5" s="1"/>
  <c r="FY28" i="15"/>
  <c r="CU28"/>
  <c r="CG30" i="5" s="1"/>
  <c r="CB28" i="15"/>
  <c r="AT28"/>
  <c r="AL30" i="5" s="1"/>
  <c r="AA28" i="15"/>
  <c r="U30" i="5" s="1"/>
  <c r="DK27" i="15"/>
  <c r="CU29" i="5" s="1"/>
  <c r="AU27" i="15"/>
  <c r="AM29" i="5" s="1"/>
  <c r="DK28" i="15"/>
  <c r="CU30" i="5" s="1"/>
  <c r="CC28" i="15"/>
  <c r="BQ30" i="5" s="1"/>
  <c r="BP30" s="1"/>
  <c r="AU28" i="15"/>
  <c r="AM30" i="5" s="1"/>
  <c r="O28" i="15"/>
  <c r="J30" i="5" s="1"/>
  <c r="DJ27" i="15"/>
  <c r="CQ27"/>
  <c r="CC29" i="5" s="1"/>
  <c r="BI27" i="15"/>
  <c r="AY29" i="5" s="1"/>
  <c r="AE27" i="15"/>
  <c r="DI27"/>
  <c r="CS29" i="5" s="1"/>
  <c r="AS27" i="15"/>
  <c r="AK29" i="5" s="1"/>
  <c r="GP26" i="15"/>
  <c r="FP28" i="5" s="1"/>
  <c r="DI26" i="15"/>
  <c r="CS28" i="5" s="1"/>
  <c r="FX26" i="15"/>
  <c r="CS26"/>
  <c r="CE28" i="5" s="1"/>
  <c r="CB26" i="15"/>
  <c r="AT26"/>
  <c r="AA26"/>
  <c r="U28" i="5" s="1"/>
  <c r="FZ25" i="15"/>
  <c r="CS25"/>
  <c r="CE27" i="5" s="1"/>
  <c r="BK25" i="15"/>
  <c r="AC25"/>
  <c r="W27" i="5" s="1"/>
  <c r="GQ24" i="15"/>
  <c r="DJ24"/>
  <c r="CQ24"/>
  <c r="CC26" i="5" s="1"/>
  <c r="BI24" i="15"/>
  <c r="AY26" i="5" s="1"/>
  <c r="AE24" i="15"/>
  <c r="CT24"/>
  <c r="CF26" i="5" s="1"/>
  <c r="AD24" i="15"/>
  <c r="X26" i="5" s="1"/>
  <c r="AU26" i="15"/>
  <c r="AM28" i="5" s="1"/>
  <c r="O26" i="15"/>
  <c r="J28" i="5" s="1"/>
  <c r="FY25" i="15"/>
  <c r="FA27" i="5" s="1"/>
  <c r="CR25" i="15"/>
  <c r="CD27" i="5" s="1"/>
  <c r="BJ25" i="15"/>
  <c r="AB25"/>
  <c r="V27" i="5" s="1"/>
  <c r="GA24" i="15"/>
  <c r="FC26" i="5" s="1"/>
  <c r="CA24" i="15"/>
  <c r="BO26" i="5" s="1"/>
  <c r="GO23" i="15"/>
  <c r="FO25" i="5" s="1"/>
  <c r="DH23" i="15"/>
  <c r="CR25" i="5" s="1"/>
  <c r="BZ23" i="15"/>
  <c r="AR23"/>
  <c r="AJ25" i="5" s="1"/>
  <c r="N23" i="15"/>
  <c r="I25" i="5" s="1"/>
  <c r="GA23" i="15"/>
  <c r="FC25" i="5" s="1"/>
  <c r="CR23" i="15"/>
  <c r="CD25" i="5" s="1"/>
  <c r="BJ23" i="15"/>
  <c r="AZ25" i="5" s="1"/>
  <c r="AB23" i="15"/>
  <c r="V25" i="5" s="1"/>
  <c r="CU22" i="15"/>
  <c r="CG23" i="5" s="1"/>
  <c r="CB22" i="15"/>
  <c r="BP23" i="5" s="1"/>
  <c r="DI22" i="15"/>
  <c r="CS23" i="5" s="1"/>
  <c r="CA22" i="15"/>
  <c r="BO23" i="5" s="1"/>
  <c r="AT22" i="15"/>
  <c r="FZ21"/>
  <c r="FB22" i="5" s="1"/>
  <c r="CS21" i="15"/>
  <c r="CE22" i="5" s="1"/>
  <c r="BK21" i="15"/>
  <c r="BA22" i="5" s="1"/>
  <c r="AA21" i="15"/>
  <c r="U22" i="5" s="1"/>
  <c r="GP21" i="15"/>
  <c r="FP22" i="5" s="1"/>
  <c r="DI21" i="15"/>
  <c r="CA21"/>
  <c r="AS21"/>
  <c r="AK22" i="5" s="1"/>
  <c r="AC21" i="15"/>
  <c r="W22" i="5" s="1"/>
  <c r="GA20" i="15"/>
  <c r="FC21" i="5" s="1"/>
  <c r="DH20" i="15"/>
  <c r="CR21" i="5" s="1"/>
  <c r="FX20" i="15"/>
  <c r="EZ21" i="5" s="1"/>
  <c r="CQ20" i="15"/>
  <c r="CC21" i="5" s="1"/>
  <c r="BI20" i="15"/>
  <c r="AY21" i="5" s="1"/>
  <c r="AE20" i="15"/>
  <c r="GP19"/>
  <c r="FP20" i="5" s="1"/>
  <c r="CA20" i="15"/>
  <c r="BO21" i="5" s="1"/>
  <c r="AS20" i="15"/>
  <c r="AK21" i="5" s="1"/>
  <c r="GO19" i="15"/>
  <c r="FO20" i="5" s="1"/>
  <c r="DH19" i="15"/>
  <c r="CR20" i="5" s="1"/>
  <c r="BZ19" i="15"/>
  <c r="DI19"/>
  <c r="CS20" i="5" s="1"/>
  <c r="CA19" i="15"/>
  <c r="BK19"/>
  <c r="BA20" i="5" s="1"/>
  <c r="AC19" i="15"/>
  <c r="W20" i="5" s="1"/>
  <c r="GQ18" i="15"/>
  <c r="FQ19" i="5" s="1"/>
  <c r="DJ18" i="15"/>
  <c r="CQ18"/>
  <c r="CC19" i="5" s="1"/>
  <c r="BI18" i="15"/>
  <c r="AY19" i="5" s="1"/>
  <c r="AC18" i="15"/>
  <c r="W19" i="5" s="1"/>
  <c r="AU19" i="15"/>
  <c r="AM20" i="5" s="1"/>
  <c r="O19" i="15"/>
  <c r="J20" i="5" s="1"/>
  <c r="FY18" i="15"/>
  <c r="FA19" i="5" s="1"/>
  <c r="CT18" i="15"/>
  <c r="CF19" i="5" s="1"/>
  <c r="BL18" i="15"/>
  <c r="BB19" i="5" s="1"/>
  <c r="AD18" i="15"/>
  <c r="X19" i="5" s="1"/>
  <c r="AA18" i="15"/>
  <c r="U19" i="5" s="1"/>
  <c r="FY17" i="15"/>
  <c r="FA18" i="5" s="1"/>
  <c r="GO17" i="15"/>
  <c r="FO18" i="5" s="1"/>
  <c r="DH17" i="15"/>
  <c r="CR18" i="5" s="1"/>
  <c r="CS17" i="15"/>
  <c r="CE18" i="5" s="1"/>
  <c r="BZ17" i="15"/>
  <c r="BN18" i="5" s="1"/>
  <c r="AS17" i="15"/>
  <c r="AK18" i="5" s="1"/>
  <c r="AR17" i="15"/>
  <c r="AJ18" i="5" s="1"/>
  <c r="N17" i="15"/>
  <c r="I18" i="5" s="1"/>
  <c r="FX16" i="15"/>
  <c r="O17"/>
  <c r="J18" i="5" s="1"/>
  <c r="DH16" i="15"/>
  <c r="CR17" i="5" s="1"/>
  <c r="BZ16" i="15"/>
  <c r="BN17" i="5" s="1"/>
  <c r="AR16" i="15"/>
  <c r="AJ17" i="5" s="1"/>
  <c r="N16" i="15"/>
  <c r="I17" i="5" s="1"/>
  <c r="DI15" i="15"/>
  <c r="AD16"/>
  <c r="X17" i="5" s="1"/>
  <c r="DK16" i="15"/>
  <c r="CU17" i="5" s="1"/>
  <c r="CC16" i="15"/>
  <c r="BQ17" i="5" s="1"/>
  <c r="DJ15" i="15"/>
  <c r="CU15"/>
  <c r="CG16" i="5" s="1"/>
  <c r="BK15" i="15"/>
  <c r="AC15"/>
  <c r="GQ14"/>
  <c r="DJ14"/>
  <c r="CQ14"/>
  <c r="CC15" i="5" s="1"/>
  <c r="BI14" i="15"/>
  <c r="AY15" i="5" s="1"/>
  <c r="AE14" i="15"/>
  <c r="GO13"/>
  <c r="FO14" i="5" s="1"/>
  <c r="DH13" i="15"/>
  <c r="CR14" i="5" s="1"/>
  <c r="BZ13" i="15"/>
  <c r="AR13"/>
  <c r="AJ14" i="5" s="1"/>
  <c r="N13" i="15"/>
  <c r="I14" i="5" s="1"/>
  <c r="CU12" i="15"/>
  <c r="CG13" i="5" s="1"/>
  <c r="CB12" i="15"/>
  <c r="BP13" i="5" s="1"/>
  <c r="AT12" i="15"/>
  <c r="AL13" i="5" s="1"/>
  <c r="AA12" i="15"/>
  <c r="U13" i="5" s="1"/>
  <c r="GA11" i="15"/>
  <c r="FC12" i="5" s="1"/>
  <c r="CT11" i="15"/>
  <c r="CF12" i="5" s="1"/>
  <c r="AS11" i="15"/>
  <c r="AK12" i="5" s="1"/>
  <c r="BL15" i="15"/>
  <c r="BB16" i="5" s="1"/>
  <c r="AD15" i="15"/>
  <c r="X16" i="5" s="1"/>
  <c r="GP14" i="15"/>
  <c r="FP15" i="5" s="1"/>
  <c r="DK14" i="15"/>
  <c r="CU15" i="5" s="1"/>
  <c r="CC14" i="15"/>
  <c r="BQ15" i="5" s="1"/>
  <c r="AU14" i="15"/>
  <c r="AM15" i="5" s="1"/>
  <c r="O14" i="15"/>
  <c r="J15" i="5" s="1"/>
  <c r="FY13" i="15"/>
  <c r="FA14" i="5" s="1"/>
  <c r="CR13" i="15"/>
  <c r="CD14" i="5" s="1"/>
  <c r="BJ13" i="15"/>
  <c r="AZ14" i="5" s="1"/>
  <c r="AB13" i="15"/>
  <c r="V14" i="5" s="1"/>
  <c r="CT12" i="15"/>
  <c r="CF13" i="5" s="1"/>
  <c r="BL12" i="15"/>
  <c r="BB13" i="5" s="1"/>
  <c r="AD12" i="15"/>
  <c r="X13" i="5" s="1"/>
  <c r="GQ11" i="15"/>
  <c r="FQ12" i="5" s="1"/>
  <c r="DJ11" i="15"/>
  <c r="CT12" i="5" s="1"/>
  <c r="CQ11" i="15"/>
  <c r="CC12" i="5" s="1"/>
  <c r="BI11" i="15"/>
  <c r="AY12" i="5" s="1"/>
  <c r="AE11" i="15"/>
  <c r="CC11"/>
  <c r="BQ12" i="5" s="1"/>
  <c r="O11" i="15"/>
  <c r="J12" i="5" s="1"/>
  <c r="GQ10" i="15"/>
  <c r="FX10"/>
  <c r="EZ11" i="5" s="1"/>
  <c r="DK10" i="15"/>
  <c r="CU11" i="5" s="1"/>
  <c r="CR10" i="15"/>
  <c r="CD11" i="5" s="1"/>
  <c r="CC10" i="15"/>
  <c r="BQ11" i="5" s="1"/>
  <c r="BJ10" i="15"/>
  <c r="AZ11" i="5" s="1"/>
  <c r="AU10" i="15"/>
  <c r="AM11" i="5" s="1"/>
  <c r="AB10" i="15"/>
  <c r="V11" i="5" s="1"/>
  <c r="N10" i="15"/>
  <c r="I11" i="5" s="1"/>
  <c r="FX9" i="15"/>
  <c r="EZ10" i="5" s="1"/>
  <c r="CU9" i="15"/>
  <c r="CG10" i="5" s="1"/>
  <c r="CB9" i="15"/>
  <c r="BP10" i="5" s="1"/>
  <c r="AT9" i="15"/>
  <c r="AL10" i="5" s="1"/>
  <c r="AA9" i="15"/>
  <c r="FZ8"/>
  <c r="FB9" i="5" s="1"/>
  <c r="ER8" i="15"/>
  <c r="DX9" i="5" s="1"/>
  <c r="CS8" i="15"/>
  <c r="CE9" i="5" s="1"/>
  <c r="BK8" i="15"/>
  <c r="BA9" i="5" s="1"/>
  <c r="GA9" i="15"/>
  <c r="FC10" i="5" s="1"/>
  <c r="CR9" i="15"/>
  <c r="CD10" i="5" s="1"/>
  <c r="BJ9" i="15"/>
  <c r="AZ10" i="5" s="1"/>
  <c r="AB9" i="15"/>
  <c r="V10" i="5" s="1"/>
  <c r="U10" s="1"/>
  <c r="BL38" i="15"/>
  <c r="BB40" i="5" s="1"/>
  <c r="BA40" s="1"/>
  <c r="GP37" i="15"/>
  <c r="FP39" i="5" s="1"/>
  <c r="FO39" s="1"/>
  <c r="DI37" i="15"/>
  <c r="CS39" i="5" s="1"/>
  <c r="AS37" i="15"/>
  <c r="AK39" i="5" s="1"/>
  <c r="FJ36" i="15"/>
  <c r="BL36"/>
  <c r="BB38" i="5" s="1"/>
  <c r="AE36" i="15"/>
  <c r="DK35"/>
  <c r="CU37" i="5" s="1"/>
  <c r="AU35" i="15"/>
  <c r="AM37" i="5" s="1"/>
  <c r="FY34" i="15"/>
  <c r="CC34"/>
  <c r="BQ36" i="5" s="1"/>
  <c r="AU34" i="15"/>
  <c r="AM36" i="5" s="1"/>
  <c r="O34" i="15"/>
  <c r="J36" i="5" s="1"/>
  <c r="FY33" i="15"/>
  <c r="FZ35"/>
  <c r="FB37" i="5" s="1"/>
  <c r="DH35" i="15"/>
  <c r="CR37" i="5" s="1"/>
  <c r="BZ35" i="15"/>
  <c r="AR35"/>
  <c r="AJ37" i="5" s="1"/>
  <c r="N35" i="15"/>
  <c r="I37" i="5" s="1"/>
  <c r="H37" s="1"/>
  <c r="FX34" i="15"/>
  <c r="CS34"/>
  <c r="CE36" i="5" s="1"/>
  <c r="BK34" i="15"/>
  <c r="BA36" i="5" s="1"/>
  <c r="AC34" i="15"/>
  <c r="W36" i="5" s="1"/>
  <c r="DH33" i="15"/>
  <c r="CR35" i="5" s="1"/>
  <c r="DI33" i="15"/>
  <c r="CS35" i="5" s="1"/>
  <c r="CA33" i="15"/>
  <c r="AT33"/>
  <c r="AL35" i="5" s="1"/>
  <c r="AA33" i="15"/>
  <c r="U35" i="5" s="1"/>
  <c r="BJ33" i="15"/>
  <c r="AZ35" i="5" s="1"/>
  <c r="AB33" i="15"/>
  <c r="V35" i="5" s="1"/>
  <c r="FX32" i="15"/>
  <c r="EZ34" i="5" s="1"/>
  <c r="GA32" i="15"/>
  <c r="FC34" i="5" s="1"/>
  <c r="CU32" i="15"/>
  <c r="CG34" i="5" s="1"/>
  <c r="CB32" i="15"/>
  <c r="BP34" i="5" s="1"/>
  <c r="AT32" i="15"/>
  <c r="AL34" i="5" s="1"/>
  <c r="AA32" i="15"/>
  <c r="FZ31"/>
  <c r="FB33" i="5" s="1"/>
  <c r="CS31" i="15"/>
  <c r="CE33" i="5" s="1"/>
  <c r="BK31" i="15"/>
  <c r="BA33" i="5" s="1"/>
  <c r="AC31" i="15"/>
  <c r="W33" i="5" s="1"/>
  <c r="CR32" i="15"/>
  <c r="CD34" i="5" s="1"/>
  <c r="BJ32" i="15"/>
  <c r="AZ34" i="5" s="1"/>
  <c r="AB32" i="15"/>
  <c r="V34" i="5" s="1"/>
  <c r="GA31" i="15"/>
  <c r="FC33" i="5" s="1"/>
  <c r="CR31" i="15"/>
  <c r="CD33" i="5" s="1"/>
  <c r="BJ31" i="15"/>
  <c r="AZ33" i="5" s="1"/>
  <c r="AB31" i="15"/>
  <c r="V33" i="5" s="1"/>
  <c r="FZ30" i="15"/>
  <c r="CS30"/>
  <c r="CE32" i="5" s="1"/>
  <c r="BK30" i="15"/>
  <c r="BA32" i="5" s="1"/>
  <c r="AC30" i="15"/>
  <c r="W32" i="5" s="1"/>
  <c r="GA30" i="15"/>
  <c r="FC32" i="5" s="1"/>
  <c r="FB32" s="1"/>
  <c r="CR30" i="15"/>
  <c r="CD32" i="5" s="1"/>
  <c r="BJ30" i="15"/>
  <c r="AZ32" i="5" s="1"/>
  <c r="AB30" i="15"/>
  <c r="V32" i="5" s="1"/>
  <c r="GQ29" i="15"/>
  <c r="FQ31" i="5" s="1"/>
  <c r="DJ29" i="15"/>
  <c r="CT31" i="5" s="1"/>
  <c r="CQ29" i="15"/>
  <c r="CC31" i="5" s="1"/>
  <c r="BI29" i="15"/>
  <c r="AY31" i="5" s="1"/>
  <c r="GR29" i="15"/>
  <c r="FR31" i="5" s="1"/>
  <c r="DI29" i="15"/>
  <c r="CS31" i="5" s="1"/>
  <c r="CA29" i="15"/>
  <c r="BO31" i="5" s="1"/>
  <c r="AS29" i="15"/>
  <c r="AK31" i="5" s="1"/>
  <c r="N29" i="15"/>
  <c r="I31" i="5" s="1"/>
  <c r="H31" s="1"/>
  <c r="AD29" i="15"/>
  <c r="X31" i="5" s="1"/>
  <c r="GP28" i="15"/>
  <c r="GA28"/>
  <c r="FC30" i="5" s="1"/>
  <c r="CS28" i="15"/>
  <c r="CE30" i="5" s="1"/>
  <c r="BK28" i="15"/>
  <c r="BA30" i="5" s="1"/>
  <c r="AC28" i="15"/>
  <c r="W30" i="5" s="1"/>
  <c r="GQ27" i="15"/>
  <c r="FQ29" i="5" s="1"/>
  <c r="BL27" i="15"/>
  <c r="BB29" i="5" s="1"/>
  <c r="DI28" i="15"/>
  <c r="CS30" i="5" s="1"/>
  <c r="CA28" i="15"/>
  <c r="AS28"/>
  <c r="GR27"/>
  <c r="FR29" i="5" s="1"/>
  <c r="CS27" i="15"/>
  <c r="CE29" i="5" s="1"/>
  <c r="BK27" i="15"/>
  <c r="BA29" i="5" s="1"/>
  <c r="AC27" i="15"/>
  <c r="W29" i="5" s="1"/>
  <c r="CR27" i="15"/>
  <c r="CD29" i="5" s="1"/>
  <c r="AB27" i="15"/>
  <c r="V29" i="5" s="1"/>
  <c r="GR26" i="15"/>
  <c r="FR28" i="5" s="1"/>
  <c r="DK26" i="15"/>
  <c r="CU28" i="5" s="1"/>
  <c r="CQ26" i="15"/>
  <c r="CC28" i="5" s="1"/>
  <c r="DJ26" i="15"/>
  <c r="CT28" i="5" s="1"/>
  <c r="CC26" i="15"/>
  <c r="BQ28" i="5" s="1"/>
  <c r="BP28" s="1"/>
  <c r="BK26" i="15"/>
  <c r="BA28" i="5" s="1"/>
  <c r="AC26" i="15"/>
  <c r="W28" i="5" s="1"/>
  <c r="GQ25" i="15"/>
  <c r="FQ27" i="5" s="1"/>
  <c r="DJ25" i="15"/>
  <c r="CT27" i="5" s="1"/>
  <c r="CQ25" i="15"/>
  <c r="CC27" i="5" s="1"/>
  <c r="BI25" i="15"/>
  <c r="AY27" i="5" s="1"/>
  <c r="AE25" i="15"/>
  <c r="GO24"/>
  <c r="FO26" i="5" s="1"/>
  <c r="DH24" i="15"/>
  <c r="CR26" i="5" s="1"/>
  <c r="BZ24" i="15"/>
  <c r="BN26" i="5" s="1"/>
  <c r="AR24" i="15"/>
  <c r="AJ26" i="5" s="1"/>
  <c r="N24" i="15"/>
  <c r="I26" i="5" s="1"/>
  <c r="AU24" i="15"/>
  <c r="AM26" i="5" s="1"/>
  <c r="BJ26" i="15"/>
  <c r="AZ28" i="5" s="1"/>
  <c r="AB26" i="15"/>
  <c r="V28" i="5" s="1"/>
  <c r="GA25" i="15"/>
  <c r="FC27" i="5" s="1"/>
  <c r="CT25" i="15"/>
  <c r="CF27" i="5" s="1"/>
  <c r="BL25" i="15"/>
  <c r="BB27" i="5" s="1"/>
  <c r="AD25" i="15"/>
  <c r="X27" i="5" s="1"/>
  <c r="GP24" i="15"/>
  <c r="FP26" i="5" s="1"/>
  <c r="DK24" i="15"/>
  <c r="CU26" i="5" s="1"/>
  <c r="BJ24" i="15"/>
  <c r="AZ26" i="5" s="1"/>
  <c r="GQ23" i="15"/>
  <c r="FQ25" i="5" s="1"/>
  <c r="DJ23" i="15"/>
  <c r="CQ23"/>
  <c r="CC25" i="5" s="1"/>
  <c r="BI23" i="15"/>
  <c r="AY25" i="5" s="1"/>
  <c r="AE23" i="15"/>
  <c r="GP23"/>
  <c r="DK23"/>
  <c r="CU25" i="5" s="1"/>
  <c r="CC23" i="15"/>
  <c r="BQ25" i="5" s="1"/>
  <c r="AU23" i="15"/>
  <c r="AM25" i="5" s="1"/>
  <c r="O23" i="15"/>
  <c r="J25" i="5" s="1"/>
  <c r="CS22" i="15"/>
  <c r="CE23" i="5" s="1"/>
  <c r="BK22" i="15"/>
  <c r="BA23" i="5" s="1"/>
  <c r="CT22" i="15"/>
  <c r="CF23" i="5" s="1"/>
  <c r="BL22" i="15"/>
  <c r="BB23" i="5" s="1"/>
  <c r="GQ21" i="15"/>
  <c r="FQ22" i="5" s="1"/>
  <c r="DJ21" i="15"/>
  <c r="CT22" i="5" s="1"/>
  <c r="CQ21" i="15"/>
  <c r="CC22" i="5" s="1"/>
  <c r="BI21" i="15"/>
  <c r="AY22" i="5" s="1"/>
  <c r="AE21" i="15"/>
  <c r="GR21"/>
  <c r="FR22" i="5" s="1"/>
  <c r="DK21" i="15"/>
  <c r="CU22" i="5" s="1"/>
  <c r="CC21" i="15"/>
  <c r="BQ22" i="5" s="1"/>
  <c r="AU21" i="15"/>
  <c r="AM22" i="5" s="1"/>
  <c r="O21" i="15"/>
  <c r="J22" i="5" s="1"/>
  <c r="GP20" i="15"/>
  <c r="FP21" i="5" s="1"/>
  <c r="DI20" i="15"/>
  <c r="CS21" i="5" s="1"/>
  <c r="FZ20" i="15"/>
  <c r="FB21" i="5" s="1"/>
  <c r="CS20" i="15"/>
  <c r="CE21" i="5" s="1"/>
  <c r="BK20" i="15"/>
  <c r="AC20"/>
  <c r="CT20"/>
  <c r="CF21" i="5" s="1"/>
  <c r="BL20" i="15"/>
  <c r="BB21" i="5" s="1"/>
  <c r="AD20" i="15"/>
  <c r="X21" i="5" s="1"/>
  <c r="GQ19" i="15"/>
  <c r="FQ20" i="5" s="1"/>
  <c r="FZ19" i="15"/>
  <c r="FB20" i="5" s="1"/>
  <c r="CU19" i="15"/>
  <c r="CG20" i="5" s="1"/>
  <c r="GA19" i="15"/>
  <c r="FC20" i="5" s="1"/>
  <c r="CT19" i="15"/>
  <c r="CF20" i="5" s="1"/>
  <c r="BI19" i="15"/>
  <c r="AY20" i="5" s="1"/>
  <c r="AE19" i="15"/>
  <c r="GO18"/>
  <c r="FO19" i="5" s="1"/>
  <c r="DH18" i="15"/>
  <c r="CR19" i="5" s="1"/>
  <c r="BZ18" i="15"/>
  <c r="BN19" i="5" s="1"/>
  <c r="AR18" i="15"/>
  <c r="AJ19" i="5" s="1"/>
  <c r="BJ19" i="15"/>
  <c r="AZ20" i="5" s="1"/>
  <c r="AB19" i="15"/>
  <c r="V20" i="5" s="1"/>
  <c r="GA18" i="15"/>
  <c r="FC19" i="5" s="1"/>
  <c r="CR18" i="15"/>
  <c r="CD19" i="5" s="1"/>
  <c r="BJ18" i="15"/>
  <c r="AZ19" i="5" s="1"/>
  <c r="AB18" i="15"/>
  <c r="V19" i="5" s="1"/>
  <c r="GR17" i="15"/>
  <c r="FR18" i="5" s="1"/>
  <c r="DI17" i="15"/>
  <c r="CS18" i="5" s="1"/>
  <c r="FX17" i="15"/>
  <c r="EZ18" i="5" s="1"/>
  <c r="CT17" i="15"/>
  <c r="CF18" i="5" s="1"/>
  <c r="CQ17" i="15"/>
  <c r="CC18" i="5" s="1"/>
  <c r="CB17" i="15"/>
  <c r="BP18" i="5" s="1"/>
  <c r="AU17" i="15"/>
  <c r="AM18" i="5" s="1"/>
  <c r="AT17" i="15"/>
  <c r="AL18" i="5" s="1"/>
  <c r="AA17" i="15"/>
  <c r="FZ16"/>
  <c r="FB17" i="5" s="1"/>
  <c r="AB17" i="15"/>
  <c r="V18" i="5" s="1"/>
  <c r="FY16" i="15"/>
  <c r="CU16"/>
  <c r="CG17" i="5" s="1"/>
  <c r="CB16" i="15"/>
  <c r="BP17" i="5" s="1"/>
  <c r="AT16" i="15"/>
  <c r="AL17" i="5" s="1"/>
  <c r="AA16" i="15"/>
  <c r="U17" i="5" s="1"/>
  <c r="DK15" i="15"/>
  <c r="CU16" i="5" s="1"/>
  <c r="AS16" i="15"/>
  <c r="AK17" i="5" s="1"/>
  <c r="GR15" i="15"/>
  <c r="FR16" i="5" s="1"/>
  <c r="DI16" i="15"/>
  <c r="CS17" i="5" s="1"/>
  <c r="CA16" i="15"/>
  <c r="BO17" i="5" s="1"/>
  <c r="CT15" i="15"/>
  <c r="CF16" i="5" s="1"/>
  <c r="CS15" i="15"/>
  <c r="CE16" i="5" s="1"/>
  <c r="BI15" i="15"/>
  <c r="AY16" i="5" s="1"/>
  <c r="AE15" i="15"/>
  <c r="GO14"/>
  <c r="FO15" i="5" s="1"/>
  <c r="DH14" i="15"/>
  <c r="BZ14"/>
  <c r="AR14"/>
  <c r="N14"/>
  <c r="I15" i="5" s="1"/>
  <c r="FX13" i="15"/>
  <c r="EZ14" i="5" s="1"/>
  <c r="CU13" i="15"/>
  <c r="CG14" i="5" s="1"/>
  <c r="CB13" i="15"/>
  <c r="AT13"/>
  <c r="AL14" i="5" s="1"/>
  <c r="AA13" i="15"/>
  <c r="U14" i="5" s="1"/>
  <c r="CS12" i="15"/>
  <c r="CE13" i="5" s="1"/>
  <c r="BK12" i="15"/>
  <c r="BA13" i="5" s="1"/>
  <c r="AC12" i="15"/>
  <c r="W13" i="5" s="1"/>
  <c r="GP11" i="15"/>
  <c r="FP12" i="5" s="1"/>
  <c r="DI11" i="15"/>
  <c r="CS12" i="5" s="1"/>
  <c r="BJ11" i="15"/>
  <c r="CA15"/>
  <c r="BO16" i="5" s="1"/>
  <c r="AS15" i="15"/>
  <c r="AK16" i="5" s="1"/>
  <c r="GR14" i="15"/>
  <c r="FR15" i="5" s="1"/>
  <c r="DI14" i="15"/>
  <c r="CS15" i="5" s="1"/>
  <c r="CR15" s="1"/>
  <c r="CA14" i="15"/>
  <c r="BO15" i="5" s="1"/>
  <c r="AS14" i="15"/>
  <c r="AK15" i="5" s="1"/>
  <c r="AJ15" s="1"/>
  <c r="GR13" i="15"/>
  <c r="FR14" i="5" s="1"/>
  <c r="DK13" i="15"/>
  <c r="CU14" i="5" s="1"/>
  <c r="CC13" i="15"/>
  <c r="BQ14" i="5" s="1"/>
  <c r="AU13" i="15"/>
  <c r="AM14" i="5" s="1"/>
  <c r="O13" i="15"/>
  <c r="J14" i="5" s="1"/>
  <c r="CR12" i="15"/>
  <c r="CD13" i="5" s="1"/>
  <c r="BJ12" i="15"/>
  <c r="AZ13" i="5" s="1"/>
  <c r="AB12" i="15"/>
  <c r="V13" i="5" s="1"/>
  <c r="FZ11" i="15"/>
  <c r="FB12" i="5" s="1"/>
  <c r="CS11" i="15"/>
  <c r="CE12" i="5" s="1"/>
  <c r="BK11" i="15"/>
  <c r="AC11"/>
  <c r="W12" i="5" s="1"/>
  <c r="BL11" i="15"/>
  <c r="BB12" i="5" s="1"/>
  <c r="GR10" i="15"/>
  <c r="FR11" i="5" s="1"/>
  <c r="FQ11" s="1"/>
  <c r="FY10" i="15"/>
  <c r="FA11" i="5" s="1"/>
  <c r="DJ10" i="15"/>
  <c r="CT11" i="5" s="1"/>
  <c r="CQ10" i="15"/>
  <c r="CC11" i="5" s="1"/>
  <c r="BZ43" i="15"/>
  <c r="N43"/>
  <c r="I45" i="5" s="1"/>
  <c r="H45" s="1"/>
  <c r="BJ42" i="15"/>
  <c r="AZ44" i="5" s="1"/>
  <c r="FJ43" i="15"/>
  <c r="EN45" i="5" s="1"/>
  <c r="BJ43" i="15"/>
  <c r="AZ45" i="5" s="1"/>
  <c r="CS42" i="15"/>
  <c r="CE44" i="5" s="1"/>
  <c r="AC42" i="15"/>
  <c r="W44" i="5" s="1"/>
  <c r="FI41" i="15"/>
  <c r="BK41"/>
  <c r="GP41"/>
  <c r="FP43" i="5" s="1"/>
  <c r="CR41" i="15"/>
  <c r="CD43" i="5" s="1"/>
  <c r="AB41" i="15"/>
  <c r="V43" i="5" s="1"/>
  <c r="DJ40" i="15"/>
  <c r="BI40"/>
  <c r="AY42" i="5" s="1"/>
  <c r="GA40" i="15"/>
  <c r="FC42" i="5" s="1"/>
  <c r="CA40" i="15"/>
  <c r="BO42" i="5" s="1"/>
  <c r="AE40" i="15"/>
  <c r="DH39"/>
  <c r="CR41" i="5" s="1"/>
  <c r="BZ39" i="15"/>
  <c r="BN41" i="5" s="1"/>
  <c r="AR39" i="15"/>
  <c r="AJ41" i="5" s="1"/>
  <c r="GA39" i="15"/>
  <c r="FC41" i="5" s="1"/>
  <c r="FB41" s="1"/>
  <c r="DI39" i="15"/>
  <c r="CS41" i="5" s="1"/>
  <c r="CA39" i="15"/>
  <c r="BO41" i="5" s="1"/>
  <c r="AE39" i="15"/>
  <c r="GO38"/>
  <c r="FO40" i="5" s="1"/>
  <c r="FG38" i="15"/>
  <c r="EK40" i="5" s="1"/>
  <c r="CU38" i="15"/>
  <c r="CG40" i="5" s="1"/>
  <c r="CB38" i="15"/>
  <c r="AT38"/>
  <c r="AA38"/>
  <c r="U40" i="5" s="1"/>
  <c r="FZ37" i="15"/>
  <c r="DJ37"/>
  <c r="CQ37"/>
  <c r="CC39" i="5" s="1"/>
  <c r="BI37" i="15"/>
  <c r="AE37"/>
  <c r="GO36"/>
  <c r="FO38" i="5" s="1"/>
  <c r="FG36" i="15"/>
  <c r="EK38" i="5" s="1"/>
  <c r="CU36" i="15"/>
  <c r="CG38" i="5" s="1"/>
  <c r="CB36" i="15"/>
  <c r="AR36"/>
  <c r="AJ38" i="5" s="1"/>
  <c r="AB39" i="15"/>
  <c r="V41" i="5" s="1"/>
  <c r="GA38" i="15"/>
  <c r="FC40" i="5" s="1"/>
  <c r="DK38" i="15"/>
  <c r="CU40" i="5" s="1"/>
  <c r="AU38" i="15"/>
  <c r="AM40" i="5" s="1"/>
  <c r="FY37" i="15"/>
  <c r="FA39" i="5" s="1"/>
  <c r="BJ37" i="15"/>
  <c r="AZ39" i="5" s="1"/>
  <c r="AY39" s="1"/>
  <c r="GA36" i="15"/>
  <c r="FC38" i="5" s="1"/>
  <c r="CC36" i="15"/>
  <c r="BQ38" i="5" s="1"/>
  <c r="O36" i="15"/>
  <c r="J38" i="5" s="1"/>
  <c r="GR35" i="15"/>
  <c r="FR37" i="5" s="1"/>
  <c r="CT35" i="15"/>
  <c r="CF37" i="5" s="1"/>
  <c r="AD35" i="15"/>
  <c r="X37" i="5" s="1"/>
  <c r="DK34" i="15"/>
  <c r="CU36" i="5" s="1"/>
  <c r="CA34" i="15"/>
  <c r="AS34"/>
  <c r="AK36" i="5" s="1"/>
  <c r="GR33" i="15"/>
  <c r="FR35" i="5" s="1"/>
  <c r="N34" i="15"/>
  <c r="I36" i="5" s="1"/>
  <c r="H36" s="1"/>
  <c r="FZ33" i="15"/>
  <c r="FB35" i="5" s="1"/>
  <c r="FA35" s="1"/>
  <c r="FX35" i="15"/>
  <c r="EZ37" i="5" s="1"/>
  <c r="DJ35" i="15"/>
  <c r="CQ35"/>
  <c r="CC37" i="5" s="1"/>
  <c r="BI35" i="15"/>
  <c r="AY37" i="5" s="1"/>
  <c r="AE35" i="15"/>
  <c r="GO34"/>
  <c r="FO36" i="5" s="1"/>
  <c r="DJ34" i="15"/>
  <c r="CQ34"/>
  <c r="CC36" i="5" s="1"/>
  <c r="BI34" i="15"/>
  <c r="AY36" i="5" s="1"/>
  <c r="AE34" i="15"/>
  <c r="FX33"/>
  <c r="CU33"/>
  <c r="CG35" i="5" s="1"/>
  <c r="CB33" i="15"/>
  <c r="BP35" i="5" s="1"/>
  <c r="CT33" i="15"/>
  <c r="CF35" i="5" s="1"/>
  <c r="BZ33" i="15"/>
  <c r="AR33"/>
  <c r="AJ35" i="5" s="1"/>
  <c r="N33" i="15"/>
  <c r="I35" i="5" s="1"/>
  <c r="H35" s="1"/>
  <c r="BL33" i="15"/>
  <c r="BB35" i="5" s="1"/>
  <c r="AD33" i="15"/>
  <c r="X35" i="5" s="1"/>
  <c r="GP32" i="15"/>
  <c r="FP34" i="5" s="1"/>
  <c r="DH32" i="15"/>
  <c r="DI32"/>
  <c r="CS34" i="5" s="1"/>
  <c r="BZ32" i="15"/>
  <c r="BN34" i="5" s="1"/>
  <c r="AR32" i="15"/>
  <c r="AJ34" i="5" s="1"/>
  <c r="N32" i="15"/>
  <c r="I34" i="5" s="1"/>
  <c r="H34" s="1"/>
  <c r="FX31" i="15"/>
  <c r="EZ33" i="5" s="1"/>
  <c r="CU31" i="15"/>
  <c r="CG33" i="5" s="1"/>
  <c r="CB31" i="15"/>
  <c r="AT31"/>
  <c r="AL33" i="5" s="1"/>
  <c r="AA31" i="15"/>
  <c r="CC32"/>
  <c r="BQ34" i="5" s="1"/>
  <c r="AU32" i="15"/>
  <c r="AM34" i="5" s="1"/>
  <c r="O32" i="15"/>
  <c r="J34" i="5" s="1"/>
  <c r="FY31" i="15"/>
  <c r="FA33" i="5" s="1"/>
  <c r="CT31" i="15"/>
  <c r="CF33" i="5" s="1"/>
  <c r="BL31" i="15"/>
  <c r="BB33" i="5" s="1"/>
  <c r="AD31" i="15"/>
  <c r="X33" i="5" s="1"/>
  <c r="GQ30" i="15"/>
  <c r="DJ30"/>
  <c r="CQ30"/>
  <c r="CC32" i="5" s="1"/>
  <c r="BI30" i="15"/>
  <c r="AY32" i="5" s="1"/>
  <c r="AE30" i="15"/>
  <c r="GP30"/>
  <c r="FP32" i="5" s="1"/>
  <c r="DK30" i="15"/>
  <c r="CU32" i="5" s="1"/>
  <c r="CC30" i="15"/>
  <c r="BQ32" i="5" s="1"/>
  <c r="AU30" i="15"/>
  <c r="AM32" i="5" s="1"/>
  <c r="O30" i="15"/>
  <c r="J32" i="5" s="1"/>
  <c r="FZ29" i="15"/>
  <c r="CS29"/>
  <c r="CE31" i="5" s="1"/>
  <c r="BK29" i="15"/>
  <c r="GP29"/>
  <c r="FP31" i="5" s="1"/>
  <c r="DK29" i="15"/>
  <c r="CU31" i="5" s="1"/>
  <c r="CC29" i="15"/>
  <c r="BQ31" i="5" s="1"/>
  <c r="AU29" i="15"/>
  <c r="AM31" i="5" s="1"/>
  <c r="AA29" i="15"/>
  <c r="AB29"/>
  <c r="V31" i="5" s="1"/>
  <c r="FX28" i="15"/>
  <c r="EZ30" i="5" s="1"/>
  <c r="DJ28" i="15"/>
  <c r="CT30" i="5" s="1"/>
  <c r="CQ28" i="15"/>
  <c r="CC30" i="5" s="1"/>
  <c r="BI28" i="15"/>
  <c r="AY30" i="5" s="1"/>
  <c r="AE28" i="15"/>
  <c r="GO27"/>
  <c r="FO29" i="5" s="1"/>
  <c r="CC27" i="15"/>
  <c r="BQ29" i="5" s="1"/>
  <c r="O27" i="15"/>
  <c r="J29" i="5" s="1"/>
  <c r="CT28" i="15"/>
  <c r="CF30" i="5" s="1"/>
  <c r="BL28" i="15"/>
  <c r="BB30" i="5" s="1"/>
  <c r="AD28" i="15"/>
  <c r="X30" i="5" s="1"/>
  <c r="GP27" i="15"/>
  <c r="FP29" i="5" s="1"/>
  <c r="CU27" i="15"/>
  <c r="CG29" i="5" s="1"/>
  <c r="CB27" i="15"/>
  <c r="AT27"/>
  <c r="AL29" i="5" s="1"/>
  <c r="AA27" i="15"/>
  <c r="U29" i="5" s="1"/>
  <c r="CA27" i="15"/>
  <c r="BO29" i="5" s="1"/>
  <c r="GO26" i="15"/>
  <c r="FO28" i="5" s="1"/>
  <c r="FY26" i="15"/>
  <c r="CR26"/>
  <c r="CD28" i="5" s="1"/>
  <c r="DH26" i="15"/>
  <c r="CR28" i="5" s="1"/>
  <c r="CA26" i="15"/>
  <c r="BI26"/>
  <c r="AY28" i="5" s="1"/>
  <c r="AE26" i="15"/>
  <c r="GO25"/>
  <c r="DH25"/>
  <c r="CR27" i="5" s="1"/>
  <c r="BZ25" i="15"/>
  <c r="BN27" i="5" s="1"/>
  <c r="AR25" i="15"/>
  <c r="AJ27" i="5" s="1"/>
  <c r="N25" i="15"/>
  <c r="I27" i="5" s="1"/>
  <c r="FX24" i="15"/>
  <c r="EZ26" i="5" s="1"/>
  <c r="CU24" i="15"/>
  <c r="CG26" i="5" s="1"/>
  <c r="CB24" i="15"/>
  <c r="AT24"/>
  <c r="AL26" i="5" s="1"/>
  <c r="AA24" i="15"/>
  <c r="U26" i="5" s="1"/>
  <c r="BL24" i="15"/>
  <c r="BB26" i="5" s="1"/>
  <c r="BL26" i="15"/>
  <c r="BB28" i="5" s="1"/>
  <c r="AD26" i="15"/>
  <c r="X28" i="5" s="1"/>
  <c r="GP25" i="15"/>
  <c r="DI25"/>
  <c r="CS27" i="5" s="1"/>
  <c r="CA25" i="15"/>
  <c r="BO27" i="5" s="1"/>
  <c r="AS25" i="15"/>
  <c r="AK27" i="5" s="1"/>
  <c r="GR24" i="15"/>
  <c r="FR26" i="5" s="1"/>
  <c r="DI24" i="15"/>
  <c r="AS24"/>
  <c r="AK26" i="5" s="1"/>
  <c r="FZ23" i="15"/>
  <c r="CS23"/>
  <c r="CE25" i="5" s="1"/>
  <c r="BK23" i="15"/>
  <c r="BA25" i="5" s="1"/>
  <c r="AC23" i="15"/>
  <c r="W25" i="5" s="1"/>
  <c r="GR23" i="15"/>
  <c r="FR25" i="5" s="1"/>
  <c r="DI23" i="15"/>
  <c r="CS25" i="5" s="1"/>
  <c r="CA23" i="15"/>
  <c r="AS23"/>
  <c r="AK25" i="5" s="1"/>
  <c r="DJ22" i="15"/>
  <c r="CQ22"/>
  <c r="CC23" i="5" s="1"/>
  <c r="BI22" i="15"/>
  <c r="CR22"/>
  <c r="CD23" i="5" s="1"/>
  <c r="BJ22" i="15"/>
  <c r="AZ23" i="5" s="1"/>
  <c r="GO21" i="15"/>
  <c r="FO22" i="5" s="1"/>
  <c r="DH21" i="15"/>
  <c r="CR22" i="5" s="1"/>
  <c r="BZ21" i="15"/>
  <c r="AR21"/>
  <c r="AJ22" i="5" s="1"/>
  <c r="AS22" i="15"/>
  <c r="FY21"/>
  <c r="CR21"/>
  <c r="CD22" i="5" s="1"/>
  <c r="BJ21" i="15"/>
  <c r="AZ22" i="5" s="1"/>
  <c r="AB21" i="15"/>
  <c r="V22" i="5" s="1"/>
  <c r="GR20" i="15"/>
  <c r="FR21" i="5" s="1"/>
  <c r="DK20" i="15"/>
  <c r="CU21" i="5" s="1"/>
  <c r="GQ20" i="15"/>
  <c r="FQ21" i="5" s="1"/>
  <c r="CU20" i="15"/>
  <c r="CG21" i="5" s="1"/>
  <c r="CB20" i="15"/>
  <c r="AT20"/>
  <c r="AL21" i="5" s="1"/>
  <c r="AA20" i="15"/>
  <c r="CR20"/>
  <c r="CD21" i="5" s="1"/>
  <c r="BJ20" i="15"/>
  <c r="AZ21" i="5" s="1"/>
  <c r="AB20" i="15"/>
  <c r="V21" i="5" s="1"/>
  <c r="FX19" i="15"/>
  <c r="EZ20" i="5" s="1"/>
  <c r="CS19" i="15"/>
  <c r="CE20" i="5" s="1"/>
  <c r="FY19" i="15"/>
  <c r="CR19"/>
  <c r="CD20" i="5" s="1"/>
  <c r="CB19" i="15"/>
  <c r="AR19"/>
  <c r="AJ20" i="5" s="1"/>
  <c r="N19" i="15"/>
  <c r="I20" i="5" s="1"/>
  <c r="FX18" i="15"/>
  <c r="EZ19" i="5" s="1"/>
  <c r="CU18" i="15"/>
  <c r="CG19" i="5" s="1"/>
  <c r="CB18" i="15"/>
  <c r="AT18"/>
  <c r="AL19" i="5" s="1"/>
  <c r="BL19" i="15"/>
  <c r="BB20" i="5" s="1"/>
  <c r="AD19" i="15"/>
  <c r="X20" i="5" s="1"/>
  <c r="GP18" i="15"/>
  <c r="FP19" i="5" s="1"/>
  <c r="DK18" i="15"/>
  <c r="CU19" i="5" s="1"/>
  <c r="CC18" i="15"/>
  <c r="BQ19" i="5" s="1"/>
  <c r="AU18" i="15"/>
  <c r="AM19" i="5" s="1"/>
  <c r="O18" i="15"/>
  <c r="J19" i="5" s="1"/>
  <c r="GP17" i="15"/>
  <c r="FP18" i="5" s="1"/>
  <c r="DK17" i="15"/>
  <c r="CU18" i="5" s="1"/>
  <c r="FZ17" i="15"/>
  <c r="CR17"/>
  <c r="CD18" i="5" s="1"/>
  <c r="CC17" i="15"/>
  <c r="BQ18" i="5" s="1"/>
  <c r="BJ17" i="15"/>
  <c r="AZ18" i="5" s="1"/>
  <c r="BK17" i="15"/>
  <c r="AC17"/>
  <c r="W18" i="5" s="1"/>
  <c r="GQ16" i="15"/>
  <c r="AD17"/>
  <c r="X18" i="5" s="1"/>
  <c r="GP16" i="15"/>
  <c r="CS16"/>
  <c r="CE17" i="5" s="1"/>
  <c r="BK16" i="15"/>
  <c r="AC16"/>
  <c r="W17" i="5" s="1"/>
  <c r="GQ15" i="15"/>
  <c r="FQ16" i="5" s="1"/>
  <c r="AU16" i="15"/>
  <c r="AM17" i="5" s="1"/>
  <c r="O16" i="15"/>
  <c r="J17" i="5" s="1"/>
  <c r="CT16" i="15"/>
  <c r="CF17" i="5" s="1"/>
  <c r="BL16" i="15"/>
  <c r="BB17" i="5" s="1"/>
  <c r="CR15" i="15"/>
  <c r="CD16" i="5" s="1"/>
  <c r="BZ15" i="15"/>
  <c r="BN16" i="5" s="1"/>
  <c r="AR15" i="15"/>
  <c r="AJ16" i="5" s="1"/>
  <c r="N15" i="15"/>
  <c r="I16" i="5" s="1"/>
  <c r="FX14" i="15"/>
  <c r="CU14"/>
  <c r="CG15" i="5" s="1"/>
  <c r="CB14" i="15"/>
  <c r="AT14"/>
  <c r="AL15" i="5" s="1"/>
  <c r="AA14" i="15"/>
  <c r="U15" i="5" s="1"/>
  <c r="FZ13" i="15"/>
  <c r="FB14" i="5" s="1"/>
  <c r="CS13" i="15"/>
  <c r="CE14" i="5" s="1"/>
  <c r="BK13" i="15"/>
  <c r="BA14" i="5" s="1"/>
  <c r="AC13" i="15"/>
  <c r="W14" i="5" s="1"/>
  <c r="DJ12" i="15"/>
  <c r="CT13" i="5" s="1"/>
  <c r="CQ12" i="15"/>
  <c r="CC13" i="5" s="1"/>
  <c r="BI12" i="15"/>
  <c r="AY13" i="5" s="1"/>
  <c r="AE12" i="15"/>
  <c r="GR11"/>
  <c r="FR12" i="5" s="1"/>
  <c r="DK11" i="15"/>
  <c r="CU12" i="5" s="1"/>
  <c r="CA11" i="15"/>
  <c r="CC15"/>
  <c r="BQ16" i="5" s="1"/>
  <c r="AU15" i="15"/>
  <c r="AM16" i="5" s="1"/>
  <c r="O15" i="15"/>
  <c r="J16" i="5" s="1"/>
  <c r="FY14" i="15"/>
  <c r="FA15" i="5" s="1"/>
  <c r="CT14" i="15"/>
  <c r="CF15" i="5" s="1"/>
  <c r="BL14" i="15"/>
  <c r="BB15" i="5" s="1"/>
  <c r="AD14" i="15"/>
  <c r="X15" i="5" s="1"/>
  <c r="GP13" i="15"/>
  <c r="DI13"/>
  <c r="CS14" i="5" s="1"/>
  <c r="CA13" i="15"/>
  <c r="BO14" i="5" s="1"/>
  <c r="AS13" i="15"/>
  <c r="AK14" i="5" s="1"/>
  <c r="DK12" i="15"/>
  <c r="CU13" i="5" s="1"/>
  <c r="CC12" i="15"/>
  <c r="BQ13" i="5" s="1"/>
  <c r="AU12" i="15"/>
  <c r="AM13" i="5" s="1"/>
  <c r="O12" i="15"/>
  <c r="J13" i="5" s="1"/>
  <c r="FX11" i="15"/>
  <c r="CU11"/>
  <c r="CG12" i="5" s="1"/>
  <c r="CB11" i="15"/>
  <c r="BP12" i="5" s="1"/>
  <c r="AT11" i="15"/>
  <c r="AA11"/>
  <c r="U12" i="5" s="1"/>
  <c r="AU11" i="15"/>
  <c r="AM12" i="5" s="1"/>
  <c r="GP10" i="15"/>
  <c r="FP11" i="5" s="1"/>
  <c r="GA10" i="15"/>
  <c r="FC11" i="5" s="1"/>
  <c r="FZ10" i="15"/>
  <c r="DH10"/>
  <c r="CR11" i="5" s="1"/>
  <c r="CU10" i="15"/>
  <c r="CG11" i="5" s="1"/>
  <c r="BZ10" i="15"/>
  <c r="BK10"/>
  <c r="BA11" i="5" s="1"/>
  <c r="AR10" i="15"/>
  <c r="AJ11" i="5" s="1"/>
  <c r="AC10" i="15"/>
  <c r="W11" i="5" s="1"/>
  <c r="GQ9" i="15"/>
  <c r="DJ9"/>
  <c r="CQ9"/>
  <c r="CC10" i="5" s="1"/>
  <c r="BI9" i="15"/>
  <c r="AY10" i="5" s="1"/>
  <c r="AE9" i="15"/>
  <c r="GO8"/>
  <c r="FO9" i="5" s="1"/>
  <c r="FG8" i="15"/>
  <c r="DH8"/>
  <c r="CR9" i="5" s="1"/>
  <c r="BZ8" i="15"/>
  <c r="BN9" i="5" s="1"/>
  <c r="GR9" i="15"/>
  <c r="FR10" i="5" s="1"/>
  <c r="DI9" i="15"/>
  <c r="CS10" i="5" s="1"/>
  <c r="CA9" i="15"/>
  <c r="BO10" i="5" s="1"/>
  <c r="AS9" i="15"/>
  <c r="AK10" i="5" s="1"/>
  <c r="CT38" i="15"/>
  <c r="CF40" i="5" s="1"/>
  <c r="AD38" i="15"/>
  <c r="X40" i="5" s="1"/>
  <c r="FH37" i="15"/>
  <c r="EL39" i="5" s="1"/>
  <c r="CA37" i="15"/>
  <c r="BO39" i="5" s="1"/>
  <c r="GR36" i="15"/>
  <c r="FR38" i="5" s="1"/>
  <c r="CT36" i="15"/>
  <c r="CF38" i="5" s="1"/>
  <c r="AD36" i="15"/>
  <c r="X38" i="5" s="1"/>
  <c r="GA35" i="15"/>
  <c r="FC37" i="5" s="1"/>
  <c r="CC35" i="15"/>
  <c r="BQ37" i="5" s="1"/>
  <c r="BP37" s="1"/>
  <c r="O35" i="15"/>
  <c r="J37" i="5" s="1"/>
  <c r="CT34" i="15"/>
  <c r="CF36" i="5" s="1"/>
  <c r="BL34" i="15"/>
  <c r="BB36" i="5" s="1"/>
  <c r="AD34" i="15"/>
  <c r="X36" i="5" s="1"/>
  <c r="GP33" i="15"/>
  <c r="FP35" i="5" s="1"/>
  <c r="GO35" i="15"/>
  <c r="FO37" i="5" s="1"/>
  <c r="FG35" i="15"/>
  <c r="EK37" i="5" s="1"/>
  <c r="CS35" i="15"/>
  <c r="CE37" i="5" s="1"/>
  <c r="BK35" i="15"/>
  <c r="AC35"/>
  <c r="W37" i="5" s="1"/>
  <c r="GQ34" i="15"/>
  <c r="FQ36" i="5" s="1"/>
  <c r="DH34" i="15"/>
  <c r="CR36" i="5" s="1"/>
  <c r="BZ34" i="15"/>
  <c r="AR34"/>
  <c r="AJ36" i="5" s="1"/>
  <c r="GO33" i="15"/>
  <c r="CS33"/>
  <c r="CE35" i="5" s="1"/>
  <c r="CR33" i="15"/>
  <c r="CD35" i="5" s="1"/>
  <c r="BI33" i="15"/>
  <c r="AY35" i="5" s="1"/>
  <c r="AE33" i="15"/>
  <c r="GO32"/>
  <c r="FO34" i="5" s="1"/>
  <c r="AS33" i="15"/>
  <c r="AK35" i="5" s="1"/>
  <c r="GR32" i="15"/>
  <c r="FR34" i="5" s="1"/>
  <c r="DJ32" i="15"/>
  <c r="DK32"/>
  <c r="CU34" i="5" s="1"/>
  <c r="CQ32" i="15"/>
  <c r="CC34" i="5" s="1"/>
  <c r="BI32" i="15"/>
  <c r="AY34" i="5" s="1"/>
  <c r="AE32" i="15"/>
  <c r="GO31"/>
  <c r="FO33" i="5" s="1"/>
  <c r="DH31" i="15"/>
  <c r="CR33" i="5" s="1"/>
  <c r="BZ31" i="15"/>
  <c r="BN33" i="5" s="1"/>
  <c r="AR31" i="15"/>
  <c r="AJ33" i="5" s="1"/>
  <c r="N31" i="15"/>
  <c r="I33" i="5" s="1"/>
  <c r="H33" s="1"/>
  <c r="CA32" i="15"/>
  <c r="BO34" i="5" s="1"/>
  <c r="AS32" i="15"/>
  <c r="AK34" i="5" s="1"/>
  <c r="GR31" i="15"/>
  <c r="FR33" i="5" s="1"/>
  <c r="DI31" i="15"/>
  <c r="CS33" i="5" s="1"/>
  <c r="CA31" i="15"/>
  <c r="BO33" i="5" s="1"/>
  <c r="AS31" i="15"/>
  <c r="AK33" i="5" s="1"/>
  <c r="GO30" i="15"/>
  <c r="FO32" i="5" s="1"/>
  <c r="DH30" i="15"/>
  <c r="CR32" i="5" s="1"/>
  <c r="BZ30" i="15"/>
  <c r="BN32" i="5" s="1"/>
  <c r="AR30" i="15"/>
  <c r="AJ32" i="5" s="1"/>
  <c r="GR30" i="15"/>
  <c r="FR32" i="5" s="1"/>
  <c r="FQ32" s="1"/>
  <c r="DI30" i="15"/>
  <c r="CS32" i="5" s="1"/>
  <c r="CA30" i="15"/>
  <c r="BO32" i="5" s="1"/>
  <c r="AS30" i="15"/>
  <c r="AK32" i="5" s="1"/>
  <c r="AA30" i="15"/>
  <c r="U32" i="5" s="1"/>
  <c r="FX29" i="15"/>
  <c r="EZ31" i="5" s="1"/>
  <c r="CU29" i="15"/>
  <c r="CG31" i="5" s="1"/>
  <c r="CB29" i="15"/>
  <c r="BP31" i="5" s="1"/>
  <c r="AT29" i="15"/>
  <c r="AL31" i="5" s="1"/>
  <c r="GA29" i="15"/>
  <c r="FC31" i="5" s="1"/>
  <c r="CR29" i="15"/>
  <c r="CD31" i="5" s="1"/>
  <c r="BJ29" i="15"/>
  <c r="AZ31" i="5" s="1"/>
  <c r="AC29" i="15"/>
  <c r="W31" i="5" s="1"/>
  <c r="GQ28" i="15"/>
  <c r="FQ30" i="5" s="1"/>
  <c r="O29" i="15"/>
  <c r="J31" i="5" s="1"/>
  <c r="FZ28" i="15"/>
  <c r="FB30" i="5" s="1"/>
  <c r="FA30" s="1"/>
  <c r="DH28" i="15"/>
  <c r="CR30" i="5" s="1"/>
  <c r="BZ28" i="15"/>
  <c r="BN30" i="5" s="1"/>
  <c r="AR28" i="15"/>
  <c r="AJ30" i="5" s="1"/>
  <c r="N28" i="15"/>
  <c r="I30" i="5" s="1"/>
  <c r="H30" s="1"/>
  <c r="CT27" i="15"/>
  <c r="CF29" i="5" s="1"/>
  <c r="AD27" i="15"/>
  <c r="X29" i="5" s="1"/>
  <c r="CR28" i="15"/>
  <c r="CD30" i="5" s="1"/>
  <c r="BJ28" i="15"/>
  <c r="AZ30" i="5" s="1"/>
  <c r="AB28" i="15"/>
  <c r="V30" i="5" s="1"/>
  <c r="DH27" i="15"/>
  <c r="CR29" i="5" s="1"/>
  <c r="BZ27" i="15"/>
  <c r="BN29" i="5" s="1"/>
  <c r="AR27" i="15"/>
  <c r="AJ29" i="5" s="1"/>
  <c r="N27" i="15"/>
  <c r="I29" i="5" s="1"/>
  <c r="H29" s="1"/>
  <c r="BJ27" i="15"/>
  <c r="AZ29" i="5" s="1"/>
  <c r="GQ26" i="15"/>
  <c r="FQ28" i="5" s="1"/>
  <c r="GA26" i="15"/>
  <c r="FC28" i="5" s="1"/>
  <c r="CT26" i="15"/>
  <c r="CF28" i="5" s="1"/>
  <c r="FZ26" i="15"/>
  <c r="FB28" i="5" s="1"/>
  <c r="FA28" s="1"/>
  <c r="CU26" i="15"/>
  <c r="CG28" i="5" s="1"/>
  <c r="BZ26" i="15"/>
  <c r="BN28" i="5" s="1"/>
  <c r="AR26" i="15"/>
  <c r="AJ28" i="5" s="1"/>
  <c r="N26" i="15"/>
  <c r="I28" i="5" s="1"/>
  <c r="FX25" i="15"/>
  <c r="EZ27" i="5" s="1"/>
  <c r="CU25" i="15"/>
  <c r="CG27" i="5" s="1"/>
  <c r="CB25" i="15"/>
  <c r="AT25"/>
  <c r="AL27" i="5" s="1"/>
  <c r="AA25" i="15"/>
  <c r="U27" i="5" s="1"/>
  <c r="FZ24" i="15"/>
  <c r="CS24"/>
  <c r="CE26" i="5" s="1"/>
  <c r="BK24" i="15"/>
  <c r="BA26" i="5" s="1"/>
  <c r="AC24" i="15"/>
  <c r="W26" i="5" s="1"/>
  <c r="CC24" i="15"/>
  <c r="BQ26" i="5" s="1"/>
  <c r="O24" i="15"/>
  <c r="J26" i="5" s="1"/>
  <c r="AS26" i="15"/>
  <c r="AK28" i="5" s="1"/>
  <c r="GR25" i="15"/>
  <c r="FR27" i="5" s="1"/>
  <c r="DK25" i="15"/>
  <c r="CU27" i="5" s="1"/>
  <c r="CC25" i="15"/>
  <c r="BQ27" i="5" s="1"/>
  <c r="AU25" i="15"/>
  <c r="AM27" i="5" s="1"/>
  <c r="O25" i="15"/>
  <c r="J27" i="5" s="1"/>
  <c r="FY24" i="15"/>
  <c r="CR24"/>
  <c r="CD26" i="5" s="1"/>
  <c r="AB24" i="15"/>
  <c r="V26" i="5" s="1"/>
  <c r="FX23" i="15"/>
  <c r="EZ25" i="5" s="1"/>
  <c r="CU23" i="15"/>
  <c r="CG25" i="5" s="1"/>
  <c r="CB23" i="15"/>
  <c r="BP25" i="5" s="1"/>
  <c r="AT23" i="15"/>
  <c r="AL25" i="5" s="1"/>
  <c r="AA23" i="15"/>
  <c r="U25" i="5" s="1"/>
  <c r="FY23" i="15"/>
  <c r="FA25" i="5" s="1"/>
  <c r="CT23" i="15"/>
  <c r="CF25" i="5" s="1"/>
  <c r="BL23" i="15"/>
  <c r="BB25" i="5" s="1"/>
  <c r="AD23" i="15"/>
  <c r="X25" i="5" s="1"/>
  <c r="DH22" i="15"/>
  <c r="CR23" i="5" s="1"/>
  <c r="BZ22" i="15"/>
  <c r="BN23" i="5" s="1"/>
  <c r="DK22" i="15"/>
  <c r="CU23" i="5" s="1"/>
  <c r="CT23" s="1"/>
  <c r="CC22" i="15"/>
  <c r="BQ23" i="5" s="1"/>
  <c r="AR22" i="15"/>
  <c r="FX21"/>
  <c r="EZ22" i="5" s="1"/>
  <c r="CU21" i="15"/>
  <c r="CG22" i="5" s="1"/>
  <c r="CB21" i="15"/>
  <c r="BP22" i="5" s="1"/>
  <c r="AT21" i="15"/>
  <c r="AL22" i="5" s="1"/>
  <c r="AU22" i="15"/>
  <c r="GA21"/>
  <c r="FC22" i="5" s="1"/>
  <c r="CT21" i="15"/>
  <c r="CF22" i="5" s="1"/>
  <c r="BL21" i="15"/>
  <c r="BB22" i="5" s="1"/>
  <c r="AD21" i="15"/>
  <c r="X22" i="5" s="1"/>
  <c r="N21" i="15"/>
  <c r="I22" i="5" s="1"/>
  <c r="FY20" i="15"/>
  <c r="FA21" i="5" s="1"/>
  <c r="GO20" i="15"/>
  <c r="FO21" i="5" s="1"/>
  <c r="DJ20" i="15"/>
  <c r="CT21" i="5" s="1"/>
  <c r="BZ20" i="15"/>
  <c r="BN21" i="5" s="1"/>
  <c r="AR20" i="15"/>
  <c r="AJ21" i="5" s="1"/>
  <c r="N20" i="15"/>
  <c r="I21" i="5" s="1"/>
  <c r="CC20" i="15"/>
  <c r="BQ21" i="5" s="1"/>
  <c r="AU20" i="15"/>
  <c r="AM21" i="5" s="1"/>
  <c r="O20" i="15"/>
  <c r="J21" i="5" s="1"/>
  <c r="GR19" i="15"/>
  <c r="FR20" i="5" s="1"/>
  <c r="DJ19" i="15"/>
  <c r="CQ19"/>
  <c r="CC20" i="5" s="1"/>
  <c r="DK19" i="15"/>
  <c r="CU20" i="5" s="1"/>
  <c r="CC19" i="15"/>
  <c r="BQ20" i="5" s="1"/>
  <c r="BP20" s="1"/>
  <c r="AT19" i="15"/>
  <c r="AL20" i="5" s="1"/>
  <c r="AA19" i="15"/>
  <c r="U20" i="5" s="1"/>
  <c r="FZ18" i="15"/>
  <c r="FB19" i="5" s="1"/>
  <c r="CS18" i="15"/>
  <c r="CE19" i="5" s="1"/>
  <c r="BK18" i="15"/>
  <c r="BA19" i="5" s="1"/>
  <c r="N18" i="15"/>
  <c r="I19" i="5" s="1"/>
  <c r="AS19" i="15"/>
  <c r="AK20" i="5" s="1"/>
  <c r="GR18" i="15"/>
  <c r="FR19" i="5" s="1"/>
  <c r="DI18" i="15"/>
  <c r="CS19" i="5" s="1"/>
  <c r="CA18" i="15"/>
  <c r="BO19" i="5" s="1"/>
  <c r="AS18" i="15"/>
  <c r="AK19" i="5" s="1"/>
  <c r="AE18" i="15"/>
  <c r="GA17"/>
  <c r="FC18" i="5" s="1"/>
  <c r="GQ17" i="15"/>
  <c r="FQ18" i="5" s="1"/>
  <c r="DJ17" i="15"/>
  <c r="CT18" i="5" s="1"/>
  <c r="CU17" i="15"/>
  <c r="CG18" i="5" s="1"/>
  <c r="CA17" i="15"/>
  <c r="BO18" i="5" s="1"/>
  <c r="BL17" i="15"/>
  <c r="BB18" i="5" s="1"/>
  <c r="BA18" s="1"/>
  <c r="BI17" i="15"/>
  <c r="AY18" i="5" s="1"/>
  <c r="AE17" i="15"/>
  <c r="GO16"/>
  <c r="GA16"/>
  <c r="FC17" i="5" s="1"/>
  <c r="GR16" i="15"/>
  <c r="FR17" i="5" s="1"/>
  <c r="DJ16" i="15"/>
  <c r="CQ16"/>
  <c r="CC17" i="5" s="1"/>
  <c r="BI16" i="15"/>
  <c r="AY17" i="5" s="1"/>
  <c r="AE16" i="15"/>
  <c r="GO15"/>
  <c r="FO16" i="5" s="1"/>
  <c r="BJ16" i="15"/>
  <c r="AZ17" i="5" s="1"/>
  <c r="AB16" i="15"/>
  <c r="V17" i="5" s="1"/>
  <c r="DH15" i="15"/>
  <c r="CR16" i="5" s="1"/>
  <c r="CR16" i="15"/>
  <c r="CD17" i="5" s="1"/>
  <c r="GP15" i="15"/>
  <c r="FP16" i="5" s="1"/>
  <c r="CQ15" i="15"/>
  <c r="CC16" i="5" s="1"/>
  <c r="CB15" i="15"/>
  <c r="BP16" i="5" s="1"/>
  <c r="AT15" i="15"/>
  <c r="AL16" i="5" s="1"/>
  <c r="AA15" i="15"/>
  <c r="FZ14"/>
  <c r="CS14"/>
  <c r="CE15" i="5" s="1"/>
  <c r="BK14" i="15"/>
  <c r="BA15" i="5" s="1"/>
  <c r="AC14" i="15"/>
  <c r="W15" i="5" s="1"/>
  <c r="GQ13" i="15"/>
  <c r="FQ14" i="5" s="1"/>
  <c r="FP14" s="1"/>
  <c r="DJ13" i="15"/>
  <c r="CT14" i="5" s="1"/>
  <c r="CQ13" i="15"/>
  <c r="CC14" i="5" s="1"/>
  <c r="BI13" i="15"/>
  <c r="AY14" i="5" s="1"/>
  <c r="AE13" i="15"/>
  <c r="DH12"/>
  <c r="CR13" i="5" s="1"/>
  <c r="BZ12" i="15"/>
  <c r="AR12"/>
  <c r="AJ13" i="5" s="1"/>
  <c r="N12" i="15"/>
  <c r="I13" i="5" s="1"/>
  <c r="FY11" i="15"/>
  <c r="FA12" i="5" s="1"/>
  <c r="CR11" i="15"/>
  <c r="CD12" i="5" s="1"/>
  <c r="AB11" i="15"/>
  <c r="BJ15"/>
  <c r="AZ16" i="5" s="1"/>
  <c r="AB15" i="15"/>
  <c r="V16" i="5" s="1"/>
  <c r="GA14" i="15"/>
  <c r="FC15" i="5" s="1"/>
  <c r="CR14" i="15"/>
  <c r="CD15" i="5" s="1"/>
  <c r="BJ14" i="15"/>
  <c r="AZ15" i="5" s="1"/>
  <c r="AB14" i="15"/>
  <c r="V15" i="5" s="1"/>
  <c r="GA13" i="15"/>
  <c r="FC14" i="5" s="1"/>
  <c r="CT13" i="15"/>
  <c r="CF14" i="5" s="1"/>
  <c r="BL13" i="15"/>
  <c r="BB14" i="5" s="1"/>
  <c r="AD13" i="15"/>
  <c r="X14" i="5" s="1"/>
  <c r="DI12" i="15"/>
  <c r="CS13" i="5" s="1"/>
  <c r="CA12" i="15"/>
  <c r="BO13" i="5" s="1"/>
  <c r="AS12" i="15"/>
  <c r="AK13" i="5" s="1"/>
  <c r="GO11" i="15"/>
  <c r="FO12" i="5" s="1"/>
  <c r="DH11" i="15"/>
  <c r="CR12" i="5" s="1"/>
  <c r="BZ11" i="15"/>
  <c r="BN12" i="5" s="1"/>
  <c r="AR11" i="15"/>
  <c r="AJ12" i="5" s="1"/>
  <c r="N11" i="15"/>
  <c r="I12" i="5" s="1"/>
  <c r="AD11" i="15"/>
  <c r="X12" i="5" s="1"/>
  <c r="GO10" i="15"/>
  <c r="FO11" i="5" s="1"/>
  <c r="DI10" i="15"/>
  <c r="CS11" i="5" s="1"/>
  <c r="CT10" i="15"/>
  <c r="CF11" i="5" s="1"/>
  <c r="CS10" i="15"/>
  <c r="CE11" i="5" s="1"/>
  <c r="CB10" i="15"/>
  <c r="BP11" i="5" s="1"/>
  <c r="BI10" i="15"/>
  <c r="AY11" i="5" s="1"/>
  <c r="AT10" i="15"/>
  <c r="AL11" i="5" s="1"/>
  <c r="AE10" i="15"/>
  <c r="GO9"/>
  <c r="DH9"/>
  <c r="CR10" i="5" s="1"/>
  <c r="BZ9" i="15"/>
  <c r="BN10" i="5" s="1"/>
  <c r="AR9" i="15"/>
  <c r="AJ10" i="5" s="1"/>
  <c r="N9" i="15"/>
  <c r="I10" i="5" s="1"/>
  <c r="FX8" i="15"/>
  <c r="EP8"/>
  <c r="DV9" i="5" s="1"/>
  <c r="CU8" i="15"/>
  <c r="CG9" i="5" s="1"/>
  <c r="CB8" i="15"/>
  <c r="BP9" i="5" s="1"/>
  <c r="GP9" i="15"/>
  <c r="FP10" i="5" s="1"/>
  <c r="BI7" i="15"/>
  <c r="AA7"/>
  <c r="BZ7"/>
  <c r="AB7"/>
  <c r="BJ7"/>
  <c r="CR7"/>
  <c r="DZ7"/>
  <c r="FH7"/>
  <c r="GP7"/>
  <c r="AB8"/>
  <c r="AT7"/>
  <c r="CB7"/>
  <c r="DH7"/>
  <c r="EP7"/>
  <c r="FX7"/>
  <c r="N8"/>
  <c r="I9" i="5" s="1"/>
  <c r="BL10" i="15"/>
  <c r="BB11" i="5" s="1"/>
  <c r="AD10" i="15"/>
  <c r="X11" i="5" s="1"/>
  <c r="FZ9" i="15"/>
  <c r="FB10" i="5" s="1"/>
  <c r="BK9" i="15"/>
  <c r="GQ8"/>
  <c r="FQ9" i="5" s="1"/>
  <c r="DJ8" i="15"/>
  <c r="CT9" i="5" s="1"/>
  <c r="O10" i="15"/>
  <c r="J11" i="5" s="1"/>
  <c r="O7" i="15"/>
  <c r="M7"/>
  <c r="CA7"/>
  <c r="EQ7"/>
  <c r="M8"/>
  <c r="H9" i="5" s="1"/>
  <c r="BK7" i="15"/>
  <c r="EA7"/>
  <c r="GQ7"/>
  <c r="AS8"/>
  <c r="AK9" i="5" s="1"/>
  <c r="BJ8" i="15"/>
  <c r="AZ9" i="5" s="1"/>
  <c r="CR8" i="15"/>
  <c r="CD9" i="5" s="1"/>
  <c r="EQ8" i="15"/>
  <c r="DW9" i="5" s="1"/>
  <c r="FY8" i="15"/>
  <c r="FA9" i="5" s="1"/>
  <c r="M9" i="15"/>
  <c r="H10" i="5" s="1"/>
  <c r="BL9" i="15"/>
  <c r="BB10" i="5" s="1"/>
  <c r="CA10" i="15"/>
  <c r="AS10"/>
  <c r="AK11" i="5" s="1"/>
  <c r="AA10" i="15"/>
  <c r="U11" i="5" s="1"/>
  <c r="CS9" i="15"/>
  <c r="CE10" i="5" s="1"/>
  <c r="AC9" i="15"/>
  <c r="FI8"/>
  <c r="EM9" i="5" s="1"/>
  <c r="CQ8" i="15"/>
  <c r="CC9" i="5" s="1"/>
  <c r="FY9" i="15"/>
  <c r="FA10" i="5" s="1"/>
  <c r="AR7" i="15"/>
  <c r="AS7"/>
  <c r="DI7"/>
  <c r="FY7"/>
  <c r="N7"/>
  <c r="CS7"/>
  <c r="FI7"/>
  <c r="AC8"/>
  <c r="AR8"/>
  <c r="AJ9" i="5" s="1"/>
  <c r="CA8" i="15"/>
  <c r="BO9" i="5" s="1"/>
  <c r="DI8" i="15"/>
  <c r="CS9" i="5" s="1"/>
  <c r="FH8" i="15"/>
  <c r="GP8"/>
  <c r="FP9" i="5" s="1"/>
  <c r="AD9" i="15"/>
  <c r="X10" i="5" s="1"/>
  <c r="CT9" i="15"/>
  <c r="CF10" i="5" s="1"/>
  <c r="W24" i="10"/>
  <c r="M13" i="15"/>
  <c r="H14" i="5" s="1"/>
  <c r="M12" i="15"/>
  <c r="H13" i="5" s="1"/>
  <c r="E9" i="15"/>
  <c r="E73" s="1"/>
  <c r="M144" i="10"/>
  <c r="F8" i="15"/>
  <c r="W6" i="10"/>
  <c r="AE144"/>
  <c r="N146"/>
  <c r="V13"/>
  <c r="M18" i="15"/>
  <c r="H19" i="5" s="1"/>
  <c r="M20" i="15"/>
  <c r="H21" i="5" s="1"/>
  <c r="I72" i="13"/>
  <c r="C73"/>
  <c r="D73" s="1"/>
  <c r="G140"/>
  <c r="M194"/>
  <c r="K140"/>
  <c r="H140"/>
  <c r="M140"/>
  <c r="O140" s="1"/>
  <c r="C141"/>
  <c r="D141" s="1"/>
  <c r="K141" s="1"/>
  <c r="L194"/>
  <c r="J8"/>
  <c r="J140"/>
  <c r="I140"/>
  <c r="F140"/>
  <c r="Q140" s="1"/>
  <c r="J72"/>
  <c r="K72"/>
  <c r="I8"/>
  <c r="M72"/>
  <c r="O72" s="1"/>
  <c r="C9"/>
  <c r="D9" s="1"/>
  <c r="L613"/>
  <c r="C614"/>
  <c r="D614" s="1"/>
  <c r="G613"/>
  <c r="M613"/>
  <c r="J613"/>
  <c r="K613"/>
  <c r="I194"/>
  <c r="H72"/>
  <c r="G72"/>
  <c r="F72"/>
  <c r="Q72" s="1"/>
  <c r="G8"/>
  <c r="H8"/>
  <c r="K8"/>
  <c r="F8"/>
  <c r="Q8" s="1"/>
  <c r="M8"/>
  <c r="O8" s="1"/>
  <c r="E101" i="31"/>
  <c r="E103" s="1"/>
  <c r="E52"/>
  <c r="M682" i="13"/>
  <c r="C683"/>
  <c r="D683" s="1"/>
  <c r="J682"/>
  <c r="H682"/>
  <c r="I682"/>
  <c r="L682"/>
  <c r="F682"/>
  <c r="Q682" s="1"/>
  <c r="G682"/>
  <c r="K682"/>
  <c r="M537"/>
  <c r="C538"/>
  <c r="D538" s="1"/>
  <c r="H537"/>
  <c r="G537"/>
  <c r="K537"/>
  <c r="L537"/>
  <c r="F537"/>
  <c r="Q537" s="1"/>
  <c r="J537"/>
  <c r="I537"/>
  <c r="I613"/>
  <c r="H613"/>
  <c r="F613"/>
  <c r="Q613" s="1"/>
  <c r="F194"/>
  <c r="Q194" s="1"/>
  <c r="J194"/>
  <c r="C195"/>
  <c r="D195" s="1"/>
  <c r="G194"/>
  <c r="K194"/>
  <c r="O138"/>
  <c r="CT16" i="5" l="1"/>
  <c r="CS16" s="1"/>
  <c r="U18"/>
  <c r="BA10"/>
  <c r="BO22"/>
  <c r="BN22" s="1"/>
  <c r="AY23"/>
  <c r="BP45"/>
  <c r="EZ70"/>
  <c r="BP27"/>
  <c r="CT35"/>
  <c r="BO12"/>
  <c r="FB15"/>
  <c r="BA17"/>
  <c r="DI43"/>
  <c r="EM45"/>
  <c r="CT56"/>
  <c r="FB57"/>
  <c r="DW63"/>
  <c r="BN15"/>
  <c r="V37"/>
  <c r="FO67"/>
  <c r="CT57"/>
  <c r="FB48"/>
  <c r="BP64"/>
  <c r="BO64" s="1"/>
  <c r="BN64" s="1"/>
  <c r="BP70"/>
  <c r="CT50"/>
  <c r="CS50" s="1"/>
  <c r="BP53"/>
  <c r="BO53" s="1"/>
  <c r="BN53" s="1"/>
  <c r="FB61"/>
  <c r="DX43"/>
  <c r="DX35"/>
  <c r="DX27"/>
  <c r="DW27" s="1"/>
  <c r="AL70"/>
  <c r="DI72"/>
  <c r="DG39"/>
  <c r="DW68"/>
  <c r="DV27"/>
  <c r="DV63"/>
  <c r="AL12"/>
  <c r="AZ63"/>
  <c r="AY63" s="1"/>
  <c r="BO37"/>
  <c r="BN37" s="1"/>
  <c r="BP57"/>
  <c r="BO20"/>
  <c r="BN20" s="1"/>
  <c r="EZ28"/>
  <c r="FP30"/>
  <c r="FO30" s="1"/>
  <c r="BN14"/>
  <c r="V61"/>
  <c r="U61" s="1"/>
  <c r="DI55"/>
  <c r="FQ26"/>
  <c r="FB40"/>
  <c r="FB45"/>
  <c r="AZ61"/>
  <c r="EM40"/>
  <c r="FP41"/>
  <c r="FA45"/>
  <c r="FA57"/>
  <c r="CT59"/>
  <c r="BA50"/>
  <c r="U16"/>
  <c r="EK32"/>
  <c r="EK19"/>
  <c r="DX10"/>
  <c r="BA38"/>
  <c r="DX18"/>
  <c r="DX48"/>
  <c r="DX40"/>
  <c r="DX32"/>
  <c r="CT20"/>
  <c r="BP19"/>
  <c r="BA12"/>
  <c r="FQ38"/>
  <c r="CT19"/>
  <c r="FB38"/>
  <c r="CT40"/>
  <c r="FB42"/>
  <c r="FQ40"/>
  <c r="BA62"/>
  <c r="AZ62" s="1"/>
  <c r="EZ9"/>
  <c r="EZ12"/>
  <c r="FQ17"/>
  <c r="FP17" s="1"/>
  <c r="FB18"/>
  <c r="BP21"/>
  <c r="BO25"/>
  <c r="BN25" s="1"/>
  <c r="FQ15"/>
  <c r="CS22"/>
  <c r="BA27"/>
  <c r="AZ27" s="1"/>
  <c r="FB27"/>
  <c r="BO35"/>
  <c r="CT26"/>
  <c r="BP36"/>
  <c r="EL41"/>
  <c r="BP56"/>
  <c r="BO54"/>
  <c r="FA64"/>
  <c r="V74"/>
  <c r="U74" s="1"/>
  <c r="CT68"/>
  <c r="CS68" s="1"/>
  <c r="DV48"/>
  <c r="DV40"/>
  <c r="DI49"/>
  <c r="DI41"/>
  <c r="DX42"/>
  <c r="DX26"/>
  <c r="BA70"/>
  <c r="AZ70" s="1"/>
  <c r="W71"/>
  <c r="BP72"/>
  <c r="FP74"/>
  <c r="FO74" s="1"/>
  <c r="DH67"/>
  <c r="DG67" s="1"/>
  <c r="DH55"/>
  <c r="DG55" s="1"/>
  <c r="DG42"/>
  <c r="DX20"/>
  <c r="DW20" s="1"/>
  <c r="FO17"/>
  <c r="EM30"/>
  <c r="EM26"/>
  <c r="EL26" s="1"/>
  <c r="EK26" s="1"/>
  <c r="EM21"/>
  <c r="EM17"/>
  <c r="EL17" s="1"/>
  <c r="EK17" s="1"/>
  <c r="BP26"/>
  <c r="FB31"/>
  <c r="BP61"/>
  <c r="BO61" s="1"/>
  <c r="FQ57"/>
  <c r="FP57" s="1"/>
  <c r="BP43"/>
  <c r="AJ67"/>
  <c r="AL67"/>
  <c r="W10"/>
  <c r="I75"/>
  <c r="O11" i="31" s="1"/>
  <c r="FO10" i="5"/>
  <c r="CT34"/>
  <c r="FQ10"/>
  <c r="EZ15"/>
  <c r="BP29"/>
  <c r="W21"/>
  <c r="CT25"/>
  <c r="FP25"/>
  <c r="U34"/>
  <c r="CT15"/>
  <c r="W16"/>
  <c r="BN43"/>
  <c r="EZ43"/>
  <c r="CT48"/>
  <c r="BP50"/>
  <c r="FO59"/>
  <c r="U48"/>
  <c r="W67"/>
  <c r="BP60"/>
  <c r="BO60" s="1"/>
  <c r="DI39"/>
  <c r="EK30"/>
  <c r="EM57"/>
  <c r="EL57" s="1"/>
  <c r="FQ58"/>
  <c r="FO71"/>
  <c r="AY72"/>
  <c r="EM36"/>
  <c r="EM32"/>
  <c r="EM28"/>
  <c r="EL28" s="1"/>
  <c r="EM19"/>
  <c r="EM15"/>
  <c r="EM11"/>
  <c r="DV53"/>
  <c r="DX49"/>
  <c r="DX41"/>
  <c r="DX33"/>
  <c r="DX25"/>
  <c r="AY51"/>
  <c r="W9"/>
  <c r="AC73" i="15"/>
  <c r="FA7" i="5"/>
  <c r="FY73" i="15"/>
  <c r="GC74" s="1"/>
  <c r="EA73"/>
  <c r="DI7" i="5"/>
  <c r="BO7"/>
  <c r="CA73" i="15"/>
  <c r="CE74" s="1"/>
  <c r="J7" i="5"/>
  <c r="O73" i="15"/>
  <c r="DV7" i="5"/>
  <c r="EP73" i="15"/>
  <c r="BP7" i="5"/>
  <c r="CB73" i="15"/>
  <c r="AB73"/>
  <c r="V9" i="5"/>
  <c r="FH73" i="15"/>
  <c r="FL74" s="1"/>
  <c r="EL7" i="5"/>
  <c r="CD7"/>
  <c r="CD75" s="1"/>
  <c r="CR73" i="15"/>
  <c r="CV74" s="1"/>
  <c r="FJ73"/>
  <c r="FM74" s="1"/>
  <c r="EN38" i="5"/>
  <c r="EM38" s="1"/>
  <c r="EK7"/>
  <c r="FG73" i="15"/>
  <c r="CU73"/>
  <c r="CG7" i="5"/>
  <c r="CG75" s="1"/>
  <c r="FR7"/>
  <c r="FR75" s="1"/>
  <c r="GR73" i="15"/>
  <c r="GU74" s="1"/>
  <c r="DJ7" i="5"/>
  <c r="DJ75" s="1"/>
  <c r="EB73" i="15"/>
  <c r="EE74" s="1"/>
  <c r="BB7" i="5"/>
  <c r="BB75" s="1"/>
  <c r="BL73" i="15"/>
  <c r="BO74" s="1"/>
  <c r="FB7" i="5"/>
  <c r="FZ73" i="15"/>
  <c r="FZ81" s="1"/>
  <c r="CT7" i="5"/>
  <c r="DJ73" i="15"/>
  <c r="DY7" i="5"/>
  <c r="DY75" s="1"/>
  <c r="O19" i="31" s="1"/>
  <c r="ES73" i="15"/>
  <c r="BQ7" i="5"/>
  <c r="BQ75" s="1"/>
  <c r="CC73" i="15"/>
  <c r="CF74" s="1"/>
  <c r="CC7" i="5"/>
  <c r="CC75" s="1"/>
  <c r="CQ73" i="15"/>
  <c r="EL9" i="5"/>
  <c r="EK9" s="1"/>
  <c r="BN35"/>
  <c r="CT36"/>
  <c r="CS36" s="1"/>
  <c r="V12"/>
  <c r="FA20"/>
  <c r="CS26"/>
  <c r="FP27"/>
  <c r="FO27" s="1"/>
  <c r="U33"/>
  <c r="BO36"/>
  <c r="BN36" s="1"/>
  <c r="CT17"/>
  <c r="FB25"/>
  <c r="BO30"/>
  <c r="BA31"/>
  <c r="BP33"/>
  <c r="BA37"/>
  <c r="AZ37" s="1"/>
  <c r="BP40"/>
  <c r="BP42"/>
  <c r="FQ43"/>
  <c r="BO45"/>
  <c r="BN45" s="1"/>
  <c r="BA44"/>
  <c r="BN54"/>
  <c r="BP59"/>
  <c r="BO59" s="1"/>
  <c r="BN59" s="1"/>
  <c r="CT62"/>
  <c r="CT47"/>
  <c r="EM51"/>
  <c r="EL51" s="1"/>
  <c r="EK57"/>
  <c r="BN60"/>
  <c r="FB36"/>
  <c r="FA36" s="1"/>
  <c r="EZ36" s="1"/>
  <c r="AK38"/>
  <c r="CT39"/>
  <c r="CT41"/>
  <c r="AL43"/>
  <c r="CT43"/>
  <c r="BP44"/>
  <c r="BO44" s="1"/>
  <c r="BN44" s="1"/>
  <c r="BP49"/>
  <c r="EM50"/>
  <c r="EM49"/>
  <c r="BP52"/>
  <c r="BO52" s="1"/>
  <c r="BN52" s="1"/>
  <c r="BP55"/>
  <c r="FB55"/>
  <c r="FA55" s="1"/>
  <c r="EZ55" s="1"/>
  <c r="BA58"/>
  <c r="AZ58" s="1"/>
  <c r="FQ56"/>
  <c r="AJ60"/>
  <c r="AJ62"/>
  <c r="FO64"/>
  <c r="EM61"/>
  <c r="EL61" s="1"/>
  <c r="BP63"/>
  <c r="BO63" s="1"/>
  <c r="BN63" s="1"/>
  <c r="FQ71"/>
  <c r="FQ73"/>
  <c r="FP73" s="1"/>
  <c r="FO73" s="1"/>
  <c r="BA65"/>
  <c r="EM65"/>
  <c r="BP67"/>
  <c r="BO67" s="1"/>
  <c r="BN67" s="1"/>
  <c r="AJ68"/>
  <c r="BA69"/>
  <c r="U71"/>
  <c r="CR68"/>
  <c r="BA71"/>
  <c r="CT71"/>
  <c r="BA74"/>
  <c r="AZ74" s="1"/>
  <c r="DI71"/>
  <c r="EM71"/>
  <c r="FB73"/>
  <c r="FB74"/>
  <c r="DI69"/>
  <c r="DH69" s="1"/>
  <c r="DG69" s="1"/>
  <c r="DI65"/>
  <c r="DH61"/>
  <c r="DG61" s="1"/>
  <c r="DH41"/>
  <c r="DI35"/>
  <c r="DI27"/>
  <c r="DH27" s="1"/>
  <c r="CT65"/>
  <c r="CT66"/>
  <c r="BA67"/>
  <c r="AZ67" s="1"/>
  <c r="AY67" s="1"/>
  <c r="EM67"/>
  <c r="EL67" s="1"/>
  <c r="EK67" s="1"/>
  <c r="CS69"/>
  <c r="U70"/>
  <c r="FQ70"/>
  <c r="FP70" s="1"/>
  <c r="FO70" s="1"/>
  <c r="DI42"/>
  <c r="DI38"/>
  <c r="DH38" s="1"/>
  <c r="DG38" s="1"/>
  <c r="DI34"/>
  <c r="DH34" s="1"/>
  <c r="DI26"/>
  <c r="DV64"/>
  <c r="DV60"/>
  <c r="DW42"/>
  <c r="DV42" s="1"/>
  <c r="DW26"/>
  <c r="DV26" s="1"/>
  <c r="AE73" i="15"/>
  <c r="DI17" i="5"/>
  <c r="DH17" s="1"/>
  <c r="DI9"/>
  <c r="DH9" s="1"/>
  <c r="DG9" s="1"/>
  <c r="DX71"/>
  <c r="DX67"/>
  <c r="DW67" s="1"/>
  <c r="DV67" s="1"/>
  <c r="DX55"/>
  <c r="DW55" s="1"/>
  <c r="DV55" s="1"/>
  <c r="DW49"/>
  <c r="EM33"/>
  <c r="EM25"/>
  <c r="EL25" s="1"/>
  <c r="EK25" s="1"/>
  <c r="EM20"/>
  <c r="DI40"/>
  <c r="DI36"/>
  <c r="DH36" s="1"/>
  <c r="DG36" s="1"/>
  <c r="DI32"/>
  <c r="DI28"/>
  <c r="DI19"/>
  <c r="DI15"/>
  <c r="DI11"/>
  <c r="DH11" s="1"/>
  <c r="DW36"/>
  <c r="DV36" s="1"/>
  <c r="DX21"/>
  <c r="DW21" s="1"/>
  <c r="DX17"/>
  <c r="DW17" s="1"/>
  <c r="J75"/>
  <c r="CE7"/>
  <c r="CE75" s="1"/>
  <c r="CO5" s="1"/>
  <c r="CS73" i="15"/>
  <c r="AK7" i="5"/>
  <c r="AS73" i="15"/>
  <c r="AW74" s="1"/>
  <c r="AD144" i="10"/>
  <c r="AE870"/>
  <c r="AE1376" s="1"/>
  <c r="J6" i="31"/>
  <c r="M870" i="10"/>
  <c r="M1376" s="1"/>
  <c r="EM7" i="5"/>
  <c r="FI73" i="15"/>
  <c r="I7" i="5"/>
  <c r="N73" i="15"/>
  <c r="CS7" i="5"/>
  <c r="DI73" i="15"/>
  <c r="DM74" s="1"/>
  <c r="AJ7" i="5"/>
  <c r="AR73" i="15"/>
  <c r="FQ7" i="5"/>
  <c r="GQ73" i="15"/>
  <c r="BA7" i="5"/>
  <c r="BK73" i="15"/>
  <c r="DW7" i="5"/>
  <c r="EQ73" i="15"/>
  <c r="EU74" s="1"/>
  <c r="H7" i="5"/>
  <c r="M73" i="15"/>
  <c r="FX73"/>
  <c r="EZ7" i="5"/>
  <c r="CR7"/>
  <c r="DH73" i="15"/>
  <c r="AL7" i="5"/>
  <c r="AT73" i="15"/>
  <c r="FP7" i="5"/>
  <c r="GP73" i="15"/>
  <c r="GT74" s="1"/>
  <c r="DZ73"/>
  <c r="ED74" s="1"/>
  <c r="DH7" i="5"/>
  <c r="AZ7"/>
  <c r="BJ73" i="15"/>
  <c r="BN74" s="1"/>
  <c r="BN7" i="5"/>
  <c r="BZ73" i="15"/>
  <c r="AY7" i="5"/>
  <c r="BI73" i="15"/>
  <c r="FO7" i="5"/>
  <c r="GO73" i="15"/>
  <c r="DG7" i="5"/>
  <c r="DY73" i="15"/>
  <c r="CF7" i="5"/>
  <c r="CF75" s="1"/>
  <c r="CT73" i="15"/>
  <c r="X7" i="5"/>
  <c r="X75" s="1"/>
  <c r="AD73" i="15"/>
  <c r="AG74" s="1"/>
  <c r="AF74" s="1"/>
  <c r="U9" i="5"/>
  <c r="AA73" i="15"/>
  <c r="DX7" i="5"/>
  <c r="FC7"/>
  <c r="FC75" s="1"/>
  <c r="O21" i="31" s="1"/>
  <c r="GA73" i="15"/>
  <c r="GD74" s="1"/>
  <c r="CU7" i="5"/>
  <c r="CU75" s="1"/>
  <c r="DK73" i="15"/>
  <c r="DN74" s="1"/>
  <c r="AM7" i="5"/>
  <c r="AM75" s="1"/>
  <c r="AU73" i="15"/>
  <c r="AX74" s="1"/>
  <c r="H75" i="5"/>
  <c r="BO11"/>
  <c r="BN11" s="1"/>
  <c r="BN13"/>
  <c r="FO35"/>
  <c r="FB11"/>
  <c r="U21"/>
  <c r="U31"/>
  <c r="CT32"/>
  <c r="CR34"/>
  <c r="EZ35"/>
  <c r="BP38"/>
  <c r="AL40"/>
  <c r="AZ12"/>
  <c r="BP14"/>
  <c r="FA17"/>
  <c r="EZ17" s="1"/>
  <c r="BA21"/>
  <c r="BO28"/>
  <c r="CT37"/>
  <c r="BP15"/>
  <c r="BA16"/>
  <c r="FA22"/>
  <c r="FB26"/>
  <c r="FA26" s="1"/>
  <c r="AL28"/>
  <c r="CT29"/>
  <c r="AK30"/>
  <c r="U39"/>
  <c r="AJ43"/>
  <c r="CR43"/>
  <c r="EZ57"/>
  <c r="EK59"/>
  <c r="BA41"/>
  <c r="AZ41" s="1"/>
  <c r="CT42"/>
  <c r="BA43"/>
  <c r="EM43"/>
  <c r="CS45"/>
  <c r="AK45"/>
  <c r="FB49"/>
  <c r="BN58"/>
  <c r="AY60"/>
  <c r="BN61"/>
  <c r="AK61"/>
  <c r="FQ45"/>
  <c r="FP45" s="1"/>
  <c r="BP47"/>
  <c r="FB47"/>
  <c r="EM48"/>
  <c r="FQ48"/>
  <c r="CT51"/>
  <c r="FQ51"/>
  <c r="FP51" s="1"/>
  <c r="EK52"/>
  <c r="BA56"/>
  <c r="V57"/>
  <c r="U57" s="1"/>
  <c r="FO57"/>
  <c r="BA57"/>
  <c r="V58"/>
  <c r="EM58"/>
  <c r="V63"/>
  <c r="U63" s="1"/>
  <c r="BP39"/>
  <c r="FB39"/>
  <c r="BP41"/>
  <c r="BA42"/>
  <c r="FB43"/>
  <c r="BA45"/>
  <c r="CT46"/>
  <c r="FQ47"/>
  <c r="CT49"/>
  <c r="FQ50"/>
  <c r="FQ49"/>
  <c r="CT55"/>
  <c r="EM56"/>
  <c r="EZ60"/>
  <c r="CT61"/>
  <c r="BP62"/>
  <c r="BO62" s="1"/>
  <c r="BN62" s="1"/>
  <c r="FQ61"/>
  <c r="FP61" s="1"/>
  <c r="FO61" s="1"/>
  <c r="FQ65"/>
  <c r="FB70"/>
  <c r="BP68"/>
  <c r="BO68" s="1"/>
  <c r="BN68" s="1"/>
  <c r="FB68"/>
  <c r="FA68" s="1"/>
  <c r="EZ68" s="1"/>
  <c r="FP72"/>
  <c r="FO72" s="1"/>
  <c r="EK73"/>
  <c r="DI58"/>
  <c r="FB72"/>
  <c r="CT74"/>
  <c r="DI70"/>
  <c r="DH70" s="1"/>
  <c r="DI31"/>
  <c r="BP65"/>
  <c r="FB65"/>
  <c r="BP66"/>
  <c r="BP69"/>
  <c r="BO69" s="1"/>
  <c r="BN69" s="1"/>
  <c r="FB69"/>
  <c r="FA69" s="1"/>
  <c r="EM70"/>
  <c r="EL70" s="1"/>
  <c r="EK70" s="1"/>
  <c r="BA72"/>
  <c r="FB71"/>
  <c r="CT72"/>
  <c r="CS72" s="1"/>
  <c r="CR72" s="1"/>
  <c r="EM72"/>
  <c r="EL72" s="1"/>
  <c r="EK72" s="1"/>
  <c r="AZ73"/>
  <c r="AY73" s="1"/>
  <c r="DH73"/>
  <c r="DG73" s="1"/>
  <c r="BP74"/>
  <c r="DH25"/>
  <c r="DG25" s="1"/>
  <c r="DI21"/>
  <c r="DV68"/>
  <c r="DW38"/>
  <c r="DV38" s="1"/>
  <c r="CT10"/>
  <c r="DX69"/>
  <c r="DW69" s="1"/>
  <c r="DX65"/>
  <c r="DX61"/>
  <c r="DW45"/>
  <c r="DV45" s="1"/>
  <c r="EM35"/>
  <c r="EM31"/>
  <c r="EM27"/>
  <c r="EL27" s="1"/>
  <c r="EM22"/>
  <c r="EM18"/>
  <c r="EM10"/>
  <c r="DV14"/>
  <c r="DI22"/>
  <c r="DI18"/>
  <c r="DI14"/>
  <c r="DH14" s="1"/>
  <c r="DI10"/>
  <c r="DX19"/>
  <c r="DX15"/>
  <c r="K73" i="13"/>
  <c r="L73"/>
  <c r="G141"/>
  <c r="O194"/>
  <c r="O613"/>
  <c r="L141"/>
  <c r="M141"/>
  <c r="J141"/>
  <c r="I141"/>
  <c r="O682"/>
  <c r="C142"/>
  <c r="D142" s="1"/>
  <c r="F141"/>
  <c r="Q141" s="1"/>
  <c r="H141"/>
  <c r="C74"/>
  <c r="D74" s="1"/>
  <c r="G73"/>
  <c r="H73"/>
  <c r="M73"/>
  <c r="I73"/>
  <c r="J73"/>
  <c r="F73"/>
  <c r="Q73" s="1"/>
  <c r="O537"/>
  <c r="L683"/>
  <c r="F683"/>
  <c r="Q683" s="1"/>
  <c r="J683"/>
  <c r="I683"/>
  <c r="M683"/>
  <c r="C684"/>
  <c r="D684" s="1"/>
  <c r="H683"/>
  <c r="G683"/>
  <c r="K683"/>
  <c r="M195"/>
  <c r="C196"/>
  <c r="D196" s="1"/>
  <c r="H195"/>
  <c r="I195"/>
  <c r="L195"/>
  <c r="J195"/>
  <c r="K195"/>
  <c r="F195"/>
  <c r="Q195" s="1"/>
  <c r="G195"/>
  <c r="L538"/>
  <c r="H538"/>
  <c r="G538"/>
  <c r="K538"/>
  <c r="M538"/>
  <c r="C539"/>
  <c r="D539" s="1"/>
  <c r="F538"/>
  <c r="Q538" s="1"/>
  <c r="J538"/>
  <c r="I538"/>
  <c r="L9"/>
  <c r="F9"/>
  <c r="Q9" s="1"/>
  <c r="M9"/>
  <c r="C10"/>
  <c r="D10" s="1"/>
  <c r="I9"/>
  <c r="J9"/>
  <c r="K9"/>
  <c r="H9"/>
  <c r="G9"/>
  <c r="M614"/>
  <c r="C615"/>
  <c r="D615" s="1"/>
  <c r="F614"/>
  <c r="Q614" s="1"/>
  <c r="J614"/>
  <c r="I614"/>
  <c r="L614"/>
  <c r="H614"/>
  <c r="G614"/>
  <c r="K614"/>
  <c r="CW74" i="15" l="1"/>
  <c r="Q74"/>
  <c r="P74" s="1"/>
  <c r="R6" i="5"/>
  <c r="EN75"/>
  <c r="O20" i="31" s="1"/>
  <c r="AY75" i="5"/>
  <c r="BJ5" s="1"/>
  <c r="W75"/>
  <c r="M12" i="31" s="1"/>
  <c r="CS75" i="5"/>
  <c r="DC6" s="1"/>
  <c r="AK75"/>
  <c r="AU6" s="1"/>
  <c r="L14" i="31"/>
  <c r="CN5" i="5"/>
  <c r="L16" i="31"/>
  <c r="R5" i="5"/>
  <c r="M11" i="31"/>
  <c r="O13"/>
  <c r="AV6" i="5"/>
  <c r="O17" i="31"/>
  <c r="DD6" i="5"/>
  <c r="O12" i="31"/>
  <c r="AG6" i="5"/>
  <c r="O16" i="31"/>
  <c r="CO6" i="5"/>
  <c r="BS238" i="16"/>
  <c r="J7" i="31"/>
  <c r="P11"/>
  <c r="R7" i="5"/>
  <c r="O15" i="31"/>
  <c r="BZ6" i="5"/>
  <c r="O14" i="31"/>
  <c r="BK6" i="5"/>
  <c r="DS6"/>
  <c r="O18" i="31"/>
  <c r="GA6" i="5"/>
  <c r="O22" i="31"/>
  <c r="N16"/>
  <c r="M16" s="1"/>
  <c r="CN6" i="5"/>
  <c r="U75"/>
  <c r="DG75"/>
  <c r="FO75"/>
  <c r="BN75"/>
  <c r="AZ75"/>
  <c r="FP75"/>
  <c r="AL75"/>
  <c r="AL76" s="1"/>
  <c r="CR75"/>
  <c r="DW75"/>
  <c r="BA75"/>
  <c r="FQ75"/>
  <c r="AJ75"/>
  <c r="EM75"/>
  <c r="CT75"/>
  <c r="M17" i="31" s="1"/>
  <c r="FB75" i="5"/>
  <c r="M21" i="31" s="1"/>
  <c r="EK75" i="5"/>
  <c r="BP75"/>
  <c r="DV75"/>
  <c r="BO75"/>
  <c r="FA75"/>
  <c r="N21" i="31" s="1"/>
  <c r="L12"/>
  <c r="AT80" i="15"/>
  <c r="AD870" i="10"/>
  <c r="AD1376" s="1"/>
  <c r="AD1377" s="1"/>
  <c r="AD145"/>
  <c r="Z145" s="1"/>
  <c r="CO7" i="5"/>
  <c r="P16" i="31"/>
  <c r="DH75" i="5"/>
  <c r="EZ75"/>
  <c r="L21" i="31" s="1"/>
  <c r="EL75" i="5"/>
  <c r="V75"/>
  <c r="DI75"/>
  <c r="O73" i="13"/>
  <c r="M74"/>
  <c r="L74"/>
  <c r="I74"/>
  <c r="G74"/>
  <c r="C75"/>
  <c r="D75" s="1"/>
  <c r="K75" s="1"/>
  <c r="O141"/>
  <c r="K142"/>
  <c r="M142"/>
  <c r="I142"/>
  <c r="G142"/>
  <c r="C143"/>
  <c r="D143" s="1"/>
  <c r="L142"/>
  <c r="F142"/>
  <c r="Q142" s="1"/>
  <c r="H142"/>
  <c r="J142"/>
  <c r="J74"/>
  <c r="H74"/>
  <c r="K74"/>
  <c r="F74"/>
  <c r="Q74" s="1"/>
  <c r="F539"/>
  <c r="Q539" s="1"/>
  <c r="J539"/>
  <c r="I539"/>
  <c r="C540"/>
  <c r="D540" s="1"/>
  <c r="H539"/>
  <c r="L539"/>
  <c r="M539"/>
  <c r="G539"/>
  <c r="K539"/>
  <c r="M10"/>
  <c r="C11"/>
  <c r="D11" s="1"/>
  <c r="F10"/>
  <c r="Q10" s="1"/>
  <c r="L10"/>
  <c r="K10"/>
  <c r="G10"/>
  <c r="H10"/>
  <c r="I10"/>
  <c r="J10"/>
  <c r="M684"/>
  <c r="C685"/>
  <c r="D685" s="1"/>
  <c r="H684"/>
  <c r="G684"/>
  <c r="K684"/>
  <c r="L684"/>
  <c r="F684"/>
  <c r="Q684" s="1"/>
  <c r="J684"/>
  <c r="I684"/>
  <c r="L615"/>
  <c r="H615"/>
  <c r="G615"/>
  <c r="K615"/>
  <c r="M615"/>
  <c r="C616"/>
  <c r="D616" s="1"/>
  <c r="F615"/>
  <c r="Q615" s="1"/>
  <c r="J615"/>
  <c r="I615"/>
  <c r="O9"/>
  <c r="O195"/>
  <c r="O538"/>
  <c r="O683"/>
  <c r="C197"/>
  <c r="D197" s="1"/>
  <c r="L196"/>
  <c r="J196"/>
  <c r="G196"/>
  <c r="I196"/>
  <c r="F196"/>
  <c r="Q196" s="1"/>
  <c r="M196"/>
  <c r="H196"/>
  <c r="K196"/>
  <c r="O614"/>
  <c r="O142" l="1"/>
  <c r="N13" i="31"/>
  <c r="N17"/>
  <c r="O23"/>
  <c r="L29" s="1"/>
  <c r="M18"/>
  <c r="DS5" i="5"/>
  <c r="N20" i="31"/>
  <c r="M20" s="1"/>
  <c r="EV6" i="5"/>
  <c r="EH6" s="1"/>
  <c r="DR6"/>
  <c r="N18" i="31"/>
  <c r="L19"/>
  <c r="EG5" i="5"/>
  <c r="L20" i="31"/>
  <c r="EV5" i="5"/>
  <c r="L13" i="31"/>
  <c r="AU5" i="5"/>
  <c r="AG5" s="1"/>
  <c r="AF5" s="1"/>
  <c r="M14" i="31"/>
  <c r="BK5" i="5"/>
  <c r="DC5"/>
  <c r="L17" i="31"/>
  <c r="FZ6" i="5"/>
  <c r="FL6" s="1"/>
  <c r="FK6" s="1"/>
  <c r="EW6" s="1"/>
  <c r="N22" i="31"/>
  <c r="BY5" i="5"/>
  <c r="L15" i="31"/>
  <c r="L18"/>
  <c r="DR5" i="5"/>
  <c r="DD5" s="1"/>
  <c r="AF6"/>
  <c r="N12" i="31"/>
  <c r="BY6" i="5"/>
  <c r="N15" i="31"/>
  <c r="BZ5" i="5"/>
  <c r="M15" i="31"/>
  <c r="M22"/>
  <c r="L22" s="1"/>
  <c r="GA5" i="5"/>
  <c r="FZ5" s="1"/>
  <c r="FL5" s="1"/>
  <c r="FK5" s="1"/>
  <c r="EW5" s="1"/>
  <c r="EG6"/>
  <c r="N19" i="31"/>
  <c r="M13"/>
  <c r="AV5" i="5"/>
  <c r="N14" i="31"/>
  <c r="BJ6" i="5"/>
  <c r="M75" i="13"/>
  <c r="O74"/>
  <c r="F75"/>
  <c r="Q75" s="1"/>
  <c r="I75"/>
  <c r="H75"/>
  <c r="L75"/>
  <c r="J75"/>
  <c r="G75"/>
  <c r="C76"/>
  <c r="D76" s="1"/>
  <c r="M76" s="1"/>
  <c r="O10"/>
  <c r="L143"/>
  <c r="C144"/>
  <c r="D144" s="1"/>
  <c r="C145" s="1"/>
  <c r="D145" s="1"/>
  <c r="F143"/>
  <c r="Q143" s="1"/>
  <c r="I143"/>
  <c r="J143"/>
  <c r="K143"/>
  <c r="H143"/>
  <c r="M143"/>
  <c r="G143"/>
  <c r="O684"/>
  <c r="O539"/>
  <c r="C686"/>
  <c r="D686" s="1"/>
  <c r="F685"/>
  <c r="Q685" s="1"/>
  <c r="J685"/>
  <c r="I685"/>
  <c r="H685"/>
  <c r="L685"/>
  <c r="M685"/>
  <c r="G685"/>
  <c r="K685"/>
  <c r="M540"/>
  <c r="C541"/>
  <c r="D541" s="1"/>
  <c r="F540"/>
  <c r="Q540" s="1"/>
  <c r="J540"/>
  <c r="I540"/>
  <c r="L540"/>
  <c r="H540"/>
  <c r="G540"/>
  <c r="K540"/>
  <c r="L11"/>
  <c r="F11"/>
  <c r="Q11" s="1"/>
  <c r="M11"/>
  <c r="C12"/>
  <c r="D12" s="1"/>
  <c r="G11"/>
  <c r="H11"/>
  <c r="K11"/>
  <c r="I11"/>
  <c r="J11"/>
  <c r="M616"/>
  <c r="C617"/>
  <c r="D617" s="1"/>
  <c r="F616"/>
  <c r="Q616" s="1"/>
  <c r="J616"/>
  <c r="I616"/>
  <c r="L616"/>
  <c r="H616"/>
  <c r="G616"/>
  <c r="K616"/>
  <c r="O196"/>
  <c r="L197"/>
  <c r="J197"/>
  <c r="G197"/>
  <c r="K197"/>
  <c r="M197"/>
  <c r="F197"/>
  <c r="Q197" s="1"/>
  <c r="I197"/>
  <c r="C198"/>
  <c r="D198" s="1"/>
  <c r="H197"/>
  <c r="O615"/>
  <c r="G144" l="1"/>
  <c r="F144"/>
  <c r="Q144" s="1"/>
  <c r="I144"/>
  <c r="K144"/>
  <c r="L23" i="31"/>
  <c r="K28" s="1"/>
  <c r="N23"/>
  <c r="K29" s="1"/>
  <c r="H76" i="13"/>
  <c r="J76"/>
  <c r="H144"/>
  <c r="J144"/>
  <c r="M144"/>
  <c r="L144"/>
  <c r="O75"/>
  <c r="L76"/>
  <c r="O76" s="1"/>
  <c r="C77"/>
  <c r="D77" s="1"/>
  <c r="L77" s="1"/>
  <c r="I76"/>
  <c r="K76"/>
  <c r="G76"/>
  <c r="F76"/>
  <c r="Q76" s="1"/>
  <c r="O685"/>
  <c r="O143"/>
  <c r="O616"/>
  <c r="M198"/>
  <c r="C199"/>
  <c r="D199" s="1"/>
  <c r="F198"/>
  <c r="Q198" s="1"/>
  <c r="J198"/>
  <c r="I198"/>
  <c r="L198"/>
  <c r="H198"/>
  <c r="K198"/>
  <c r="G198"/>
  <c r="C618"/>
  <c r="D618" s="1"/>
  <c r="M617"/>
  <c r="F617"/>
  <c r="Q617" s="1"/>
  <c r="G617"/>
  <c r="K617"/>
  <c r="L617"/>
  <c r="J617"/>
  <c r="H617"/>
  <c r="I617"/>
  <c r="L145"/>
  <c r="C146"/>
  <c r="D146" s="1"/>
  <c r="K145"/>
  <c r="F145"/>
  <c r="Q145" s="1"/>
  <c r="M145"/>
  <c r="I145"/>
  <c r="J145"/>
  <c r="G145"/>
  <c r="H145"/>
  <c r="M12"/>
  <c r="C13"/>
  <c r="D13" s="1"/>
  <c r="F12"/>
  <c r="Q12" s="1"/>
  <c r="L12"/>
  <c r="K12"/>
  <c r="G12"/>
  <c r="H12"/>
  <c r="I12"/>
  <c r="J12"/>
  <c r="C542"/>
  <c r="D542" s="1"/>
  <c r="H541"/>
  <c r="L541"/>
  <c r="M541"/>
  <c r="G541"/>
  <c r="K541"/>
  <c r="F541"/>
  <c r="Q541" s="1"/>
  <c r="J541"/>
  <c r="I541"/>
  <c r="L686"/>
  <c r="F686"/>
  <c r="Q686" s="1"/>
  <c r="J686"/>
  <c r="I686"/>
  <c r="M686"/>
  <c r="C687"/>
  <c r="D687" s="1"/>
  <c r="H686"/>
  <c r="G686"/>
  <c r="K686"/>
  <c r="O11"/>
  <c r="O197"/>
  <c r="O540"/>
  <c r="M31" i="31" l="1"/>
  <c r="J77" i="13"/>
  <c r="M77"/>
  <c r="O77" s="1"/>
  <c r="O144"/>
  <c r="G77"/>
  <c r="K77"/>
  <c r="I77"/>
  <c r="C78"/>
  <c r="D78" s="1"/>
  <c r="M78" s="1"/>
  <c r="H77"/>
  <c r="F77"/>
  <c r="Q77" s="1"/>
  <c r="O541"/>
  <c r="O686"/>
  <c r="M687"/>
  <c r="C688"/>
  <c r="D688" s="1"/>
  <c r="H687"/>
  <c r="G687"/>
  <c r="K687"/>
  <c r="L687"/>
  <c r="F687"/>
  <c r="Q687" s="1"/>
  <c r="J687"/>
  <c r="I687"/>
  <c r="L542"/>
  <c r="H542"/>
  <c r="G542"/>
  <c r="K542"/>
  <c r="M542"/>
  <c r="C543"/>
  <c r="D543" s="1"/>
  <c r="F542"/>
  <c r="Q542" s="1"/>
  <c r="J542"/>
  <c r="I542"/>
  <c r="L13"/>
  <c r="F13"/>
  <c r="Q13" s="1"/>
  <c r="M13"/>
  <c r="C14"/>
  <c r="D14" s="1"/>
  <c r="I13"/>
  <c r="J13"/>
  <c r="K13"/>
  <c r="H13"/>
  <c r="G13"/>
  <c r="C147"/>
  <c r="D147" s="1"/>
  <c r="K146"/>
  <c r="L146"/>
  <c r="F146"/>
  <c r="Q146" s="1"/>
  <c r="M146"/>
  <c r="I146"/>
  <c r="J146"/>
  <c r="G146"/>
  <c r="H146"/>
  <c r="L618"/>
  <c r="F618"/>
  <c r="Q618" s="1"/>
  <c r="J618"/>
  <c r="I618"/>
  <c r="C619"/>
  <c r="D619" s="1"/>
  <c r="M618"/>
  <c r="H618"/>
  <c r="G618"/>
  <c r="K618"/>
  <c r="L199"/>
  <c r="H199"/>
  <c r="G199"/>
  <c r="K199"/>
  <c r="C200"/>
  <c r="D200" s="1"/>
  <c r="J199"/>
  <c r="M199"/>
  <c r="F199"/>
  <c r="Q199" s="1"/>
  <c r="I199"/>
  <c r="O198"/>
  <c r="O12"/>
  <c r="O145"/>
  <c r="O617"/>
  <c r="I78" l="1"/>
  <c r="G78"/>
  <c r="L78"/>
  <c r="O78" s="1"/>
  <c r="C79"/>
  <c r="D79" s="1"/>
  <c r="K79" s="1"/>
  <c r="J78"/>
  <c r="H78"/>
  <c r="K78"/>
  <c r="F78"/>
  <c r="Q78" s="1"/>
  <c r="O199"/>
  <c r="O542"/>
  <c r="O687"/>
  <c r="M200"/>
  <c r="C201"/>
  <c r="D201" s="1"/>
  <c r="F200"/>
  <c r="Q200" s="1"/>
  <c r="J200"/>
  <c r="I200"/>
  <c r="G200"/>
  <c r="L200"/>
  <c r="H200"/>
  <c r="K200"/>
  <c r="L147"/>
  <c r="C148"/>
  <c r="D148" s="1"/>
  <c r="K147"/>
  <c r="F147"/>
  <c r="Q147" s="1"/>
  <c r="I147"/>
  <c r="J147"/>
  <c r="M147"/>
  <c r="G147"/>
  <c r="H147"/>
  <c r="M14"/>
  <c r="C15"/>
  <c r="D15" s="1"/>
  <c r="F14"/>
  <c r="Q14" s="1"/>
  <c r="L14"/>
  <c r="K14"/>
  <c r="H14"/>
  <c r="G14"/>
  <c r="J14"/>
  <c r="I14"/>
  <c r="L688"/>
  <c r="F688"/>
  <c r="Q688" s="1"/>
  <c r="J688"/>
  <c r="I688"/>
  <c r="M688"/>
  <c r="C689"/>
  <c r="D689" s="1"/>
  <c r="H688"/>
  <c r="G688"/>
  <c r="K688"/>
  <c r="I619"/>
  <c r="G619"/>
  <c r="F619"/>
  <c r="Q619" s="1"/>
  <c r="H619"/>
  <c r="L619"/>
  <c r="C620"/>
  <c r="D620" s="1"/>
  <c r="M619"/>
  <c r="K619"/>
  <c r="J619"/>
  <c r="F543"/>
  <c r="Q543" s="1"/>
  <c r="J543"/>
  <c r="I543"/>
  <c r="C544"/>
  <c r="D544" s="1"/>
  <c r="H543"/>
  <c r="L543"/>
  <c r="M543"/>
  <c r="G543"/>
  <c r="K543"/>
  <c r="O146"/>
  <c r="O13"/>
  <c r="O618"/>
  <c r="I79" l="1"/>
  <c r="L79"/>
  <c r="H79"/>
  <c r="O200"/>
  <c r="M79"/>
  <c r="F79"/>
  <c r="Q79" s="1"/>
  <c r="J79"/>
  <c r="G79"/>
  <c r="C80"/>
  <c r="D80" s="1"/>
  <c r="M80" s="1"/>
  <c r="O688"/>
  <c r="O543"/>
  <c r="O147"/>
  <c r="M544"/>
  <c r="C545"/>
  <c r="D545" s="1"/>
  <c r="F544"/>
  <c r="Q544" s="1"/>
  <c r="J544"/>
  <c r="I544"/>
  <c r="L544"/>
  <c r="H544"/>
  <c r="G544"/>
  <c r="K544"/>
  <c r="H689"/>
  <c r="L689"/>
  <c r="M689"/>
  <c r="G689"/>
  <c r="K689"/>
  <c r="C690"/>
  <c r="D690" s="1"/>
  <c r="F689"/>
  <c r="Q689" s="1"/>
  <c r="J689"/>
  <c r="I689"/>
  <c r="L620"/>
  <c r="I620"/>
  <c r="F620"/>
  <c r="Q620" s="1"/>
  <c r="H620"/>
  <c r="C621"/>
  <c r="D621" s="1"/>
  <c r="M620"/>
  <c r="G620"/>
  <c r="K620"/>
  <c r="J620"/>
  <c r="C149"/>
  <c r="D149" s="1"/>
  <c r="K148"/>
  <c r="L148"/>
  <c r="F148"/>
  <c r="Q148" s="1"/>
  <c r="M148"/>
  <c r="J148"/>
  <c r="I148"/>
  <c r="H148"/>
  <c r="G148"/>
  <c r="L15"/>
  <c r="F15"/>
  <c r="Q15" s="1"/>
  <c r="M15"/>
  <c r="C16"/>
  <c r="D16" s="1"/>
  <c r="H15"/>
  <c r="G15"/>
  <c r="K15"/>
  <c r="J15"/>
  <c r="I15"/>
  <c r="L201"/>
  <c r="H201"/>
  <c r="G201"/>
  <c r="K201"/>
  <c r="M201"/>
  <c r="F201"/>
  <c r="Q201" s="1"/>
  <c r="I201"/>
  <c r="C202"/>
  <c r="D202" s="1"/>
  <c r="J201"/>
  <c r="O619"/>
  <c r="O14"/>
  <c r="O79" l="1"/>
  <c r="I80"/>
  <c r="G80"/>
  <c r="L80"/>
  <c r="O80" s="1"/>
  <c r="C81"/>
  <c r="D81" s="1"/>
  <c r="L81" s="1"/>
  <c r="J80"/>
  <c r="K80"/>
  <c r="H80"/>
  <c r="F80"/>
  <c r="Q80" s="1"/>
  <c r="O620"/>
  <c r="O689"/>
  <c r="O544"/>
  <c r="O201"/>
  <c r="M16"/>
  <c r="C17"/>
  <c r="D17" s="1"/>
  <c r="F16"/>
  <c r="Q16" s="1"/>
  <c r="L16"/>
  <c r="K16"/>
  <c r="J16"/>
  <c r="I16"/>
  <c r="G16"/>
  <c r="H16"/>
  <c r="L149"/>
  <c r="C150"/>
  <c r="D150" s="1"/>
  <c r="K149"/>
  <c r="F149"/>
  <c r="Q149" s="1"/>
  <c r="J149"/>
  <c r="I149"/>
  <c r="M149"/>
  <c r="H149"/>
  <c r="G149"/>
  <c r="M202"/>
  <c r="C203"/>
  <c r="D203" s="1"/>
  <c r="F202"/>
  <c r="Q202" s="1"/>
  <c r="J202"/>
  <c r="I202"/>
  <c r="L202"/>
  <c r="H202"/>
  <c r="K202"/>
  <c r="G202"/>
  <c r="M621"/>
  <c r="F621"/>
  <c r="Q621" s="1"/>
  <c r="H621"/>
  <c r="I621"/>
  <c r="C622"/>
  <c r="D622" s="1"/>
  <c r="L621"/>
  <c r="J621"/>
  <c r="G621"/>
  <c r="K621"/>
  <c r="M690"/>
  <c r="C691"/>
  <c r="D691" s="1"/>
  <c r="H690"/>
  <c r="G690"/>
  <c r="K690"/>
  <c r="L690"/>
  <c r="F690"/>
  <c r="Q690" s="1"/>
  <c r="J690"/>
  <c r="I690"/>
  <c r="O15"/>
  <c r="O148"/>
  <c r="C546"/>
  <c r="D546" s="1"/>
  <c r="H545"/>
  <c r="L545"/>
  <c r="M545"/>
  <c r="G545"/>
  <c r="K545"/>
  <c r="F545"/>
  <c r="Q545" s="1"/>
  <c r="J545"/>
  <c r="I545"/>
  <c r="J81" l="1"/>
  <c r="M81"/>
  <c r="O81" s="1"/>
  <c r="G81"/>
  <c r="K81"/>
  <c r="I81"/>
  <c r="C82"/>
  <c r="D82" s="1"/>
  <c r="M82" s="1"/>
  <c r="H81"/>
  <c r="F81"/>
  <c r="Q81" s="1"/>
  <c r="O621"/>
  <c r="O16"/>
  <c r="O545"/>
  <c r="O149"/>
  <c r="C151"/>
  <c r="D151" s="1"/>
  <c r="K150"/>
  <c r="L150"/>
  <c r="F150"/>
  <c r="Q150" s="1"/>
  <c r="M150"/>
  <c r="J150"/>
  <c r="I150"/>
  <c r="H150"/>
  <c r="G150"/>
  <c r="L546"/>
  <c r="F546"/>
  <c r="Q546" s="1"/>
  <c r="J546"/>
  <c r="I546"/>
  <c r="M546"/>
  <c r="C547"/>
  <c r="D547" s="1"/>
  <c r="H546"/>
  <c r="G546"/>
  <c r="K546"/>
  <c r="C692"/>
  <c r="D692" s="1"/>
  <c r="F691"/>
  <c r="Q691" s="1"/>
  <c r="J691"/>
  <c r="I691"/>
  <c r="H691"/>
  <c r="L691"/>
  <c r="M691"/>
  <c r="G691"/>
  <c r="K691"/>
  <c r="M622"/>
  <c r="C623"/>
  <c r="D623" s="1"/>
  <c r="J622"/>
  <c r="G622"/>
  <c r="K622"/>
  <c r="L622"/>
  <c r="F622"/>
  <c r="Q622" s="1"/>
  <c r="H622"/>
  <c r="I622"/>
  <c r="L203"/>
  <c r="H203"/>
  <c r="G203"/>
  <c r="K203"/>
  <c r="C204"/>
  <c r="D204" s="1"/>
  <c r="J203"/>
  <c r="M203"/>
  <c r="F203"/>
  <c r="Q203" s="1"/>
  <c r="I203"/>
  <c r="L17"/>
  <c r="F17"/>
  <c r="Q17" s="1"/>
  <c r="M17"/>
  <c r="C18"/>
  <c r="D18" s="1"/>
  <c r="I17"/>
  <c r="J17"/>
  <c r="K17"/>
  <c r="H17"/>
  <c r="G17"/>
  <c r="O690"/>
  <c r="O202"/>
  <c r="G82" l="1"/>
  <c r="L82"/>
  <c r="O82" s="1"/>
  <c r="J82"/>
  <c r="C83"/>
  <c r="D83" s="1"/>
  <c r="L83" s="1"/>
  <c r="H82"/>
  <c r="I82"/>
  <c r="K82"/>
  <c r="F82"/>
  <c r="Q82" s="1"/>
  <c r="O622"/>
  <c r="M547"/>
  <c r="C548"/>
  <c r="D548" s="1"/>
  <c r="F547"/>
  <c r="Q547" s="1"/>
  <c r="G547"/>
  <c r="K547"/>
  <c r="L547"/>
  <c r="H547"/>
  <c r="J547"/>
  <c r="I547"/>
  <c r="M18"/>
  <c r="C19"/>
  <c r="D19" s="1"/>
  <c r="F18"/>
  <c r="Q18" s="1"/>
  <c r="L18"/>
  <c r="K18"/>
  <c r="I18"/>
  <c r="J18"/>
  <c r="H18"/>
  <c r="G18"/>
  <c r="M204"/>
  <c r="C205"/>
  <c r="D205" s="1"/>
  <c r="F204"/>
  <c r="Q204" s="1"/>
  <c r="J204"/>
  <c r="I204"/>
  <c r="G204"/>
  <c r="L204"/>
  <c r="H204"/>
  <c r="K204"/>
  <c r="L623"/>
  <c r="F623"/>
  <c r="Q623" s="1"/>
  <c r="J623"/>
  <c r="I623"/>
  <c r="M623"/>
  <c r="C624"/>
  <c r="D624" s="1"/>
  <c r="H623"/>
  <c r="G623"/>
  <c r="K623"/>
  <c r="L692"/>
  <c r="F692"/>
  <c r="Q692" s="1"/>
  <c r="J692"/>
  <c r="I692"/>
  <c r="M692"/>
  <c r="C693"/>
  <c r="D693" s="1"/>
  <c r="H692"/>
  <c r="G692"/>
  <c r="K692"/>
  <c r="L151"/>
  <c r="C152"/>
  <c r="D152" s="1"/>
  <c r="K151"/>
  <c r="F151"/>
  <c r="Q151" s="1"/>
  <c r="J151"/>
  <c r="I151"/>
  <c r="M151"/>
  <c r="H151"/>
  <c r="G151"/>
  <c r="O203"/>
  <c r="O691"/>
  <c r="O17"/>
  <c r="O546"/>
  <c r="O150"/>
  <c r="I83" l="1"/>
  <c r="C84"/>
  <c r="D84" s="1"/>
  <c r="M84" s="1"/>
  <c r="H83"/>
  <c r="K83"/>
  <c r="J83"/>
  <c r="M83"/>
  <c r="O83" s="1"/>
  <c r="G83"/>
  <c r="F83"/>
  <c r="Q83" s="1"/>
  <c r="O204"/>
  <c r="O692"/>
  <c r="O151"/>
  <c r="O18"/>
  <c r="C153"/>
  <c r="D153" s="1"/>
  <c r="K152"/>
  <c r="L152"/>
  <c r="F152"/>
  <c r="Q152" s="1"/>
  <c r="M152"/>
  <c r="J152"/>
  <c r="I152"/>
  <c r="H152"/>
  <c r="G152"/>
  <c r="M693"/>
  <c r="C694"/>
  <c r="D694" s="1"/>
  <c r="H693"/>
  <c r="G693"/>
  <c r="K693"/>
  <c r="L693"/>
  <c r="F693"/>
  <c r="Q693" s="1"/>
  <c r="J693"/>
  <c r="I693"/>
  <c r="M624"/>
  <c r="C625"/>
  <c r="D625" s="1"/>
  <c r="H624"/>
  <c r="G624"/>
  <c r="K624"/>
  <c r="L624"/>
  <c r="F624"/>
  <c r="Q624" s="1"/>
  <c r="J624"/>
  <c r="I624"/>
  <c r="L19"/>
  <c r="F19"/>
  <c r="Q19" s="1"/>
  <c r="M19"/>
  <c r="C20"/>
  <c r="D20" s="1"/>
  <c r="J19"/>
  <c r="I19"/>
  <c r="K19"/>
  <c r="G19"/>
  <c r="H19"/>
  <c r="C549"/>
  <c r="D549" s="1"/>
  <c r="H548"/>
  <c r="M548"/>
  <c r="J548"/>
  <c r="I548"/>
  <c r="F548"/>
  <c r="Q548" s="1"/>
  <c r="L548"/>
  <c r="G548"/>
  <c r="K548"/>
  <c r="O623"/>
  <c r="L205"/>
  <c r="H205"/>
  <c r="G205"/>
  <c r="K205"/>
  <c r="M205"/>
  <c r="F205"/>
  <c r="Q205" s="1"/>
  <c r="I205"/>
  <c r="C206"/>
  <c r="D206" s="1"/>
  <c r="J205"/>
  <c r="O547"/>
  <c r="J84" l="1"/>
  <c r="H84"/>
  <c r="L84"/>
  <c r="O84" s="1"/>
  <c r="C85"/>
  <c r="D85" s="1"/>
  <c r="L85" s="1"/>
  <c r="I84"/>
  <c r="K84"/>
  <c r="G84"/>
  <c r="F84"/>
  <c r="Q84" s="1"/>
  <c r="O152"/>
  <c r="O205"/>
  <c r="O19"/>
  <c r="M206"/>
  <c r="C207"/>
  <c r="D207" s="1"/>
  <c r="F206"/>
  <c r="Q206" s="1"/>
  <c r="J206"/>
  <c r="I206"/>
  <c r="L206"/>
  <c r="H206"/>
  <c r="K206"/>
  <c r="G206"/>
  <c r="L549"/>
  <c r="H549"/>
  <c r="F549"/>
  <c r="Q549" s="1"/>
  <c r="I549"/>
  <c r="M549"/>
  <c r="C550"/>
  <c r="D550" s="1"/>
  <c r="J549"/>
  <c r="G549"/>
  <c r="K549"/>
  <c r="M20"/>
  <c r="C21"/>
  <c r="D21" s="1"/>
  <c r="F20"/>
  <c r="Q20" s="1"/>
  <c r="L20"/>
  <c r="K20"/>
  <c r="J20"/>
  <c r="I20"/>
  <c r="G20"/>
  <c r="H20"/>
  <c r="L153"/>
  <c r="C154"/>
  <c r="D154" s="1"/>
  <c r="K153"/>
  <c r="F153"/>
  <c r="Q153" s="1"/>
  <c r="J153"/>
  <c r="I153"/>
  <c r="M153"/>
  <c r="H153"/>
  <c r="G153"/>
  <c r="C626"/>
  <c r="D626" s="1"/>
  <c r="L625"/>
  <c r="I625"/>
  <c r="F625"/>
  <c r="Q625" s="1"/>
  <c r="H625"/>
  <c r="M625"/>
  <c r="G625"/>
  <c r="K625"/>
  <c r="J625"/>
  <c r="L694"/>
  <c r="F694"/>
  <c r="Q694" s="1"/>
  <c r="J694"/>
  <c r="I694"/>
  <c r="M694"/>
  <c r="C695"/>
  <c r="D695" s="1"/>
  <c r="H694"/>
  <c r="G694"/>
  <c r="K694"/>
  <c r="O548"/>
  <c r="O624"/>
  <c r="O693"/>
  <c r="J85" l="1"/>
  <c r="M85"/>
  <c r="O85" s="1"/>
  <c r="G85"/>
  <c r="K85"/>
  <c r="I85"/>
  <c r="C86"/>
  <c r="D86" s="1"/>
  <c r="C87" s="1"/>
  <c r="D87" s="1"/>
  <c r="H85"/>
  <c r="F85"/>
  <c r="Q85" s="1"/>
  <c r="O206"/>
  <c r="O694"/>
  <c r="O20"/>
  <c r="C155"/>
  <c r="D155" s="1"/>
  <c r="K154"/>
  <c r="L154"/>
  <c r="F154"/>
  <c r="Q154" s="1"/>
  <c r="M154"/>
  <c r="J154"/>
  <c r="I154"/>
  <c r="H154"/>
  <c r="G154"/>
  <c r="M695"/>
  <c r="C696"/>
  <c r="D696" s="1"/>
  <c r="H695"/>
  <c r="G695"/>
  <c r="K695"/>
  <c r="L695"/>
  <c r="F695"/>
  <c r="Q695" s="1"/>
  <c r="J695"/>
  <c r="I695"/>
  <c r="L626"/>
  <c r="F626"/>
  <c r="Q626" s="1"/>
  <c r="J626"/>
  <c r="I626"/>
  <c r="M626"/>
  <c r="C627"/>
  <c r="D627" s="1"/>
  <c r="H626"/>
  <c r="G626"/>
  <c r="K626"/>
  <c r="H550"/>
  <c r="L550"/>
  <c r="M550"/>
  <c r="G550"/>
  <c r="K550"/>
  <c r="C551"/>
  <c r="D551" s="1"/>
  <c r="F550"/>
  <c r="Q550" s="1"/>
  <c r="J550"/>
  <c r="I550"/>
  <c r="L21"/>
  <c r="F21"/>
  <c r="Q21" s="1"/>
  <c r="M21"/>
  <c r="C22"/>
  <c r="D22" s="1"/>
  <c r="H21"/>
  <c r="I21"/>
  <c r="K21"/>
  <c r="G21"/>
  <c r="J21"/>
  <c r="L207"/>
  <c r="H207"/>
  <c r="G207"/>
  <c r="K207"/>
  <c r="C208"/>
  <c r="D208" s="1"/>
  <c r="J207"/>
  <c r="M207"/>
  <c r="F207"/>
  <c r="Q207" s="1"/>
  <c r="I207"/>
  <c r="O153"/>
  <c r="O549"/>
  <c r="O625"/>
  <c r="M86" l="1"/>
  <c r="J86"/>
  <c r="K86"/>
  <c r="H86"/>
  <c r="F86"/>
  <c r="Q86" s="1"/>
  <c r="I86"/>
  <c r="G86"/>
  <c r="L86"/>
  <c r="O207"/>
  <c r="O154"/>
  <c r="O21"/>
  <c r="O550"/>
  <c r="O626"/>
  <c r="M208"/>
  <c r="C209"/>
  <c r="D209" s="1"/>
  <c r="F208"/>
  <c r="Q208" s="1"/>
  <c r="J208"/>
  <c r="I208"/>
  <c r="H208"/>
  <c r="K208"/>
  <c r="L208"/>
  <c r="G208"/>
  <c r="M22"/>
  <c r="C23"/>
  <c r="D23" s="1"/>
  <c r="F22"/>
  <c r="Q22" s="1"/>
  <c r="L22"/>
  <c r="K22"/>
  <c r="J22"/>
  <c r="I22"/>
  <c r="G22"/>
  <c r="H22"/>
  <c r="I627"/>
  <c r="M627"/>
  <c r="H627"/>
  <c r="L627"/>
  <c r="C628"/>
  <c r="D628" s="1"/>
  <c r="G627"/>
  <c r="K627"/>
  <c r="F627"/>
  <c r="Q627" s="1"/>
  <c r="J627"/>
  <c r="L155"/>
  <c r="C156"/>
  <c r="D156" s="1"/>
  <c r="K155"/>
  <c r="F155"/>
  <c r="Q155" s="1"/>
  <c r="J155"/>
  <c r="I155"/>
  <c r="M155"/>
  <c r="H155"/>
  <c r="G155"/>
  <c r="I551"/>
  <c r="M551"/>
  <c r="J551"/>
  <c r="C552"/>
  <c r="D552" s="1"/>
  <c r="G551"/>
  <c r="K551"/>
  <c r="F551"/>
  <c r="Q551" s="1"/>
  <c r="H551"/>
  <c r="L551"/>
  <c r="C697"/>
  <c r="D697" s="1"/>
  <c r="F696"/>
  <c r="Q696" s="1"/>
  <c r="J696"/>
  <c r="I696"/>
  <c r="H696"/>
  <c r="L696"/>
  <c r="M696"/>
  <c r="G696"/>
  <c r="K696"/>
  <c r="L87"/>
  <c r="K87"/>
  <c r="F87"/>
  <c r="Q87" s="1"/>
  <c r="C88"/>
  <c r="D88" s="1"/>
  <c r="H87"/>
  <c r="G87"/>
  <c r="M87"/>
  <c r="J87"/>
  <c r="I87"/>
  <c r="O695"/>
  <c r="O627" l="1"/>
  <c r="O86"/>
  <c r="O696"/>
  <c r="O87"/>
  <c r="O155"/>
  <c r="O22"/>
  <c r="O208"/>
  <c r="I552"/>
  <c r="M552"/>
  <c r="H552"/>
  <c r="L552"/>
  <c r="C553"/>
  <c r="D553" s="1"/>
  <c r="G552"/>
  <c r="K552"/>
  <c r="F552"/>
  <c r="Q552" s="1"/>
  <c r="J552"/>
  <c r="M88"/>
  <c r="C89"/>
  <c r="D89" s="1"/>
  <c r="F88"/>
  <c r="Q88" s="1"/>
  <c r="H88"/>
  <c r="G88"/>
  <c r="L88"/>
  <c r="K88"/>
  <c r="J88"/>
  <c r="I88"/>
  <c r="C157"/>
  <c r="D157" s="1"/>
  <c r="K156"/>
  <c r="L156"/>
  <c r="F156"/>
  <c r="Q156" s="1"/>
  <c r="M156"/>
  <c r="J156"/>
  <c r="I156"/>
  <c r="H156"/>
  <c r="G156"/>
  <c r="L697"/>
  <c r="F697"/>
  <c r="Q697" s="1"/>
  <c r="J697"/>
  <c r="I697"/>
  <c r="M697"/>
  <c r="C698"/>
  <c r="D698" s="1"/>
  <c r="H697"/>
  <c r="G697"/>
  <c r="K697"/>
  <c r="M628"/>
  <c r="C629"/>
  <c r="D629" s="1"/>
  <c r="H628"/>
  <c r="G628"/>
  <c r="K628"/>
  <c r="L628"/>
  <c r="F628"/>
  <c r="Q628" s="1"/>
  <c r="J628"/>
  <c r="I628"/>
  <c r="L23"/>
  <c r="F23"/>
  <c r="Q23" s="1"/>
  <c r="M23"/>
  <c r="C24"/>
  <c r="D24" s="1"/>
  <c r="J23"/>
  <c r="I23"/>
  <c r="K23"/>
  <c r="G23"/>
  <c r="H23"/>
  <c r="C210"/>
  <c r="D210" s="1"/>
  <c r="M209"/>
  <c r="H209"/>
  <c r="G209"/>
  <c r="K209"/>
  <c r="L209"/>
  <c r="J209"/>
  <c r="F209"/>
  <c r="Q209" s="1"/>
  <c r="I209"/>
  <c r="O551"/>
  <c r="O552" l="1"/>
  <c r="O209"/>
  <c r="O88"/>
  <c r="O697"/>
  <c r="O23"/>
  <c r="L210"/>
  <c r="C211"/>
  <c r="D211" s="1"/>
  <c r="H210"/>
  <c r="G210"/>
  <c r="K210"/>
  <c r="J210"/>
  <c r="M210"/>
  <c r="F210"/>
  <c r="Q210" s="1"/>
  <c r="I210"/>
  <c r="L89"/>
  <c r="K89"/>
  <c r="F89"/>
  <c r="Q89" s="1"/>
  <c r="M89"/>
  <c r="H89"/>
  <c r="G89"/>
  <c r="C90"/>
  <c r="D90" s="1"/>
  <c r="J89"/>
  <c r="I89"/>
  <c r="I553"/>
  <c r="M553"/>
  <c r="J553"/>
  <c r="C554"/>
  <c r="D554" s="1"/>
  <c r="G553"/>
  <c r="K553"/>
  <c r="F553"/>
  <c r="Q553" s="1"/>
  <c r="H553"/>
  <c r="L553"/>
  <c r="M24"/>
  <c r="C25"/>
  <c r="D25" s="1"/>
  <c r="F24"/>
  <c r="Q24" s="1"/>
  <c r="L24"/>
  <c r="K24"/>
  <c r="I24"/>
  <c r="J24"/>
  <c r="H24"/>
  <c r="G24"/>
  <c r="H698"/>
  <c r="L698"/>
  <c r="M698"/>
  <c r="G698"/>
  <c r="K698"/>
  <c r="C699"/>
  <c r="D699" s="1"/>
  <c r="F698"/>
  <c r="Q698" s="1"/>
  <c r="J698"/>
  <c r="I698"/>
  <c r="L629"/>
  <c r="F629"/>
  <c r="Q629" s="1"/>
  <c r="J629"/>
  <c r="I629"/>
  <c r="M629"/>
  <c r="C630"/>
  <c r="D630" s="1"/>
  <c r="H629"/>
  <c r="G629"/>
  <c r="K629"/>
  <c r="O156"/>
  <c r="L157"/>
  <c r="C158"/>
  <c r="D158" s="1"/>
  <c r="K157"/>
  <c r="F157"/>
  <c r="Q157" s="1"/>
  <c r="J157"/>
  <c r="I157"/>
  <c r="M157"/>
  <c r="H157"/>
  <c r="G157"/>
  <c r="O628"/>
  <c r="O157" l="1"/>
  <c r="O24"/>
  <c r="O553"/>
  <c r="M90"/>
  <c r="C91"/>
  <c r="D91" s="1"/>
  <c r="F90"/>
  <c r="Q90" s="1"/>
  <c r="L90"/>
  <c r="K90"/>
  <c r="G90"/>
  <c r="H90"/>
  <c r="I90"/>
  <c r="J90"/>
  <c r="C159"/>
  <c r="D159" s="1"/>
  <c r="K158"/>
  <c r="L158"/>
  <c r="F158"/>
  <c r="Q158" s="1"/>
  <c r="J158"/>
  <c r="I158"/>
  <c r="M158"/>
  <c r="H158"/>
  <c r="G158"/>
  <c r="M699"/>
  <c r="C700"/>
  <c r="D700" s="1"/>
  <c r="H699"/>
  <c r="G699"/>
  <c r="K699"/>
  <c r="L699"/>
  <c r="F699"/>
  <c r="Q699" s="1"/>
  <c r="J699"/>
  <c r="I699"/>
  <c r="I554"/>
  <c r="M554"/>
  <c r="H554"/>
  <c r="L554"/>
  <c r="C555"/>
  <c r="D555" s="1"/>
  <c r="G554"/>
  <c r="K554"/>
  <c r="F554"/>
  <c r="Q554" s="1"/>
  <c r="J554"/>
  <c r="L25"/>
  <c r="F25"/>
  <c r="Q25" s="1"/>
  <c r="M25"/>
  <c r="C26"/>
  <c r="D26" s="1"/>
  <c r="I25"/>
  <c r="J25"/>
  <c r="K25"/>
  <c r="H25"/>
  <c r="G25"/>
  <c r="O629"/>
  <c r="O698"/>
  <c r="O89"/>
  <c r="O210"/>
  <c r="M630"/>
  <c r="C631"/>
  <c r="D631" s="1"/>
  <c r="H630"/>
  <c r="G630"/>
  <c r="K630"/>
  <c r="L630"/>
  <c r="F630"/>
  <c r="Q630" s="1"/>
  <c r="J630"/>
  <c r="I630"/>
  <c r="C212"/>
  <c r="D212" s="1"/>
  <c r="H211"/>
  <c r="F211"/>
  <c r="Q211" s="1"/>
  <c r="I211"/>
  <c r="J211"/>
  <c r="G211"/>
  <c r="L211"/>
  <c r="M211"/>
  <c r="K211"/>
  <c r="O554" l="1"/>
  <c r="O90"/>
  <c r="O25"/>
  <c r="O158"/>
  <c r="L159"/>
  <c r="C160"/>
  <c r="D160" s="1"/>
  <c r="K159"/>
  <c r="F159"/>
  <c r="Q159" s="1"/>
  <c r="H159"/>
  <c r="G159"/>
  <c r="M159"/>
  <c r="I159"/>
  <c r="J159"/>
  <c r="M26"/>
  <c r="C27"/>
  <c r="D27" s="1"/>
  <c r="F26"/>
  <c r="Q26" s="1"/>
  <c r="L26"/>
  <c r="K26"/>
  <c r="I26"/>
  <c r="J26"/>
  <c r="H26"/>
  <c r="G26"/>
  <c r="L631"/>
  <c r="F631"/>
  <c r="Q631" s="1"/>
  <c r="J631"/>
  <c r="I631"/>
  <c r="M631"/>
  <c r="C632"/>
  <c r="D632" s="1"/>
  <c r="H631"/>
  <c r="G631"/>
  <c r="K631"/>
  <c r="I555"/>
  <c r="M555"/>
  <c r="J555"/>
  <c r="C556"/>
  <c r="D556" s="1"/>
  <c r="G555"/>
  <c r="K555"/>
  <c r="F555"/>
  <c r="Q555" s="1"/>
  <c r="H555"/>
  <c r="L555"/>
  <c r="L700"/>
  <c r="F700"/>
  <c r="Q700" s="1"/>
  <c r="J700"/>
  <c r="I700"/>
  <c r="M700"/>
  <c r="C701"/>
  <c r="D701" s="1"/>
  <c r="H700"/>
  <c r="G700"/>
  <c r="K700"/>
  <c r="L91"/>
  <c r="K91"/>
  <c r="F91"/>
  <c r="Q91" s="1"/>
  <c r="C92"/>
  <c r="D92" s="1"/>
  <c r="H91"/>
  <c r="G91"/>
  <c r="M91"/>
  <c r="J91"/>
  <c r="I91"/>
  <c r="C213"/>
  <c r="D213" s="1"/>
  <c r="I212"/>
  <c r="K212"/>
  <c r="H212"/>
  <c r="L212"/>
  <c r="F212"/>
  <c r="Q212" s="1"/>
  <c r="M212"/>
  <c r="G212"/>
  <c r="J212"/>
  <c r="O211"/>
  <c r="O630"/>
  <c r="O699"/>
  <c r="O91" l="1"/>
  <c r="O700"/>
  <c r="O631"/>
  <c r="I701"/>
  <c r="M701"/>
  <c r="J701"/>
  <c r="C702"/>
  <c r="D702" s="1"/>
  <c r="G701"/>
  <c r="K701"/>
  <c r="F701"/>
  <c r="Q701" s="1"/>
  <c r="H701"/>
  <c r="L701"/>
  <c r="M632"/>
  <c r="C633"/>
  <c r="D633" s="1"/>
  <c r="H632"/>
  <c r="G632"/>
  <c r="K632"/>
  <c r="L632"/>
  <c r="F632"/>
  <c r="Q632" s="1"/>
  <c r="J632"/>
  <c r="I632"/>
  <c r="C214"/>
  <c r="D214" s="1"/>
  <c r="K213"/>
  <c r="I213"/>
  <c r="F213"/>
  <c r="Q213" s="1"/>
  <c r="J213"/>
  <c r="M213"/>
  <c r="L213"/>
  <c r="G213"/>
  <c r="H213"/>
  <c r="M92"/>
  <c r="C93"/>
  <c r="D93" s="1"/>
  <c r="F92"/>
  <c r="Q92" s="1"/>
  <c r="H92"/>
  <c r="G92"/>
  <c r="L92"/>
  <c r="K92"/>
  <c r="J92"/>
  <c r="I92"/>
  <c r="I556"/>
  <c r="M556"/>
  <c r="H556"/>
  <c r="L556"/>
  <c r="C557"/>
  <c r="D557" s="1"/>
  <c r="G556"/>
  <c r="K556"/>
  <c r="F556"/>
  <c r="Q556" s="1"/>
  <c r="J556"/>
  <c r="C161"/>
  <c r="D161" s="1"/>
  <c r="K160"/>
  <c r="L160"/>
  <c r="F160"/>
  <c r="Q160" s="1"/>
  <c r="H160"/>
  <c r="G160"/>
  <c r="M160"/>
  <c r="I160"/>
  <c r="J160"/>
  <c r="L27"/>
  <c r="F27"/>
  <c r="Q27" s="1"/>
  <c r="M27"/>
  <c r="C28"/>
  <c r="D28" s="1"/>
  <c r="I27"/>
  <c r="J27"/>
  <c r="K27"/>
  <c r="H27"/>
  <c r="G27"/>
  <c r="O212"/>
  <c r="O159"/>
  <c r="O555"/>
  <c r="O26"/>
  <c r="O556" l="1"/>
  <c r="O92"/>
  <c r="O160"/>
  <c r="O27"/>
  <c r="O632"/>
  <c r="O701"/>
  <c r="M557"/>
  <c r="H557"/>
  <c r="G557"/>
  <c r="K557"/>
  <c r="L557"/>
  <c r="F557"/>
  <c r="Q557" s="1"/>
  <c r="J557"/>
  <c r="I557"/>
  <c r="C558"/>
  <c r="D558" s="1"/>
  <c r="M28"/>
  <c r="C29"/>
  <c r="D29" s="1"/>
  <c r="F28"/>
  <c r="Q28" s="1"/>
  <c r="L28"/>
  <c r="K28"/>
  <c r="G28"/>
  <c r="J28"/>
  <c r="H28"/>
  <c r="I28"/>
  <c r="L161"/>
  <c r="C162"/>
  <c r="D162" s="1"/>
  <c r="K161"/>
  <c r="F161"/>
  <c r="Q161" s="1"/>
  <c r="H161"/>
  <c r="G161"/>
  <c r="M161"/>
  <c r="I161"/>
  <c r="J161"/>
  <c r="L214"/>
  <c r="F214"/>
  <c r="Q214" s="1"/>
  <c r="J214"/>
  <c r="I214"/>
  <c r="C215"/>
  <c r="D215" s="1"/>
  <c r="H214"/>
  <c r="K214"/>
  <c r="M214"/>
  <c r="G214"/>
  <c r="M702"/>
  <c r="G702"/>
  <c r="K702"/>
  <c r="J702"/>
  <c r="C703"/>
  <c r="D703" s="1"/>
  <c r="L702"/>
  <c r="I702"/>
  <c r="F702"/>
  <c r="Q702" s="1"/>
  <c r="H702"/>
  <c r="L93"/>
  <c r="K93"/>
  <c r="F93"/>
  <c r="Q93" s="1"/>
  <c r="M93"/>
  <c r="H93"/>
  <c r="G93"/>
  <c r="C94"/>
  <c r="D94" s="1"/>
  <c r="J93"/>
  <c r="I93"/>
  <c r="L633"/>
  <c r="F633"/>
  <c r="Q633" s="1"/>
  <c r="J633"/>
  <c r="I633"/>
  <c r="M633"/>
  <c r="C634"/>
  <c r="D634" s="1"/>
  <c r="H633"/>
  <c r="G633"/>
  <c r="K633"/>
  <c r="O213"/>
  <c r="O557" l="1"/>
  <c r="O28"/>
  <c r="O633"/>
  <c r="O702"/>
  <c r="C163"/>
  <c r="D163" s="1"/>
  <c r="K162"/>
  <c r="L162"/>
  <c r="F162"/>
  <c r="Q162" s="1"/>
  <c r="M162"/>
  <c r="H162"/>
  <c r="G162"/>
  <c r="I162"/>
  <c r="J162"/>
  <c r="C559"/>
  <c r="D559" s="1"/>
  <c r="I558"/>
  <c r="G558"/>
  <c r="F558"/>
  <c r="Q558" s="1"/>
  <c r="H558"/>
  <c r="L558"/>
  <c r="M558"/>
  <c r="K558"/>
  <c r="J558"/>
  <c r="H215"/>
  <c r="L215"/>
  <c r="G215"/>
  <c r="K215"/>
  <c r="J215"/>
  <c r="I215"/>
  <c r="C216"/>
  <c r="D216" s="1"/>
  <c r="F215"/>
  <c r="Q215" s="1"/>
  <c r="M215"/>
  <c r="M634"/>
  <c r="C635"/>
  <c r="D635" s="1"/>
  <c r="H634"/>
  <c r="G634"/>
  <c r="K634"/>
  <c r="L634"/>
  <c r="F634"/>
  <c r="Q634" s="1"/>
  <c r="J634"/>
  <c r="I634"/>
  <c r="M94"/>
  <c r="C95"/>
  <c r="D95" s="1"/>
  <c r="F94"/>
  <c r="Q94" s="1"/>
  <c r="L94"/>
  <c r="K94"/>
  <c r="H94"/>
  <c r="G94"/>
  <c r="J94"/>
  <c r="I94"/>
  <c r="M703"/>
  <c r="C704"/>
  <c r="D704" s="1"/>
  <c r="H703"/>
  <c r="G703"/>
  <c r="K703"/>
  <c r="L703"/>
  <c r="F703"/>
  <c r="Q703" s="1"/>
  <c r="J703"/>
  <c r="I703"/>
  <c r="L29"/>
  <c r="F29"/>
  <c r="Q29" s="1"/>
  <c r="M29"/>
  <c r="C30"/>
  <c r="D30" s="1"/>
  <c r="G29"/>
  <c r="J29"/>
  <c r="K29"/>
  <c r="H29"/>
  <c r="I29"/>
  <c r="O93"/>
  <c r="O214"/>
  <c r="O161"/>
  <c r="O215" l="1"/>
  <c r="O29"/>
  <c r="O162"/>
  <c r="L163"/>
  <c r="C164"/>
  <c r="D164" s="1"/>
  <c r="K163"/>
  <c r="F163"/>
  <c r="Q163" s="1"/>
  <c r="H163"/>
  <c r="G163"/>
  <c r="M163"/>
  <c r="I163"/>
  <c r="J163"/>
  <c r="M30"/>
  <c r="C31"/>
  <c r="D31" s="1"/>
  <c r="F30"/>
  <c r="Q30" s="1"/>
  <c r="L30"/>
  <c r="K30"/>
  <c r="G30"/>
  <c r="J30"/>
  <c r="H30"/>
  <c r="I30"/>
  <c r="I216"/>
  <c r="M216"/>
  <c r="J216"/>
  <c r="C217"/>
  <c r="D217" s="1"/>
  <c r="G216"/>
  <c r="F216"/>
  <c r="Q216" s="1"/>
  <c r="L216"/>
  <c r="K216"/>
  <c r="H216"/>
  <c r="C705"/>
  <c r="D705" s="1"/>
  <c r="G704"/>
  <c r="K704"/>
  <c r="F704"/>
  <c r="Q704" s="1"/>
  <c r="H704"/>
  <c r="L704"/>
  <c r="I704"/>
  <c r="M704"/>
  <c r="J704"/>
  <c r="L95"/>
  <c r="K95"/>
  <c r="F95"/>
  <c r="Q95" s="1"/>
  <c r="C96"/>
  <c r="D96" s="1"/>
  <c r="H95"/>
  <c r="G95"/>
  <c r="M95"/>
  <c r="J95"/>
  <c r="I95"/>
  <c r="L635"/>
  <c r="F635"/>
  <c r="Q635" s="1"/>
  <c r="J635"/>
  <c r="I635"/>
  <c r="M635"/>
  <c r="C636"/>
  <c r="D636" s="1"/>
  <c r="H635"/>
  <c r="G635"/>
  <c r="K635"/>
  <c r="C560"/>
  <c r="D560" s="1"/>
  <c r="I559"/>
  <c r="G559"/>
  <c r="F559"/>
  <c r="Q559" s="1"/>
  <c r="H559"/>
  <c r="L559"/>
  <c r="M559"/>
  <c r="K559"/>
  <c r="J559"/>
  <c r="O703"/>
  <c r="O94"/>
  <c r="O634"/>
  <c r="O558"/>
  <c r="O95" l="1"/>
  <c r="O635"/>
  <c r="I217"/>
  <c r="M217"/>
  <c r="H217"/>
  <c r="L217"/>
  <c r="K217"/>
  <c r="J217"/>
  <c r="C218"/>
  <c r="D218" s="1"/>
  <c r="G217"/>
  <c r="F217"/>
  <c r="Q217" s="1"/>
  <c r="M636"/>
  <c r="C637"/>
  <c r="D637" s="1"/>
  <c r="H636"/>
  <c r="G636"/>
  <c r="K636"/>
  <c r="L636"/>
  <c r="F636"/>
  <c r="Q636" s="1"/>
  <c r="J636"/>
  <c r="I636"/>
  <c r="M96"/>
  <c r="C97"/>
  <c r="D97" s="1"/>
  <c r="F96"/>
  <c r="Q96" s="1"/>
  <c r="H96"/>
  <c r="G96"/>
  <c r="L96"/>
  <c r="K96"/>
  <c r="J96"/>
  <c r="I96"/>
  <c r="C165"/>
  <c r="D165" s="1"/>
  <c r="K164"/>
  <c r="L164"/>
  <c r="F164"/>
  <c r="Q164" s="1"/>
  <c r="M164"/>
  <c r="H164"/>
  <c r="G164"/>
  <c r="I164"/>
  <c r="J164"/>
  <c r="C561"/>
  <c r="D561" s="1"/>
  <c r="G560"/>
  <c r="K560"/>
  <c r="F560"/>
  <c r="Q560" s="1"/>
  <c r="H560"/>
  <c r="L560"/>
  <c r="I560"/>
  <c r="M560"/>
  <c r="J560"/>
  <c r="C706"/>
  <c r="D706" s="1"/>
  <c r="L705"/>
  <c r="I705"/>
  <c r="F705"/>
  <c r="Q705" s="1"/>
  <c r="H705"/>
  <c r="M705"/>
  <c r="G705"/>
  <c r="K705"/>
  <c r="J705"/>
  <c r="L31"/>
  <c r="F31"/>
  <c r="Q31" s="1"/>
  <c r="M31"/>
  <c r="C32"/>
  <c r="D32" s="1"/>
  <c r="I31"/>
  <c r="J31"/>
  <c r="K31"/>
  <c r="H31"/>
  <c r="G31"/>
  <c r="O163"/>
  <c r="O559"/>
  <c r="O704"/>
  <c r="O216"/>
  <c r="O30"/>
  <c r="O217" l="1"/>
  <c r="O705"/>
  <c r="O560"/>
  <c r="O636"/>
  <c r="O96"/>
  <c r="L637"/>
  <c r="F637"/>
  <c r="Q637" s="1"/>
  <c r="J637"/>
  <c r="I637"/>
  <c r="M637"/>
  <c r="C638"/>
  <c r="D638" s="1"/>
  <c r="H637"/>
  <c r="G637"/>
  <c r="K637"/>
  <c r="M218"/>
  <c r="C219"/>
  <c r="D219" s="1"/>
  <c r="H218"/>
  <c r="G218"/>
  <c r="K218"/>
  <c r="L218"/>
  <c r="F218"/>
  <c r="Q218" s="1"/>
  <c r="I218"/>
  <c r="J218"/>
  <c r="L97"/>
  <c r="K97"/>
  <c r="F97"/>
  <c r="Q97" s="1"/>
  <c r="M97"/>
  <c r="H97"/>
  <c r="G97"/>
  <c r="C98"/>
  <c r="D98" s="1"/>
  <c r="J97"/>
  <c r="I97"/>
  <c r="C562"/>
  <c r="D562" s="1"/>
  <c r="G561"/>
  <c r="K561"/>
  <c r="F561"/>
  <c r="Q561" s="1"/>
  <c r="J561"/>
  <c r="I561"/>
  <c r="M561"/>
  <c r="H561"/>
  <c r="L561"/>
  <c r="O31"/>
  <c r="O164"/>
  <c r="M32"/>
  <c r="C33"/>
  <c r="D33" s="1"/>
  <c r="F32"/>
  <c r="Q32" s="1"/>
  <c r="L32"/>
  <c r="K32"/>
  <c r="I32"/>
  <c r="J32"/>
  <c r="H32"/>
  <c r="G32"/>
  <c r="L706"/>
  <c r="F706"/>
  <c r="Q706" s="1"/>
  <c r="J706"/>
  <c r="I706"/>
  <c r="M706"/>
  <c r="C707"/>
  <c r="D707" s="1"/>
  <c r="H706"/>
  <c r="G706"/>
  <c r="K706"/>
  <c r="L165"/>
  <c r="C166"/>
  <c r="D166" s="1"/>
  <c r="K165"/>
  <c r="F165"/>
  <c r="Q165" s="1"/>
  <c r="M165"/>
  <c r="H165"/>
  <c r="G165"/>
  <c r="I165"/>
  <c r="J165"/>
  <c r="O561" l="1"/>
  <c r="O32"/>
  <c r="O218"/>
  <c r="O637"/>
  <c r="L219"/>
  <c r="F219"/>
  <c r="Q219" s="1"/>
  <c r="J219"/>
  <c r="I219"/>
  <c r="C220"/>
  <c r="D220" s="1"/>
  <c r="H219"/>
  <c r="K219"/>
  <c r="M219"/>
  <c r="G219"/>
  <c r="L33"/>
  <c r="F33"/>
  <c r="Q33" s="1"/>
  <c r="M33"/>
  <c r="C34"/>
  <c r="D34" s="1"/>
  <c r="G33"/>
  <c r="J33"/>
  <c r="K33"/>
  <c r="H33"/>
  <c r="I33"/>
  <c r="M98"/>
  <c r="C99"/>
  <c r="D99" s="1"/>
  <c r="F98"/>
  <c r="Q98" s="1"/>
  <c r="L98"/>
  <c r="K98"/>
  <c r="H98"/>
  <c r="G98"/>
  <c r="J98"/>
  <c r="I98"/>
  <c r="M638"/>
  <c r="C639"/>
  <c r="D639" s="1"/>
  <c r="H638"/>
  <c r="G638"/>
  <c r="K638"/>
  <c r="L638"/>
  <c r="F638"/>
  <c r="Q638" s="1"/>
  <c r="J638"/>
  <c r="I638"/>
  <c r="O165"/>
  <c r="O706"/>
  <c r="O97"/>
  <c r="C167"/>
  <c r="D167" s="1"/>
  <c r="K166"/>
  <c r="L166"/>
  <c r="F166"/>
  <c r="Q166" s="1"/>
  <c r="H166"/>
  <c r="G166"/>
  <c r="M166"/>
  <c r="I166"/>
  <c r="J166"/>
  <c r="M707"/>
  <c r="G707"/>
  <c r="K707"/>
  <c r="J707"/>
  <c r="C708"/>
  <c r="D708" s="1"/>
  <c r="L707"/>
  <c r="I707"/>
  <c r="F707"/>
  <c r="Q707" s="1"/>
  <c r="H707"/>
  <c r="L562"/>
  <c r="F562"/>
  <c r="Q562" s="1"/>
  <c r="J562"/>
  <c r="I562"/>
  <c r="M562"/>
  <c r="C563"/>
  <c r="D563" s="1"/>
  <c r="H562"/>
  <c r="G562"/>
  <c r="K562"/>
  <c r="O33" l="1"/>
  <c r="M34"/>
  <c r="C35"/>
  <c r="D35" s="1"/>
  <c r="F34"/>
  <c r="Q34" s="1"/>
  <c r="L34"/>
  <c r="K34"/>
  <c r="J34"/>
  <c r="I34"/>
  <c r="G34"/>
  <c r="H34"/>
  <c r="H220"/>
  <c r="L220"/>
  <c r="I220"/>
  <c r="J220"/>
  <c r="K220"/>
  <c r="C221"/>
  <c r="D221" s="1"/>
  <c r="F220"/>
  <c r="Q220" s="1"/>
  <c r="G220"/>
  <c r="M220"/>
  <c r="M563"/>
  <c r="F563"/>
  <c r="Q563" s="1"/>
  <c r="J563"/>
  <c r="I563"/>
  <c r="L563"/>
  <c r="C564"/>
  <c r="D564" s="1"/>
  <c r="H563"/>
  <c r="G563"/>
  <c r="K563"/>
  <c r="H708"/>
  <c r="L708"/>
  <c r="M708"/>
  <c r="G708"/>
  <c r="K708"/>
  <c r="C709"/>
  <c r="D709" s="1"/>
  <c r="F708"/>
  <c r="Q708" s="1"/>
  <c r="J708"/>
  <c r="I708"/>
  <c r="L167"/>
  <c r="C168"/>
  <c r="D168" s="1"/>
  <c r="K167"/>
  <c r="F167"/>
  <c r="Q167" s="1"/>
  <c r="H167"/>
  <c r="G167"/>
  <c r="M167"/>
  <c r="I167"/>
  <c r="J167"/>
  <c r="L639"/>
  <c r="F639"/>
  <c r="Q639" s="1"/>
  <c r="J639"/>
  <c r="I639"/>
  <c r="M639"/>
  <c r="C640"/>
  <c r="D640" s="1"/>
  <c r="H639"/>
  <c r="G639"/>
  <c r="K639"/>
  <c r="L99"/>
  <c r="K99"/>
  <c r="F99"/>
  <c r="Q99" s="1"/>
  <c r="C100"/>
  <c r="D100" s="1"/>
  <c r="H99"/>
  <c r="G99"/>
  <c r="M99"/>
  <c r="J99"/>
  <c r="I99"/>
  <c r="O219"/>
  <c r="O562"/>
  <c r="O707"/>
  <c r="O166"/>
  <c r="O638"/>
  <c r="O98"/>
  <c r="O34" l="1"/>
  <c r="O708"/>
  <c r="O99"/>
  <c r="O167"/>
  <c r="O639"/>
  <c r="M564"/>
  <c r="C565"/>
  <c r="D565" s="1"/>
  <c r="F564"/>
  <c r="Q564" s="1"/>
  <c r="G564"/>
  <c r="K564"/>
  <c r="L564"/>
  <c r="H564"/>
  <c r="J564"/>
  <c r="I564"/>
  <c r="M100"/>
  <c r="C101"/>
  <c r="D101" s="1"/>
  <c r="F100"/>
  <c r="Q100" s="1"/>
  <c r="H100"/>
  <c r="G100"/>
  <c r="L100"/>
  <c r="K100"/>
  <c r="J100"/>
  <c r="I100"/>
  <c r="C169"/>
  <c r="D169" s="1"/>
  <c r="K168"/>
  <c r="L168"/>
  <c r="F168"/>
  <c r="Q168" s="1"/>
  <c r="H168"/>
  <c r="G168"/>
  <c r="M168"/>
  <c r="I168"/>
  <c r="J168"/>
  <c r="M640"/>
  <c r="C641"/>
  <c r="D641" s="1"/>
  <c r="H640"/>
  <c r="G640"/>
  <c r="K640"/>
  <c r="L640"/>
  <c r="F640"/>
  <c r="Q640" s="1"/>
  <c r="J640"/>
  <c r="I640"/>
  <c r="I709"/>
  <c r="M709"/>
  <c r="J709"/>
  <c r="C710"/>
  <c r="D710" s="1"/>
  <c r="G709"/>
  <c r="K709"/>
  <c r="F709"/>
  <c r="Q709" s="1"/>
  <c r="H709"/>
  <c r="L709"/>
  <c r="M221"/>
  <c r="C222"/>
  <c r="D222" s="1"/>
  <c r="H221"/>
  <c r="G221"/>
  <c r="K221"/>
  <c r="L221"/>
  <c r="F221"/>
  <c r="Q221" s="1"/>
  <c r="I221"/>
  <c r="J221"/>
  <c r="L35"/>
  <c r="F35"/>
  <c r="Q35" s="1"/>
  <c r="M35"/>
  <c r="C36"/>
  <c r="D36" s="1"/>
  <c r="J35"/>
  <c r="I35"/>
  <c r="K35"/>
  <c r="G35"/>
  <c r="H35"/>
  <c r="O220"/>
  <c r="O563"/>
  <c r="O100" l="1"/>
  <c r="O564"/>
  <c r="O35"/>
  <c r="O168"/>
  <c r="L169"/>
  <c r="M169"/>
  <c r="C170"/>
  <c r="D170" s="1"/>
  <c r="K169"/>
  <c r="F169"/>
  <c r="Q169" s="1"/>
  <c r="H169"/>
  <c r="G169"/>
  <c r="I169"/>
  <c r="J169"/>
  <c r="I710"/>
  <c r="M710"/>
  <c r="J710"/>
  <c r="C711"/>
  <c r="D711" s="1"/>
  <c r="G710"/>
  <c r="K710"/>
  <c r="F710"/>
  <c r="Q710" s="1"/>
  <c r="H710"/>
  <c r="L710"/>
  <c r="M36"/>
  <c r="C37"/>
  <c r="D37" s="1"/>
  <c r="F36"/>
  <c r="Q36" s="1"/>
  <c r="L36"/>
  <c r="K36"/>
  <c r="G36"/>
  <c r="J36"/>
  <c r="H36"/>
  <c r="I36"/>
  <c r="L222"/>
  <c r="F222"/>
  <c r="Q222" s="1"/>
  <c r="J222"/>
  <c r="I222"/>
  <c r="C223"/>
  <c r="D223" s="1"/>
  <c r="H222"/>
  <c r="K222"/>
  <c r="M222"/>
  <c r="G222"/>
  <c r="L641"/>
  <c r="C642"/>
  <c r="D642" s="1"/>
  <c r="F641"/>
  <c r="Q641" s="1"/>
  <c r="J641"/>
  <c r="I641"/>
  <c r="M641"/>
  <c r="H641"/>
  <c r="G641"/>
  <c r="K641"/>
  <c r="L101"/>
  <c r="K101"/>
  <c r="F101"/>
  <c r="Q101" s="1"/>
  <c r="M101"/>
  <c r="H101"/>
  <c r="G101"/>
  <c r="C102"/>
  <c r="D102" s="1"/>
  <c r="J101"/>
  <c r="I101"/>
  <c r="C566"/>
  <c r="D566" s="1"/>
  <c r="M565"/>
  <c r="H565"/>
  <c r="J565"/>
  <c r="I565"/>
  <c r="L565"/>
  <c r="F565"/>
  <c r="Q565" s="1"/>
  <c r="G565"/>
  <c r="K565"/>
  <c r="O221"/>
  <c r="O709"/>
  <c r="O640"/>
  <c r="O36" l="1"/>
  <c r="O710"/>
  <c r="I711"/>
  <c r="M711"/>
  <c r="J711"/>
  <c r="C712"/>
  <c r="D712" s="1"/>
  <c r="G711"/>
  <c r="K711"/>
  <c r="F711"/>
  <c r="Q711" s="1"/>
  <c r="H711"/>
  <c r="L711"/>
  <c r="C171"/>
  <c r="D171" s="1"/>
  <c r="K170"/>
  <c r="M170"/>
  <c r="L170"/>
  <c r="F170"/>
  <c r="Q170" s="1"/>
  <c r="H170"/>
  <c r="G170"/>
  <c r="I170"/>
  <c r="J170"/>
  <c r="M102"/>
  <c r="C103"/>
  <c r="D103" s="1"/>
  <c r="F102"/>
  <c r="Q102" s="1"/>
  <c r="L102"/>
  <c r="K102"/>
  <c r="H102"/>
  <c r="G102"/>
  <c r="J102"/>
  <c r="I102"/>
  <c r="L642"/>
  <c r="J642"/>
  <c r="G642"/>
  <c r="K642"/>
  <c r="M642"/>
  <c r="C643"/>
  <c r="D643" s="1"/>
  <c r="H642"/>
  <c r="F642"/>
  <c r="Q642" s="1"/>
  <c r="I642"/>
  <c r="M223"/>
  <c r="C224"/>
  <c r="D224" s="1"/>
  <c r="H223"/>
  <c r="G223"/>
  <c r="K223"/>
  <c r="J223"/>
  <c r="L223"/>
  <c r="F223"/>
  <c r="Q223" s="1"/>
  <c r="I223"/>
  <c r="L37"/>
  <c r="F37"/>
  <c r="Q37" s="1"/>
  <c r="M37"/>
  <c r="C38"/>
  <c r="D38" s="1"/>
  <c r="I37"/>
  <c r="J37"/>
  <c r="K37"/>
  <c r="H37"/>
  <c r="G37"/>
  <c r="C567"/>
  <c r="D567" s="1"/>
  <c r="J566"/>
  <c r="G566"/>
  <c r="K566"/>
  <c r="F566"/>
  <c r="Q566" s="1"/>
  <c r="L566"/>
  <c r="M566"/>
  <c r="H566"/>
  <c r="I566"/>
  <c r="O565"/>
  <c r="O101"/>
  <c r="O641"/>
  <c r="O222"/>
  <c r="O169"/>
  <c r="O223" l="1"/>
  <c r="O102"/>
  <c r="O711"/>
  <c r="O566"/>
  <c r="M643"/>
  <c r="C644"/>
  <c r="D644" s="1"/>
  <c r="F643"/>
  <c r="Q643" s="1"/>
  <c r="J643"/>
  <c r="I643"/>
  <c r="L643"/>
  <c r="H643"/>
  <c r="G643"/>
  <c r="K643"/>
  <c r="M38"/>
  <c r="C39"/>
  <c r="D39" s="1"/>
  <c r="F38"/>
  <c r="Q38" s="1"/>
  <c r="L38"/>
  <c r="K38"/>
  <c r="J38"/>
  <c r="I38"/>
  <c r="G38"/>
  <c r="H38"/>
  <c r="I712"/>
  <c r="M712"/>
  <c r="H712"/>
  <c r="L712"/>
  <c r="C713"/>
  <c r="D713" s="1"/>
  <c r="G712"/>
  <c r="K712"/>
  <c r="F712"/>
  <c r="Q712" s="1"/>
  <c r="J712"/>
  <c r="C568"/>
  <c r="D568" s="1"/>
  <c r="I567"/>
  <c r="M567"/>
  <c r="J567"/>
  <c r="G567"/>
  <c r="K567"/>
  <c r="F567"/>
  <c r="Q567" s="1"/>
  <c r="H567"/>
  <c r="L567"/>
  <c r="L103"/>
  <c r="K103"/>
  <c r="F103"/>
  <c r="Q103" s="1"/>
  <c r="C104"/>
  <c r="D104" s="1"/>
  <c r="H103"/>
  <c r="G103"/>
  <c r="M103"/>
  <c r="J103"/>
  <c r="I103"/>
  <c r="L171"/>
  <c r="M171"/>
  <c r="C172"/>
  <c r="D172" s="1"/>
  <c r="K171"/>
  <c r="F171"/>
  <c r="Q171" s="1"/>
  <c r="H171"/>
  <c r="G171"/>
  <c r="I171"/>
  <c r="J171"/>
  <c r="O37"/>
  <c r="O642"/>
  <c r="C225"/>
  <c r="D225" s="1"/>
  <c r="F224"/>
  <c r="Q224" s="1"/>
  <c r="J224"/>
  <c r="G224"/>
  <c r="K224"/>
  <c r="M224"/>
  <c r="L224"/>
  <c r="H224"/>
  <c r="I224"/>
  <c r="O170"/>
  <c r="O712" l="1"/>
  <c r="O224"/>
  <c r="O643"/>
  <c r="O38"/>
  <c r="O567"/>
  <c r="M713"/>
  <c r="C714"/>
  <c r="D714" s="1"/>
  <c r="H713"/>
  <c r="G713"/>
  <c r="K713"/>
  <c r="L713"/>
  <c r="F713"/>
  <c r="Q713" s="1"/>
  <c r="J713"/>
  <c r="I713"/>
  <c r="C173"/>
  <c r="D173" s="1"/>
  <c r="K172"/>
  <c r="L172"/>
  <c r="F172"/>
  <c r="Q172" s="1"/>
  <c r="M172"/>
  <c r="H172"/>
  <c r="G172"/>
  <c r="I172"/>
  <c r="J172"/>
  <c r="M104"/>
  <c r="C105"/>
  <c r="D105" s="1"/>
  <c r="F104"/>
  <c r="Q104" s="1"/>
  <c r="H104"/>
  <c r="G104"/>
  <c r="L104"/>
  <c r="K104"/>
  <c r="J104"/>
  <c r="I104"/>
  <c r="L225"/>
  <c r="F225"/>
  <c r="Q225" s="1"/>
  <c r="J225"/>
  <c r="I225"/>
  <c r="C226"/>
  <c r="D226" s="1"/>
  <c r="H225"/>
  <c r="K225"/>
  <c r="M225"/>
  <c r="G225"/>
  <c r="C569"/>
  <c r="D569" s="1"/>
  <c r="I568"/>
  <c r="M568"/>
  <c r="H568"/>
  <c r="L568"/>
  <c r="G568"/>
  <c r="K568"/>
  <c r="F568"/>
  <c r="Q568" s="1"/>
  <c r="J568"/>
  <c r="L39"/>
  <c r="F39"/>
  <c r="Q39" s="1"/>
  <c r="M39"/>
  <c r="C40"/>
  <c r="D40" s="1"/>
  <c r="J39"/>
  <c r="I39"/>
  <c r="K39"/>
  <c r="G39"/>
  <c r="H39"/>
  <c r="L644"/>
  <c r="H644"/>
  <c r="G644"/>
  <c r="K644"/>
  <c r="M644"/>
  <c r="C645"/>
  <c r="D645" s="1"/>
  <c r="F644"/>
  <c r="Q644" s="1"/>
  <c r="J644"/>
  <c r="I644"/>
  <c r="O171"/>
  <c r="O103"/>
  <c r="O568" l="1"/>
  <c r="O39"/>
  <c r="O644"/>
  <c r="O172"/>
  <c r="L569"/>
  <c r="H569"/>
  <c r="G569"/>
  <c r="K569"/>
  <c r="M569"/>
  <c r="C570"/>
  <c r="D570" s="1"/>
  <c r="F569"/>
  <c r="Q569" s="1"/>
  <c r="J569"/>
  <c r="I569"/>
  <c r="L173"/>
  <c r="C174"/>
  <c r="D174" s="1"/>
  <c r="K173"/>
  <c r="F173"/>
  <c r="Q173" s="1"/>
  <c r="M173"/>
  <c r="H173"/>
  <c r="G173"/>
  <c r="I173"/>
  <c r="J173"/>
  <c r="M40"/>
  <c r="C41"/>
  <c r="D41" s="1"/>
  <c r="F40"/>
  <c r="Q40" s="1"/>
  <c r="L40"/>
  <c r="K40"/>
  <c r="J40"/>
  <c r="I40"/>
  <c r="G40"/>
  <c r="H40"/>
  <c r="M645"/>
  <c r="C646"/>
  <c r="D646" s="1"/>
  <c r="F645"/>
  <c r="Q645" s="1"/>
  <c r="J645"/>
  <c r="I645"/>
  <c r="L645"/>
  <c r="H645"/>
  <c r="G645"/>
  <c r="K645"/>
  <c r="M226"/>
  <c r="C227"/>
  <c r="D227" s="1"/>
  <c r="H226"/>
  <c r="G226"/>
  <c r="K226"/>
  <c r="J226"/>
  <c r="L226"/>
  <c r="F226"/>
  <c r="Q226" s="1"/>
  <c r="I226"/>
  <c r="L105"/>
  <c r="K105"/>
  <c r="F105"/>
  <c r="Q105" s="1"/>
  <c r="M105"/>
  <c r="J105"/>
  <c r="I105"/>
  <c r="C106"/>
  <c r="D106" s="1"/>
  <c r="H105"/>
  <c r="G105"/>
  <c r="L714"/>
  <c r="F714"/>
  <c r="Q714" s="1"/>
  <c r="J714"/>
  <c r="I714"/>
  <c r="M714"/>
  <c r="C715"/>
  <c r="D715" s="1"/>
  <c r="H714"/>
  <c r="G714"/>
  <c r="K714"/>
  <c r="O225"/>
  <c r="O104"/>
  <c r="O713"/>
  <c r="O226" l="1"/>
  <c r="O714"/>
  <c r="O173"/>
  <c r="O569"/>
  <c r="M715"/>
  <c r="C716"/>
  <c r="D716" s="1"/>
  <c r="H715"/>
  <c r="G715"/>
  <c r="K715"/>
  <c r="L715"/>
  <c r="F715"/>
  <c r="Q715" s="1"/>
  <c r="J715"/>
  <c r="I715"/>
  <c r="M106"/>
  <c r="C107"/>
  <c r="D107" s="1"/>
  <c r="F106"/>
  <c r="Q106" s="1"/>
  <c r="L106"/>
  <c r="K106"/>
  <c r="I106"/>
  <c r="J106"/>
  <c r="G106"/>
  <c r="H106"/>
  <c r="C175"/>
  <c r="D175" s="1"/>
  <c r="K174"/>
  <c r="L174"/>
  <c r="F174"/>
  <c r="Q174" s="1"/>
  <c r="H174"/>
  <c r="G174"/>
  <c r="M174"/>
  <c r="I174"/>
  <c r="J174"/>
  <c r="F570"/>
  <c r="Q570" s="1"/>
  <c r="J570"/>
  <c r="I570"/>
  <c r="C571"/>
  <c r="D571" s="1"/>
  <c r="H570"/>
  <c r="L570"/>
  <c r="M570"/>
  <c r="G570"/>
  <c r="K570"/>
  <c r="L646"/>
  <c r="H646"/>
  <c r="G646"/>
  <c r="K646"/>
  <c r="M646"/>
  <c r="C647"/>
  <c r="D647" s="1"/>
  <c r="F646"/>
  <c r="Q646" s="1"/>
  <c r="J646"/>
  <c r="I646"/>
  <c r="L41"/>
  <c r="F41"/>
  <c r="Q41" s="1"/>
  <c r="M41"/>
  <c r="C42"/>
  <c r="D42" s="1"/>
  <c r="I41"/>
  <c r="J41"/>
  <c r="K41"/>
  <c r="H41"/>
  <c r="G41"/>
  <c r="O105"/>
  <c r="L227"/>
  <c r="F227"/>
  <c r="Q227" s="1"/>
  <c r="J227"/>
  <c r="I227"/>
  <c r="M227"/>
  <c r="G227"/>
  <c r="C228"/>
  <c r="D228" s="1"/>
  <c r="H227"/>
  <c r="K227"/>
  <c r="O645"/>
  <c r="O40"/>
  <c r="O715" l="1"/>
  <c r="O106"/>
  <c r="O41"/>
  <c r="O646"/>
  <c r="O570"/>
  <c r="O174"/>
  <c r="G571"/>
  <c r="K571"/>
  <c r="F571"/>
  <c r="Q571" s="1"/>
  <c r="H571"/>
  <c r="L571"/>
  <c r="C572"/>
  <c r="D572" s="1"/>
  <c r="I571"/>
  <c r="M571"/>
  <c r="J571"/>
  <c r="L175"/>
  <c r="C176"/>
  <c r="D176" s="1"/>
  <c r="K175"/>
  <c r="F175"/>
  <c r="Q175" s="1"/>
  <c r="M175"/>
  <c r="H175"/>
  <c r="G175"/>
  <c r="I175"/>
  <c r="J175"/>
  <c r="M42"/>
  <c r="C43"/>
  <c r="D43" s="1"/>
  <c r="F42"/>
  <c r="Q42" s="1"/>
  <c r="L42"/>
  <c r="K42"/>
  <c r="J42"/>
  <c r="I42"/>
  <c r="G42"/>
  <c r="H42"/>
  <c r="M228"/>
  <c r="C229"/>
  <c r="D229" s="1"/>
  <c r="H228"/>
  <c r="G228"/>
  <c r="K228"/>
  <c r="L228"/>
  <c r="F228"/>
  <c r="Q228" s="1"/>
  <c r="I228"/>
  <c r="J228"/>
  <c r="M647"/>
  <c r="C648"/>
  <c r="D648" s="1"/>
  <c r="F647"/>
  <c r="Q647" s="1"/>
  <c r="J647"/>
  <c r="I647"/>
  <c r="L647"/>
  <c r="H647"/>
  <c r="G647"/>
  <c r="K647"/>
  <c r="L107"/>
  <c r="K107"/>
  <c r="F107"/>
  <c r="Q107" s="1"/>
  <c r="C108"/>
  <c r="D108" s="1"/>
  <c r="G107"/>
  <c r="J107"/>
  <c r="M107"/>
  <c r="I107"/>
  <c r="H107"/>
  <c r="L716"/>
  <c r="F716"/>
  <c r="Q716" s="1"/>
  <c r="J716"/>
  <c r="I716"/>
  <c r="M716"/>
  <c r="C717"/>
  <c r="D717" s="1"/>
  <c r="H716"/>
  <c r="G716"/>
  <c r="K716"/>
  <c r="O227"/>
  <c r="O716" l="1"/>
  <c r="O175"/>
  <c r="M717"/>
  <c r="H717"/>
  <c r="G717"/>
  <c r="K717"/>
  <c r="L717"/>
  <c r="F717"/>
  <c r="Q717" s="1"/>
  <c r="J717"/>
  <c r="I717"/>
  <c r="C718"/>
  <c r="D718" s="1"/>
  <c r="C177"/>
  <c r="D177" s="1"/>
  <c r="K176"/>
  <c r="L176"/>
  <c r="F176"/>
  <c r="Q176" s="1"/>
  <c r="H176"/>
  <c r="G176"/>
  <c r="M176"/>
  <c r="I176"/>
  <c r="J176"/>
  <c r="M108"/>
  <c r="C109"/>
  <c r="D109" s="1"/>
  <c r="F108"/>
  <c r="Q108" s="1"/>
  <c r="I108"/>
  <c r="J108"/>
  <c r="L108"/>
  <c r="K108"/>
  <c r="G108"/>
  <c r="H108"/>
  <c r="G572"/>
  <c r="K572"/>
  <c r="F572"/>
  <c r="Q572" s="1"/>
  <c r="J572"/>
  <c r="C573"/>
  <c r="D573" s="1"/>
  <c r="I572"/>
  <c r="M572"/>
  <c r="H572"/>
  <c r="L572"/>
  <c r="L648"/>
  <c r="H648"/>
  <c r="G648"/>
  <c r="K648"/>
  <c r="M648"/>
  <c r="C649"/>
  <c r="D649" s="1"/>
  <c r="F648"/>
  <c r="Q648" s="1"/>
  <c r="J648"/>
  <c r="I648"/>
  <c r="L229"/>
  <c r="F229"/>
  <c r="Q229" s="1"/>
  <c r="J229"/>
  <c r="I229"/>
  <c r="C230"/>
  <c r="D230" s="1"/>
  <c r="H229"/>
  <c r="K229"/>
  <c r="M229"/>
  <c r="G229"/>
  <c r="L43"/>
  <c r="F43"/>
  <c r="Q43" s="1"/>
  <c r="M43"/>
  <c r="C44"/>
  <c r="D44" s="1"/>
  <c r="J43"/>
  <c r="I43"/>
  <c r="K43"/>
  <c r="G43"/>
  <c r="H43"/>
  <c r="O107"/>
  <c r="O647"/>
  <c r="O228"/>
  <c r="O42"/>
  <c r="O571"/>
  <c r="O717" l="1"/>
  <c r="O572"/>
  <c r="O43"/>
  <c r="O648"/>
  <c r="O176"/>
  <c r="F718"/>
  <c r="Q718" s="1"/>
  <c r="J718"/>
  <c r="C719"/>
  <c r="D719" s="1"/>
  <c r="M718"/>
  <c r="G718"/>
  <c r="K718"/>
  <c r="H718"/>
  <c r="L718"/>
  <c r="I718"/>
  <c r="M44"/>
  <c r="C45"/>
  <c r="D45" s="1"/>
  <c r="F44"/>
  <c r="Q44" s="1"/>
  <c r="L44"/>
  <c r="K44"/>
  <c r="I44"/>
  <c r="J44"/>
  <c r="H44"/>
  <c r="G44"/>
  <c r="M230"/>
  <c r="C231"/>
  <c r="D231" s="1"/>
  <c r="H230"/>
  <c r="G230"/>
  <c r="K230"/>
  <c r="J230"/>
  <c r="L230"/>
  <c r="F230"/>
  <c r="Q230" s="1"/>
  <c r="I230"/>
  <c r="M649"/>
  <c r="C650"/>
  <c r="D650" s="1"/>
  <c r="F649"/>
  <c r="Q649" s="1"/>
  <c r="J649"/>
  <c r="I649"/>
  <c r="L649"/>
  <c r="H649"/>
  <c r="G649"/>
  <c r="K649"/>
  <c r="L177"/>
  <c r="C178"/>
  <c r="D178" s="1"/>
  <c r="K177"/>
  <c r="F177"/>
  <c r="Q177" s="1"/>
  <c r="H177"/>
  <c r="G177"/>
  <c r="M177"/>
  <c r="I177"/>
  <c r="J177"/>
  <c r="F573"/>
  <c r="Q573" s="1"/>
  <c r="J573"/>
  <c r="I573"/>
  <c r="C574"/>
  <c r="D574" s="1"/>
  <c r="H573"/>
  <c r="L573"/>
  <c r="M573"/>
  <c r="G573"/>
  <c r="K573"/>
  <c r="L109"/>
  <c r="K109"/>
  <c r="F109"/>
  <c r="Q109" s="1"/>
  <c r="M109"/>
  <c r="I109"/>
  <c r="J109"/>
  <c r="C110"/>
  <c r="D110" s="1"/>
  <c r="G109"/>
  <c r="H109"/>
  <c r="O229"/>
  <c r="O108"/>
  <c r="O230" l="1"/>
  <c r="O718"/>
  <c r="O573"/>
  <c r="O649"/>
  <c r="O44"/>
  <c r="C179"/>
  <c r="D179" s="1"/>
  <c r="K178"/>
  <c r="L178"/>
  <c r="F178"/>
  <c r="Q178" s="1"/>
  <c r="H178"/>
  <c r="G178"/>
  <c r="M178"/>
  <c r="I178"/>
  <c r="J178"/>
  <c r="G719"/>
  <c r="K719"/>
  <c r="C720"/>
  <c r="D720" s="1"/>
  <c r="J719"/>
  <c r="I719"/>
  <c r="M719"/>
  <c r="F719"/>
  <c r="Q719" s="1"/>
  <c r="H719"/>
  <c r="L719"/>
  <c r="M110"/>
  <c r="C111"/>
  <c r="D111" s="1"/>
  <c r="F110"/>
  <c r="Q110" s="1"/>
  <c r="L110"/>
  <c r="K110"/>
  <c r="I110"/>
  <c r="J110"/>
  <c r="G110"/>
  <c r="H110"/>
  <c r="G574"/>
  <c r="K574"/>
  <c r="F574"/>
  <c r="Q574" s="1"/>
  <c r="J574"/>
  <c r="C575"/>
  <c r="D575" s="1"/>
  <c r="I574"/>
  <c r="M574"/>
  <c r="H574"/>
  <c r="L574"/>
  <c r="L650"/>
  <c r="H650"/>
  <c r="G650"/>
  <c r="K650"/>
  <c r="M650"/>
  <c r="C651"/>
  <c r="D651" s="1"/>
  <c r="F650"/>
  <c r="Q650" s="1"/>
  <c r="J650"/>
  <c r="I650"/>
  <c r="L45"/>
  <c r="F45"/>
  <c r="Q45" s="1"/>
  <c r="M45"/>
  <c r="C46"/>
  <c r="D46" s="1"/>
  <c r="I45"/>
  <c r="J45"/>
  <c r="K45"/>
  <c r="H45"/>
  <c r="G45"/>
  <c r="O109"/>
  <c r="O177"/>
  <c r="L231"/>
  <c r="C232"/>
  <c r="D232" s="1"/>
  <c r="F231"/>
  <c r="Q231" s="1"/>
  <c r="J231"/>
  <c r="I231"/>
  <c r="M231"/>
  <c r="G231"/>
  <c r="H231"/>
  <c r="K231"/>
  <c r="O574" l="1"/>
  <c r="O719"/>
  <c r="O45"/>
  <c r="O231"/>
  <c r="O650"/>
  <c r="G720"/>
  <c r="K720"/>
  <c r="C721"/>
  <c r="D721" s="1"/>
  <c r="F720"/>
  <c r="Q720" s="1"/>
  <c r="J720"/>
  <c r="I720"/>
  <c r="M720"/>
  <c r="H720"/>
  <c r="L720"/>
  <c r="M651"/>
  <c r="F651"/>
  <c r="Q651" s="1"/>
  <c r="J651"/>
  <c r="I651"/>
  <c r="C652"/>
  <c r="D652" s="1"/>
  <c r="L651"/>
  <c r="H651"/>
  <c r="G651"/>
  <c r="K651"/>
  <c r="M46"/>
  <c r="C47"/>
  <c r="D47" s="1"/>
  <c r="F46"/>
  <c r="Q46" s="1"/>
  <c r="L46"/>
  <c r="K46"/>
  <c r="I46"/>
  <c r="J46"/>
  <c r="H46"/>
  <c r="G46"/>
  <c r="G575"/>
  <c r="K575"/>
  <c r="F575"/>
  <c r="Q575" s="1"/>
  <c r="H575"/>
  <c r="L575"/>
  <c r="C576"/>
  <c r="D576" s="1"/>
  <c r="I575"/>
  <c r="M575"/>
  <c r="J575"/>
  <c r="L111"/>
  <c r="K111"/>
  <c r="F111"/>
  <c r="Q111" s="1"/>
  <c r="C112"/>
  <c r="D112" s="1"/>
  <c r="J111"/>
  <c r="I111"/>
  <c r="M111"/>
  <c r="H111"/>
  <c r="G111"/>
  <c r="O178"/>
  <c r="C233"/>
  <c r="D233" s="1"/>
  <c r="M232"/>
  <c r="F232"/>
  <c r="Q232" s="1"/>
  <c r="G232"/>
  <c r="K232"/>
  <c r="H232"/>
  <c r="I232"/>
  <c r="L232"/>
  <c r="J232"/>
  <c r="L179"/>
  <c r="C180"/>
  <c r="D180" s="1"/>
  <c r="K179"/>
  <c r="F179"/>
  <c r="Q179" s="1"/>
  <c r="M179"/>
  <c r="H179"/>
  <c r="G179"/>
  <c r="I179"/>
  <c r="J179"/>
  <c r="O110"/>
  <c r="O232" l="1"/>
  <c r="O46"/>
  <c r="O179"/>
  <c r="O651"/>
  <c r="G721"/>
  <c r="K721"/>
  <c r="C722"/>
  <c r="D722" s="1"/>
  <c r="J721"/>
  <c r="I721"/>
  <c r="M721"/>
  <c r="F721"/>
  <c r="Q721" s="1"/>
  <c r="H721"/>
  <c r="L721"/>
  <c r="C181"/>
  <c r="D181" s="1"/>
  <c r="K180"/>
  <c r="L180"/>
  <c r="F180"/>
  <c r="Q180" s="1"/>
  <c r="M180"/>
  <c r="H180"/>
  <c r="G180"/>
  <c r="I180"/>
  <c r="J180"/>
  <c r="M112"/>
  <c r="C113"/>
  <c r="D113" s="1"/>
  <c r="F112"/>
  <c r="Q112" s="1"/>
  <c r="L112"/>
  <c r="K112"/>
  <c r="J112"/>
  <c r="I112"/>
  <c r="H112"/>
  <c r="G112"/>
  <c r="G576"/>
  <c r="K576"/>
  <c r="F576"/>
  <c r="Q576" s="1"/>
  <c r="H576"/>
  <c r="L576"/>
  <c r="C577"/>
  <c r="D577" s="1"/>
  <c r="I576"/>
  <c r="M576"/>
  <c r="J576"/>
  <c r="M652"/>
  <c r="C653"/>
  <c r="D653" s="1"/>
  <c r="K652"/>
  <c r="H652"/>
  <c r="I652"/>
  <c r="L652"/>
  <c r="G652"/>
  <c r="F652"/>
  <c r="Q652" s="1"/>
  <c r="J652"/>
  <c r="L233"/>
  <c r="F233"/>
  <c r="Q233" s="1"/>
  <c r="H233"/>
  <c r="I233"/>
  <c r="C234"/>
  <c r="D234" s="1"/>
  <c r="J233"/>
  <c r="K233"/>
  <c r="M233"/>
  <c r="G233"/>
  <c r="L47"/>
  <c r="F47"/>
  <c r="Q47" s="1"/>
  <c r="M47"/>
  <c r="C48"/>
  <c r="D48" s="1"/>
  <c r="I47"/>
  <c r="J47"/>
  <c r="K47"/>
  <c r="H47"/>
  <c r="G47"/>
  <c r="O111"/>
  <c r="O575"/>
  <c r="O720"/>
  <c r="O721" l="1"/>
  <c r="O47"/>
  <c r="O180"/>
  <c r="G722"/>
  <c r="K722"/>
  <c r="C723"/>
  <c r="D723" s="1"/>
  <c r="J722"/>
  <c r="I722"/>
  <c r="M722"/>
  <c r="F722"/>
  <c r="Q722" s="1"/>
  <c r="H722"/>
  <c r="L722"/>
  <c r="M48"/>
  <c r="C49"/>
  <c r="D49" s="1"/>
  <c r="F48"/>
  <c r="Q48" s="1"/>
  <c r="L48"/>
  <c r="K48"/>
  <c r="I48"/>
  <c r="J48"/>
  <c r="H48"/>
  <c r="G48"/>
  <c r="M234"/>
  <c r="C235"/>
  <c r="D235" s="1"/>
  <c r="H234"/>
  <c r="G234"/>
  <c r="K234"/>
  <c r="J234"/>
  <c r="L234"/>
  <c r="F234"/>
  <c r="Q234" s="1"/>
  <c r="I234"/>
  <c r="G577"/>
  <c r="K577"/>
  <c r="F577"/>
  <c r="Q577" s="1"/>
  <c r="H577"/>
  <c r="L577"/>
  <c r="C578"/>
  <c r="D578" s="1"/>
  <c r="I577"/>
  <c r="M577"/>
  <c r="J577"/>
  <c r="L181"/>
  <c r="C182"/>
  <c r="D182" s="1"/>
  <c r="K181"/>
  <c r="F181"/>
  <c r="Q181" s="1"/>
  <c r="M181"/>
  <c r="H181"/>
  <c r="G181"/>
  <c r="I181"/>
  <c r="J181"/>
  <c r="L653"/>
  <c r="C654"/>
  <c r="D654" s="1"/>
  <c r="H653"/>
  <c r="G653"/>
  <c r="K653"/>
  <c r="M653"/>
  <c r="F653"/>
  <c r="Q653" s="1"/>
  <c r="J653"/>
  <c r="I653"/>
  <c r="L113"/>
  <c r="K113"/>
  <c r="F113"/>
  <c r="Q113" s="1"/>
  <c r="M113"/>
  <c r="C114"/>
  <c r="D114" s="1"/>
  <c r="G113"/>
  <c r="J113"/>
  <c r="I113"/>
  <c r="H113"/>
  <c r="O233"/>
  <c r="O652"/>
  <c r="O576"/>
  <c r="O112"/>
  <c r="O234" l="1"/>
  <c r="O48"/>
  <c r="O722"/>
  <c r="O181"/>
  <c r="O653"/>
  <c r="G578"/>
  <c r="K578"/>
  <c r="F578"/>
  <c r="Q578" s="1"/>
  <c r="J578"/>
  <c r="C579"/>
  <c r="D579" s="1"/>
  <c r="I578"/>
  <c r="M578"/>
  <c r="H578"/>
  <c r="L578"/>
  <c r="G723"/>
  <c r="K723"/>
  <c r="C724"/>
  <c r="D724" s="1"/>
  <c r="J723"/>
  <c r="I723"/>
  <c r="M723"/>
  <c r="F723"/>
  <c r="Q723" s="1"/>
  <c r="H723"/>
  <c r="L723"/>
  <c r="M114"/>
  <c r="C115"/>
  <c r="D115" s="1"/>
  <c r="F114"/>
  <c r="Q114" s="1"/>
  <c r="L114"/>
  <c r="K114"/>
  <c r="G114"/>
  <c r="J114"/>
  <c r="I114"/>
  <c r="H114"/>
  <c r="C183"/>
  <c r="D183" s="1"/>
  <c r="K182"/>
  <c r="L182"/>
  <c r="F182"/>
  <c r="Q182" s="1"/>
  <c r="M182"/>
  <c r="H182"/>
  <c r="G182"/>
  <c r="I182"/>
  <c r="J182"/>
  <c r="C655"/>
  <c r="D655" s="1"/>
  <c r="M654"/>
  <c r="H654"/>
  <c r="J654"/>
  <c r="I654"/>
  <c r="L654"/>
  <c r="O654" s="1"/>
  <c r="F654"/>
  <c r="Q654" s="1"/>
  <c r="G654"/>
  <c r="K654"/>
  <c r="L49"/>
  <c r="F49"/>
  <c r="Q49" s="1"/>
  <c r="M49"/>
  <c r="C50"/>
  <c r="D50" s="1"/>
  <c r="I49"/>
  <c r="J49"/>
  <c r="K49"/>
  <c r="H49"/>
  <c r="G49"/>
  <c r="O113"/>
  <c r="L235"/>
  <c r="C236"/>
  <c r="D236" s="1"/>
  <c r="F235"/>
  <c r="Q235" s="1"/>
  <c r="J235"/>
  <c r="I235"/>
  <c r="M235"/>
  <c r="H235"/>
  <c r="K235"/>
  <c r="G235"/>
  <c r="O577"/>
  <c r="O578" l="1"/>
  <c r="O114"/>
  <c r="O49"/>
  <c r="O182"/>
  <c r="O723"/>
  <c r="G579"/>
  <c r="K579"/>
  <c r="F579"/>
  <c r="Q579" s="1"/>
  <c r="H579"/>
  <c r="L579"/>
  <c r="C580"/>
  <c r="D580" s="1"/>
  <c r="I579"/>
  <c r="M579"/>
  <c r="J579"/>
  <c r="C237"/>
  <c r="D237" s="1"/>
  <c r="M236"/>
  <c r="F236"/>
  <c r="Q236" s="1"/>
  <c r="G236"/>
  <c r="K236"/>
  <c r="L236"/>
  <c r="O236" s="1"/>
  <c r="J236"/>
  <c r="H236"/>
  <c r="I236"/>
  <c r="M50"/>
  <c r="C51"/>
  <c r="D51" s="1"/>
  <c r="F50"/>
  <c r="Q50" s="1"/>
  <c r="L50"/>
  <c r="K50"/>
  <c r="J50"/>
  <c r="I50"/>
  <c r="G50"/>
  <c r="H50"/>
  <c r="C656"/>
  <c r="D656" s="1"/>
  <c r="L655"/>
  <c r="F655"/>
  <c r="Q655" s="1"/>
  <c r="G655"/>
  <c r="K655"/>
  <c r="M655"/>
  <c r="H655"/>
  <c r="J655"/>
  <c r="I655"/>
  <c r="L183"/>
  <c r="C184"/>
  <c r="D184" s="1"/>
  <c r="K183"/>
  <c r="F183"/>
  <c r="Q183" s="1"/>
  <c r="M183"/>
  <c r="H183"/>
  <c r="G183"/>
  <c r="I183"/>
  <c r="J183"/>
  <c r="L115"/>
  <c r="K115"/>
  <c r="F115"/>
  <c r="Q115" s="1"/>
  <c r="C116"/>
  <c r="D116" s="1"/>
  <c r="M115"/>
  <c r="J115"/>
  <c r="I115"/>
  <c r="H115"/>
  <c r="G115"/>
  <c r="G724"/>
  <c r="K724"/>
  <c r="C725"/>
  <c r="D725" s="1"/>
  <c r="J724"/>
  <c r="I724"/>
  <c r="M724"/>
  <c r="F724"/>
  <c r="Q724" s="1"/>
  <c r="H724"/>
  <c r="L724"/>
  <c r="O235"/>
  <c r="O724" l="1"/>
  <c r="O183"/>
  <c r="O115"/>
  <c r="C185"/>
  <c r="D185" s="1"/>
  <c r="K184"/>
  <c r="L184"/>
  <c r="F184"/>
  <c r="Q184" s="1"/>
  <c r="H184"/>
  <c r="G184"/>
  <c r="M184"/>
  <c r="I184"/>
  <c r="J184"/>
  <c r="L656"/>
  <c r="F656"/>
  <c r="Q656" s="1"/>
  <c r="H656"/>
  <c r="I656"/>
  <c r="M656"/>
  <c r="C657"/>
  <c r="D657" s="1"/>
  <c r="J656"/>
  <c r="G656"/>
  <c r="K656"/>
  <c r="G725"/>
  <c r="K725"/>
  <c r="C726"/>
  <c r="D726" s="1"/>
  <c r="J725"/>
  <c r="I725"/>
  <c r="M725"/>
  <c r="F725"/>
  <c r="Q725" s="1"/>
  <c r="H725"/>
  <c r="L725"/>
  <c r="M116"/>
  <c r="C117"/>
  <c r="D117" s="1"/>
  <c r="F116"/>
  <c r="Q116" s="1"/>
  <c r="L116"/>
  <c r="K116"/>
  <c r="J116"/>
  <c r="I116"/>
  <c r="H116"/>
  <c r="G116"/>
  <c r="L237"/>
  <c r="F237"/>
  <c r="Q237" s="1"/>
  <c r="J237"/>
  <c r="I237"/>
  <c r="C238"/>
  <c r="D238" s="1"/>
  <c r="G237"/>
  <c r="M237"/>
  <c r="H237"/>
  <c r="K237"/>
  <c r="G580"/>
  <c r="K580"/>
  <c r="F580"/>
  <c r="Q580" s="1"/>
  <c r="H580"/>
  <c r="L580"/>
  <c r="C581"/>
  <c r="D581" s="1"/>
  <c r="I580"/>
  <c r="M580"/>
  <c r="J580"/>
  <c r="L51"/>
  <c r="F51"/>
  <c r="Q51" s="1"/>
  <c r="M51"/>
  <c r="C52"/>
  <c r="D52" s="1"/>
  <c r="J51"/>
  <c r="I51"/>
  <c r="K51"/>
  <c r="G51"/>
  <c r="H51"/>
  <c r="O655"/>
  <c r="O50"/>
  <c r="O579"/>
  <c r="O725" l="1"/>
  <c r="O184"/>
  <c r="O51"/>
  <c r="O237"/>
  <c r="O656"/>
  <c r="G726"/>
  <c r="K726"/>
  <c r="C727"/>
  <c r="D727" s="1"/>
  <c r="F726"/>
  <c r="Q726" s="1"/>
  <c r="J726"/>
  <c r="I726"/>
  <c r="M726"/>
  <c r="H726"/>
  <c r="L726"/>
  <c r="M657"/>
  <c r="C658"/>
  <c r="D658" s="1"/>
  <c r="H657"/>
  <c r="G657"/>
  <c r="K657"/>
  <c r="L657"/>
  <c r="F657"/>
  <c r="Q657" s="1"/>
  <c r="J657"/>
  <c r="I657"/>
  <c r="L185"/>
  <c r="C186"/>
  <c r="D186" s="1"/>
  <c r="K185"/>
  <c r="F185"/>
  <c r="Q185" s="1"/>
  <c r="H185"/>
  <c r="G185"/>
  <c r="M185"/>
  <c r="I185"/>
  <c r="J185"/>
  <c r="M52"/>
  <c r="C53"/>
  <c r="D53" s="1"/>
  <c r="F52"/>
  <c r="Q52" s="1"/>
  <c r="L52"/>
  <c r="K52"/>
  <c r="J52"/>
  <c r="I52"/>
  <c r="G52"/>
  <c r="H52"/>
  <c r="G581"/>
  <c r="K581"/>
  <c r="F581"/>
  <c r="Q581" s="1"/>
  <c r="H581"/>
  <c r="L581"/>
  <c r="C582"/>
  <c r="D582" s="1"/>
  <c r="I581"/>
  <c r="M581"/>
  <c r="J581"/>
  <c r="M238"/>
  <c r="C239"/>
  <c r="D239" s="1"/>
  <c r="H238"/>
  <c r="G238"/>
  <c r="K238"/>
  <c r="F238"/>
  <c r="Q238" s="1"/>
  <c r="I238"/>
  <c r="L238"/>
  <c r="J238"/>
  <c r="L117"/>
  <c r="K117"/>
  <c r="F117"/>
  <c r="Q117" s="1"/>
  <c r="M117"/>
  <c r="C118"/>
  <c r="D118" s="1"/>
  <c r="I117"/>
  <c r="J117"/>
  <c r="G117"/>
  <c r="H117"/>
  <c r="O580"/>
  <c r="O116"/>
  <c r="O238" l="1"/>
  <c r="O657"/>
  <c r="C187"/>
  <c r="D187" s="1"/>
  <c r="K186"/>
  <c r="L186"/>
  <c r="F186"/>
  <c r="Q186" s="1"/>
  <c r="J186"/>
  <c r="I186"/>
  <c r="M186"/>
  <c r="G186"/>
  <c r="H186"/>
  <c r="G727"/>
  <c r="K727"/>
  <c r="C728"/>
  <c r="D728" s="1"/>
  <c r="J727"/>
  <c r="I727"/>
  <c r="M727"/>
  <c r="F727"/>
  <c r="Q727" s="1"/>
  <c r="H727"/>
  <c r="L727"/>
  <c r="M118"/>
  <c r="C119"/>
  <c r="D119" s="1"/>
  <c r="F118"/>
  <c r="Q118" s="1"/>
  <c r="L118"/>
  <c r="K118"/>
  <c r="J118"/>
  <c r="I118"/>
  <c r="H118"/>
  <c r="G118"/>
  <c r="G582"/>
  <c r="K582"/>
  <c r="F582"/>
  <c r="Q582" s="1"/>
  <c r="J582"/>
  <c r="C583"/>
  <c r="D583" s="1"/>
  <c r="I582"/>
  <c r="M582"/>
  <c r="H582"/>
  <c r="L582"/>
  <c r="L239"/>
  <c r="F239"/>
  <c r="Q239" s="1"/>
  <c r="J239"/>
  <c r="I239"/>
  <c r="M239"/>
  <c r="H239"/>
  <c r="K239"/>
  <c r="C240"/>
  <c r="D240" s="1"/>
  <c r="G239"/>
  <c r="L53"/>
  <c r="F53"/>
  <c r="Q53" s="1"/>
  <c r="M53"/>
  <c r="C54"/>
  <c r="D54" s="1"/>
  <c r="I53"/>
  <c r="J53"/>
  <c r="K53"/>
  <c r="H53"/>
  <c r="G53"/>
  <c r="L658"/>
  <c r="F658"/>
  <c r="Q658" s="1"/>
  <c r="J658"/>
  <c r="I658"/>
  <c r="M658"/>
  <c r="C659"/>
  <c r="D659" s="1"/>
  <c r="H658"/>
  <c r="G658"/>
  <c r="K658"/>
  <c r="O117"/>
  <c r="O185"/>
  <c r="O581"/>
  <c r="O52"/>
  <c r="O726"/>
  <c r="O582" l="1"/>
  <c r="O658"/>
  <c r="O239"/>
  <c r="O186"/>
  <c r="O53"/>
  <c r="O727"/>
  <c r="M54"/>
  <c r="C55"/>
  <c r="D55" s="1"/>
  <c r="F54"/>
  <c r="Q54" s="1"/>
  <c r="L54"/>
  <c r="K54"/>
  <c r="J54"/>
  <c r="I54"/>
  <c r="G54"/>
  <c r="H54"/>
  <c r="L187"/>
  <c r="K187"/>
  <c r="K188" s="1"/>
  <c r="F187"/>
  <c r="Q187" s="1"/>
  <c r="I187"/>
  <c r="J187"/>
  <c r="M187"/>
  <c r="M188" s="1"/>
  <c r="H187"/>
  <c r="G187"/>
  <c r="M659"/>
  <c r="C660"/>
  <c r="D660" s="1"/>
  <c r="H659"/>
  <c r="G659"/>
  <c r="K659"/>
  <c r="L659"/>
  <c r="F659"/>
  <c r="Q659" s="1"/>
  <c r="J659"/>
  <c r="I659"/>
  <c r="M240"/>
  <c r="C241"/>
  <c r="D241" s="1"/>
  <c r="H240"/>
  <c r="G240"/>
  <c r="K240"/>
  <c r="L240"/>
  <c r="J240"/>
  <c r="F240"/>
  <c r="Q240" s="1"/>
  <c r="I240"/>
  <c r="G728"/>
  <c r="K728"/>
  <c r="C729"/>
  <c r="D729" s="1"/>
  <c r="J728"/>
  <c r="I728"/>
  <c r="M728"/>
  <c r="F728"/>
  <c r="Q728" s="1"/>
  <c r="H728"/>
  <c r="L728"/>
  <c r="M583"/>
  <c r="C584"/>
  <c r="D584" s="1"/>
  <c r="F583"/>
  <c r="Q583" s="1"/>
  <c r="J583"/>
  <c r="I583"/>
  <c r="L583"/>
  <c r="H583"/>
  <c r="G583"/>
  <c r="K583"/>
  <c r="L119"/>
  <c r="K119"/>
  <c r="F119"/>
  <c r="Q119" s="1"/>
  <c r="C120"/>
  <c r="D120" s="1"/>
  <c r="M119"/>
  <c r="H119"/>
  <c r="I119"/>
  <c r="J119"/>
  <c r="G119"/>
  <c r="O118"/>
  <c r="O54" l="1"/>
  <c r="O240"/>
  <c r="O583"/>
  <c r="O659"/>
  <c r="L584"/>
  <c r="H584"/>
  <c r="G584"/>
  <c r="K584"/>
  <c r="M584"/>
  <c r="F584"/>
  <c r="Q584" s="1"/>
  <c r="J584"/>
  <c r="I584"/>
  <c r="C585"/>
  <c r="D585" s="1"/>
  <c r="L660"/>
  <c r="F660"/>
  <c r="Q660" s="1"/>
  <c r="J660"/>
  <c r="I660"/>
  <c r="M660"/>
  <c r="C661"/>
  <c r="D661" s="1"/>
  <c r="H660"/>
  <c r="G660"/>
  <c r="K660"/>
  <c r="L241"/>
  <c r="F241"/>
  <c r="Q241" s="1"/>
  <c r="J241"/>
  <c r="I241"/>
  <c r="C242"/>
  <c r="D242" s="1"/>
  <c r="G241"/>
  <c r="M241"/>
  <c r="H241"/>
  <c r="K241"/>
  <c r="L55"/>
  <c r="F55"/>
  <c r="Q55" s="1"/>
  <c r="M55"/>
  <c r="C56"/>
  <c r="D56" s="1"/>
  <c r="J55"/>
  <c r="I55"/>
  <c r="K55"/>
  <c r="G55"/>
  <c r="H55"/>
  <c r="AP10" i="15"/>
  <c r="I12" i="1"/>
  <c r="I8"/>
  <c r="I7"/>
  <c r="H36"/>
  <c r="H11"/>
  <c r="I51"/>
  <c r="I21"/>
  <c r="I11"/>
  <c r="I43"/>
  <c r="H20"/>
  <c r="I15"/>
  <c r="AP9" i="15"/>
  <c r="I39" i="1"/>
  <c r="I9"/>
  <c r="H54"/>
  <c r="AO17" i="15"/>
  <c r="H13" i="1"/>
  <c r="H38"/>
  <c r="AP11" i="15"/>
  <c r="H29" i="1"/>
  <c r="H9"/>
  <c r="I35"/>
  <c r="I28"/>
  <c r="I26"/>
  <c r="I60"/>
  <c r="H33"/>
  <c r="I55"/>
  <c r="H44"/>
  <c r="AO15" i="15"/>
  <c r="I17" i="1"/>
  <c r="H18"/>
  <c r="H40"/>
  <c r="H16"/>
  <c r="H46"/>
  <c r="H48"/>
  <c r="I24"/>
  <c r="H27"/>
  <c r="I32"/>
  <c r="I34"/>
  <c r="I47"/>
  <c r="H52"/>
  <c r="AP14" i="15"/>
  <c r="H25" i="1"/>
  <c r="I13"/>
  <c r="I6"/>
  <c r="I14"/>
  <c r="AP16" i="15"/>
  <c r="AP7"/>
  <c r="AP38"/>
  <c r="H45" i="1"/>
  <c r="AP49" i="15"/>
  <c r="AO10"/>
  <c r="AO71"/>
  <c r="AP20"/>
  <c r="AP35"/>
  <c r="H30" i="1"/>
  <c r="AP53" i="15"/>
  <c r="AO16"/>
  <c r="H6" i="1"/>
  <c r="AO21" i="15"/>
  <c r="AO32"/>
  <c r="I18" i="1"/>
  <c r="AP36" i="15"/>
  <c r="I49" i="1"/>
  <c r="AP61" i="15"/>
  <c r="H59" i="1"/>
  <c r="AO30" i="15"/>
  <c r="I22" i="1"/>
  <c r="AP41" i="15"/>
  <c r="H60" i="1"/>
  <c r="AP65" i="15"/>
  <c r="AP8"/>
  <c r="AP71"/>
  <c r="AO28"/>
  <c r="H26" i="1"/>
  <c r="AP40" i="15"/>
  <c r="AO62"/>
  <c r="AP15"/>
  <c r="AP26"/>
  <c r="H37" i="1"/>
  <c r="AP46" i="15"/>
  <c r="AO8"/>
  <c r="AO12"/>
  <c r="I10" i="1"/>
  <c r="AO72" i="15"/>
  <c r="AO14"/>
  <c r="AO67"/>
  <c r="AO38"/>
  <c r="H41" i="1"/>
  <c r="AP50" i="15"/>
  <c r="AO11"/>
  <c r="AP18"/>
  <c r="AP23"/>
  <c r="I33" i="1"/>
  <c r="AO31" i="15"/>
  <c r="I41" i="1"/>
  <c r="AP55" i="15"/>
  <c r="I52" i="1"/>
  <c r="AP60" i="15"/>
  <c r="AP51"/>
  <c r="I42" i="1"/>
  <c r="AP70" i="15"/>
  <c r="AO29"/>
  <c r="H35" i="1"/>
  <c r="AO34" i="15"/>
  <c r="AO48"/>
  <c r="H53" i="1"/>
  <c r="AO54" i="15"/>
  <c r="AO13"/>
  <c r="H8" i="1"/>
  <c r="AP29" i="15"/>
  <c r="AO46"/>
  <c r="H58" i="1"/>
  <c r="AO57" i="15"/>
  <c r="AO20"/>
  <c r="H12" i="1"/>
  <c r="AP13" i="15"/>
  <c r="H17" i="1"/>
  <c r="AP24" i="15"/>
  <c r="H42" i="1"/>
  <c r="AO47" i="15"/>
  <c r="I36" i="1"/>
  <c r="AP57" i="15"/>
  <c r="AP30"/>
  <c r="I37" i="1"/>
  <c r="AO52" i="15"/>
  <c r="I40" i="1"/>
  <c r="AO61" i="15"/>
  <c r="AO56"/>
  <c r="I46" i="1"/>
  <c r="AO59" i="15"/>
  <c r="AO22"/>
  <c r="AW22" s="1"/>
  <c r="BC22" s="1"/>
  <c r="H23" i="1"/>
  <c r="AP37" i="15"/>
  <c r="AO23"/>
  <c r="I29" i="1"/>
  <c r="AP34" i="15"/>
  <c r="I45" i="1"/>
  <c r="AO58" i="15"/>
  <c r="I48" i="1"/>
  <c r="AO69" i="15"/>
  <c r="AO66"/>
  <c r="I27" i="1"/>
  <c r="AP68" i="15"/>
  <c r="AO18"/>
  <c r="I30" i="1"/>
  <c r="AO39" i="15"/>
  <c r="H43" i="1"/>
  <c r="AO49" i="15"/>
  <c r="AP67"/>
  <c r="H31" i="1"/>
  <c r="AP45" i="15"/>
  <c r="H47" i="1"/>
  <c r="AP52" i="15"/>
  <c r="AP64"/>
  <c r="AX64" s="1"/>
  <c r="AO7"/>
  <c r="AO68"/>
  <c r="AP28"/>
  <c r="I16" i="1"/>
  <c r="AO45" i="15"/>
  <c r="AO64"/>
  <c r="AW64" s="1"/>
  <c r="AO9"/>
  <c r="H7" i="1"/>
  <c r="AO33" i="15"/>
  <c r="I20" i="1"/>
  <c r="AP39" i="15"/>
  <c r="AP17"/>
  <c r="AO60"/>
  <c r="AP12"/>
  <c r="AP72"/>
  <c r="AP32"/>
  <c r="H24" i="1"/>
  <c r="AO40" i="15"/>
  <c r="AP58"/>
  <c r="H22" i="1"/>
  <c r="AO36" i="15"/>
  <c r="H28" i="1"/>
  <c r="AP43" i="15"/>
  <c r="H34" i="1"/>
  <c r="AP42" i="15"/>
  <c r="AO35"/>
  <c r="H32" i="1"/>
  <c r="AO51" i="15"/>
  <c r="AO70"/>
  <c r="AP21"/>
  <c r="I19" i="1"/>
  <c r="H39"/>
  <c r="AP47" i="15"/>
  <c r="AO50"/>
  <c r="I54" i="1"/>
  <c r="AP63" i="15"/>
  <c r="I31" i="1"/>
  <c r="AP33" i="15"/>
  <c r="AP22"/>
  <c r="AX22" s="1"/>
  <c r="BD22" s="1"/>
  <c r="H21" i="1"/>
  <c r="AO37" i="15"/>
  <c r="I53" i="1"/>
  <c r="AP62" i="15"/>
  <c r="I57" i="1"/>
  <c r="AP59" i="15"/>
  <c r="H10" i="1"/>
  <c r="I23"/>
  <c r="AO42" i="15"/>
  <c r="H51" i="1"/>
  <c r="AO65" i="15"/>
  <c r="H14" i="1"/>
  <c r="AP25" i="15"/>
  <c r="H50" i="1"/>
  <c r="AP48" i="15"/>
  <c r="H55" i="1"/>
  <c r="AP56" i="15"/>
  <c r="AO43"/>
  <c r="I38" i="1"/>
  <c r="AO55" i="15"/>
  <c r="AO19"/>
  <c r="H15" i="1"/>
  <c r="AO25" i="15"/>
  <c r="AO41"/>
  <c r="H49" i="1"/>
  <c r="AO63" i="15"/>
  <c r="H19" i="1"/>
  <c r="AO27" i="15"/>
  <c r="AO24"/>
  <c r="I25" i="1"/>
  <c r="AP27" i="15"/>
  <c r="H57" i="1"/>
  <c r="AO53" i="15"/>
  <c r="I44" i="1"/>
  <c r="AP54" i="15"/>
  <c r="I50" i="1"/>
  <c r="AO26" i="15"/>
  <c r="AP31"/>
  <c r="O187" i="13"/>
  <c r="O188" s="1"/>
  <c r="L188"/>
  <c r="O119"/>
  <c r="O728"/>
  <c r="M120"/>
  <c r="C121"/>
  <c r="D121" s="1"/>
  <c r="F120"/>
  <c r="Q120" s="1"/>
  <c r="L120"/>
  <c r="K120"/>
  <c r="J120"/>
  <c r="I120"/>
  <c r="H120"/>
  <c r="G120"/>
  <c r="G729"/>
  <c r="K729"/>
  <c r="C730"/>
  <c r="D730" s="1"/>
  <c r="J729"/>
  <c r="I729"/>
  <c r="M729"/>
  <c r="F729"/>
  <c r="Q729" s="1"/>
  <c r="H729"/>
  <c r="L729"/>
  <c r="AP66" i="15" l="1"/>
  <c r="I58" i="1"/>
  <c r="O120" i="13"/>
  <c r="O55"/>
  <c r="O660"/>
  <c r="M56"/>
  <c r="C57"/>
  <c r="D57" s="1"/>
  <c r="F56"/>
  <c r="Q56" s="1"/>
  <c r="L56"/>
  <c r="K56"/>
  <c r="I56"/>
  <c r="J56"/>
  <c r="H56"/>
  <c r="G56"/>
  <c r="M242"/>
  <c r="C243"/>
  <c r="D243" s="1"/>
  <c r="H242"/>
  <c r="G242"/>
  <c r="K242"/>
  <c r="F242"/>
  <c r="Q242" s="1"/>
  <c r="I242"/>
  <c r="L242"/>
  <c r="J242"/>
  <c r="M661"/>
  <c r="C662"/>
  <c r="D662" s="1"/>
  <c r="H661"/>
  <c r="G661"/>
  <c r="K661"/>
  <c r="L661"/>
  <c r="F661"/>
  <c r="Q661" s="1"/>
  <c r="J661"/>
  <c r="I661"/>
  <c r="C586"/>
  <c r="D586" s="1"/>
  <c r="I585"/>
  <c r="M585"/>
  <c r="J585"/>
  <c r="G585"/>
  <c r="K585"/>
  <c r="F585"/>
  <c r="Q585" s="1"/>
  <c r="H585"/>
  <c r="L585"/>
  <c r="L121"/>
  <c r="K121"/>
  <c r="F121"/>
  <c r="Q121" s="1"/>
  <c r="M121"/>
  <c r="C122"/>
  <c r="D122" s="1"/>
  <c r="H121"/>
  <c r="I121"/>
  <c r="J121"/>
  <c r="G121"/>
  <c r="I59" i="1"/>
  <c r="I61" s="1"/>
  <c r="I62" s="1"/>
  <c r="H61"/>
  <c r="O241" i="13"/>
  <c r="O584"/>
  <c r="G730"/>
  <c r="K730"/>
  <c r="C731"/>
  <c r="D731" s="1"/>
  <c r="J730"/>
  <c r="I730"/>
  <c r="M730"/>
  <c r="F730"/>
  <c r="Q730" s="1"/>
  <c r="H730"/>
  <c r="L730"/>
  <c r="K13" i="31"/>
  <c r="AP19" i="15"/>
  <c r="O729" i="13"/>
  <c r="AO73" i="15"/>
  <c r="AP69"/>
  <c r="AP73" l="1"/>
  <c r="O585" i="13"/>
  <c r="O730"/>
  <c r="O661"/>
  <c r="O242"/>
  <c r="O56"/>
  <c r="G731"/>
  <c r="K731"/>
  <c r="C732"/>
  <c r="D732" s="1"/>
  <c r="J731"/>
  <c r="I731"/>
  <c r="M731"/>
  <c r="F731"/>
  <c r="Q731" s="1"/>
  <c r="H731"/>
  <c r="L731"/>
  <c r="F122"/>
  <c r="Q122" s="1"/>
  <c r="C123"/>
  <c r="D123" s="1"/>
  <c r="L122"/>
  <c r="K122"/>
  <c r="M122"/>
  <c r="J122"/>
  <c r="I122"/>
  <c r="H122"/>
  <c r="G122"/>
  <c r="L662"/>
  <c r="F662"/>
  <c r="Q662" s="1"/>
  <c r="J662"/>
  <c r="I662"/>
  <c r="M662"/>
  <c r="C663"/>
  <c r="D663" s="1"/>
  <c r="H662"/>
  <c r="G662"/>
  <c r="K662"/>
  <c r="C587"/>
  <c r="D587" s="1"/>
  <c r="I586"/>
  <c r="F586"/>
  <c r="Q586" s="1"/>
  <c r="J586"/>
  <c r="G586"/>
  <c r="K586"/>
  <c r="H586"/>
  <c r="L586"/>
  <c r="M586"/>
  <c r="L243"/>
  <c r="F243"/>
  <c r="Q243" s="1"/>
  <c r="J243"/>
  <c r="I243"/>
  <c r="M243"/>
  <c r="H243"/>
  <c r="K243"/>
  <c r="C244"/>
  <c r="D244" s="1"/>
  <c r="G243"/>
  <c r="L57"/>
  <c r="F57"/>
  <c r="Q57" s="1"/>
  <c r="M57"/>
  <c r="C58"/>
  <c r="D58" s="1"/>
  <c r="I57"/>
  <c r="J57"/>
  <c r="K57"/>
  <c r="H57"/>
  <c r="G57"/>
  <c r="O121"/>
  <c r="O586" l="1"/>
  <c r="O731"/>
  <c r="O243"/>
  <c r="O662"/>
  <c r="O57"/>
  <c r="M123"/>
  <c r="C124"/>
  <c r="D124" s="1"/>
  <c r="K123"/>
  <c r="F123"/>
  <c r="Q123" s="1"/>
  <c r="L123"/>
  <c r="O123" s="1"/>
  <c r="G123"/>
  <c r="J123"/>
  <c r="I123"/>
  <c r="H123"/>
  <c r="L732"/>
  <c r="G732"/>
  <c r="K732"/>
  <c r="H732"/>
  <c r="M732"/>
  <c r="C733"/>
  <c r="D733" s="1"/>
  <c r="I732"/>
  <c r="F732"/>
  <c r="Q732" s="1"/>
  <c r="J732"/>
  <c r="M58"/>
  <c r="C59"/>
  <c r="D59" s="1"/>
  <c r="F58"/>
  <c r="Q58" s="1"/>
  <c r="L58"/>
  <c r="K58"/>
  <c r="J58"/>
  <c r="I58"/>
  <c r="G58"/>
  <c r="H58"/>
  <c r="M244"/>
  <c r="C245"/>
  <c r="D245" s="1"/>
  <c r="H244"/>
  <c r="G244"/>
  <c r="K244"/>
  <c r="L244"/>
  <c r="J244"/>
  <c r="F244"/>
  <c r="Q244" s="1"/>
  <c r="I244"/>
  <c r="C588"/>
  <c r="D588" s="1"/>
  <c r="I587"/>
  <c r="M587"/>
  <c r="J587"/>
  <c r="G587"/>
  <c r="K587"/>
  <c r="F587"/>
  <c r="Q587" s="1"/>
  <c r="H587"/>
  <c r="L587"/>
  <c r="M663"/>
  <c r="C664"/>
  <c r="D664" s="1"/>
  <c r="H663"/>
  <c r="G663"/>
  <c r="K663"/>
  <c r="L663"/>
  <c r="F663"/>
  <c r="Q663" s="1"/>
  <c r="J663"/>
  <c r="I663"/>
  <c r="O732" l="1"/>
  <c r="M733"/>
  <c r="F733"/>
  <c r="Q733" s="1"/>
  <c r="J733"/>
  <c r="I733"/>
  <c r="L733"/>
  <c r="C734"/>
  <c r="D734" s="1"/>
  <c r="H733"/>
  <c r="G733"/>
  <c r="K733"/>
  <c r="L245"/>
  <c r="F245"/>
  <c r="Q245" s="1"/>
  <c r="J245"/>
  <c r="I245"/>
  <c r="C246"/>
  <c r="D246" s="1"/>
  <c r="G245"/>
  <c r="M245"/>
  <c r="H245"/>
  <c r="K245"/>
  <c r="L59"/>
  <c r="F59"/>
  <c r="Q59" s="1"/>
  <c r="M59"/>
  <c r="C60"/>
  <c r="D60" s="1"/>
  <c r="J59"/>
  <c r="I59"/>
  <c r="K59"/>
  <c r="G59"/>
  <c r="H59"/>
  <c r="L664"/>
  <c r="F664"/>
  <c r="Q664" s="1"/>
  <c r="J664"/>
  <c r="I664"/>
  <c r="M664"/>
  <c r="C665"/>
  <c r="D665" s="1"/>
  <c r="H664"/>
  <c r="G664"/>
  <c r="K664"/>
  <c r="C589"/>
  <c r="D589" s="1"/>
  <c r="I588"/>
  <c r="M588"/>
  <c r="J588"/>
  <c r="G588"/>
  <c r="K588"/>
  <c r="F588"/>
  <c r="Q588" s="1"/>
  <c r="H588"/>
  <c r="L588"/>
  <c r="L124"/>
  <c r="F124"/>
  <c r="Q124" s="1"/>
  <c r="M124"/>
  <c r="C125"/>
  <c r="D125" s="1"/>
  <c r="K124"/>
  <c r="G124"/>
  <c r="J124"/>
  <c r="I124"/>
  <c r="H124"/>
  <c r="O663"/>
  <c r="O587"/>
  <c r="O244"/>
  <c r="O58"/>
  <c r="O733" l="1"/>
  <c r="O664"/>
  <c r="O124"/>
  <c r="O59"/>
  <c r="M125"/>
  <c r="C126"/>
  <c r="D126" s="1"/>
  <c r="K125"/>
  <c r="F125"/>
  <c r="Q125" s="1"/>
  <c r="L125"/>
  <c r="I125"/>
  <c r="J125"/>
  <c r="G125"/>
  <c r="H125"/>
  <c r="M60"/>
  <c r="C61"/>
  <c r="D61" s="1"/>
  <c r="F60"/>
  <c r="Q60" s="1"/>
  <c r="L60"/>
  <c r="K60"/>
  <c r="H60"/>
  <c r="G60"/>
  <c r="J60"/>
  <c r="I60"/>
  <c r="M734"/>
  <c r="C735"/>
  <c r="D735" s="1"/>
  <c r="J734"/>
  <c r="G734"/>
  <c r="K734"/>
  <c r="L734"/>
  <c r="F734"/>
  <c r="Q734" s="1"/>
  <c r="H734"/>
  <c r="I734"/>
  <c r="M665"/>
  <c r="G665"/>
  <c r="K665"/>
  <c r="J665"/>
  <c r="C666"/>
  <c r="D666" s="1"/>
  <c r="L665"/>
  <c r="I665"/>
  <c r="F665"/>
  <c r="Q665" s="1"/>
  <c r="H665"/>
  <c r="M246"/>
  <c r="C247"/>
  <c r="D247" s="1"/>
  <c r="H246"/>
  <c r="G246"/>
  <c r="K246"/>
  <c r="F246"/>
  <c r="Q246" s="1"/>
  <c r="I246"/>
  <c r="L246"/>
  <c r="J246"/>
  <c r="O245"/>
  <c r="C590"/>
  <c r="D590" s="1"/>
  <c r="I589"/>
  <c r="M589"/>
  <c r="H589"/>
  <c r="L589"/>
  <c r="G589"/>
  <c r="K589"/>
  <c r="F589"/>
  <c r="Q589" s="1"/>
  <c r="J589"/>
  <c r="O588"/>
  <c r="O125" l="1"/>
  <c r="O589"/>
  <c r="O60"/>
  <c r="O246"/>
  <c r="O734"/>
  <c r="L247"/>
  <c r="F247"/>
  <c r="Q247" s="1"/>
  <c r="J247"/>
  <c r="I247"/>
  <c r="M247"/>
  <c r="H247"/>
  <c r="K247"/>
  <c r="C248"/>
  <c r="D248" s="1"/>
  <c r="G247"/>
  <c r="L735"/>
  <c r="F735"/>
  <c r="Q735" s="1"/>
  <c r="J735"/>
  <c r="I735"/>
  <c r="M735"/>
  <c r="C736"/>
  <c r="D736" s="1"/>
  <c r="H735"/>
  <c r="G735"/>
  <c r="K735"/>
  <c r="H666"/>
  <c r="L666"/>
  <c r="M666"/>
  <c r="G666"/>
  <c r="K666"/>
  <c r="C667"/>
  <c r="D667" s="1"/>
  <c r="F666"/>
  <c r="Q666" s="1"/>
  <c r="J666"/>
  <c r="I666"/>
  <c r="L590"/>
  <c r="H590"/>
  <c r="G590"/>
  <c r="K590"/>
  <c r="M590"/>
  <c r="F590"/>
  <c r="Q590" s="1"/>
  <c r="J590"/>
  <c r="I590"/>
  <c r="C591"/>
  <c r="D591" s="1"/>
  <c r="L61"/>
  <c r="F61"/>
  <c r="Q61" s="1"/>
  <c r="M61"/>
  <c r="C62"/>
  <c r="D62" s="1"/>
  <c r="K61"/>
  <c r="G61"/>
  <c r="H61"/>
  <c r="I61"/>
  <c r="J61"/>
  <c r="O665"/>
  <c r="L126"/>
  <c r="F126"/>
  <c r="Q126" s="1"/>
  <c r="C127"/>
  <c r="D127" s="1"/>
  <c r="K126"/>
  <c r="M126"/>
  <c r="I126"/>
  <c r="J126"/>
  <c r="G126"/>
  <c r="H126"/>
  <c r="O61" l="1"/>
  <c r="O666"/>
  <c r="O735"/>
  <c r="M127"/>
  <c r="C128"/>
  <c r="D128" s="1"/>
  <c r="K127"/>
  <c r="F127"/>
  <c r="Q127" s="1"/>
  <c r="L127"/>
  <c r="I127"/>
  <c r="J127"/>
  <c r="G127"/>
  <c r="H127"/>
  <c r="M736"/>
  <c r="H736"/>
  <c r="G736"/>
  <c r="K736"/>
  <c r="L736"/>
  <c r="C737"/>
  <c r="D737" s="1"/>
  <c r="F736"/>
  <c r="Q736" s="1"/>
  <c r="J736"/>
  <c r="I736"/>
  <c r="M62"/>
  <c r="C63"/>
  <c r="D63" s="1"/>
  <c r="F62"/>
  <c r="Q62" s="1"/>
  <c r="L62"/>
  <c r="K62"/>
  <c r="G62"/>
  <c r="H62"/>
  <c r="I62"/>
  <c r="J62"/>
  <c r="F591"/>
  <c r="Q591" s="1"/>
  <c r="J591"/>
  <c r="C592"/>
  <c r="D592" s="1"/>
  <c r="M591"/>
  <c r="G591"/>
  <c r="K591"/>
  <c r="H591"/>
  <c r="L591"/>
  <c r="I591"/>
  <c r="I667"/>
  <c r="M667"/>
  <c r="M675" s="1"/>
  <c r="H667"/>
  <c r="L667"/>
  <c r="L675" s="1"/>
  <c r="C668"/>
  <c r="D668" s="1"/>
  <c r="G667"/>
  <c r="K667"/>
  <c r="K675" s="1"/>
  <c r="F667"/>
  <c r="Q667" s="1"/>
  <c r="J667"/>
  <c r="M248"/>
  <c r="C249"/>
  <c r="D249" s="1"/>
  <c r="H248"/>
  <c r="G248"/>
  <c r="K248"/>
  <c r="L248"/>
  <c r="J248"/>
  <c r="F248"/>
  <c r="Q248" s="1"/>
  <c r="I248"/>
  <c r="O590"/>
  <c r="O247"/>
  <c r="O126"/>
  <c r="O127" l="1"/>
  <c r="O591"/>
  <c r="O667"/>
  <c r="O248"/>
  <c r="O62"/>
  <c r="O736"/>
  <c r="L249"/>
  <c r="C250"/>
  <c r="D250" s="1"/>
  <c r="F249"/>
  <c r="Q249" s="1"/>
  <c r="J249"/>
  <c r="I249"/>
  <c r="K249"/>
  <c r="G249"/>
  <c r="M249"/>
  <c r="H249"/>
  <c r="M668"/>
  <c r="C669"/>
  <c r="D669" s="1"/>
  <c r="H668"/>
  <c r="G668"/>
  <c r="K668"/>
  <c r="L668"/>
  <c r="F668"/>
  <c r="Q668" s="1"/>
  <c r="J668"/>
  <c r="I668"/>
  <c r="L63"/>
  <c r="F63"/>
  <c r="Q63" s="1"/>
  <c r="M63"/>
  <c r="C64"/>
  <c r="D64" s="1"/>
  <c r="K63"/>
  <c r="G63"/>
  <c r="H63"/>
  <c r="I63"/>
  <c r="J63"/>
  <c r="L592"/>
  <c r="I592"/>
  <c r="F592"/>
  <c r="Q592" s="1"/>
  <c r="J592"/>
  <c r="M592"/>
  <c r="G592"/>
  <c r="K592"/>
  <c r="H592"/>
  <c r="C593"/>
  <c r="D593" s="1"/>
  <c r="L737"/>
  <c r="F737"/>
  <c r="Q737" s="1"/>
  <c r="J737"/>
  <c r="I737"/>
  <c r="C738"/>
  <c r="D738" s="1"/>
  <c r="M737"/>
  <c r="H737"/>
  <c r="G737"/>
  <c r="K737"/>
  <c r="L128"/>
  <c r="F128"/>
  <c r="Q128" s="1"/>
  <c r="M128"/>
  <c r="C129"/>
  <c r="D129" s="1"/>
  <c r="K128"/>
  <c r="I128"/>
  <c r="J128"/>
  <c r="G128"/>
  <c r="H128"/>
  <c r="O128" l="1"/>
  <c r="O668"/>
  <c r="M129"/>
  <c r="C130"/>
  <c r="D130" s="1"/>
  <c r="K129"/>
  <c r="F129"/>
  <c r="Q129" s="1"/>
  <c r="L129"/>
  <c r="I129"/>
  <c r="J129"/>
  <c r="G129"/>
  <c r="H129"/>
  <c r="G593"/>
  <c r="K593"/>
  <c r="C594"/>
  <c r="D594" s="1"/>
  <c r="J593"/>
  <c r="I593"/>
  <c r="M593"/>
  <c r="F593"/>
  <c r="Q593" s="1"/>
  <c r="H593"/>
  <c r="L593"/>
  <c r="M64"/>
  <c r="M65" s="1"/>
  <c r="F64"/>
  <c r="Q64" s="1"/>
  <c r="L64"/>
  <c r="K64"/>
  <c r="K65" s="1"/>
  <c r="G64"/>
  <c r="H64"/>
  <c r="I64"/>
  <c r="J64"/>
  <c r="M738"/>
  <c r="C739"/>
  <c r="D739" s="1"/>
  <c r="H738"/>
  <c r="G738"/>
  <c r="K738"/>
  <c r="L738"/>
  <c r="F738"/>
  <c r="Q738" s="1"/>
  <c r="J738"/>
  <c r="I738"/>
  <c r="L669"/>
  <c r="F669"/>
  <c r="Q669" s="1"/>
  <c r="J669"/>
  <c r="I669"/>
  <c r="C670"/>
  <c r="D670" s="1"/>
  <c r="M669"/>
  <c r="H669"/>
  <c r="G669"/>
  <c r="K669"/>
  <c r="C251"/>
  <c r="D251" s="1"/>
  <c r="K250"/>
  <c r="G250"/>
  <c r="I250"/>
  <c r="J250"/>
  <c r="M250"/>
  <c r="H250"/>
  <c r="L250"/>
  <c r="F250"/>
  <c r="Q250" s="1"/>
  <c r="O592"/>
  <c r="O63"/>
  <c r="O249"/>
  <c r="O737"/>
  <c r="O129" l="1"/>
  <c r="O250"/>
  <c r="O738"/>
  <c r="L739"/>
  <c r="F739"/>
  <c r="Q739" s="1"/>
  <c r="J739"/>
  <c r="I739"/>
  <c r="M739"/>
  <c r="C740"/>
  <c r="D740" s="1"/>
  <c r="H739"/>
  <c r="G739"/>
  <c r="K739"/>
  <c r="O64"/>
  <c r="O65" s="1"/>
  <c r="L65"/>
  <c r="O669"/>
  <c r="O593"/>
  <c r="C252"/>
  <c r="D252" s="1"/>
  <c r="L251"/>
  <c r="G251"/>
  <c r="M251"/>
  <c r="J251"/>
  <c r="F251"/>
  <c r="Q251" s="1"/>
  <c r="H251"/>
  <c r="K251"/>
  <c r="I251"/>
  <c r="M670"/>
  <c r="K670"/>
  <c r="J670"/>
  <c r="C671"/>
  <c r="D671" s="1"/>
  <c r="I670"/>
  <c r="G670"/>
  <c r="F670"/>
  <c r="Q670" s="1"/>
  <c r="H670"/>
  <c r="L670"/>
  <c r="O670" s="1"/>
  <c r="I10" i="15"/>
  <c r="I11"/>
  <c r="I16"/>
  <c r="E13" i="1"/>
  <c r="E12"/>
  <c r="E9"/>
  <c r="E8"/>
  <c r="D50"/>
  <c r="E40"/>
  <c r="I12" i="15"/>
  <c r="E44" i="1"/>
  <c r="H69" i="15"/>
  <c r="H9"/>
  <c r="I29"/>
  <c r="D27" i="1"/>
  <c r="I40" i="15"/>
  <c r="I35"/>
  <c r="E21" i="1"/>
  <c r="I36" i="15"/>
  <c r="D42" i="1"/>
  <c r="D52"/>
  <c r="I72" i="15"/>
  <c r="H17"/>
  <c r="D60" i="1"/>
  <c r="E7"/>
  <c r="H12" i="15"/>
  <c r="E35" i="1"/>
  <c r="E22"/>
  <c r="H67" i="15"/>
  <c r="H8"/>
  <c r="H70"/>
  <c r="I71"/>
  <c r="H15"/>
  <c r="I17"/>
  <c r="E11" i="1"/>
  <c r="I27" i="15"/>
  <c r="E15" i="1"/>
  <c r="H34" i="15"/>
  <c r="I28"/>
  <c r="E32" i="1"/>
  <c r="I31" i="15"/>
  <c r="E20" i="1"/>
  <c r="D30"/>
  <c r="I52" i="15"/>
  <c r="E55" i="1"/>
  <c r="H58" i="15"/>
  <c r="E49" i="1"/>
  <c r="H65" i="15"/>
  <c r="H14"/>
  <c r="H31"/>
  <c r="E23" i="1"/>
  <c r="I38" i="15"/>
  <c r="I32"/>
  <c r="E17" i="1"/>
  <c r="H37" i="15"/>
  <c r="D28" i="1"/>
  <c r="D40"/>
  <c r="I57" i="15"/>
  <c r="E47" i="1"/>
  <c r="H62" i="15"/>
  <c r="H60"/>
  <c r="H66"/>
  <c r="E16" i="1"/>
  <c r="D26"/>
  <c r="I54" i="15"/>
  <c r="E43" i="1"/>
  <c r="H59" i="15"/>
  <c r="I50"/>
  <c r="E37" i="1"/>
  <c r="I55" i="15"/>
  <c r="E50" i="1"/>
  <c r="I15" i="15"/>
  <c r="D18" i="1"/>
  <c r="I24" i="15"/>
  <c r="H20"/>
  <c r="D12" i="1"/>
  <c r="E31"/>
  <c r="E18"/>
  <c r="H56" i="15"/>
  <c r="E51" i="1"/>
  <c r="H61" i="15"/>
  <c r="I56"/>
  <c r="E45" i="1"/>
  <c r="I60" i="15"/>
  <c r="D13" i="1"/>
  <c r="H49" i="15"/>
  <c r="D53" i="1"/>
  <c r="I51" i="15"/>
  <c r="H54"/>
  <c r="E41" i="1"/>
  <c r="I58" i="15"/>
  <c r="E46" i="1"/>
  <c r="H11" i="15"/>
  <c r="H21"/>
  <c r="I13"/>
  <c r="E10" i="1"/>
  <c r="H18" i="15"/>
  <c r="D11" i="1"/>
  <c r="D21"/>
  <c r="H38" i="15"/>
  <c r="D45" i="1"/>
  <c r="I49" i="15"/>
  <c r="I41"/>
  <c r="D39" i="1"/>
  <c r="H46" i="15"/>
  <c r="E38" i="1"/>
  <c r="E57"/>
  <c r="D14"/>
  <c r="H19" i="15"/>
  <c r="D8" i="1"/>
  <c r="D19"/>
  <c r="E29"/>
  <c r="D35"/>
  <c r="H45" i="15"/>
  <c r="I46"/>
  <c r="D47" i="1"/>
  <c r="H51" i="15"/>
  <c r="D7" i="1"/>
  <c r="D17"/>
  <c r="H35" i="15"/>
  <c r="D31" i="1"/>
  <c r="H43" i="15"/>
  <c r="H39"/>
  <c r="D25" i="1"/>
  <c r="D38"/>
  <c r="D48"/>
  <c r="I63" i="15"/>
  <c r="H13"/>
  <c r="E36" i="1"/>
  <c r="I67" i="15"/>
  <c r="H71"/>
  <c r="D9" i="1"/>
  <c r="I39" i="15"/>
  <c r="D41" i="1"/>
  <c r="H47" i="15"/>
  <c r="H40"/>
  <c r="D33" i="1"/>
  <c r="H42" i="15"/>
  <c r="D59" i="1"/>
  <c r="I33" i="15"/>
  <c r="E19" i="1"/>
  <c r="H36" i="15"/>
  <c r="I37"/>
  <c r="D29" i="1"/>
  <c r="H41" i="15"/>
  <c r="D32" i="1"/>
  <c r="D44"/>
  <c r="I59" i="15"/>
  <c r="E60" i="1"/>
  <c r="I68" i="15"/>
  <c r="I61"/>
  <c r="E53" i="1"/>
  <c r="H63" i="15"/>
  <c r="I8"/>
  <c r="E34" i="1"/>
  <c r="H33" i="15"/>
  <c r="H24"/>
  <c r="E28" i="1"/>
  <c r="H30" i="15"/>
  <c r="D24" i="1"/>
  <c r="D34"/>
  <c r="I62" i="15"/>
  <c r="I9"/>
  <c r="H72"/>
  <c r="I65"/>
  <c r="H7"/>
  <c r="H68"/>
  <c r="I25"/>
  <c r="E26" i="1"/>
  <c r="H29" i="15"/>
  <c r="I30"/>
  <c r="D36" i="1"/>
  <c r="I34" i="15"/>
  <c r="I21"/>
  <c r="D22" i="1"/>
  <c r="H27" i="15"/>
  <c r="D16" i="1"/>
  <c r="H25" i="15"/>
  <c r="E27" i="1"/>
  <c r="D37"/>
  <c r="I45" i="15"/>
  <c r="E39" i="1"/>
  <c r="H57" i="15"/>
  <c r="H52"/>
  <c r="D55" i="1"/>
  <c r="H53" i="15"/>
  <c r="E54" i="1"/>
  <c r="H23" i="15"/>
  <c r="E30" i="1"/>
  <c r="H32" i="15"/>
  <c r="H26"/>
  <c r="E24" i="1"/>
  <c r="H28" i="15"/>
  <c r="D46" i="1"/>
  <c r="D57"/>
  <c r="D10"/>
  <c r="I23" i="15"/>
  <c r="D20" i="1"/>
  <c r="I26" i="15"/>
  <c r="D23" i="1"/>
  <c r="E33"/>
  <c r="I42" i="15"/>
  <c r="D49" i="1"/>
  <c r="I53" i="15"/>
  <c r="I43"/>
  <c r="D43" i="1"/>
  <c r="H48" i="15"/>
  <c r="D54" i="1"/>
  <c r="E48"/>
  <c r="I70" i="15"/>
  <c r="I18"/>
  <c r="H10"/>
  <c r="H16"/>
  <c r="D15" i="1"/>
  <c r="E25"/>
  <c r="I47" i="15"/>
  <c r="D58" i="1"/>
  <c r="H55" i="15"/>
  <c r="I48"/>
  <c r="D51" i="1"/>
  <c r="H50" i="15"/>
  <c r="E42" i="1"/>
  <c r="I7" i="15"/>
  <c r="E6" i="1"/>
  <c r="I14" i="15"/>
  <c r="E52" i="1"/>
  <c r="D6"/>
  <c r="I20" i="15"/>
  <c r="I19"/>
  <c r="L594" i="13"/>
  <c r="I594"/>
  <c r="F594"/>
  <c r="Q594" s="1"/>
  <c r="J594"/>
  <c r="M594"/>
  <c r="G594"/>
  <c r="K594"/>
  <c r="H594"/>
  <c r="C595"/>
  <c r="D595" s="1"/>
  <c r="L130"/>
  <c r="F130"/>
  <c r="Q130" s="1"/>
  <c r="C131"/>
  <c r="D131" s="1"/>
  <c r="K130"/>
  <c r="M130"/>
  <c r="I130"/>
  <c r="J130"/>
  <c r="G130"/>
  <c r="H130"/>
  <c r="E58" i="1" l="1"/>
  <c r="I66" i="15"/>
  <c r="E68" i="5" s="1"/>
  <c r="E59" i="1"/>
  <c r="D61"/>
  <c r="I69" i="15"/>
  <c r="I73" s="1"/>
  <c r="O739" i="13"/>
  <c r="M131"/>
  <c r="M132" s="1"/>
  <c r="K131"/>
  <c r="K132" s="1"/>
  <c r="F131"/>
  <c r="Q131" s="1"/>
  <c r="L131"/>
  <c r="I131"/>
  <c r="J131"/>
  <c r="G131"/>
  <c r="H131"/>
  <c r="F671"/>
  <c r="Q671" s="1"/>
  <c r="I671"/>
  <c r="M671"/>
  <c r="J671"/>
  <c r="C672"/>
  <c r="D672" s="1"/>
  <c r="G671"/>
  <c r="K671"/>
  <c r="H671"/>
  <c r="L671"/>
  <c r="O671" s="1"/>
  <c r="C253"/>
  <c r="D253" s="1"/>
  <c r="K252"/>
  <c r="I252"/>
  <c r="G252"/>
  <c r="J252"/>
  <c r="L252"/>
  <c r="M252"/>
  <c r="H252"/>
  <c r="F252"/>
  <c r="Q252" s="1"/>
  <c r="M740"/>
  <c r="F740"/>
  <c r="Q740" s="1"/>
  <c r="J740"/>
  <c r="I740"/>
  <c r="L740"/>
  <c r="C741"/>
  <c r="D741" s="1"/>
  <c r="H740"/>
  <c r="G740"/>
  <c r="K740"/>
  <c r="E20" i="5"/>
  <c r="Q19" i="15"/>
  <c r="Q14"/>
  <c r="E15" i="5"/>
  <c r="P50" i="15"/>
  <c r="D52" i="5"/>
  <c r="P16" i="15"/>
  <c r="D17" i="5"/>
  <c r="E72"/>
  <c r="Q70" i="15"/>
  <c r="E44" i="5"/>
  <c r="Q42" i="15"/>
  <c r="E47" i="5"/>
  <c r="Q45" i="15"/>
  <c r="P27"/>
  <c r="D29" i="5"/>
  <c r="E22"/>
  <c r="Q21" i="15"/>
  <c r="Q34"/>
  <c r="E36" i="5"/>
  <c r="Q30" i="15"/>
  <c r="E32" i="5"/>
  <c r="D7"/>
  <c r="P7" i="15"/>
  <c r="H73"/>
  <c r="H74" s="1"/>
  <c r="P75" s="1"/>
  <c r="P72"/>
  <c r="D74" i="5"/>
  <c r="Q62" i="15"/>
  <c r="E64" i="5"/>
  <c r="P33" i="15"/>
  <c r="D35" i="5"/>
  <c r="P63" i="15"/>
  <c r="D65" i="5"/>
  <c r="E63"/>
  <c r="Q61" i="15"/>
  <c r="P41"/>
  <c r="D43" i="5"/>
  <c r="E39"/>
  <c r="Q37" i="15"/>
  <c r="P47"/>
  <c r="D49" i="5"/>
  <c r="E41"/>
  <c r="Q39" i="15"/>
  <c r="P71"/>
  <c r="D73" i="5"/>
  <c r="Q67" i="15"/>
  <c r="E69" i="5"/>
  <c r="P13" i="15"/>
  <c r="D14" i="5"/>
  <c r="P39" i="15"/>
  <c r="D41" i="5"/>
  <c r="P51" i="15"/>
  <c r="D53" i="5"/>
  <c r="Q46" i="15"/>
  <c r="E48" i="5"/>
  <c r="P19" i="15"/>
  <c r="D20" i="5"/>
  <c r="E51"/>
  <c r="Q49" i="15"/>
  <c r="P38"/>
  <c r="D40" i="5"/>
  <c r="P21" i="15"/>
  <c r="D22" i="5"/>
  <c r="P11" i="15"/>
  <c r="D12" i="5"/>
  <c r="Q58" i="15"/>
  <c r="E60" i="5"/>
  <c r="P54" i="15"/>
  <c r="D56" i="5"/>
  <c r="P61" i="15"/>
  <c r="D63" i="5"/>
  <c r="P56" i="15"/>
  <c r="D58" i="5"/>
  <c r="Q24" i="15"/>
  <c r="E26" i="5"/>
  <c r="E16"/>
  <c r="Q15" i="15"/>
  <c r="E57" i="5"/>
  <c r="Q55" i="15"/>
  <c r="Q50"/>
  <c r="E52" i="5"/>
  <c r="P66" i="15"/>
  <c r="D68" i="5"/>
  <c r="D62"/>
  <c r="P60" i="15"/>
  <c r="P37"/>
  <c r="D39" i="5"/>
  <c r="P14" i="15"/>
  <c r="D15" i="5"/>
  <c r="Q52" i="15"/>
  <c r="E54" i="5"/>
  <c r="P34" i="15"/>
  <c r="D36" i="5"/>
  <c r="E29"/>
  <c r="Q27" i="15"/>
  <c r="E18" i="5"/>
  <c r="Q17" i="15"/>
  <c r="Q71"/>
  <c r="E73" i="5"/>
  <c r="P8" i="15"/>
  <c r="D9" i="5"/>
  <c r="P12" i="15"/>
  <c r="D13" i="5"/>
  <c r="E74"/>
  <c r="Q72" i="15"/>
  <c r="Q40"/>
  <c r="E42" i="5"/>
  <c r="E31"/>
  <c r="Q29" i="15"/>
  <c r="P69"/>
  <c r="D71" i="5"/>
  <c r="Q12" i="15"/>
  <c r="E13" i="5"/>
  <c r="K11" i="31"/>
  <c r="E14" i="1"/>
  <c r="E61" s="1"/>
  <c r="C596" i="13"/>
  <c r="D596" s="1"/>
  <c r="M595"/>
  <c r="F595"/>
  <c r="Q595" s="1"/>
  <c r="G595"/>
  <c r="K595"/>
  <c r="J595"/>
  <c r="L595"/>
  <c r="I595"/>
  <c r="H595"/>
  <c r="E7" i="5"/>
  <c r="Q7" i="15"/>
  <c r="Q48"/>
  <c r="E50" i="5"/>
  <c r="P10" i="15"/>
  <c r="D11" i="5"/>
  <c r="E55"/>
  <c r="Q53" i="15"/>
  <c r="D24" i="5"/>
  <c r="P28" i="15"/>
  <c r="D30" i="5"/>
  <c r="P26" i="15"/>
  <c r="D28" i="5"/>
  <c r="P57" i="15"/>
  <c r="D59" i="5"/>
  <c r="Q20" i="15"/>
  <c r="E21" i="5"/>
  <c r="P55" i="15"/>
  <c r="D57" i="5"/>
  <c r="E49"/>
  <c r="Q47" i="15"/>
  <c r="Q18"/>
  <c r="E19" i="5"/>
  <c r="P48" i="15"/>
  <c r="D50" i="5"/>
  <c r="Q43" i="15"/>
  <c r="E45" i="5"/>
  <c r="Q26" i="15"/>
  <c r="E28" i="5"/>
  <c r="E25"/>
  <c r="Q23" i="15"/>
  <c r="P32"/>
  <c r="D34" i="5"/>
  <c r="P23" i="15"/>
  <c r="D25" i="5"/>
  <c r="P53" i="15"/>
  <c r="D55" i="5"/>
  <c r="P52" i="15"/>
  <c r="D54" i="5"/>
  <c r="P25" i="15"/>
  <c r="D27" i="5"/>
  <c r="P29" i="15"/>
  <c r="D31" i="5"/>
  <c r="E27"/>
  <c r="Q25" i="15"/>
  <c r="P68"/>
  <c r="D70" i="5"/>
  <c r="Q65" i="15"/>
  <c r="E67" i="5"/>
  <c r="E10"/>
  <c r="Q9" i="15"/>
  <c r="P30"/>
  <c r="D32" i="5"/>
  <c r="P24" i="15"/>
  <c r="D26" i="5"/>
  <c r="Q8" i="15"/>
  <c r="E9" i="5"/>
  <c r="E70"/>
  <c r="Q68" i="15"/>
  <c r="E61" i="5"/>
  <c r="Q59" i="15"/>
  <c r="P36"/>
  <c r="D38" i="5"/>
  <c r="E35"/>
  <c r="Q33" i="15"/>
  <c r="P42"/>
  <c r="D44" i="5"/>
  <c r="P40" i="15"/>
  <c r="D42" i="5"/>
  <c r="E65"/>
  <c r="Q63" i="15"/>
  <c r="P43"/>
  <c r="D45" i="5"/>
  <c r="P35" i="15"/>
  <c r="D37" i="5"/>
  <c r="P45" i="15"/>
  <c r="D47" i="5"/>
  <c r="P46" i="15"/>
  <c r="D48" i="5"/>
  <c r="Q41" i="15"/>
  <c r="E43" i="5"/>
  <c r="P18" i="15"/>
  <c r="D19" i="5"/>
  <c r="E14"/>
  <c r="Q13" i="15"/>
  <c r="E53" i="5"/>
  <c r="Q51" i="15"/>
  <c r="P49"/>
  <c r="D51" i="5"/>
  <c r="Q60" i="15"/>
  <c r="E62" i="5"/>
  <c r="Q56" i="15"/>
  <c r="E58" i="5"/>
  <c r="E24"/>
  <c r="P20" i="15"/>
  <c r="D21" i="5"/>
  <c r="P59" i="15"/>
  <c r="D61" i="5"/>
  <c r="Q54" i="15"/>
  <c r="E56" i="5"/>
  <c r="P62" i="15"/>
  <c r="D64" i="5"/>
  <c r="E59"/>
  <c r="Q57" i="15"/>
  <c r="Q38"/>
  <c r="E40" i="5"/>
  <c r="P31" i="15"/>
  <c r="D33" i="5"/>
  <c r="P65" i="15"/>
  <c r="D67" i="5"/>
  <c r="P58" i="15"/>
  <c r="D60" i="5"/>
  <c r="E33"/>
  <c r="Q31" i="15"/>
  <c r="Q28"/>
  <c r="E30" i="5"/>
  <c r="P15" i="15"/>
  <c r="D16" i="5"/>
  <c r="P70" i="15"/>
  <c r="D72" i="5"/>
  <c r="P67" i="15"/>
  <c r="D69" i="5"/>
  <c r="P17" i="15"/>
  <c r="D18" i="5"/>
  <c r="Q36" i="15"/>
  <c r="E38" i="5"/>
  <c r="E37"/>
  <c r="Q35" i="15"/>
  <c r="P9"/>
  <c r="D10" i="5"/>
  <c r="E12"/>
  <c r="Q11" i="15"/>
  <c r="O130" i="13"/>
  <c r="O594"/>
  <c r="O251"/>
  <c r="O595" l="1"/>
  <c r="Q66" i="15"/>
  <c r="L68" i="5" s="1"/>
  <c r="Q69" i="15"/>
  <c r="L71" i="5" s="1"/>
  <c r="E71"/>
  <c r="O252" i="13"/>
  <c r="M741"/>
  <c r="F741"/>
  <c r="Q741" s="1"/>
  <c r="G741"/>
  <c r="K741"/>
  <c r="C742"/>
  <c r="D742" s="1"/>
  <c r="L741"/>
  <c r="H741"/>
  <c r="J741"/>
  <c r="I741"/>
  <c r="C254"/>
  <c r="D254" s="1"/>
  <c r="L253"/>
  <c r="G253"/>
  <c r="M253"/>
  <c r="H253"/>
  <c r="K253"/>
  <c r="I253"/>
  <c r="J253"/>
  <c r="F253"/>
  <c r="Q253" s="1"/>
  <c r="V11" i="15"/>
  <c r="L12" i="5"/>
  <c r="U9" i="15"/>
  <c r="K10" i="5"/>
  <c r="V36" i="15"/>
  <c r="L38" i="5"/>
  <c r="U17" i="15"/>
  <c r="K18" i="5"/>
  <c r="K69"/>
  <c r="U67" i="15"/>
  <c r="U70"/>
  <c r="K72" i="5"/>
  <c r="K16"/>
  <c r="U15" i="15"/>
  <c r="V28"/>
  <c r="L30" i="5"/>
  <c r="K60"/>
  <c r="U58" i="15"/>
  <c r="U65"/>
  <c r="K67" i="5"/>
  <c r="U31" i="15"/>
  <c r="K33" i="5"/>
  <c r="V38" i="15"/>
  <c r="L40" i="5"/>
  <c r="K64"/>
  <c r="U62" i="15"/>
  <c r="V54"/>
  <c r="L56" i="5"/>
  <c r="K61"/>
  <c r="U59" i="15"/>
  <c r="K21" i="5"/>
  <c r="U20" i="15"/>
  <c r="L24" i="5"/>
  <c r="V56" i="15"/>
  <c r="L58" i="5"/>
  <c r="V60" i="15"/>
  <c r="L62" i="5"/>
  <c r="K51"/>
  <c r="U49" i="15"/>
  <c r="K19" i="5"/>
  <c r="U18" i="15"/>
  <c r="V41"/>
  <c r="L43" i="5"/>
  <c r="K48"/>
  <c r="U46" i="15"/>
  <c r="U45"/>
  <c r="K47" i="5"/>
  <c r="K37"/>
  <c r="U35" i="15"/>
  <c r="K45" i="5"/>
  <c r="U43" i="15"/>
  <c r="K42" i="5"/>
  <c r="U40" i="15"/>
  <c r="U42"/>
  <c r="K44" i="5"/>
  <c r="K38"/>
  <c r="U36" i="15"/>
  <c r="V8"/>
  <c r="L9" i="5"/>
  <c r="K26"/>
  <c r="U24" i="15"/>
  <c r="U30"/>
  <c r="K32" i="5"/>
  <c r="V65" i="15"/>
  <c r="L67" i="5"/>
  <c r="U68" i="15"/>
  <c r="K70" i="5"/>
  <c r="K31"/>
  <c r="U29" i="15"/>
  <c r="K27" i="5"/>
  <c r="U25" i="15"/>
  <c r="K54" i="5"/>
  <c r="U52" i="15"/>
  <c r="U53"/>
  <c r="K55" i="5"/>
  <c r="K25"/>
  <c r="U23" i="15"/>
  <c r="K34" i="5"/>
  <c r="U32" i="15"/>
  <c r="V26"/>
  <c r="L28" i="5"/>
  <c r="V43" i="15"/>
  <c r="L45" i="5"/>
  <c r="U48" i="15"/>
  <c r="K50" i="5"/>
  <c r="V18" i="15"/>
  <c r="L19" i="5"/>
  <c r="K57"/>
  <c r="U55" i="15"/>
  <c r="V20"/>
  <c r="L21" i="5"/>
  <c r="K59"/>
  <c r="U57" i="15"/>
  <c r="U26"/>
  <c r="K28" i="5"/>
  <c r="U28" i="15"/>
  <c r="K30" i="5"/>
  <c r="K24"/>
  <c r="K11"/>
  <c r="U10" i="15"/>
  <c r="V48"/>
  <c r="L50" i="5"/>
  <c r="V7" i="15"/>
  <c r="L7" i="5"/>
  <c r="V29" i="15"/>
  <c r="L31" i="5"/>
  <c r="V72" i="15"/>
  <c r="L74" i="5"/>
  <c r="V17" i="15"/>
  <c r="L18" i="5"/>
  <c r="V27" i="15"/>
  <c r="L29" i="5"/>
  <c r="U60" i="15"/>
  <c r="K62" i="5"/>
  <c r="V55" i="15"/>
  <c r="L57" i="5"/>
  <c r="V15" i="15"/>
  <c r="L16" i="5"/>
  <c r="V49" i="15"/>
  <c r="L51" i="5"/>
  <c r="V39" i="15"/>
  <c r="L41" i="5"/>
  <c r="V37" i="15"/>
  <c r="L39" i="5"/>
  <c r="V61" i="15"/>
  <c r="L63" i="5"/>
  <c r="V30" i="15"/>
  <c r="L32" i="5"/>
  <c r="V34" i="15"/>
  <c r="L36" i="5"/>
  <c r="K29"/>
  <c r="U27" i="15"/>
  <c r="U16"/>
  <c r="K17" i="5"/>
  <c r="U50" i="15"/>
  <c r="K52" i="5"/>
  <c r="V14" i="15"/>
  <c r="L15" i="5"/>
  <c r="K672" i="13"/>
  <c r="F672"/>
  <c r="Q672" s="1"/>
  <c r="G672"/>
  <c r="J672"/>
  <c r="C673"/>
  <c r="D673" s="1"/>
  <c r="I672"/>
  <c r="M672"/>
  <c r="H672"/>
  <c r="L672"/>
  <c r="O672" s="1"/>
  <c r="F7" i="1"/>
  <c r="G13"/>
  <c r="Y14" i="15"/>
  <c r="X48"/>
  <c r="F46" i="1"/>
  <c r="Y45" i="15"/>
  <c r="G18" i="1"/>
  <c r="G33"/>
  <c r="X29" i="15"/>
  <c r="G28" i="1"/>
  <c r="Y25" i="15"/>
  <c r="Y60"/>
  <c r="G51" i="1"/>
  <c r="Y59" i="15"/>
  <c r="G42" i="1"/>
  <c r="Y68" i="15"/>
  <c r="Y7"/>
  <c r="G54" i="1"/>
  <c r="F41"/>
  <c r="Y57" i="15"/>
  <c r="G41" i="1"/>
  <c r="Y42" i="15"/>
  <c r="G22" i="1"/>
  <c r="X20" i="15"/>
  <c r="G50" i="1"/>
  <c r="F59"/>
  <c r="Y26" i="15"/>
  <c r="F18" i="1"/>
  <c r="G16"/>
  <c r="X70" i="15"/>
  <c r="X7"/>
  <c r="Y63"/>
  <c r="G57" i="1"/>
  <c r="X37" i="15"/>
  <c r="F25" i="1"/>
  <c r="Y34" i="15"/>
  <c r="G9" i="1"/>
  <c r="F19"/>
  <c r="X13" i="15"/>
  <c r="X11"/>
  <c r="F24" i="1"/>
  <c r="X66" i="15"/>
  <c r="Y50"/>
  <c r="F55" i="1"/>
  <c r="Y24" i="15"/>
  <c r="F22" i="1"/>
  <c r="Y17" i="15"/>
  <c r="G44" i="1"/>
  <c r="X32" i="15"/>
  <c r="G34" i="1"/>
  <c r="Y29" i="15"/>
  <c r="F21" i="1"/>
  <c r="F45"/>
  <c r="X15" i="15"/>
  <c r="G6" i="1"/>
  <c r="Y9" i="15"/>
  <c r="X46"/>
  <c r="F42" i="1"/>
  <c r="X42" i="15"/>
  <c r="G31" i="1"/>
  <c r="F30"/>
  <c r="F10"/>
  <c r="X18" i="15"/>
  <c r="G29" i="1"/>
  <c r="F53"/>
  <c r="Y13" i="15"/>
  <c r="X60"/>
  <c r="G48" i="1"/>
  <c r="X35" i="15"/>
  <c r="G17" i="1"/>
  <c r="Y32" i="15"/>
  <c r="Y20"/>
  <c r="F29" i="1"/>
  <c r="Y36" i="15"/>
  <c r="F28" i="1"/>
  <c r="F12"/>
  <c r="Y54" i="15"/>
  <c r="G35" i="1"/>
  <c r="X53" i="15"/>
  <c r="F43" i="1"/>
  <c r="G36"/>
  <c r="X28" i="15"/>
  <c r="G26" i="1"/>
  <c r="X24" i="15"/>
  <c r="F13" i="1"/>
  <c r="F36"/>
  <c r="X19" i="15"/>
  <c r="X69"/>
  <c r="Y8"/>
  <c r="X41"/>
  <c r="F33" i="1"/>
  <c r="X38" i="15"/>
  <c r="F15" i="1"/>
  <c r="Y16" i="15"/>
  <c r="F38" i="1"/>
  <c r="Y18" i="15"/>
  <c r="F14" i="1"/>
  <c r="X14" i="15"/>
  <c r="F32" i="1"/>
  <c r="X63" i="15"/>
  <c r="G49" i="1"/>
  <c r="X55" i="15"/>
  <c r="G40" i="1"/>
  <c r="X30" i="15"/>
  <c r="G30" i="1"/>
  <c r="Y27" i="15"/>
  <c r="G52" i="1"/>
  <c r="Y39" i="15"/>
  <c r="G21" i="1"/>
  <c r="Y33" i="15"/>
  <c r="G7" i="1"/>
  <c r="G20"/>
  <c r="X25" i="15"/>
  <c r="F20" i="1"/>
  <c r="X12" i="15"/>
  <c r="Y52"/>
  <c r="F50" i="1"/>
  <c r="Y47" i="15"/>
  <c r="G12" i="1"/>
  <c r="X56" i="15"/>
  <c r="G39" i="1"/>
  <c r="X51" i="15"/>
  <c r="F51" i="1"/>
  <c r="F17"/>
  <c r="Y38" i="15"/>
  <c r="G23" i="1"/>
  <c r="X31" i="15"/>
  <c r="X71"/>
  <c r="X8"/>
  <c r="X67"/>
  <c r="X43"/>
  <c r="F37" i="1"/>
  <c r="X40" i="15"/>
  <c r="F23" i="1"/>
  <c r="G25"/>
  <c r="X33" i="15"/>
  <c r="G15" i="1"/>
  <c r="Y58" i="15"/>
  <c r="G43" i="1"/>
  <c r="Y55" i="15"/>
  <c r="F58" i="1"/>
  <c r="X26" i="15"/>
  <c r="X65"/>
  <c r="G55" i="1"/>
  <c r="Y62" i="15"/>
  <c r="G46" i="1"/>
  <c r="G11"/>
  <c r="X45" i="15"/>
  <c r="F40" i="1"/>
  <c r="Y40" i="15"/>
  <c r="G27" i="1"/>
  <c r="X16" i="15"/>
  <c r="G10" i="1"/>
  <c r="Y12" i="15"/>
  <c r="X50"/>
  <c r="F54" i="1"/>
  <c r="X49" i="15"/>
  <c r="F34" i="1"/>
  <c r="F9"/>
  <c r="F31"/>
  <c r="Y28" i="15"/>
  <c r="G60" i="1"/>
  <c r="Y61" i="15"/>
  <c r="F26" i="1"/>
  <c r="F47"/>
  <c r="X10" i="15"/>
  <c r="Y70"/>
  <c r="F49" i="1"/>
  <c r="X52" i="15"/>
  <c r="F57" i="1"/>
  <c r="Y48" i="15"/>
  <c r="F39" i="1"/>
  <c r="X23" i="15"/>
  <c r="Y21"/>
  <c r="Y30"/>
  <c r="X61"/>
  <c r="G47" i="1"/>
  <c r="X58" i="15"/>
  <c r="G38" i="1"/>
  <c r="F6"/>
  <c r="Y49" i="15"/>
  <c r="F48" i="1"/>
  <c r="Y37" i="15"/>
  <c r="F11" i="1"/>
  <c r="Y15" i="15"/>
  <c r="Y72"/>
  <c r="X9"/>
  <c r="Y41"/>
  <c r="F44" i="1"/>
  <c r="X47" i="15"/>
  <c r="F8" i="1"/>
  <c r="X21" i="15"/>
  <c r="X34"/>
  <c r="F27" i="1"/>
  <c r="X39" i="15"/>
  <c r="Y53"/>
  <c r="G45" i="1"/>
  <c r="X59" i="15"/>
  <c r="G32" i="1"/>
  <c r="Y31" i="15"/>
  <c r="Y65"/>
  <c r="F60" i="1"/>
  <c r="X68" i="15"/>
  <c r="F16" i="1"/>
  <c r="Y23" i="15"/>
  <c r="X36"/>
  <c r="F35" i="1"/>
  <c r="Y43" i="15"/>
  <c r="G8" i="1"/>
  <c r="X17" i="15"/>
  <c r="Y46"/>
  <c r="F52" i="1"/>
  <c r="X54" i="15"/>
  <c r="Y67"/>
  <c r="Y10"/>
  <c r="X72"/>
  <c r="G24" i="1"/>
  <c r="X27" i="15"/>
  <c r="X57"/>
  <c r="G53" i="1"/>
  <c r="X62" i="15"/>
  <c r="G19" i="1"/>
  <c r="Y35" i="15"/>
  <c r="Y51"/>
  <c r="G37" i="1"/>
  <c r="Y56" i="15"/>
  <c r="Y71"/>
  <c r="Y11"/>
  <c r="D75" i="5"/>
  <c r="Q4" s="1"/>
  <c r="Q8" s="1"/>
  <c r="V35" i="15"/>
  <c r="L37" i="5"/>
  <c r="V31" i="15"/>
  <c r="L33" i="5"/>
  <c r="V57" i="15"/>
  <c r="L59" i="5"/>
  <c r="V51" i="15"/>
  <c r="L53" i="5"/>
  <c r="V13" i="15"/>
  <c r="L14" i="5"/>
  <c r="V63" i="15"/>
  <c r="L65" i="5"/>
  <c r="V33" i="15"/>
  <c r="L35" i="5"/>
  <c r="V59" i="15"/>
  <c r="L61" i="5"/>
  <c r="V68" i="15"/>
  <c r="L70" i="5"/>
  <c r="V9" i="15"/>
  <c r="L10" i="5"/>
  <c r="V25" i="15"/>
  <c r="L27" i="5"/>
  <c r="V23" i="15"/>
  <c r="L25" i="5"/>
  <c r="V47" i="15"/>
  <c r="L49" i="5"/>
  <c r="V53" i="15"/>
  <c r="L55" i="5"/>
  <c r="L596" i="13"/>
  <c r="F596"/>
  <c r="Q596" s="1"/>
  <c r="J596"/>
  <c r="I596"/>
  <c r="M596"/>
  <c r="C597"/>
  <c r="D597" s="1"/>
  <c r="H596"/>
  <c r="G596"/>
  <c r="K596"/>
  <c r="V12" i="15"/>
  <c r="L13" i="5"/>
  <c r="K71"/>
  <c r="U69" i="15"/>
  <c r="V40"/>
  <c r="L42" i="5"/>
  <c r="K13"/>
  <c r="U12" i="15"/>
  <c r="K9" i="5"/>
  <c r="U8" i="15"/>
  <c r="V71"/>
  <c r="L73" i="5"/>
  <c r="U34" i="15"/>
  <c r="K36" i="5"/>
  <c r="V52" i="15"/>
  <c r="L54" i="5"/>
  <c r="U14" i="15"/>
  <c r="K15" i="5"/>
  <c r="K39"/>
  <c r="U37" i="15"/>
  <c r="U66"/>
  <c r="K68" i="5"/>
  <c r="V50" i="15"/>
  <c r="L52" i="5"/>
  <c r="V24" i="15"/>
  <c r="L26" i="5"/>
  <c r="K58"/>
  <c r="U56" i="15"/>
  <c r="U61"/>
  <c r="K63" i="5"/>
  <c r="U54" i="15"/>
  <c r="K56" i="5"/>
  <c r="V58" i="15"/>
  <c r="L60" i="5"/>
  <c r="U11" i="15"/>
  <c r="K12" i="5"/>
  <c r="K22"/>
  <c r="U21" i="15"/>
  <c r="U38"/>
  <c r="K40" i="5"/>
  <c r="K20"/>
  <c r="U19" i="15"/>
  <c r="V46"/>
  <c r="L48" i="5"/>
  <c r="U51" i="15"/>
  <c r="K53" i="5"/>
  <c r="K41"/>
  <c r="U39" i="15"/>
  <c r="U13"/>
  <c r="K14" i="5"/>
  <c r="V67" i="15"/>
  <c r="L69" i="5"/>
  <c r="U71" i="15"/>
  <c r="K73" i="5"/>
  <c r="U47" i="15"/>
  <c r="K49" i="5"/>
  <c r="K43"/>
  <c r="U41" i="15"/>
  <c r="K65" i="5"/>
  <c r="U63" i="15"/>
  <c r="K35" i="5"/>
  <c r="U33" i="15"/>
  <c r="V62"/>
  <c r="L64" i="5"/>
  <c r="K74"/>
  <c r="U72" i="15"/>
  <c r="U7"/>
  <c r="P73"/>
  <c r="P76" s="1"/>
  <c r="K7" i="5"/>
  <c r="V21" i="15"/>
  <c r="L22" i="5"/>
  <c r="V45" i="15"/>
  <c r="L47" i="5"/>
  <c r="V42" i="15"/>
  <c r="L44" i="5"/>
  <c r="V70" i="15"/>
  <c r="L72" i="5"/>
  <c r="V19" i="15"/>
  <c r="L20" i="5"/>
  <c r="O131" i="13"/>
  <c r="O132" s="1"/>
  <c r="L132"/>
  <c r="O740"/>
  <c r="V69" i="15" l="1"/>
  <c r="V66"/>
  <c r="Y66"/>
  <c r="G58" i="1"/>
  <c r="O741" i="13"/>
  <c r="M673"/>
  <c r="I673"/>
  <c r="F673"/>
  <c r="Q673" s="1"/>
  <c r="J673"/>
  <c r="C674"/>
  <c r="D674" s="1"/>
  <c r="L673"/>
  <c r="G673"/>
  <c r="K673"/>
  <c r="H673"/>
  <c r="M742"/>
  <c r="C743"/>
  <c r="D743" s="1"/>
  <c r="F742"/>
  <c r="Q742" s="1"/>
  <c r="H742"/>
  <c r="I742"/>
  <c r="L742"/>
  <c r="J742"/>
  <c r="G742"/>
  <c r="K742"/>
  <c r="AF33" i="15"/>
  <c r="S35" i="5"/>
  <c r="AF63" i="15"/>
  <c r="S65" i="5"/>
  <c r="S43"/>
  <c r="AF41" i="15"/>
  <c r="AF19"/>
  <c r="S20" i="5"/>
  <c r="AF37" i="15"/>
  <c r="S39" i="5"/>
  <c r="AF69" i="15"/>
  <c r="S71" i="5"/>
  <c r="AF27" i="15"/>
  <c r="S29" i="5"/>
  <c r="AG7" i="15"/>
  <c r="AG48"/>
  <c r="T50" i="5"/>
  <c r="S24"/>
  <c r="S30"/>
  <c r="AF28" i="15"/>
  <c r="S28" i="5"/>
  <c r="AF26" i="15"/>
  <c r="AG20"/>
  <c r="T21" i="5"/>
  <c r="AG18" i="15"/>
  <c r="T19" i="5"/>
  <c r="S50"/>
  <c r="AF48" i="15"/>
  <c r="AG43"/>
  <c r="T45" i="5"/>
  <c r="AG26" i="15"/>
  <c r="T28" i="5"/>
  <c r="AF53" i="15"/>
  <c r="S55" i="5"/>
  <c r="AF68" i="15"/>
  <c r="S70" i="5"/>
  <c r="AG65" i="15"/>
  <c r="T67" i="5"/>
  <c r="S32"/>
  <c r="AF30" i="15"/>
  <c r="AG8"/>
  <c r="T9" i="5"/>
  <c r="AF42" i="15"/>
  <c r="S44" i="5"/>
  <c r="AF45" i="15"/>
  <c r="S47" i="5"/>
  <c r="AG41" i="15"/>
  <c r="T43" i="5"/>
  <c r="AG60" i="15"/>
  <c r="T62" i="5"/>
  <c r="AG56" i="15"/>
  <c r="T58" i="5"/>
  <c r="T24"/>
  <c r="AG54" i="15"/>
  <c r="T56" i="5"/>
  <c r="AG38" i="15"/>
  <c r="T40" i="5"/>
  <c r="AF31" i="15"/>
  <c r="S33" i="5"/>
  <c r="AF65" i="15"/>
  <c r="S67" i="5"/>
  <c r="AG28" i="15"/>
  <c r="T30" i="5"/>
  <c r="AF70" i="15"/>
  <c r="S72" i="5"/>
  <c r="AF17" i="15"/>
  <c r="S18" i="5"/>
  <c r="AG36" i="15"/>
  <c r="T38" i="5"/>
  <c r="AF9" i="15"/>
  <c r="S10" i="5"/>
  <c r="T12"/>
  <c r="AG11" i="15"/>
  <c r="L254" i="13"/>
  <c r="K254"/>
  <c r="F254"/>
  <c r="Q254" s="1"/>
  <c r="J254"/>
  <c r="I254"/>
  <c r="M254"/>
  <c r="H254"/>
  <c r="C255"/>
  <c r="D255" s="1"/>
  <c r="G254"/>
  <c r="F61" i="1"/>
  <c r="G59"/>
  <c r="K12" i="31"/>
  <c r="Y19" i="15"/>
  <c r="AG19" s="1"/>
  <c r="G14" i="1"/>
  <c r="AG70" i="15"/>
  <c r="T72" i="5"/>
  <c r="T44"/>
  <c r="AG42" i="15"/>
  <c r="T47" i="5"/>
  <c r="AG45" i="15"/>
  <c r="T22" i="5"/>
  <c r="AG21" i="15"/>
  <c r="AF72"/>
  <c r="S74" i="5"/>
  <c r="AF39" i="15"/>
  <c r="S41" i="5"/>
  <c r="AF21" i="15"/>
  <c r="S22" i="5"/>
  <c r="S58"/>
  <c r="AF56" i="15"/>
  <c r="S9" i="5"/>
  <c r="AF8" i="15"/>
  <c r="S13" i="5"/>
  <c r="AF12" i="15"/>
  <c r="M597" i="13"/>
  <c r="C598"/>
  <c r="D598" s="1"/>
  <c r="F597"/>
  <c r="Q597" s="1"/>
  <c r="G597"/>
  <c r="K597"/>
  <c r="L597"/>
  <c r="H597"/>
  <c r="J597"/>
  <c r="I597"/>
  <c r="U73" i="15"/>
  <c r="AF7"/>
  <c r="AG62"/>
  <c r="T64" i="5"/>
  <c r="AF47" i="15"/>
  <c r="S49" i="5"/>
  <c r="AF71" i="15"/>
  <c r="S73" i="5"/>
  <c r="AG67" i="15"/>
  <c r="T69" i="5"/>
  <c r="AF13" i="15"/>
  <c r="S14" i="5"/>
  <c r="AF51" i="15"/>
  <c r="S53" i="5"/>
  <c r="AG46" i="15"/>
  <c r="T48" i="5"/>
  <c r="S40"/>
  <c r="AF38" i="15"/>
  <c r="AF11"/>
  <c r="S12" i="5"/>
  <c r="AG58" i="15"/>
  <c r="T60" i="5"/>
  <c r="S56"/>
  <c r="AF54" i="15"/>
  <c r="S63" i="5"/>
  <c r="AF61" i="15"/>
  <c r="AG24"/>
  <c r="T26" i="5"/>
  <c r="AG50" i="15"/>
  <c r="T52" i="5"/>
  <c r="AF66" i="15"/>
  <c r="S68" i="5"/>
  <c r="S15"/>
  <c r="AF14" i="15"/>
  <c r="AG52"/>
  <c r="T54" i="5"/>
  <c r="S36"/>
  <c r="AF34" i="15"/>
  <c r="AG71"/>
  <c r="T73" i="5"/>
  <c r="AG40" i="15"/>
  <c r="T42" i="5"/>
  <c r="AG12" i="15"/>
  <c r="T13" i="5"/>
  <c r="T55"/>
  <c r="AG53" i="15"/>
  <c r="T49" i="5"/>
  <c r="AG47" i="15"/>
  <c r="T25" i="5"/>
  <c r="AG23" i="15"/>
  <c r="T27" i="5"/>
  <c r="AG25" i="15"/>
  <c r="T10" i="5"/>
  <c r="AG9" i="15"/>
  <c r="AG68"/>
  <c r="T70" i="5"/>
  <c r="T61"/>
  <c r="AG59" i="15"/>
  <c r="T35" i="5"/>
  <c r="AG33" i="15"/>
  <c r="AG63"/>
  <c r="T65" i="5"/>
  <c r="T14"/>
  <c r="AG13" i="15"/>
  <c r="T53" i="5"/>
  <c r="AG51" i="15"/>
  <c r="T59" i="5"/>
  <c r="AG57" i="15"/>
  <c r="T33" i="5"/>
  <c r="AG31" i="15"/>
  <c r="T37" i="5"/>
  <c r="AG35" i="15"/>
  <c r="AG14"/>
  <c r="T15" i="5"/>
  <c r="S52"/>
  <c r="AF50" i="15"/>
  <c r="S17" i="5"/>
  <c r="AF16" i="15"/>
  <c r="AG34"/>
  <c r="T36" i="5"/>
  <c r="AG30" i="15"/>
  <c r="T32" i="5"/>
  <c r="AG61" i="15"/>
  <c r="T63" i="5"/>
  <c r="T39"/>
  <c r="AG37" i="15"/>
  <c r="T41" i="5"/>
  <c r="AG39" i="15"/>
  <c r="T51" i="5"/>
  <c r="AG49" i="15"/>
  <c r="T16" i="5"/>
  <c r="AG15" i="15"/>
  <c r="T57" i="5"/>
  <c r="AG55" i="15"/>
  <c r="S62" i="5"/>
  <c r="AF60" i="15"/>
  <c r="T29" i="5"/>
  <c r="AG27" i="15"/>
  <c r="T18" i="5"/>
  <c r="AG17" i="15"/>
  <c r="AG72"/>
  <c r="T74" i="5"/>
  <c r="T31"/>
  <c r="AG29" i="15"/>
  <c r="S11" i="5"/>
  <c r="AF10" i="15"/>
  <c r="AF57"/>
  <c r="S59" i="5"/>
  <c r="AF55" i="15"/>
  <c r="S57" i="5"/>
  <c r="S34"/>
  <c r="AF32" i="15"/>
  <c r="AF23"/>
  <c r="S25" i="5"/>
  <c r="S54"/>
  <c r="AF52" i="15"/>
  <c r="AF25"/>
  <c r="S27" i="5"/>
  <c r="AF29" i="15"/>
  <c r="S31" i="5"/>
  <c r="S26"/>
  <c r="AF24" i="15"/>
  <c r="S38" i="5"/>
  <c r="AF36" i="15"/>
  <c r="S42" i="5"/>
  <c r="AF40" i="15"/>
  <c r="S45" i="5"/>
  <c r="AF43" i="15"/>
  <c r="AF35"/>
  <c r="S37" i="5"/>
  <c r="S48"/>
  <c r="AF46" i="15"/>
  <c r="S19" i="5"/>
  <c r="AF18" i="15"/>
  <c r="AF49"/>
  <c r="S51" i="5"/>
  <c r="S21"/>
  <c r="AF20" i="15"/>
  <c r="AF59"/>
  <c r="S61" i="5"/>
  <c r="AF62" i="15"/>
  <c r="S64" i="5"/>
  <c r="S60"/>
  <c r="AF58" i="15"/>
  <c r="AF15"/>
  <c r="S16" i="5"/>
  <c r="AF67" i="15"/>
  <c r="S69" i="5"/>
  <c r="K75"/>
  <c r="O596" i="13"/>
  <c r="X73" i="15"/>
  <c r="Y69"/>
  <c r="T71" i="5" s="1"/>
  <c r="O253" i="13"/>
  <c r="AG66" i="15" l="1"/>
  <c r="AA68" i="5" s="1"/>
  <c r="T68"/>
  <c r="T20"/>
  <c r="G61" i="1"/>
  <c r="G62" s="1"/>
  <c r="O597" i="13"/>
  <c r="O673"/>
  <c r="O742"/>
  <c r="L674"/>
  <c r="H674"/>
  <c r="G674"/>
  <c r="K674"/>
  <c r="F674"/>
  <c r="Q674" s="1"/>
  <c r="M674"/>
  <c r="J674"/>
  <c r="I674"/>
  <c r="L598"/>
  <c r="H598"/>
  <c r="F598"/>
  <c r="Q598" s="1"/>
  <c r="I598"/>
  <c r="M598"/>
  <c r="C599"/>
  <c r="D599" s="1"/>
  <c r="J598"/>
  <c r="G598"/>
  <c r="K598"/>
  <c r="AL58" i="15"/>
  <c r="Z60" i="5"/>
  <c r="AL20" i="15"/>
  <c r="Z21" i="5"/>
  <c r="AL43" i="15"/>
  <c r="Z45" i="5"/>
  <c r="AL40" i="15"/>
  <c r="Z42" i="5"/>
  <c r="AL36" i="15"/>
  <c r="Z38" i="5"/>
  <c r="AL24" i="15"/>
  <c r="Z26" i="5"/>
  <c r="AL52" i="15"/>
  <c r="Z54" i="5"/>
  <c r="AM17" i="15"/>
  <c r="AA18" i="5"/>
  <c r="AM27" i="15"/>
  <c r="AA29" i="5"/>
  <c r="Z69"/>
  <c r="AL67" i="15"/>
  <c r="AL15"/>
  <c r="Z16" i="5"/>
  <c r="AL62" i="15"/>
  <c r="Z64" i="5"/>
  <c r="Z61"/>
  <c r="AL59" i="15"/>
  <c r="AL49"/>
  <c r="Z51" i="5"/>
  <c r="Z37"/>
  <c r="AL35" i="15"/>
  <c r="Z31" i="5"/>
  <c r="AL29" i="15"/>
  <c r="AL25"/>
  <c r="Z27" i="5"/>
  <c r="AL23" i="15"/>
  <c r="Z25" i="5"/>
  <c r="AL55" i="15"/>
  <c r="Z57" i="5"/>
  <c r="Z59"/>
  <c r="AL57" i="15"/>
  <c r="AM72"/>
  <c r="AA74" i="5"/>
  <c r="AM61" i="15"/>
  <c r="AA63" i="5"/>
  <c r="AM30" i="15"/>
  <c r="AA32" i="5"/>
  <c r="AM34" i="15"/>
  <c r="AA36" i="5"/>
  <c r="AA15"/>
  <c r="AM14" i="15"/>
  <c r="AA65" i="5"/>
  <c r="AM63" i="15"/>
  <c r="AA70" i="5"/>
  <c r="AM68" i="15"/>
  <c r="AA13" i="5"/>
  <c r="AM12" i="15"/>
  <c r="AM40"/>
  <c r="AA42" i="5"/>
  <c r="AM71" i="15"/>
  <c r="AA73" i="5"/>
  <c r="AM52" i="15"/>
  <c r="AA54" i="5"/>
  <c r="AL66" i="15"/>
  <c r="Z68" i="5"/>
  <c r="AM50" i="15"/>
  <c r="AA52" i="5"/>
  <c r="AM24" i="15"/>
  <c r="AA26" i="5"/>
  <c r="AM58" i="15"/>
  <c r="AA60" i="5"/>
  <c r="Z12"/>
  <c r="AL11" i="15"/>
  <c r="AM46"/>
  <c r="AA48" i="5"/>
  <c r="AL51" i="15"/>
  <c r="Z53" i="5"/>
  <c r="AL13" i="15"/>
  <c r="Z14" i="5"/>
  <c r="AM67" i="15"/>
  <c r="AA69" i="5"/>
  <c r="AL71" i="15"/>
  <c r="Z73" i="5"/>
  <c r="AL47" i="15"/>
  <c r="Z49" i="5"/>
  <c r="AM62" i="15"/>
  <c r="AA64" i="5"/>
  <c r="Z22"/>
  <c r="AL21" i="15"/>
  <c r="Z41" i="5"/>
  <c r="AL39" i="15"/>
  <c r="AL72"/>
  <c r="Z74" i="5"/>
  <c r="AM70" i="15"/>
  <c r="AA72" i="5"/>
  <c r="Z10"/>
  <c r="AL9" i="15"/>
  <c r="AM36"/>
  <c r="AA38" i="5"/>
  <c r="Z18"/>
  <c r="AL17" i="15"/>
  <c r="AL70"/>
  <c r="Z72" i="5"/>
  <c r="AM28" i="15"/>
  <c r="AA30" i="5"/>
  <c r="AL65" i="15"/>
  <c r="Z67" i="5"/>
  <c r="Z33"/>
  <c r="AL31" i="15"/>
  <c r="AM38"/>
  <c r="AA40" i="5"/>
  <c r="AM54" i="15"/>
  <c r="AA56" i="5"/>
  <c r="AA24"/>
  <c r="AM56" i="15"/>
  <c r="AA58" i="5"/>
  <c r="AM60" i="15"/>
  <c r="AA62" i="5"/>
  <c r="AM41" i="15"/>
  <c r="AA43" i="5"/>
  <c r="AL45" i="15"/>
  <c r="Z47" i="5"/>
  <c r="AL42" i="15"/>
  <c r="Z44" i="5"/>
  <c r="AA9"/>
  <c r="AM8" i="15"/>
  <c r="AM65"/>
  <c r="AA67" i="5"/>
  <c r="AL68" i="15"/>
  <c r="Z70" i="5"/>
  <c r="Z55"/>
  <c r="AL53" i="15"/>
  <c r="AM26"/>
  <c r="AA28" i="5"/>
  <c r="AM43" i="15"/>
  <c r="AA45" i="5"/>
  <c r="AA19"/>
  <c r="AM18" i="15"/>
  <c r="AA21" i="5"/>
  <c r="AM20" i="15"/>
  <c r="AM48"/>
  <c r="AA50" i="5"/>
  <c r="Z29"/>
  <c r="AL27" i="15"/>
  <c r="Z71" i="5"/>
  <c r="AL69" i="15"/>
  <c r="Z39" i="5"/>
  <c r="AL37" i="15"/>
  <c r="Z20" i="5"/>
  <c r="AL19" i="15"/>
  <c r="AL63"/>
  <c r="Z65" i="5"/>
  <c r="Z35"/>
  <c r="AL33" i="15"/>
  <c r="L743" i="13"/>
  <c r="F743"/>
  <c r="Q743" s="1"/>
  <c r="J743"/>
  <c r="I743"/>
  <c r="M743"/>
  <c r="C744"/>
  <c r="D744" s="1"/>
  <c r="H743"/>
  <c r="G743"/>
  <c r="K743"/>
  <c r="X74" i="15"/>
  <c r="AF75" s="1"/>
  <c r="S75" i="5"/>
  <c r="AF4" s="1"/>
  <c r="AF8" s="1"/>
  <c r="O254" i="13"/>
  <c r="AG69" i="15"/>
  <c r="AL18"/>
  <c r="Z19" i="5"/>
  <c r="AL46" i="15"/>
  <c r="Z48" i="5"/>
  <c r="AL32" i="15"/>
  <c r="Z34" i="5"/>
  <c r="AL10" i="15"/>
  <c r="Z11" i="5"/>
  <c r="AM29" i="15"/>
  <c r="AA31" i="5"/>
  <c r="AL60" i="15"/>
  <c r="Z62" i="5"/>
  <c r="AM55" i="15"/>
  <c r="AA57" i="5"/>
  <c r="AM15" i="15"/>
  <c r="AA16" i="5"/>
  <c r="AM49" i="15"/>
  <c r="AA51" i="5"/>
  <c r="AM39" i="15"/>
  <c r="AA41" i="5"/>
  <c r="AM37" i="15"/>
  <c r="AA39" i="5"/>
  <c r="AL16" i="15"/>
  <c r="Z17" i="5"/>
  <c r="AL50" i="15"/>
  <c r="Z52" i="5"/>
  <c r="AM35" i="15"/>
  <c r="AA37" i="5"/>
  <c r="AM31" i="15"/>
  <c r="AA33" i="5"/>
  <c r="AM57" i="15"/>
  <c r="AA59" i="5"/>
  <c r="AM51" i="15"/>
  <c r="AA53" i="5"/>
  <c r="AM13" i="15"/>
  <c r="AA14" i="5"/>
  <c r="AM33" i="15"/>
  <c r="AA35" i="5"/>
  <c r="AM59" i="15"/>
  <c r="AA61" i="5"/>
  <c r="AM9" i="15"/>
  <c r="AA10" i="5"/>
  <c r="AM25" i="15"/>
  <c r="AA27" i="5"/>
  <c r="AM23" i="15"/>
  <c r="AA25" i="5"/>
  <c r="AM47" i="15"/>
  <c r="AA49" i="5"/>
  <c r="AM53" i="15"/>
  <c r="AA55" i="5"/>
  <c r="AL34" i="15"/>
  <c r="Z36" i="5"/>
  <c r="AL14" i="15"/>
  <c r="Z15" i="5"/>
  <c r="AL61" i="15"/>
  <c r="Z63" i="5"/>
  <c r="AL54" i="15"/>
  <c r="Z56" i="5"/>
  <c r="AL38" i="15"/>
  <c r="Z40" i="5"/>
  <c r="AL7" i="15"/>
  <c r="AF73"/>
  <c r="Z13" i="5"/>
  <c r="AL12" i="15"/>
  <c r="AL8"/>
  <c r="Z9" i="5"/>
  <c r="AL56" i="15"/>
  <c r="Z58" i="5"/>
  <c r="AM21" i="15"/>
  <c r="AA22" i="5"/>
  <c r="AM45" i="15"/>
  <c r="AA47" i="5"/>
  <c r="AM42" i="15"/>
  <c r="AA44" i="5"/>
  <c r="AM19" i="15"/>
  <c r="AA20" i="5"/>
  <c r="C256" i="13"/>
  <c r="D256" s="1"/>
  <c r="F255"/>
  <c r="Q255" s="1"/>
  <c r="J255"/>
  <c r="M255"/>
  <c r="G255"/>
  <c r="L255"/>
  <c r="I255"/>
  <c r="K255"/>
  <c r="H255"/>
  <c r="AM11" i="15"/>
  <c r="AA12" i="5"/>
  <c r="AL30" i="15"/>
  <c r="Z32" i="5"/>
  <c r="AL48" i="15"/>
  <c r="Z50" i="5"/>
  <c r="Z28"/>
  <c r="AL26" i="15"/>
  <c r="AL28"/>
  <c r="Z30" i="5"/>
  <c r="Z24"/>
  <c r="AM7" i="15"/>
  <c r="AL41"/>
  <c r="Z43" i="5"/>
  <c r="Y73" i="15"/>
  <c r="AM66" l="1"/>
  <c r="AI68" i="5" s="1"/>
  <c r="O255" i="13"/>
  <c r="O743"/>
  <c r="O598"/>
  <c r="O674"/>
  <c r="L256"/>
  <c r="K256"/>
  <c r="G256"/>
  <c r="M256"/>
  <c r="J256"/>
  <c r="C257"/>
  <c r="D257" s="1"/>
  <c r="F256"/>
  <c r="Q256" s="1"/>
  <c r="I256"/>
  <c r="H256"/>
  <c r="L744"/>
  <c r="L756" s="1"/>
  <c r="J744"/>
  <c r="M744"/>
  <c r="M756" s="1"/>
  <c r="G744"/>
  <c r="K744"/>
  <c r="K756" s="1"/>
  <c r="C745"/>
  <c r="D745" s="1"/>
  <c r="H744"/>
  <c r="F744"/>
  <c r="Q744" s="1"/>
  <c r="I744"/>
  <c r="M599"/>
  <c r="H599"/>
  <c r="G599"/>
  <c r="K599"/>
  <c r="L599"/>
  <c r="O599" s="1"/>
  <c r="F599"/>
  <c r="Q599" s="1"/>
  <c r="J599"/>
  <c r="I599"/>
  <c r="C600"/>
  <c r="D600" s="1"/>
  <c r="AH43" i="5"/>
  <c r="AW41" i="15"/>
  <c r="AX7"/>
  <c r="AI7" i="5"/>
  <c r="AH24"/>
  <c r="AH30"/>
  <c r="AW28" i="15"/>
  <c r="AW48"/>
  <c r="AH50" i="5"/>
  <c r="AH32"/>
  <c r="AW30" i="15"/>
  <c r="AX11"/>
  <c r="AI12" i="5"/>
  <c r="AX19" i="15"/>
  <c r="AI20" i="5"/>
  <c r="AX42" i="15"/>
  <c r="AI44" i="5"/>
  <c r="AX45" i="15"/>
  <c r="AI47" i="5"/>
  <c r="AX21" i="15"/>
  <c r="AI22" i="5"/>
  <c r="AW56" i="15"/>
  <c r="AH58" i="5"/>
  <c r="AH9"/>
  <c r="AW8" i="15"/>
  <c r="AH7" i="5"/>
  <c r="AW7" i="15"/>
  <c r="AL73"/>
  <c r="AO74" s="1"/>
  <c r="AW75" s="1"/>
  <c r="AH40" i="5"/>
  <c r="AW38" i="15"/>
  <c r="AH56" i="5"/>
  <c r="AW54" i="15"/>
  <c r="AW61"/>
  <c r="AH63" i="5"/>
  <c r="AW14" i="15"/>
  <c r="AH15" i="5"/>
  <c r="AH36"/>
  <c r="AW34" i="15"/>
  <c r="AX53"/>
  <c r="AI55" i="5"/>
  <c r="AI49"/>
  <c r="AX47" i="15"/>
  <c r="AX23"/>
  <c r="AI25" i="5"/>
  <c r="AX25" i="15"/>
  <c r="AI27" i="5"/>
  <c r="AX9" i="15"/>
  <c r="AI10" i="5"/>
  <c r="AX59" i="15"/>
  <c r="AI61" i="5"/>
  <c r="AX33" i="15"/>
  <c r="AI35" i="5"/>
  <c r="AX13" i="15"/>
  <c r="AI14" i="5"/>
  <c r="AX51" i="15"/>
  <c r="AI53" i="5"/>
  <c r="AX57" i="15"/>
  <c r="AI59" i="5"/>
  <c r="AX31" i="15"/>
  <c r="AI33" i="5"/>
  <c r="AX35" i="15"/>
  <c r="AI37" i="5"/>
  <c r="AW50" i="15"/>
  <c r="AH52" i="5"/>
  <c r="AH17"/>
  <c r="AW16" i="15"/>
  <c r="AX37"/>
  <c r="AI39" i="5"/>
  <c r="AX39" i="15"/>
  <c r="AI41" i="5"/>
  <c r="AX49" i="15"/>
  <c r="AI51" i="5"/>
  <c r="AX15" i="15"/>
  <c r="AI16" i="5"/>
  <c r="AX55" i="15"/>
  <c r="AI57" i="5"/>
  <c r="AH62"/>
  <c r="AW60" i="15"/>
  <c r="AX29"/>
  <c r="AI31" i="5"/>
  <c r="AH11"/>
  <c r="AW10" i="15"/>
  <c r="AH34" i="5"/>
  <c r="AW32" i="15"/>
  <c r="AW46"/>
  <c r="AH48" i="5"/>
  <c r="AH19"/>
  <c r="AW18" i="15"/>
  <c r="AM69"/>
  <c r="AA71" i="5"/>
  <c r="AH65"/>
  <c r="AW63" i="15"/>
  <c r="AX48"/>
  <c r="AI50" i="5"/>
  <c r="AX43" i="15"/>
  <c r="AI45" i="5"/>
  <c r="AX26" i="15"/>
  <c r="AI28" i="5"/>
  <c r="AH70"/>
  <c r="AW68" i="15"/>
  <c r="AX65"/>
  <c r="AI67" i="5"/>
  <c r="AH44"/>
  <c r="AW42" i="15"/>
  <c r="AW45"/>
  <c r="AH47" i="5"/>
  <c r="AI43"/>
  <c r="AX41" i="15"/>
  <c r="AX60"/>
  <c r="AI62" i="5"/>
  <c r="AX56" i="15"/>
  <c r="AI58" i="5"/>
  <c r="AX54" i="15"/>
  <c r="AI56" i="5"/>
  <c r="AI40"/>
  <c r="AX38" i="15"/>
  <c r="AW65"/>
  <c r="AH67" i="5"/>
  <c r="AI30"/>
  <c r="AX28" i="15"/>
  <c r="AW70"/>
  <c r="AH72" i="5"/>
  <c r="AI38"/>
  <c r="AX36" i="15"/>
  <c r="AX70"/>
  <c r="AI72" i="5"/>
  <c r="AH74"/>
  <c r="AW72" i="15"/>
  <c r="AI64" i="5"/>
  <c r="AX62" i="15"/>
  <c r="AW47"/>
  <c r="AH49" i="5"/>
  <c r="AW71" i="15"/>
  <c r="AH73" i="5"/>
  <c r="AI69"/>
  <c r="AX67" i="15"/>
  <c r="AW13"/>
  <c r="AH14" i="5"/>
  <c r="AW51" i="15"/>
  <c r="AH53" i="5"/>
  <c r="AX46" i="15"/>
  <c r="AI48" i="5"/>
  <c r="AX58" i="15"/>
  <c r="AI60" i="5"/>
  <c r="AX24" i="15"/>
  <c r="AI26" i="5"/>
  <c r="AX50" i="15"/>
  <c r="AI52" i="5"/>
  <c r="AW66" i="15"/>
  <c r="AH68" i="5"/>
  <c r="AX52" i="15"/>
  <c r="AI54" i="5"/>
  <c r="AI73"/>
  <c r="AX71" i="15"/>
  <c r="AI42" i="5"/>
  <c r="AX40" i="15"/>
  <c r="AI36" i="5"/>
  <c r="AX34" i="15"/>
  <c r="AI32" i="5"/>
  <c r="AX30" i="15"/>
  <c r="AX61"/>
  <c r="AI63" i="5"/>
  <c r="AX66" i="15"/>
  <c r="AX72"/>
  <c r="AI74" i="5"/>
  <c r="AH57"/>
  <c r="AW55" i="15"/>
  <c r="AW23"/>
  <c r="AH25" i="5"/>
  <c r="AW25" i="15"/>
  <c r="AH27" i="5"/>
  <c r="AW49" i="15"/>
  <c r="AH51" i="5"/>
  <c r="AW62" i="15"/>
  <c r="AH64" i="5"/>
  <c r="AH16"/>
  <c r="AW15" i="15"/>
  <c r="AX27"/>
  <c r="AI29" i="5"/>
  <c r="AX17" i="15"/>
  <c r="AI18" i="5"/>
  <c r="AW52" i="15"/>
  <c r="AH54" i="5"/>
  <c r="AW24" i="15"/>
  <c r="AH26" i="5"/>
  <c r="AH38"/>
  <c r="AW36" i="15"/>
  <c r="AH42" i="5"/>
  <c r="AW40" i="15"/>
  <c r="AW43"/>
  <c r="AH45" i="5"/>
  <c r="AH21"/>
  <c r="AW20" i="15"/>
  <c r="AH60" i="5"/>
  <c r="AW58" i="15"/>
  <c r="Y7" i="1"/>
  <c r="FV8" i="15"/>
  <c r="FU58"/>
  <c r="X42" i="1"/>
  <c r="FU65" i="15"/>
  <c r="FV26"/>
  <c r="X38" i="1"/>
  <c r="Y23"/>
  <c r="FV68" i="15"/>
  <c r="FU49"/>
  <c r="FV70"/>
  <c r="FU32"/>
  <c r="X50" i="1"/>
  <c r="Y33"/>
  <c r="FV16" i="15"/>
  <c r="FV59"/>
  <c r="X51" i="1"/>
  <c r="FU67" i="15"/>
  <c r="FU29"/>
  <c r="X43" i="1"/>
  <c r="Y27"/>
  <c r="FV18" i="15"/>
  <c r="FV63"/>
  <c r="X53" i="1"/>
  <c r="FV67" i="15"/>
  <c r="FU30"/>
  <c r="X45" i="1"/>
  <c r="Y29"/>
  <c r="FU20" i="15"/>
  <c r="FV66"/>
  <c r="X58" i="1"/>
  <c r="FV69" i="15"/>
  <c r="FU31"/>
  <c r="X48" i="1"/>
  <c r="Y31"/>
  <c r="FV30" i="15"/>
  <c r="Y11" i="1"/>
  <c r="FU11" i="15"/>
  <c r="Y8" i="1"/>
  <c r="FV38" i="15"/>
  <c r="X59" i="1"/>
  <c r="Y43"/>
  <c r="FU70" i="15"/>
  <c r="FV7"/>
  <c r="FV71"/>
  <c r="FU34"/>
  <c r="X52" i="1"/>
  <c r="Y35"/>
  <c r="FU24" i="15"/>
  <c r="FU71"/>
  <c r="FU8"/>
  <c r="FU72"/>
  <c r="FV33"/>
  <c r="X54" i="1"/>
  <c r="Y38"/>
  <c r="Y34"/>
  <c r="Y28"/>
  <c r="FV25" i="15"/>
  <c r="Y19" i="1"/>
  <c r="FU54" i="15"/>
  <c r="FU62"/>
  <c r="X35" i="1"/>
  <c r="FU69" i="15"/>
  <c r="X28" i="1"/>
  <c r="FV40" i="15"/>
  <c r="X11" i="1"/>
  <c r="FV54" i="15"/>
  <c r="FV20"/>
  <c r="X21" i="1"/>
  <c r="X55"/>
  <c r="FV51" i="15"/>
  <c r="X30" i="1"/>
  <c r="FU60" i="15"/>
  <c r="FV23"/>
  <c r="X31" i="1"/>
  <c r="Y16"/>
  <c r="X40"/>
  <c r="FV43" i="15"/>
  <c r="X18" i="1"/>
  <c r="FU56" i="15"/>
  <c r="X25" i="1"/>
  <c r="Y10"/>
  <c r="X44"/>
  <c r="FV46" i="15"/>
  <c r="X22" i="1"/>
  <c r="FV57" i="15"/>
  <c r="X27" i="1"/>
  <c r="Y12"/>
  <c r="X49"/>
  <c r="FV48" i="15"/>
  <c r="X26" i="1"/>
  <c r="FV60" i="15"/>
  <c r="X29" i="1"/>
  <c r="Y14"/>
  <c r="FV13" i="15"/>
  <c r="FU59"/>
  <c r="X47" i="1"/>
  <c r="FV65" i="15"/>
  <c r="FV14"/>
  <c r="Y25" i="1"/>
  <c r="FU50" i="15"/>
  <c r="FU63"/>
  <c r="Y54" i="1"/>
  <c r="Y42"/>
  <c r="Y32"/>
  <c r="FV9" i="15"/>
  <c r="FU13"/>
  <c r="FU36"/>
  <c r="Y45" i="1"/>
  <c r="Y20"/>
  <c r="Y18"/>
  <c r="FU57" i="15"/>
  <c r="FV37"/>
  <c r="FV19"/>
  <c r="FU39"/>
  <c r="Y50" i="1"/>
  <c r="Y51"/>
  <c r="Y40"/>
  <c r="X41"/>
  <c r="X34"/>
  <c r="FV45" i="15"/>
  <c r="FU41"/>
  <c r="FV47"/>
  <c r="Y47" i="1"/>
  <c r="FV24" i="15"/>
  <c r="Y36" i="1"/>
  <c r="FU43" i="15"/>
  <c r="FV10"/>
  <c r="Y59" i="1"/>
  <c r="FV62" i="15"/>
  <c r="X13" i="1"/>
  <c r="FU35" i="15"/>
  <c r="Y58" i="1"/>
  <c r="FV50" i="15"/>
  <c r="FU17"/>
  <c r="X14" i="1"/>
  <c r="FV53" i="15"/>
  <c r="Y55" i="1"/>
  <c r="FV29" i="15"/>
  <c r="Y44" i="1"/>
  <c r="FU46" i="15"/>
  <c r="FV11"/>
  <c r="X7" i="1"/>
  <c r="FV56" i="15"/>
  <c r="X6" i="1"/>
  <c r="FV31" i="15"/>
  <c r="Y49" i="1"/>
  <c r="FU47" i="15"/>
  <c r="FU14"/>
  <c r="X10" i="1"/>
  <c r="FV58" i="15"/>
  <c r="X8" i="1"/>
  <c r="FV32" i="15"/>
  <c r="Y53" i="1"/>
  <c r="FV49" i="15"/>
  <c r="FU16"/>
  <c r="X12" i="1"/>
  <c r="FV72" i="15"/>
  <c r="X32" i="1"/>
  <c r="FV41" i="15"/>
  <c r="X15" i="1"/>
  <c r="FV55" i="15"/>
  <c r="FU21"/>
  <c r="X23" i="1"/>
  <c r="FU66" i="15"/>
  <c r="X20" i="1"/>
  <c r="FV36" i="15"/>
  <c r="Y60" i="1"/>
  <c r="FU53" i="15"/>
  <c r="FU18"/>
  <c r="X16" i="1"/>
  <c r="FU68" i="15"/>
  <c r="X24" i="1"/>
  <c r="FU37" i="15"/>
  <c r="FU51"/>
  <c r="FU19"/>
  <c r="X19" i="1"/>
  <c r="FU28" i="15"/>
  <c r="X33" i="1"/>
  <c r="FU7" i="15"/>
  <c r="X36" i="1"/>
  <c r="FU25" i="15"/>
  <c r="Y21" i="1"/>
  <c r="FV28" i="15"/>
  <c r="FU10"/>
  <c r="Y6" i="1"/>
  <c r="FV35" i="15"/>
  <c r="X57" i="1"/>
  <c r="Y41"/>
  <c r="FV39" i="15"/>
  <c r="Y30" i="1"/>
  <c r="FV21" i="15"/>
  <c r="Y24" i="1"/>
  <c r="FU40" i="15"/>
  <c r="Y52" i="1"/>
  <c r="FU33" i="15"/>
  <c r="Y15" i="1"/>
  <c r="Y13"/>
  <c r="FU55" i="15"/>
  <c r="FV34"/>
  <c r="FV17"/>
  <c r="FU38"/>
  <c r="Y48" i="1"/>
  <c r="Y26"/>
  <c r="Y22"/>
  <c r="FU48" i="15"/>
  <c r="FU26"/>
  <c r="FU45"/>
  <c r="X60" i="1"/>
  <c r="FU9" i="15"/>
  <c r="FU23"/>
  <c r="Y57" i="1"/>
  <c r="AW26" i="15"/>
  <c r="AH28" i="5"/>
  <c r="AW12" i="15"/>
  <c r="AH13" i="5"/>
  <c r="AW33" i="15"/>
  <c r="AH35" i="5"/>
  <c r="AW19" i="15"/>
  <c r="AH20" i="5"/>
  <c r="AW37" i="15"/>
  <c r="AH39" i="5"/>
  <c r="AW69" i="15"/>
  <c r="AH71" i="5"/>
  <c r="AW27" i="15"/>
  <c r="AH29" i="5"/>
  <c r="AX20" i="15"/>
  <c r="AI21" i="5"/>
  <c r="AX18" i="15"/>
  <c r="AI19" i="5"/>
  <c r="AW53" i="15"/>
  <c r="AH55" i="5"/>
  <c r="AX8" i="15"/>
  <c r="AI9" i="5"/>
  <c r="AI24"/>
  <c r="AW31" i="15"/>
  <c r="AH33" i="5"/>
  <c r="AW17" i="15"/>
  <c r="AH18" i="5"/>
  <c r="AW9" i="15"/>
  <c r="AH10" i="5"/>
  <c r="AW39" i="15"/>
  <c r="AH41" i="5"/>
  <c r="AW21" i="15"/>
  <c r="AH22" i="5"/>
  <c r="AW11" i="15"/>
  <c r="AH12" i="5"/>
  <c r="AX12" i="15"/>
  <c r="AI13" i="5"/>
  <c r="AX68" i="15"/>
  <c r="AI70" i="5"/>
  <c r="AX63" i="15"/>
  <c r="AI65" i="5"/>
  <c r="AX14" i="15"/>
  <c r="AI15" i="5"/>
  <c r="AW57" i="15"/>
  <c r="AH59" i="5"/>
  <c r="AW29" i="15"/>
  <c r="AH31" i="5"/>
  <c r="AW35" i="15"/>
  <c r="AH37" i="5"/>
  <c r="AW59" i="15"/>
  <c r="AH61" i="5"/>
  <c r="AW67" i="15"/>
  <c r="AH69" i="5"/>
  <c r="Z75"/>
  <c r="AF76" i="15"/>
  <c r="F600" i="13" l="1"/>
  <c r="Q600" s="1"/>
  <c r="J600"/>
  <c r="G600"/>
  <c r="K600"/>
  <c r="C601"/>
  <c r="D601" s="1"/>
  <c r="H600"/>
  <c r="L600"/>
  <c r="I600"/>
  <c r="M600"/>
  <c r="M745"/>
  <c r="K745"/>
  <c r="H745"/>
  <c r="L745"/>
  <c r="C746"/>
  <c r="D746" s="1"/>
  <c r="I745"/>
  <c r="G745"/>
  <c r="F745"/>
  <c r="Q745" s="1"/>
  <c r="J745"/>
  <c r="G257"/>
  <c r="M257"/>
  <c r="J257"/>
  <c r="K257"/>
  <c r="K258" s="1"/>
  <c r="H257"/>
  <c r="L257"/>
  <c r="F257"/>
  <c r="Q257" s="1"/>
  <c r="I257"/>
  <c r="AO69" i="5"/>
  <c r="BC67" i="15"/>
  <c r="AO61" i="5"/>
  <c r="BC59" i="15"/>
  <c r="BC35"/>
  <c r="AO37" i="5"/>
  <c r="BC29" i="15"/>
  <c r="AO31" i="5"/>
  <c r="BC57" i="15"/>
  <c r="AO59" i="5"/>
  <c r="BD14" i="15"/>
  <c r="AP15" i="5"/>
  <c r="BD63" i="15"/>
  <c r="AP65" i="5"/>
  <c r="BD68" i="15"/>
  <c r="AP70" i="5"/>
  <c r="BD12" i="15"/>
  <c r="AP13" i="5"/>
  <c r="AO12"/>
  <c r="BC11" i="15"/>
  <c r="BC21"/>
  <c r="AO22" i="5"/>
  <c r="BC39" i="15"/>
  <c r="AO41" i="5"/>
  <c r="AO10"/>
  <c r="BC9" i="15"/>
  <c r="AO18" i="5"/>
  <c r="BC17" i="15"/>
  <c r="BC31"/>
  <c r="AO33" i="5"/>
  <c r="AP24"/>
  <c r="BD8" i="15"/>
  <c r="AP9" i="5"/>
  <c r="AO55"/>
  <c r="BC53" i="15"/>
  <c r="BD18"/>
  <c r="AP19" i="5"/>
  <c r="BD20" i="15"/>
  <c r="AP21" i="5"/>
  <c r="BC27" i="15"/>
  <c r="AO29" i="5"/>
  <c r="AO71"/>
  <c r="BC69" i="15"/>
  <c r="BC37"/>
  <c r="AO39" i="5"/>
  <c r="BC19" i="15"/>
  <c r="AO20" i="5"/>
  <c r="AO35"/>
  <c r="BC33" i="15"/>
  <c r="AO13" i="5"/>
  <c r="BC12" i="15"/>
  <c r="AO28" i="5"/>
  <c r="BC26" i="15"/>
  <c r="AO45" i="5"/>
  <c r="BC43" i="15"/>
  <c r="BC24"/>
  <c r="AO26" i="5"/>
  <c r="AO54"/>
  <c r="BC52" i="15"/>
  <c r="BD17"/>
  <c r="AP18" i="5"/>
  <c r="BD27" i="15"/>
  <c r="AP29" i="5"/>
  <c r="BC62" i="15"/>
  <c r="AO64" i="5"/>
  <c r="BC49" i="15"/>
  <c r="AO51" i="5"/>
  <c r="BC25" i="15"/>
  <c r="AO27" i="5"/>
  <c r="BC23" i="15"/>
  <c r="AO25" i="5"/>
  <c r="BD72" i="15"/>
  <c r="AP74" i="5"/>
  <c r="BD66" i="15"/>
  <c r="AP68" i="5"/>
  <c r="BD61" i="15"/>
  <c r="AP63" i="5"/>
  <c r="BD52" i="15"/>
  <c r="AP54" i="5"/>
  <c r="BC66" i="15"/>
  <c r="AO68" i="5"/>
  <c r="AP52"/>
  <c r="BD50" i="15"/>
  <c r="AP26" i="5"/>
  <c r="BD24" i="15"/>
  <c r="BD58"/>
  <c r="AP60" i="5"/>
  <c r="BD46" i="15"/>
  <c r="AP48" i="5"/>
  <c r="BC51" i="15"/>
  <c r="AO53" i="5"/>
  <c r="BC13" i="15"/>
  <c r="AO14" i="5"/>
  <c r="AO73"/>
  <c r="BC71" i="15"/>
  <c r="BC47"/>
  <c r="AO49" i="5"/>
  <c r="BD70" i="15"/>
  <c r="AP72" i="5"/>
  <c r="BC70" i="15"/>
  <c r="AO72" i="5"/>
  <c r="BC65" i="15"/>
  <c r="AO67" i="5"/>
  <c r="BD54" i="15"/>
  <c r="AP56" i="5"/>
  <c r="BD56" i="15"/>
  <c r="AP58" i="5"/>
  <c r="BD60" i="15"/>
  <c r="AP62" i="5"/>
  <c r="BC45" i="15"/>
  <c r="AO47" i="5"/>
  <c r="BD65" i="15"/>
  <c r="AP67" i="5"/>
  <c r="BD26" i="15"/>
  <c r="AP28" i="5"/>
  <c r="BD43" i="15"/>
  <c r="AP45" i="5"/>
  <c r="BD48" i="15"/>
  <c r="AP50" i="5"/>
  <c r="AX69" i="15"/>
  <c r="AI71" i="5"/>
  <c r="BC46" i="15"/>
  <c r="AO48" i="5"/>
  <c r="BD29" i="15"/>
  <c r="AP31" i="5"/>
  <c r="BD55" i="15"/>
  <c r="AP57" i="5"/>
  <c r="BD15" i="15"/>
  <c r="AP16" i="5"/>
  <c r="AP51"/>
  <c r="BD49" i="15"/>
  <c r="BD39"/>
  <c r="AP41" i="5"/>
  <c r="AP39"/>
  <c r="BD37" i="15"/>
  <c r="BC50"/>
  <c r="AO52" i="5"/>
  <c r="AP37"/>
  <c r="BD35" i="15"/>
  <c r="BD31"/>
  <c r="AP33" i="5"/>
  <c r="BD57" i="15"/>
  <c r="AP59" i="5"/>
  <c r="BD51" i="15"/>
  <c r="AP53" i="5"/>
  <c r="BD13" i="15"/>
  <c r="AP14" i="5"/>
  <c r="BD33" i="15"/>
  <c r="AP35" i="5"/>
  <c r="BD59" i="15"/>
  <c r="AP61" i="5"/>
  <c r="BD9" i="15"/>
  <c r="AP10" i="5"/>
  <c r="BD25" i="15"/>
  <c r="AP27" i="5"/>
  <c r="BD23" i="15"/>
  <c r="AP25" i="5"/>
  <c r="BD53" i="15"/>
  <c r="AP55" i="5"/>
  <c r="AO15"/>
  <c r="BC14" i="15"/>
  <c r="BC61"/>
  <c r="AO63" i="5"/>
  <c r="BC7" i="15"/>
  <c r="AW73"/>
  <c r="AW76" s="1"/>
  <c r="AO7" i="5"/>
  <c r="BC8" i="15"/>
  <c r="AO9" i="5"/>
  <c r="BC30" i="15"/>
  <c r="AO32" i="5"/>
  <c r="BC28" i="15"/>
  <c r="AO30" i="5"/>
  <c r="BD7" i="15"/>
  <c r="AP7" i="5"/>
  <c r="Y61" i="1"/>
  <c r="FU73" i="15"/>
  <c r="O256" i="13"/>
  <c r="BC58" i="15"/>
  <c r="AO60" i="5"/>
  <c r="BC20" i="15"/>
  <c r="AO21" i="5"/>
  <c r="BC40" i="15"/>
  <c r="AO42" i="5"/>
  <c r="BC36" i="15"/>
  <c r="AO38" i="5"/>
  <c r="BC15" i="15"/>
  <c r="AO16" i="5"/>
  <c r="BC55" i="15"/>
  <c r="AO57" i="5"/>
  <c r="BD30" i="15"/>
  <c r="AP32" i="5"/>
  <c r="BD34" i="15"/>
  <c r="AP36" i="5"/>
  <c r="BD40" i="15"/>
  <c r="AP42" i="5"/>
  <c r="BD71" i="15"/>
  <c r="AP73" i="5"/>
  <c r="BD67" i="15"/>
  <c r="AP69" i="5"/>
  <c r="BD62" i="15"/>
  <c r="AP64" i="5"/>
  <c r="BC72" i="15"/>
  <c r="AO74" i="5"/>
  <c r="BD36" i="15"/>
  <c r="AP38" i="5"/>
  <c r="BD28" i="15"/>
  <c r="AP30" i="5"/>
  <c r="BD38" i="15"/>
  <c r="AP40" i="5"/>
  <c r="BD41" i="15"/>
  <c r="AP43" i="5"/>
  <c r="BC42" i="15"/>
  <c r="AO44" i="5"/>
  <c r="BC68" i="15"/>
  <c r="AO70" i="5"/>
  <c r="BC63" i="15"/>
  <c r="AO65" i="5"/>
  <c r="BC18" i="15"/>
  <c r="AO19" i="5"/>
  <c r="BC32" i="15"/>
  <c r="AO34" i="5"/>
  <c r="BC10" i="15"/>
  <c r="AO11" i="5"/>
  <c r="BC60" i="15"/>
  <c r="AO62" i="5"/>
  <c r="BC16" i="15"/>
  <c r="AO17" i="5"/>
  <c r="BD47" i="15"/>
  <c r="AP49" i="5"/>
  <c r="BC34" i="15"/>
  <c r="AO36" i="5"/>
  <c r="BC54" i="15"/>
  <c r="AO56" i="5"/>
  <c r="BC38" i="15"/>
  <c r="AO40" i="5"/>
  <c r="BC56" i="15"/>
  <c r="AO58" i="5"/>
  <c r="BD21" i="15"/>
  <c r="AP22" i="5"/>
  <c r="BD45" i="15"/>
  <c r="AP47" i="5"/>
  <c r="BD42" i="15"/>
  <c r="AP44" i="5"/>
  <c r="BD19" i="15"/>
  <c r="AP20" i="5"/>
  <c r="BD11" i="15"/>
  <c r="AP12" i="5"/>
  <c r="AO50"/>
  <c r="BC48" i="15"/>
  <c r="AO24" i="5"/>
  <c r="BC41" i="15"/>
  <c r="AO43" i="5"/>
  <c r="X61" i="1"/>
  <c r="FV73" i="15"/>
  <c r="AH75" i="5"/>
  <c r="AU4" s="1"/>
  <c r="AU8" s="1"/>
  <c r="O744" i="13"/>
  <c r="O745" l="1"/>
  <c r="G601"/>
  <c r="I601"/>
  <c r="F601"/>
  <c r="Q601" s="1"/>
  <c r="J601"/>
  <c r="C602"/>
  <c r="D602" s="1"/>
  <c r="M601"/>
  <c r="K601"/>
  <c r="H601"/>
  <c r="L601"/>
  <c r="BC73" i="15"/>
  <c r="BD69"/>
  <c r="AP71" i="5"/>
  <c r="K10" i="1"/>
  <c r="J10"/>
  <c r="BG11" i="15"/>
  <c r="AX12" i="5" s="1"/>
  <c r="BG28" i="15"/>
  <c r="AX30" i="5" s="1"/>
  <c r="J19" i="1"/>
  <c r="BF23" i="15"/>
  <c r="AW25" i="5" s="1"/>
  <c r="J43" i="1"/>
  <c r="BF48" i="15"/>
  <c r="AW50" i="5" s="1"/>
  <c r="BF20" i="15"/>
  <c r="AW21" i="5" s="1"/>
  <c r="K24" i="1"/>
  <c r="J12"/>
  <c r="BF10" i="15"/>
  <c r="AW11" i="5" s="1"/>
  <c r="BF65" i="15"/>
  <c r="BN65" s="1"/>
  <c r="BG12"/>
  <c r="AX13" i="5" s="1"/>
  <c r="J17" i="1"/>
  <c r="BG41" i="15"/>
  <c r="AX43" i="5" s="1"/>
  <c r="BG13" i="15"/>
  <c r="BO13" s="1"/>
  <c r="BF59"/>
  <c r="AW61" i="5" s="1"/>
  <c r="K23" i="1"/>
  <c r="BF43" i="15"/>
  <c r="AW45" i="5" s="1"/>
  <c r="K43" i="1"/>
  <c r="BG65" i="15"/>
  <c r="BO65" s="1"/>
  <c r="BG31"/>
  <c r="AX33" i="5" s="1"/>
  <c r="K52" i="1"/>
  <c r="J40"/>
  <c r="BG43" i="15"/>
  <c r="BO43" s="1"/>
  <c r="J49" i="1"/>
  <c r="BG32" i="15"/>
  <c r="K17" i="1"/>
  <c r="BF55" i="15"/>
  <c r="BN55" s="1"/>
  <c r="BG25"/>
  <c r="AX27" i="5" s="1"/>
  <c r="K18" i="1"/>
  <c r="BF36" i="15"/>
  <c r="BN36" s="1"/>
  <c r="J35" i="1"/>
  <c r="BG26" i="15"/>
  <c r="AX28" i="5" s="1"/>
  <c r="J58" i="1"/>
  <c r="BF51" i="15"/>
  <c r="AW53" i="5" s="1"/>
  <c r="K32" i="1"/>
  <c r="J20"/>
  <c r="BF18" i="15"/>
  <c r="AW19" i="5" s="1"/>
  <c r="BG20" i="15"/>
  <c r="BO20" s="1"/>
  <c r="J33" i="1"/>
  <c r="BG46" i="15"/>
  <c r="AX48" i="5" s="1"/>
  <c r="BG17" i="15"/>
  <c r="BO17" s="1"/>
  <c r="J54" i="1"/>
  <c r="BF70" i="15"/>
  <c r="BN70" s="1"/>
  <c r="K41" i="1"/>
  <c r="BF54" i="15"/>
  <c r="BN54" s="1"/>
  <c r="K58" i="1"/>
  <c r="BG70" i="15"/>
  <c r="BO70" s="1"/>
  <c r="BG34"/>
  <c r="AX36" i="5" s="1"/>
  <c r="BG60" i="15"/>
  <c r="BO60" s="1"/>
  <c r="J48" i="1"/>
  <c r="BF52" i="15"/>
  <c r="AW54" i="5" s="1"/>
  <c r="K9" i="1"/>
  <c r="BF38" i="15"/>
  <c r="BN38" s="1"/>
  <c r="K33" i="1"/>
  <c r="BF61" i="15"/>
  <c r="AW63" i="5" s="1"/>
  <c r="BG27" i="15"/>
  <c r="AX29" i="5" s="1"/>
  <c r="K42" i="1"/>
  <c r="J26"/>
  <c r="K8"/>
  <c r="BF7" i="15"/>
  <c r="AW7" i="5" s="1"/>
  <c r="BG61" i="15"/>
  <c r="BO61" s="1"/>
  <c r="BF11"/>
  <c r="BN11" s="1"/>
  <c r="J13" i="1"/>
  <c r="BF40" i="15"/>
  <c r="BN40" s="1"/>
  <c r="BG15"/>
  <c r="AX16" i="5" s="1"/>
  <c r="K6" i="1"/>
  <c r="BG68" i="15"/>
  <c r="BO68" s="1"/>
  <c r="K37" i="1"/>
  <c r="BF49" i="15"/>
  <c r="BN49" s="1"/>
  <c r="K53" i="1"/>
  <c r="BG67" i="15"/>
  <c r="AX69" i="5" s="1"/>
  <c r="BF34" i="15"/>
  <c r="BN34" s="1"/>
  <c r="K54" i="1"/>
  <c r="J46"/>
  <c r="J45"/>
  <c r="BF29" i="15"/>
  <c r="BN29" s="1"/>
  <c r="K13" i="1"/>
  <c r="BG55" i="15"/>
  <c r="AX57" i="5" s="1"/>
  <c r="K36" i="1"/>
  <c r="J24"/>
  <c r="J15"/>
  <c r="J39"/>
  <c r="BG48" i="15"/>
  <c r="AX50" i="5" s="1"/>
  <c r="BG9" i="15"/>
  <c r="AX10" i="5" s="1"/>
  <c r="J50" i="1"/>
  <c r="BG56" i="15"/>
  <c r="AX58" i="5" s="1"/>
  <c r="K15" i="1"/>
  <c r="BG40" i="15"/>
  <c r="AX42" i="5" s="1"/>
  <c r="K35" i="1"/>
  <c r="BF63" i="15"/>
  <c r="BN63" s="1"/>
  <c r="BG29"/>
  <c r="AX31" i="5" s="1"/>
  <c r="K48" i="1"/>
  <c r="J36"/>
  <c r="BF39" i="15"/>
  <c r="AW41" i="5" s="1"/>
  <c r="J41" i="1"/>
  <c r="BF28" i="15"/>
  <c r="BN28" s="1"/>
  <c r="K11" i="1"/>
  <c r="BG53" i="15"/>
  <c r="AX55" i="5" s="1"/>
  <c r="AW24"/>
  <c r="K30" i="1"/>
  <c r="BG14" i="15"/>
  <c r="AX15" i="5" s="1"/>
  <c r="BF68" i="15"/>
  <c r="BN68" s="1"/>
  <c r="BF12"/>
  <c r="AW13" i="5" s="1"/>
  <c r="J21" i="1"/>
  <c r="BF42" i="15"/>
  <c r="BN42" s="1"/>
  <c r="BF13"/>
  <c r="BN13" s="1"/>
  <c r="K12" i="1"/>
  <c r="BF72" i="15"/>
  <c r="BN72" s="1"/>
  <c r="K45" i="1"/>
  <c r="BF50" i="15"/>
  <c r="AW52" i="5" s="1"/>
  <c r="BF64" i="15"/>
  <c r="BN64" s="1"/>
  <c r="BT64" s="1"/>
  <c r="BG69"/>
  <c r="BG37"/>
  <c r="AX39" i="5" s="1"/>
  <c r="K59" i="1"/>
  <c r="J42"/>
  <c r="BG66" i="15"/>
  <c r="BO66" s="1"/>
  <c r="K31" i="1"/>
  <c r="BF47" i="15"/>
  <c r="AW49" i="5" s="1"/>
  <c r="K49" i="1"/>
  <c r="BF67" i="15"/>
  <c r="AW69" i="5" s="1"/>
  <c r="BG33" i="15"/>
  <c r="AX35" i="5" s="1"/>
  <c r="K57" i="1"/>
  <c r="J44"/>
  <c r="BG49" i="15"/>
  <c r="AX51" i="5" s="1"/>
  <c r="J60" i="1"/>
  <c r="BG35" i="15"/>
  <c r="AX37" i="5" s="1"/>
  <c r="K25" i="1"/>
  <c r="BF57" i="15"/>
  <c r="BN57" s="1"/>
  <c r="BG24"/>
  <c r="AX26" i="5" s="1"/>
  <c r="K38" i="1"/>
  <c r="J30"/>
  <c r="BG22" i="15"/>
  <c r="J9" i="1"/>
  <c r="BG21" i="15"/>
  <c r="AX22" i="5" s="1"/>
  <c r="J37" i="1"/>
  <c r="BG47" i="15"/>
  <c r="AX49" i="5" s="1"/>
  <c r="BF19" i="15"/>
  <c r="AW20" i="5" s="1"/>
  <c r="K20" i="1"/>
  <c r="J8"/>
  <c r="BG64" i="15"/>
  <c r="BO64" s="1"/>
  <c r="BU64" s="1"/>
  <c r="BG62"/>
  <c r="AX64" i="5" s="1"/>
  <c r="BF8" i="15"/>
  <c r="AW9" i="5" s="1"/>
  <c r="J11" i="1"/>
  <c r="K50"/>
  <c r="J34"/>
  <c r="K51"/>
  <c r="BG54" i="15"/>
  <c r="AX56" i="5" s="1"/>
  <c r="BF60" i="15"/>
  <c r="AW62" i="5" s="1"/>
  <c r="BG71" i="15"/>
  <c r="AX73" i="5" s="1"/>
  <c r="BG38" i="15"/>
  <c r="AX40" i="5" s="1"/>
  <c r="J52" i="1"/>
  <c r="BF58" i="15"/>
  <c r="BN58" s="1"/>
  <c r="K19" i="1"/>
  <c r="BF41" i="15"/>
  <c r="BN41" s="1"/>
  <c r="K39" i="1"/>
  <c r="BF62" i="15"/>
  <c r="AW64" i="5" s="1"/>
  <c r="BG30" i="15"/>
  <c r="AX32" i="5" s="1"/>
  <c r="K46" i="1"/>
  <c r="J22"/>
  <c r="BF32" i="15"/>
  <c r="BN32" s="1"/>
  <c r="J27" i="1"/>
  <c r="BF24" i="15"/>
  <c r="AW26" i="5" s="1"/>
  <c r="J51" i="1"/>
  <c r="BF53" i="15"/>
  <c r="AW55" i="5" s="1"/>
  <c r="BF22" i="15"/>
  <c r="K28" i="1"/>
  <c r="J16"/>
  <c r="BF14" i="15"/>
  <c r="AW15" i="5" s="1"/>
  <c r="BF69" i="15"/>
  <c r="AW71" i="5" s="1"/>
  <c r="BG16" i="15"/>
  <c r="J25" i="1"/>
  <c r="BG42" i="15"/>
  <c r="AX44" i="5" s="1"/>
  <c r="BF15" i="15"/>
  <c r="BN15" s="1"/>
  <c r="J59" i="1"/>
  <c r="BF46" i="15"/>
  <c r="AW48" i="5" s="1"/>
  <c r="J55" i="1"/>
  <c r="BF33" i="15"/>
  <c r="AW35" i="5" s="1"/>
  <c r="K21" i="1"/>
  <c r="BG57" i="15"/>
  <c r="AX59" i="5" s="1"/>
  <c r="BF25" i="15"/>
  <c r="AW27" i="5" s="1"/>
  <c r="K40" i="1"/>
  <c r="J28"/>
  <c r="BF30" i="15"/>
  <c r="BN30" s="1"/>
  <c r="J23" i="1"/>
  <c r="BG23" i="15"/>
  <c r="AX25" i="5" s="1"/>
  <c r="J47" i="1"/>
  <c r="BG51" i="15"/>
  <c r="BO51" s="1"/>
  <c r="BF21"/>
  <c r="AW22" i="5" s="1"/>
  <c r="K22" i="1"/>
  <c r="J14"/>
  <c r="BG58" i="15"/>
  <c r="AX60" i="5" s="1"/>
  <c r="BG8" i="15"/>
  <c r="AX9" i="5" s="1"/>
  <c r="J7" i="1"/>
  <c r="BG39" i="15"/>
  <c r="AX41" i="5" s="1"/>
  <c r="BF9" i="15"/>
  <c r="BN9" s="1"/>
  <c r="J57" i="1"/>
  <c r="BG63" i="15"/>
  <c r="AX65" i="5" s="1"/>
  <c r="K27" i="1"/>
  <c r="BF45" i="15"/>
  <c r="AW47" i="5" s="1"/>
  <c r="K47" i="1"/>
  <c r="BF66" i="15"/>
  <c r="AW68" i="5" s="1"/>
  <c r="BF31" i="15"/>
  <c r="AW33" i="5" s="1"/>
  <c r="K34" i="1"/>
  <c r="J18"/>
  <c r="BF17" i="15"/>
  <c r="BN17" s="1"/>
  <c r="BF71"/>
  <c r="AW73" i="5" s="1"/>
  <c r="BG18" i="15"/>
  <c r="BO18" s="1"/>
  <c r="J29" i="1"/>
  <c r="BG45" i="15"/>
  <c r="BO45" s="1"/>
  <c r="BF16"/>
  <c r="AW17" i="5" s="1"/>
  <c r="K16" i="1"/>
  <c r="J6"/>
  <c r="K55"/>
  <c r="BF56" i="15"/>
  <c r="AW58" i="5" s="1"/>
  <c r="BG7" i="15"/>
  <c r="BF37"/>
  <c r="AW39" i="5" s="1"/>
  <c r="J38" i="1"/>
  <c r="BG52" i="15"/>
  <c r="AX54" i="5" s="1"/>
  <c r="BG36" i="15"/>
  <c r="AX38" i="5" s="1"/>
  <c r="K29" i="1"/>
  <c r="BG59" i="15"/>
  <c r="AX61" i="5" s="1"/>
  <c r="BF27" i="15"/>
  <c r="AW29" i="5" s="1"/>
  <c r="K44" i="1"/>
  <c r="J32"/>
  <c r="BF35" i="15"/>
  <c r="AW37" i="5" s="1"/>
  <c r="J31" i="1"/>
  <c r="BF26" i="15"/>
  <c r="AW28" i="5" s="1"/>
  <c r="J53" i="1"/>
  <c r="BG50" i="15"/>
  <c r="AX52" i="5" s="1"/>
  <c r="K26" i="1"/>
  <c r="I746" i="13"/>
  <c r="M746"/>
  <c r="J746"/>
  <c r="C747"/>
  <c r="D747" s="1"/>
  <c r="G746"/>
  <c r="K746"/>
  <c r="F746"/>
  <c r="Q746" s="1"/>
  <c r="H746"/>
  <c r="L746"/>
  <c r="AO75" i="5"/>
  <c r="O600" i="13"/>
  <c r="BN8" i="15"/>
  <c r="BN43"/>
  <c r="O257" i="13"/>
  <c r="K60" i="1" s="1"/>
  <c r="L258" i="13"/>
  <c r="BN67" i="15" l="1"/>
  <c r="BT67" s="1"/>
  <c r="BO49"/>
  <c r="BE51" i="5" s="1"/>
  <c r="BN59" i="15"/>
  <c r="BD61" i="5" s="1"/>
  <c r="BN52" i="15"/>
  <c r="BD54" i="5" s="1"/>
  <c r="BO35" i="15"/>
  <c r="BU35" s="1"/>
  <c r="BN53"/>
  <c r="BT53" s="1"/>
  <c r="AW12" i="5"/>
  <c r="AW10"/>
  <c r="BO50" i="15"/>
  <c r="BU50" s="1"/>
  <c r="BN69"/>
  <c r="BD71" i="5" s="1"/>
  <c r="AW32"/>
  <c r="AW18"/>
  <c r="BN12" i="15"/>
  <c r="BD13" i="5" s="1"/>
  <c r="BO24" i="15"/>
  <c r="BU24" s="1"/>
  <c r="AW30" i="5"/>
  <c r="AW31"/>
  <c r="AX70"/>
  <c r="AX18"/>
  <c r="AX68"/>
  <c r="AX72"/>
  <c r="AW67"/>
  <c r="AX67"/>
  <c r="AX14"/>
  <c r="BN33" i="15"/>
  <c r="BD35" i="5" s="1"/>
  <c r="BN26" i="15"/>
  <c r="BT26" s="1"/>
  <c r="O746" i="13"/>
  <c r="J61" i="1"/>
  <c r="AW59" i="5"/>
  <c r="AX24"/>
  <c r="AW51"/>
  <c r="AX63"/>
  <c r="AW72"/>
  <c r="AX62"/>
  <c r="AX45"/>
  <c r="BT32" i="15"/>
  <c r="BD34" i="5"/>
  <c r="BT41" i="15"/>
  <c r="BD43" i="5"/>
  <c r="BT58" i="15"/>
  <c r="BD60" i="5"/>
  <c r="BT57" i="15"/>
  <c r="BD59" i="5"/>
  <c r="BU66" i="15"/>
  <c r="BE68" i="5"/>
  <c r="BT72" i="15"/>
  <c r="BD74" i="5"/>
  <c r="BT13" i="15"/>
  <c r="BD14" i="5"/>
  <c r="BT68" i="15"/>
  <c r="BD70" i="5"/>
  <c r="BE24"/>
  <c r="BD31"/>
  <c r="BT29" i="15"/>
  <c r="BT49"/>
  <c r="BD51" i="5"/>
  <c r="BU68" i="15"/>
  <c r="BE70" i="5"/>
  <c r="BU61" i="15"/>
  <c r="BE63" i="5"/>
  <c r="BT38" i="15"/>
  <c r="BD40" i="5"/>
  <c r="BU60" i="15"/>
  <c r="BE62" i="5"/>
  <c r="BU70" i="15"/>
  <c r="BE72" i="5"/>
  <c r="BT54" i="15"/>
  <c r="BD56" i="5"/>
  <c r="BT70" i="15"/>
  <c r="BD72" i="5"/>
  <c r="BU17" i="15"/>
  <c r="BE18" i="5"/>
  <c r="BT55" i="15"/>
  <c r="BD57" i="5"/>
  <c r="BU43" i="15"/>
  <c r="BE45" i="5"/>
  <c r="BU65" i="15"/>
  <c r="BE67" i="5"/>
  <c r="BU13" i="15"/>
  <c r="BE14" i="5"/>
  <c r="BT65" i="15"/>
  <c r="BD67" i="5"/>
  <c r="I747" i="13"/>
  <c r="M747"/>
  <c r="J747"/>
  <c r="C748"/>
  <c r="D748" s="1"/>
  <c r="G747"/>
  <c r="K747"/>
  <c r="F747"/>
  <c r="Q747" s="1"/>
  <c r="H747"/>
  <c r="L747"/>
  <c r="BU45" i="15"/>
  <c r="BE47" i="5"/>
  <c r="BU18" i="15"/>
  <c r="BE19" i="5"/>
  <c r="BU51" i="15"/>
  <c r="BE53" i="5"/>
  <c r="BT30" i="15"/>
  <c r="BD32" i="5"/>
  <c r="BT15" i="15"/>
  <c r="BD16" i="5"/>
  <c r="BT42" i="15"/>
  <c r="BD44" i="5"/>
  <c r="BT28" i="15"/>
  <c r="BD30" i="5"/>
  <c r="BT63" i="15"/>
  <c r="BD65" i="5"/>
  <c r="BT34" i="15"/>
  <c r="BD36" i="5"/>
  <c r="BT40" i="15"/>
  <c r="BD42" i="5"/>
  <c r="BU20" i="15"/>
  <c r="BE21" i="5"/>
  <c r="BT36" i="15"/>
  <c r="BD38" i="5"/>
  <c r="AW23"/>
  <c r="BN22" i="15"/>
  <c r="AX23" i="5"/>
  <c r="BO22" i="15"/>
  <c r="BO69"/>
  <c r="AX71" i="5"/>
  <c r="BN35" i="15"/>
  <c r="BO14"/>
  <c r="BO63"/>
  <c r="BO12"/>
  <c r="BN21"/>
  <c r="BN39"/>
  <c r="BN31"/>
  <c r="BO8"/>
  <c r="AX19" i="5"/>
  <c r="AX21"/>
  <c r="BN27" i="15"/>
  <c r="BN37"/>
  <c r="BN19"/>
  <c r="BN24"/>
  <c r="BO27"/>
  <c r="BN62"/>
  <c r="BN25"/>
  <c r="BN23"/>
  <c r="BO52"/>
  <c r="BN66"/>
  <c r="BO58"/>
  <c r="BO46"/>
  <c r="BN51"/>
  <c r="AW14" i="5"/>
  <c r="BN47" i="15"/>
  <c r="BO54"/>
  <c r="BO56"/>
  <c r="BN45"/>
  <c r="BO26"/>
  <c r="BO48"/>
  <c r="BN46"/>
  <c r="BO29"/>
  <c r="BO55"/>
  <c r="BO15"/>
  <c r="BO39"/>
  <c r="BN50"/>
  <c r="BO31"/>
  <c r="BO57"/>
  <c r="AX53" i="5"/>
  <c r="BO33" i="15"/>
  <c r="BO59"/>
  <c r="BO9"/>
  <c r="BO25"/>
  <c r="BO23"/>
  <c r="BO53"/>
  <c r="BN61"/>
  <c r="AX7" i="5"/>
  <c r="AW60"/>
  <c r="BN20" i="15"/>
  <c r="AW42" i="5"/>
  <c r="AW38"/>
  <c r="AW16"/>
  <c r="AW57"/>
  <c r="BO30" i="15"/>
  <c r="BO34"/>
  <c r="BO40"/>
  <c r="BO71"/>
  <c r="BO67"/>
  <c r="BO62"/>
  <c r="AW74" i="5"/>
  <c r="BO36" i="15"/>
  <c r="BO28"/>
  <c r="BO38"/>
  <c r="BO41"/>
  <c r="AW44" i="5"/>
  <c r="AW70"/>
  <c r="AW65"/>
  <c r="BN18" i="15"/>
  <c r="AW34" i="5"/>
  <c r="BN10" i="15"/>
  <c r="BN60"/>
  <c r="BN16"/>
  <c r="BO47"/>
  <c r="AW36" i="5"/>
  <c r="AW56"/>
  <c r="AW40"/>
  <c r="BN56" i="15"/>
  <c r="BO21"/>
  <c r="AX47" i="5"/>
  <c r="BO42" i="15"/>
  <c r="BO11"/>
  <c r="AW43" i="5"/>
  <c r="BN71" i="15"/>
  <c r="BO37"/>
  <c r="BN14"/>
  <c r="BN48"/>
  <c r="O601" i="13"/>
  <c r="BD12" i="5"/>
  <c r="BT11" i="15"/>
  <c r="BT9"/>
  <c r="BD10" i="5"/>
  <c r="BD18"/>
  <c r="BT17" i="15"/>
  <c r="BD45" i="5"/>
  <c r="BT43" i="15"/>
  <c r="BT52"/>
  <c r="BT8"/>
  <c r="BD9" i="5"/>
  <c r="F602" i="13"/>
  <c r="Q602" s="1"/>
  <c r="J602"/>
  <c r="G602"/>
  <c r="K602"/>
  <c r="C603"/>
  <c r="D603" s="1"/>
  <c r="H602"/>
  <c r="L602"/>
  <c r="I602"/>
  <c r="M602"/>
  <c r="BG72" i="15"/>
  <c r="BF73"/>
  <c r="BF74" s="1"/>
  <c r="BN75" s="1"/>
  <c r="BN7"/>
  <c r="BO7"/>
  <c r="BT12" l="1"/>
  <c r="BU49"/>
  <c r="BD69" i="5"/>
  <c r="BT59" i="15"/>
  <c r="BE37" i="5"/>
  <c r="BD55"/>
  <c r="BT69" i="15"/>
  <c r="BD28" i="5"/>
  <c r="BE26"/>
  <c r="BT33" i="15"/>
  <c r="BE52" i="5"/>
  <c r="AW75"/>
  <c r="BJ4" s="1"/>
  <c r="BJ8" s="1"/>
  <c r="O747" i="13"/>
  <c r="I748"/>
  <c r="M748"/>
  <c r="J748"/>
  <c r="C749"/>
  <c r="D749" s="1"/>
  <c r="G748"/>
  <c r="K748"/>
  <c r="F748"/>
  <c r="Q748" s="1"/>
  <c r="H748"/>
  <c r="L748"/>
  <c r="BU7" i="15"/>
  <c r="BE7" i="5"/>
  <c r="BT7" i="15"/>
  <c r="BD7" i="5"/>
  <c r="BN73" i="15"/>
  <c r="BN76" s="1"/>
  <c r="L603" i="13"/>
  <c r="F603"/>
  <c r="Q603" s="1"/>
  <c r="I603"/>
  <c r="H603"/>
  <c r="M603"/>
  <c r="C604"/>
  <c r="D604" s="1"/>
  <c r="G603"/>
  <c r="K603"/>
  <c r="J603"/>
  <c r="BT48" i="15"/>
  <c r="BD50" i="5"/>
  <c r="BU37" i="15"/>
  <c r="BE39" i="5"/>
  <c r="BU38" i="15"/>
  <c r="BE40" i="5"/>
  <c r="BU36" i="15"/>
  <c r="BE38" i="5"/>
  <c r="BU62" i="15"/>
  <c r="BE64" i="5"/>
  <c r="BU40" i="15"/>
  <c r="BE42" i="5"/>
  <c r="BU30" i="15"/>
  <c r="BE32" i="5"/>
  <c r="BE33"/>
  <c r="BU31" i="15"/>
  <c r="BU39"/>
  <c r="BE41" i="5"/>
  <c r="BU55" i="15"/>
  <c r="BE57" i="5"/>
  <c r="BD48"/>
  <c r="BT46" i="15"/>
  <c r="BU26"/>
  <c r="BE28" i="5"/>
  <c r="BU56" i="15"/>
  <c r="BE58" i="5"/>
  <c r="BT47" i="15"/>
  <c r="BD49" i="5"/>
  <c r="BT51" i="15"/>
  <c r="BD53" i="5"/>
  <c r="BT66" i="15"/>
  <c r="BD68" i="5"/>
  <c r="BU8" i="15"/>
  <c r="BE9" i="5"/>
  <c r="BD41"/>
  <c r="BT39" i="15"/>
  <c r="BU12"/>
  <c r="BE13" i="5"/>
  <c r="BU14" i="15"/>
  <c r="BE15" i="5"/>
  <c r="BU69" i="15"/>
  <c r="BE71" i="5"/>
  <c r="AX74"/>
  <c r="BO72" i="15"/>
  <c r="BD24" i="5"/>
  <c r="BT14" i="15"/>
  <c r="BD15" i="5"/>
  <c r="BT71" i="15"/>
  <c r="BD73" i="5"/>
  <c r="BU11" i="15"/>
  <c r="BE12" i="5"/>
  <c r="BD58"/>
  <c r="BT56" i="15"/>
  <c r="BU47"/>
  <c r="BE49" i="5"/>
  <c r="BD62"/>
  <c r="BT60" i="15"/>
  <c r="BT18"/>
  <c r="BD19" i="5"/>
  <c r="BU41" i="15"/>
  <c r="BE43" i="5"/>
  <c r="BU28" i="15"/>
  <c r="BE30" i="5"/>
  <c r="BU67" i="15"/>
  <c r="BE69" i="5"/>
  <c r="BU71" i="15"/>
  <c r="BE73" i="5"/>
  <c r="BU34" i="15"/>
  <c r="BE36" i="5"/>
  <c r="BU53" i="15"/>
  <c r="BE55" i="5"/>
  <c r="BU25" i="15"/>
  <c r="BE27" i="5"/>
  <c r="BU59" i="15"/>
  <c r="BE61" i="5"/>
  <c r="BU57" i="15"/>
  <c r="BE59" i="5"/>
  <c r="BT50" i="15"/>
  <c r="BD52" i="5"/>
  <c r="BU15" i="15"/>
  <c r="BE16" i="5"/>
  <c r="BU29" i="15"/>
  <c r="BE31" i="5"/>
  <c r="BU48" i="15"/>
  <c r="BE50" i="5"/>
  <c r="BT45" i="15"/>
  <c r="BD47" i="5"/>
  <c r="BU54" i="15"/>
  <c r="BE56" i="5"/>
  <c r="BU46" i="15"/>
  <c r="BE48" i="5"/>
  <c r="BU58" i="15"/>
  <c r="BE60" i="5"/>
  <c r="BU52" i="15"/>
  <c r="BE54" i="5"/>
  <c r="BT23" i="15"/>
  <c r="BD25" i="5"/>
  <c r="BD64"/>
  <c r="BT62" i="15"/>
  <c r="BU27"/>
  <c r="BE29" i="5"/>
  <c r="BD20"/>
  <c r="BT19" i="15"/>
  <c r="BD29" i="5"/>
  <c r="BT27" i="15"/>
  <c r="BD33" i="5"/>
  <c r="BT31" i="15"/>
  <c r="BD22" i="5"/>
  <c r="BT21" i="15"/>
  <c r="BU63"/>
  <c r="BE65" i="5"/>
  <c r="BD37"/>
  <c r="BT35" i="15"/>
  <c r="BU22"/>
  <c r="BE23" i="5"/>
  <c r="BT22" i="15"/>
  <c r="BD23" i="5"/>
  <c r="O602" i="13"/>
  <c r="BU42" i="15"/>
  <c r="BE44" i="5"/>
  <c r="BU21" i="15"/>
  <c r="BE22" i="5"/>
  <c r="BT16" i="15"/>
  <c r="BD17" i="5"/>
  <c r="BT10" i="15"/>
  <c r="BD11" i="5"/>
  <c r="BT20" i="15"/>
  <c r="BD21" i="5"/>
  <c r="BT61" i="15"/>
  <c r="BD63" i="5"/>
  <c r="BU23" i="15"/>
  <c r="BE25" i="5"/>
  <c r="BU9" i="15"/>
  <c r="BE10" i="5"/>
  <c r="BU33" i="15"/>
  <c r="BE35" i="5"/>
  <c r="BT25" i="15"/>
  <c r="BD27" i="5"/>
  <c r="BD26"/>
  <c r="BT24" i="15"/>
  <c r="BD39" i="5"/>
  <c r="BT37" i="15"/>
  <c r="O748" i="13" l="1"/>
  <c r="O603"/>
  <c r="M604"/>
  <c r="H604"/>
  <c r="G604"/>
  <c r="K604"/>
  <c r="L604"/>
  <c r="F604"/>
  <c r="Q604" s="1"/>
  <c r="J604"/>
  <c r="I604"/>
  <c r="C605"/>
  <c r="D605" s="1"/>
  <c r="I749"/>
  <c r="M749"/>
  <c r="H749"/>
  <c r="L749"/>
  <c r="C750"/>
  <c r="D750" s="1"/>
  <c r="G749"/>
  <c r="K749"/>
  <c r="F749"/>
  <c r="Q749" s="1"/>
  <c r="J749"/>
  <c r="BU72" i="15"/>
  <c r="BE74" i="5"/>
  <c r="BD75"/>
  <c r="BT73" i="15"/>
  <c r="O604" i="13" l="1"/>
  <c r="O749"/>
  <c r="L605"/>
  <c r="L606" s="1"/>
  <c r="G605"/>
  <c r="J605"/>
  <c r="K605"/>
  <c r="K606" s="1"/>
  <c r="M605"/>
  <c r="M606" s="1"/>
  <c r="F605"/>
  <c r="Q605" s="1"/>
  <c r="H605"/>
  <c r="I605"/>
  <c r="M750"/>
  <c r="H750"/>
  <c r="G750"/>
  <c r="K750"/>
  <c r="L750"/>
  <c r="F750"/>
  <c r="Q750" s="1"/>
  <c r="J750"/>
  <c r="I750"/>
  <c r="C751"/>
  <c r="D751" s="1"/>
  <c r="O750" l="1"/>
  <c r="FE29" i="15"/>
  <c r="FM29" s="1"/>
  <c r="FD12"/>
  <c r="FD27"/>
  <c r="FD33"/>
  <c r="FD30"/>
  <c r="FE17"/>
  <c r="FM17" s="1"/>
  <c r="FE27"/>
  <c r="FM27" s="1"/>
  <c r="FE14"/>
  <c r="FM14" s="1"/>
  <c r="FD31"/>
  <c r="FE15"/>
  <c r="FM15" s="1"/>
  <c r="FD34"/>
  <c r="FE25"/>
  <c r="FM25" s="1"/>
  <c r="FD9"/>
  <c r="FE18"/>
  <c r="FM18" s="1"/>
  <c r="FE13"/>
  <c r="FM13" s="1"/>
  <c r="FE23"/>
  <c r="FM23" s="1"/>
  <c r="FE12"/>
  <c r="FM12" s="1"/>
  <c r="FE33"/>
  <c r="FM33" s="1"/>
  <c r="FD13"/>
  <c r="FE22"/>
  <c r="FM22" s="1"/>
  <c r="FD16"/>
  <c r="FD23"/>
  <c r="FE32"/>
  <c r="FM32" s="1"/>
  <c r="FD26"/>
  <c r="FE9"/>
  <c r="FM9" s="1"/>
  <c r="FE19"/>
  <c r="FM19" s="1"/>
  <c r="FE10"/>
  <c r="FM10" s="1"/>
  <c r="FD20"/>
  <c r="FD11"/>
  <c r="FE20"/>
  <c r="FM20" s="1"/>
  <c r="FD14"/>
  <c r="FD21"/>
  <c r="FE30"/>
  <c r="FM30" s="1"/>
  <c r="FD24"/>
  <c r="FD15"/>
  <c r="FE24"/>
  <c r="FM24" s="1"/>
  <c r="FD18"/>
  <c r="FD25"/>
  <c r="FE34"/>
  <c r="FM34" s="1"/>
  <c r="FD28"/>
  <c r="FD19"/>
  <c r="FE28"/>
  <c r="FM28" s="1"/>
  <c r="FD22"/>
  <c r="FD29"/>
  <c r="FE11"/>
  <c r="FM11" s="1"/>
  <c r="FD32"/>
  <c r="FE21"/>
  <c r="FM21" s="1"/>
  <c r="FE31"/>
  <c r="FM31" s="1"/>
  <c r="FE16"/>
  <c r="FM16" s="1"/>
  <c r="FD10"/>
  <c r="FD17"/>
  <c r="FE26"/>
  <c r="FM26" s="1"/>
  <c r="F751" i="13"/>
  <c r="Q751" s="1"/>
  <c r="J751"/>
  <c r="C752"/>
  <c r="D752" s="1"/>
  <c r="M751"/>
  <c r="G751"/>
  <c r="K751"/>
  <c r="H751"/>
  <c r="L751"/>
  <c r="I751"/>
  <c r="O605"/>
  <c r="W38" i="1"/>
  <c r="W53"/>
  <c r="FE7" i="15"/>
  <c r="FE39"/>
  <c r="V20" i="1"/>
  <c r="FD43" i="15"/>
  <c r="W31" i="1"/>
  <c r="W47"/>
  <c r="FD49" i="15"/>
  <c r="FE36"/>
  <c r="V8" i="1"/>
  <c r="FD36" i="15"/>
  <c r="W25" i="1"/>
  <c r="W40"/>
  <c r="V54"/>
  <c r="FD71" i="15"/>
  <c r="W19" i="1"/>
  <c r="W32"/>
  <c r="V48"/>
  <c r="FE68" i="15"/>
  <c r="V55" i="1"/>
  <c r="W12"/>
  <c r="W26"/>
  <c r="V41"/>
  <c r="FE65" i="15"/>
  <c r="V42" i="1"/>
  <c r="W20"/>
  <c r="V33"/>
  <c r="FE62" i="15"/>
  <c r="V26" i="1"/>
  <c r="FE69" i="15"/>
  <c r="W13" i="1"/>
  <c r="V27"/>
  <c r="FE56" i="15"/>
  <c r="V11" i="1"/>
  <c r="FD59" i="15"/>
  <c r="V21" i="1"/>
  <c r="FD50" i="15"/>
  <c r="FD57"/>
  <c r="FE71"/>
  <c r="FD53"/>
  <c r="V34" i="1"/>
  <c r="W57"/>
  <c r="V14"/>
  <c r="FE48" i="15"/>
  <c r="V53" i="1"/>
  <c r="FD62" i="15"/>
  <c r="FD41"/>
  <c r="W50" i="1"/>
  <c r="V7"/>
  <c r="FD45" i="15"/>
  <c r="V40" i="1"/>
  <c r="FE55" i="15"/>
  <c r="FE35"/>
  <c r="W43" i="1"/>
  <c r="W58"/>
  <c r="FD8" i="15"/>
  <c r="FE41"/>
  <c r="V28" i="1"/>
  <c r="FD47" i="15"/>
  <c r="W35" i="1"/>
  <c r="W51"/>
  <c r="FD60" i="15"/>
  <c r="FD37"/>
  <c r="V18" i="1"/>
  <c r="W29"/>
  <c r="W44"/>
  <c r="V59"/>
  <c r="FD35" i="15"/>
  <c r="V6" i="1"/>
  <c r="FE37" i="15"/>
  <c r="W23" i="1"/>
  <c r="W36"/>
  <c r="V52"/>
  <c r="FE70" i="15"/>
  <c r="W16" i="1"/>
  <c r="W30"/>
  <c r="V45"/>
  <c r="FD68" i="15"/>
  <c r="V51" i="1"/>
  <c r="W10"/>
  <c r="W24"/>
  <c r="V38"/>
  <c r="FE63" i="15"/>
  <c r="FE50"/>
  <c r="W18" i="1"/>
  <c r="V31"/>
  <c r="FE58" i="15"/>
  <c r="V22" i="1"/>
  <c r="FD67" i="15"/>
  <c r="W11" i="1"/>
  <c r="V25"/>
  <c r="FD54" i="15"/>
  <c r="FD56"/>
  <c r="W6" i="1"/>
  <c r="V19"/>
  <c r="FE51" i="15"/>
  <c r="V60" i="1"/>
  <c r="FE67" i="15"/>
  <c r="FE49"/>
  <c r="W54" i="1"/>
  <c r="V12"/>
  <c r="FE47" i="15"/>
  <c r="V49" i="1"/>
  <c r="FD63" i="15"/>
  <c r="FD40"/>
  <c r="W48" i="1"/>
  <c r="FE43" i="15"/>
  <c r="V36" i="1"/>
  <c r="FD51" i="15"/>
  <c r="W41" i="1"/>
  <c r="W55"/>
  <c r="FD7" i="15"/>
  <c r="FE40"/>
  <c r="V24" i="1"/>
  <c r="FD46" i="15"/>
  <c r="W33" i="1"/>
  <c r="W49"/>
  <c r="FE60" i="15"/>
  <c r="FE38"/>
  <c r="V13" i="1"/>
  <c r="FD39" i="15"/>
  <c r="W27" i="1"/>
  <c r="W42"/>
  <c r="V57"/>
  <c r="FE72" i="15"/>
  <c r="W21" i="1"/>
  <c r="W34"/>
  <c r="V50"/>
  <c r="FD69" i="15"/>
  <c r="FD55"/>
  <c r="W14" i="1"/>
  <c r="W28"/>
  <c r="V43"/>
  <c r="FE66" i="15"/>
  <c r="V47" i="1"/>
  <c r="W7"/>
  <c r="W22"/>
  <c r="V35"/>
  <c r="FE59" i="15"/>
  <c r="V30" i="1"/>
  <c r="FD72" i="15"/>
  <c r="W15" i="1"/>
  <c r="V29"/>
  <c r="FD58" i="15"/>
  <c r="V15" i="1"/>
  <c r="FD65" i="15"/>
  <c r="W8" i="1"/>
  <c r="V23"/>
  <c r="FE53" i="15"/>
  <c r="FD70"/>
  <c r="FE54"/>
  <c r="W59" i="1"/>
  <c r="V16"/>
  <c r="FD48" i="15"/>
  <c r="V58" i="1"/>
  <c r="FD66" i="15"/>
  <c r="FE45"/>
  <c r="W52" i="1"/>
  <c r="V10"/>
  <c r="FE46" i="15"/>
  <c r="V44" i="1"/>
  <c r="FE57" i="15"/>
  <c r="FD38"/>
  <c r="W45" i="1"/>
  <c r="W60"/>
  <c r="FE8" i="15"/>
  <c r="V32" i="1"/>
  <c r="O751" i="13" l="1"/>
  <c r="G752"/>
  <c r="K752"/>
  <c r="C753"/>
  <c r="D753" s="1"/>
  <c r="J752"/>
  <c r="I752"/>
  <c r="M752"/>
  <c r="F752"/>
  <c r="Q752" s="1"/>
  <c r="H752"/>
  <c r="L752"/>
  <c r="EJ51" i="5"/>
  <c r="FM49" i="15"/>
  <c r="FM48"/>
  <c r="EJ50" i="5"/>
  <c r="W61" i="1"/>
  <c r="W62" s="1"/>
  <c r="FD73" i="15"/>
  <c r="V61" i="1"/>
  <c r="FE73" i="15"/>
  <c r="O752" i="13" l="1"/>
  <c r="C754"/>
  <c r="D754" s="1"/>
  <c r="I753"/>
  <c r="M753"/>
  <c r="H753"/>
  <c r="L753"/>
  <c r="G753"/>
  <c r="K753"/>
  <c r="F753"/>
  <c r="Q753" s="1"/>
  <c r="J753"/>
  <c r="EQ50" i="5"/>
  <c r="FS48" i="15"/>
  <c r="FS49"/>
  <c r="EQ51" i="5"/>
  <c r="O753" i="13" l="1"/>
  <c r="L754"/>
  <c r="H754"/>
  <c r="G754"/>
  <c r="K754"/>
  <c r="M754"/>
  <c r="C755"/>
  <c r="D755" s="1"/>
  <c r="F754"/>
  <c r="Q754" s="1"/>
  <c r="J754"/>
  <c r="I754"/>
  <c r="GD49" i="15"/>
  <c r="EY51" i="5"/>
  <c r="GD48" i="15"/>
  <c r="EY50" i="5"/>
  <c r="O754" i="13" l="1"/>
  <c r="L755"/>
  <c r="K755"/>
  <c r="J755"/>
  <c r="F755"/>
  <c r="Q755" s="1"/>
  <c r="M755"/>
  <c r="G755"/>
  <c r="H755"/>
  <c r="I755"/>
  <c r="GJ48" i="15"/>
  <c r="FF50" i="5"/>
  <c r="FF51"/>
  <c r="GJ49" i="15"/>
  <c r="O755" i="13" l="1"/>
  <c r="AA36" i="1"/>
  <c r="AA52"/>
  <c r="GL9" i="15"/>
  <c r="GL39"/>
  <c r="Z15" i="1"/>
  <c r="GM36" i="15"/>
  <c r="GM8"/>
  <c r="AA18" i="1"/>
  <c r="AA31"/>
  <c r="Z48"/>
  <c r="GL30" i="15"/>
  <c r="GL67"/>
  <c r="GL23"/>
  <c r="Z26" i="1"/>
  <c r="GM68" i="15"/>
  <c r="AA12" i="1"/>
  <c r="Z27"/>
  <c r="GL56" i="15"/>
  <c r="GL8"/>
  <c r="GL66"/>
  <c r="GL43"/>
  <c r="AA49" i="1"/>
  <c r="Z7"/>
  <c r="GL14" i="15"/>
  <c r="GL45"/>
  <c r="Z36" i="1"/>
  <c r="GM46" i="15"/>
  <c r="GM21"/>
  <c r="AA28" i="1"/>
  <c r="AA43"/>
  <c r="Z59"/>
  <c r="GM35" i="15"/>
  <c r="GL72"/>
  <c r="GM29"/>
  <c r="Z51" i="1"/>
  <c r="AA8"/>
  <c r="AA23"/>
  <c r="Z38"/>
  <c r="GM26" i="15"/>
  <c r="GM60"/>
  <c r="GM18"/>
  <c r="GL58"/>
  <c r="AA60" i="1"/>
  <c r="Z19"/>
  <c r="GM19" i="15"/>
  <c r="GL53"/>
  <c r="Z58" i="1"/>
  <c r="GM57" i="15"/>
  <c r="GL35"/>
  <c r="AA40" i="1"/>
  <c r="AA54"/>
  <c r="GM9" i="15"/>
  <c r="GL40"/>
  <c r="Z20" i="1"/>
  <c r="GL37" i="15"/>
  <c r="GM13"/>
  <c r="AA20" i="1"/>
  <c r="AA33"/>
  <c r="Z50"/>
  <c r="GL31" i="15"/>
  <c r="GM67"/>
  <c r="Z30" i="1"/>
  <c r="GL70" i="15"/>
  <c r="AA14" i="1"/>
  <c r="Z29"/>
  <c r="GM58" i="15"/>
  <c r="GL10"/>
  <c r="GL68"/>
  <c r="GM47"/>
  <c r="AA51" i="1"/>
  <c r="Z10"/>
  <c r="GL15" i="15"/>
  <c r="GL46"/>
  <c r="Z40" i="1"/>
  <c r="GM48" i="15"/>
  <c r="GU48" s="1"/>
  <c r="FU50" i="5" s="1"/>
  <c r="GM24" i="15"/>
  <c r="AA30" i="1"/>
  <c r="AA45"/>
  <c r="GL49" i="15"/>
  <c r="GM37"/>
  <c r="Z6" i="1"/>
  <c r="GM31" i="15"/>
  <c r="Z55" i="1"/>
  <c r="AA11"/>
  <c r="AA25"/>
  <c r="Z41"/>
  <c r="GL27" i="15"/>
  <c r="GL62"/>
  <c r="GL20"/>
  <c r="Z11" i="1"/>
  <c r="GM62" i="15"/>
  <c r="Z21" i="1"/>
  <c r="GM20" i="15"/>
  <c r="GL51"/>
  <c r="Z60" i="1"/>
  <c r="GL60" i="15"/>
  <c r="GM38"/>
  <c r="AA42" i="1"/>
  <c r="AA57"/>
  <c r="GM10" i="15"/>
  <c r="Z24" i="1"/>
  <c r="GM40" i="15"/>
  <c r="GM15"/>
  <c r="AA22" i="1"/>
  <c r="AA35"/>
  <c r="Z52"/>
  <c r="GL32" i="15"/>
  <c r="GM69"/>
  <c r="GL25"/>
  <c r="Z34" i="1"/>
  <c r="AA16"/>
  <c r="Z31"/>
  <c r="GM23" i="15"/>
  <c r="GL59"/>
  <c r="GM14"/>
  <c r="GL69"/>
  <c r="GL48"/>
  <c r="AA53" i="1"/>
  <c r="Z12"/>
  <c r="GL16" i="15"/>
  <c r="GL47"/>
  <c r="Z44" i="1"/>
  <c r="GM51" i="15"/>
  <c r="GM27"/>
  <c r="AA32" i="1"/>
  <c r="AA48"/>
  <c r="GL36" i="15"/>
  <c r="Z8" i="1"/>
  <c r="GL33" i="15"/>
  <c r="GL57"/>
  <c r="AA13" i="1"/>
  <c r="AA27"/>
  <c r="Z43"/>
  <c r="GL28" i="15"/>
  <c r="GL65"/>
  <c r="Z18" i="1"/>
  <c r="GL61" i="15"/>
  <c r="AA7" i="1"/>
  <c r="Z23"/>
  <c r="GL21" i="15"/>
  <c r="GM54"/>
  <c r="GL55"/>
  <c r="GM59"/>
  <c r="GM39"/>
  <c r="AA44" i="1"/>
  <c r="AA59"/>
  <c r="GL11" i="15"/>
  <c r="GL41"/>
  <c r="Z28" i="1"/>
  <c r="GM17" i="15"/>
  <c r="AA24" i="1"/>
  <c r="AA38"/>
  <c r="Z54"/>
  <c r="GL34" i="15"/>
  <c r="GM70"/>
  <c r="GL26"/>
  <c r="Z42" i="1"/>
  <c r="AA6"/>
  <c r="AA19"/>
  <c r="Z33"/>
  <c r="GL24" i="15"/>
  <c r="GM61"/>
  <c r="GL13"/>
  <c r="GL71"/>
  <c r="GL50"/>
  <c r="AA55" i="1"/>
  <c r="Z14"/>
  <c r="GL17" i="15"/>
  <c r="GM49"/>
  <c r="GU49" s="1"/>
  <c r="FU51" i="5" s="1"/>
  <c r="Z49" i="1"/>
  <c r="GM53" i="15"/>
  <c r="GM30"/>
  <c r="AA34" i="1"/>
  <c r="AA50"/>
  <c r="GL38" i="15"/>
  <c r="Z13" i="1"/>
  <c r="GM34" i="15"/>
  <c r="GL7"/>
  <c r="AA15" i="1"/>
  <c r="AA29"/>
  <c r="Z45"/>
  <c r="GL29" i="15"/>
  <c r="GM65"/>
  <c r="Z22" i="1"/>
  <c r="GM66" i="15"/>
  <c r="AA10" i="1"/>
  <c r="Z25"/>
  <c r="GM55" i="15"/>
  <c r="GM7"/>
  <c r="GM63"/>
  <c r="GM41"/>
  <c r="AA47" i="1"/>
  <c r="GM11" i="15"/>
  <c r="GM43"/>
  <c r="Z32" i="1"/>
  <c r="GM45" i="15"/>
  <c r="GL19"/>
  <c r="AA26" i="1"/>
  <c r="AA41"/>
  <c r="Z57"/>
  <c r="GM33" i="15"/>
  <c r="GM71"/>
  <c r="GM28"/>
  <c r="Z47" i="1"/>
  <c r="AA21"/>
  <c r="Z35"/>
  <c r="GM25" i="15"/>
  <c r="GL63"/>
  <c r="GM16"/>
  <c r="GM72"/>
  <c r="GM56"/>
  <c r="AA58" i="1"/>
  <c r="Z16"/>
  <c r="GL18" i="15"/>
  <c r="GM50"/>
  <c r="Z53" i="1"/>
  <c r="GL54" i="15"/>
  <c r="GM32"/>
  <c r="FN29" i="5" l="1"/>
  <c r="GU27" i="15"/>
  <c r="FU29" i="5" s="1"/>
  <c r="GT15" i="15"/>
  <c r="FT16" i="5" s="1"/>
  <c r="FM16"/>
  <c r="GL73" i="15"/>
  <c r="FN51" i="5"/>
  <c r="FN50"/>
  <c r="GU61" i="15"/>
  <c r="FU63" i="5" s="1"/>
  <c r="FN63"/>
  <c r="GT61" i="15"/>
  <c r="FT63" i="5" s="1"/>
  <c r="FM63"/>
  <c r="GU15" i="15"/>
  <c r="FU16" i="5" s="1"/>
  <c r="FN16"/>
  <c r="GT27" i="15"/>
  <c r="FT29" i="5" s="1"/>
  <c r="FM29"/>
  <c r="GM73" i="15"/>
  <c r="AA61" i="1"/>
  <c r="AA62" s="1"/>
  <c r="Z61"/>
  <c r="D264" i="13"/>
  <c r="I264" s="1"/>
  <c r="M193"/>
  <c r="O193" s="1"/>
  <c r="BG10" i="15" s="1"/>
  <c r="BG19"/>
  <c r="BO19" s="1"/>
  <c r="BE20" i="5" s="1"/>
  <c r="K14" i="1"/>
  <c r="L264" i="13"/>
  <c r="D319"/>
  <c r="L319" s="1"/>
  <c r="D376"/>
  <c r="M376" s="1"/>
  <c r="D427"/>
  <c r="D477"/>
  <c r="M477" s="1"/>
  <c r="J19" i="31"/>
  <c r="K865" i="10"/>
  <c r="N865" l="1"/>
  <c r="N868" s="1"/>
  <c r="H319" i="13"/>
  <c r="K319"/>
  <c r="I376"/>
  <c r="I477"/>
  <c r="G319"/>
  <c r="M319"/>
  <c r="O319" s="1"/>
  <c r="J376"/>
  <c r="I319"/>
  <c r="J319"/>
  <c r="F319"/>
  <c r="Q319" s="1"/>
  <c r="C377"/>
  <c r="D377" s="1"/>
  <c r="C320"/>
  <c r="D320" s="1"/>
  <c r="C321" s="1"/>
  <c r="D321" s="1"/>
  <c r="O258"/>
  <c r="K14" i="31" s="1"/>
  <c r="K7" i="1"/>
  <c r="K61" s="1"/>
  <c r="E62" s="1"/>
  <c r="M427" i="13"/>
  <c r="K427"/>
  <c r="I427"/>
  <c r="G427"/>
  <c r="L427"/>
  <c r="J427"/>
  <c r="H427"/>
  <c r="F427"/>
  <c r="Q427" s="1"/>
  <c r="C428"/>
  <c r="D428" s="1"/>
  <c r="M258"/>
  <c r="O427"/>
  <c r="AX20" i="5"/>
  <c r="H477" i="13"/>
  <c r="J264"/>
  <c r="K264"/>
  <c r="BU19" i="15"/>
  <c r="J477" i="13"/>
  <c r="K477"/>
  <c r="G477"/>
  <c r="H376"/>
  <c r="G376"/>
  <c r="K376"/>
  <c r="F376"/>
  <c r="Q376" s="1"/>
  <c r="F264"/>
  <c r="Q264" s="1"/>
  <c r="C265"/>
  <c r="D265" s="1"/>
  <c r="M264"/>
  <c r="O264" s="1"/>
  <c r="F477"/>
  <c r="Q477" s="1"/>
  <c r="C478"/>
  <c r="D478" s="1"/>
  <c r="L477"/>
  <c r="G264"/>
  <c r="H264"/>
  <c r="BG73" i="15"/>
  <c r="L376" i="13"/>
  <c r="L320" l="1"/>
  <c r="M320"/>
  <c r="H320"/>
  <c r="I320"/>
  <c r="K320"/>
  <c r="G320"/>
  <c r="F320"/>
  <c r="Q320" s="1"/>
  <c r="J320"/>
  <c r="O260"/>
  <c r="M428"/>
  <c r="K428"/>
  <c r="I428"/>
  <c r="G428"/>
  <c r="L428"/>
  <c r="J428"/>
  <c r="H428"/>
  <c r="F428"/>
  <c r="Q428" s="1"/>
  <c r="C429"/>
  <c r="D429" s="1"/>
  <c r="O376"/>
  <c r="F478"/>
  <c r="Q478" s="1"/>
  <c r="C479"/>
  <c r="D479" s="1"/>
  <c r="M478"/>
  <c r="G478"/>
  <c r="J478"/>
  <c r="H478"/>
  <c r="I478"/>
  <c r="L478"/>
  <c r="K478"/>
  <c r="F265"/>
  <c r="Q265" s="1"/>
  <c r="C266"/>
  <c r="D266" s="1"/>
  <c r="M265"/>
  <c r="L265"/>
  <c r="K265"/>
  <c r="I265"/>
  <c r="J265"/>
  <c r="H265"/>
  <c r="G265"/>
  <c r="M321"/>
  <c r="C322"/>
  <c r="D322" s="1"/>
  <c r="F321"/>
  <c r="Q321" s="1"/>
  <c r="L321"/>
  <c r="K321"/>
  <c r="J321"/>
  <c r="H321"/>
  <c r="G321"/>
  <c r="I321"/>
  <c r="M377"/>
  <c r="C378"/>
  <c r="D378" s="1"/>
  <c r="F377"/>
  <c r="Q377" s="1"/>
  <c r="K377"/>
  <c r="J377"/>
  <c r="H377"/>
  <c r="L377"/>
  <c r="I377"/>
  <c r="G377"/>
  <c r="O477"/>
  <c r="O320" l="1"/>
  <c r="O428"/>
  <c r="F429"/>
  <c r="Q429" s="1"/>
  <c r="L429"/>
  <c r="J429"/>
  <c r="H429"/>
  <c r="M429"/>
  <c r="K429"/>
  <c r="I429"/>
  <c r="G429"/>
  <c r="C430"/>
  <c r="D430" s="1"/>
  <c r="O321"/>
  <c r="O478"/>
  <c r="L378"/>
  <c r="M378"/>
  <c r="C379"/>
  <c r="D379" s="1"/>
  <c r="I378"/>
  <c r="G378"/>
  <c r="F378"/>
  <c r="Q378" s="1"/>
  <c r="J378"/>
  <c r="K378"/>
  <c r="H378"/>
  <c r="F266"/>
  <c r="Q266" s="1"/>
  <c r="C267"/>
  <c r="D267" s="1"/>
  <c r="M266"/>
  <c r="L266"/>
  <c r="K266"/>
  <c r="H266"/>
  <c r="G266"/>
  <c r="I266"/>
  <c r="J266"/>
  <c r="F479"/>
  <c r="Q479" s="1"/>
  <c r="C480"/>
  <c r="D480" s="1"/>
  <c r="L479"/>
  <c r="I479"/>
  <c r="K479"/>
  <c r="H479"/>
  <c r="G479"/>
  <c r="J479"/>
  <c r="M479"/>
  <c r="L322"/>
  <c r="M322"/>
  <c r="F322"/>
  <c r="Q322" s="1"/>
  <c r="K322"/>
  <c r="J322"/>
  <c r="H322"/>
  <c r="C323"/>
  <c r="D323" s="1"/>
  <c r="G322"/>
  <c r="I322"/>
  <c r="O265"/>
  <c r="O377"/>
  <c r="F430" l="1"/>
  <c r="Q430" s="1"/>
  <c r="M430"/>
  <c r="K430"/>
  <c r="I430"/>
  <c r="G430"/>
  <c r="L430"/>
  <c r="J430"/>
  <c r="H430"/>
  <c r="C431"/>
  <c r="D431" s="1"/>
  <c r="C432" s="1"/>
  <c r="O429"/>
  <c r="O266"/>
  <c r="M323"/>
  <c r="C324"/>
  <c r="D324" s="1"/>
  <c r="L323"/>
  <c r="F323"/>
  <c r="Q323" s="1"/>
  <c r="H323"/>
  <c r="J323"/>
  <c r="G323"/>
  <c r="K323"/>
  <c r="I323"/>
  <c r="F267"/>
  <c r="Q267" s="1"/>
  <c r="C268"/>
  <c r="D268" s="1"/>
  <c r="M267"/>
  <c r="L267"/>
  <c r="K267"/>
  <c r="G267"/>
  <c r="I267"/>
  <c r="J267"/>
  <c r="H267"/>
  <c r="M379"/>
  <c r="C380"/>
  <c r="D380" s="1"/>
  <c r="L379"/>
  <c r="F379"/>
  <c r="Q379" s="1"/>
  <c r="K379"/>
  <c r="I379"/>
  <c r="G379"/>
  <c r="H379"/>
  <c r="J379"/>
  <c r="F480"/>
  <c r="Q480" s="1"/>
  <c r="C481"/>
  <c r="D481" s="1"/>
  <c r="L480"/>
  <c r="J480"/>
  <c r="G480"/>
  <c r="I480"/>
  <c r="H480"/>
  <c r="M480"/>
  <c r="K480"/>
  <c r="O322"/>
  <c r="O378"/>
  <c r="O479"/>
  <c r="O530" s="1"/>
  <c r="K19" i="31" s="1"/>
  <c r="O430" i="13" l="1"/>
  <c r="F431"/>
  <c r="Q431" s="1"/>
  <c r="L431"/>
  <c r="J431"/>
  <c r="H431"/>
  <c r="G431"/>
  <c r="M431"/>
  <c r="K431"/>
  <c r="I431"/>
  <c r="D432"/>
  <c r="O379"/>
  <c r="F481"/>
  <c r="Q481" s="1"/>
  <c r="C482"/>
  <c r="D482" s="1"/>
  <c r="M481"/>
  <c r="G481"/>
  <c r="I481"/>
  <c r="K481"/>
  <c r="J481"/>
  <c r="L481"/>
  <c r="H481"/>
  <c r="O323"/>
  <c r="L380"/>
  <c r="C381"/>
  <c r="D381" s="1"/>
  <c r="F380"/>
  <c r="Q380" s="1"/>
  <c r="K380"/>
  <c r="I380"/>
  <c r="G380"/>
  <c r="M380"/>
  <c r="J380"/>
  <c r="H380"/>
  <c r="F268"/>
  <c r="Q268" s="1"/>
  <c r="C269"/>
  <c r="D269" s="1"/>
  <c r="M268"/>
  <c r="L268"/>
  <c r="H268"/>
  <c r="I268"/>
  <c r="G268"/>
  <c r="K268"/>
  <c r="J268"/>
  <c r="L324"/>
  <c r="C325"/>
  <c r="D325" s="1"/>
  <c r="F324"/>
  <c r="Q324" s="1"/>
  <c r="K324"/>
  <c r="M324"/>
  <c r="H324"/>
  <c r="J324"/>
  <c r="G324"/>
  <c r="I324"/>
  <c r="O480"/>
  <c r="O267"/>
  <c r="O481" l="1"/>
  <c r="F432"/>
  <c r="Q432" s="1"/>
  <c r="M432"/>
  <c r="K432"/>
  <c r="I432"/>
  <c r="G432"/>
  <c r="L432"/>
  <c r="J432"/>
  <c r="H432"/>
  <c r="C433"/>
  <c r="D433" s="1"/>
  <c r="C434" s="1"/>
  <c r="D434" s="1"/>
  <c r="O431"/>
  <c r="O324"/>
  <c r="M381"/>
  <c r="C382"/>
  <c r="D382" s="1"/>
  <c r="L381"/>
  <c r="F381"/>
  <c r="Q381" s="1"/>
  <c r="K381"/>
  <c r="J381"/>
  <c r="H381"/>
  <c r="I381"/>
  <c r="G381"/>
  <c r="M325"/>
  <c r="C326"/>
  <c r="D326" s="1"/>
  <c r="F325"/>
  <c r="Q325" s="1"/>
  <c r="L325"/>
  <c r="K325"/>
  <c r="J325"/>
  <c r="H325"/>
  <c r="G325"/>
  <c r="I325"/>
  <c r="F269"/>
  <c r="Q269" s="1"/>
  <c r="C270"/>
  <c r="D270" s="1"/>
  <c r="L269"/>
  <c r="M269"/>
  <c r="K269"/>
  <c r="G269"/>
  <c r="I269"/>
  <c r="H269"/>
  <c r="J269"/>
  <c r="O380"/>
  <c r="F482"/>
  <c r="Q482" s="1"/>
  <c r="C483"/>
  <c r="D483" s="1"/>
  <c r="M482"/>
  <c r="I482"/>
  <c r="K482"/>
  <c r="H482"/>
  <c r="L482"/>
  <c r="J482"/>
  <c r="G482"/>
  <c r="O268"/>
  <c r="O432" l="1"/>
  <c r="O381"/>
  <c r="F434"/>
  <c r="Q434" s="1"/>
  <c r="M434"/>
  <c r="K434"/>
  <c r="I434"/>
  <c r="G434"/>
  <c r="L434"/>
  <c r="J434"/>
  <c r="H434"/>
  <c r="F433"/>
  <c r="Q433" s="1"/>
  <c r="L433"/>
  <c r="J433"/>
  <c r="H433"/>
  <c r="M433"/>
  <c r="K433"/>
  <c r="I433"/>
  <c r="G433"/>
  <c r="C435"/>
  <c r="D435" s="1"/>
  <c r="F270"/>
  <c r="Q270" s="1"/>
  <c r="C271"/>
  <c r="D271" s="1"/>
  <c r="L270"/>
  <c r="M270"/>
  <c r="K270"/>
  <c r="I270"/>
  <c r="G270"/>
  <c r="J270"/>
  <c r="H270"/>
  <c r="F483"/>
  <c r="Q483" s="1"/>
  <c r="C484"/>
  <c r="D484" s="1"/>
  <c r="L483"/>
  <c r="K483"/>
  <c r="H483"/>
  <c r="J483"/>
  <c r="M483"/>
  <c r="G483"/>
  <c r="I483"/>
  <c r="L326"/>
  <c r="M326"/>
  <c r="F326"/>
  <c r="Q326" s="1"/>
  <c r="C327"/>
  <c r="D327" s="1"/>
  <c r="K326"/>
  <c r="J326"/>
  <c r="H326"/>
  <c r="G326"/>
  <c r="I326"/>
  <c r="L382"/>
  <c r="M382"/>
  <c r="C383"/>
  <c r="D383" s="1"/>
  <c r="J382"/>
  <c r="H382"/>
  <c r="F382"/>
  <c r="Q382" s="1"/>
  <c r="K382"/>
  <c r="I382"/>
  <c r="G382"/>
  <c r="O482"/>
  <c r="O269"/>
  <c r="O325"/>
  <c r="O434" l="1"/>
  <c r="F435"/>
  <c r="Q435" s="1"/>
  <c r="L435"/>
  <c r="J435"/>
  <c r="H435"/>
  <c r="G435"/>
  <c r="M435"/>
  <c r="K435"/>
  <c r="I435"/>
  <c r="O433"/>
  <c r="C436"/>
  <c r="D436" s="1"/>
  <c r="M383"/>
  <c r="C384"/>
  <c r="D384" s="1"/>
  <c r="L383"/>
  <c r="F383"/>
  <c r="Q383" s="1"/>
  <c r="K383"/>
  <c r="J383"/>
  <c r="H383"/>
  <c r="I383"/>
  <c r="G383"/>
  <c r="F484"/>
  <c r="Q484" s="1"/>
  <c r="C485"/>
  <c r="D485" s="1"/>
  <c r="L484"/>
  <c r="G484"/>
  <c r="I484"/>
  <c r="M484"/>
  <c r="H484"/>
  <c r="K484"/>
  <c r="J484"/>
  <c r="M327"/>
  <c r="C328"/>
  <c r="D328" s="1"/>
  <c r="L327"/>
  <c r="F327"/>
  <c r="Q327" s="1"/>
  <c r="J327"/>
  <c r="H327"/>
  <c r="K327"/>
  <c r="G327"/>
  <c r="I327"/>
  <c r="O270"/>
  <c r="O326"/>
  <c r="F271"/>
  <c r="Q271" s="1"/>
  <c r="C272"/>
  <c r="D272" s="1"/>
  <c r="M271"/>
  <c r="L271"/>
  <c r="K271"/>
  <c r="J271"/>
  <c r="G271"/>
  <c r="I271"/>
  <c r="H271"/>
  <c r="O382"/>
  <c r="O483"/>
  <c r="F436" l="1"/>
  <c r="Q436" s="1"/>
  <c r="M436"/>
  <c r="K436"/>
  <c r="I436"/>
  <c r="G436"/>
  <c r="L436"/>
  <c r="J436"/>
  <c r="H436"/>
  <c r="O435"/>
  <c r="C437"/>
  <c r="D437" s="1"/>
  <c r="O383"/>
  <c r="O327"/>
  <c r="F272"/>
  <c r="Q272" s="1"/>
  <c r="C273"/>
  <c r="D273" s="1"/>
  <c r="L272"/>
  <c r="M272"/>
  <c r="I272"/>
  <c r="G272"/>
  <c r="K272"/>
  <c r="J272"/>
  <c r="H272"/>
  <c r="L328"/>
  <c r="C329"/>
  <c r="D329" s="1"/>
  <c r="F328"/>
  <c r="Q328" s="1"/>
  <c r="M328"/>
  <c r="K328"/>
  <c r="J328"/>
  <c r="H328"/>
  <c r="G328"/>
  <c r="I328"/>
  <c r="F485"/>
  <c r="Q485" s="1"/>
  <c r="C486"/>
  <c r="D486" s="1"/>
  <c r="M485"/>
  <c r="K485"/>
  <c r="H485"/>
  <c r="J485"/>
  <c r="I485"/>
  <c r="L485"/>
  <c r="G485"/>
  <c r="L384"/>
  <c r="C385"/>
  <c r="D385" s="1"/>
  <c r="M384"/>
  <c r="F384"/>
  <c r="Q384" s="1"/>
  <c r="K384"/>
  <c r="I384"/>
  <c r="G384"/>
  <c r="J384"/>
  <c r="H384"/>
  <c r="O484"/>
  <c r="O271"/>
  <c r="O436" l="1"/>
  <c r="F437"/>
  <c r="Q437" s="1"/>
  <c r="L437"/>
  <c r="J437"/>
  <c r="H437"/>
  <c r="M437"/>
  <c r="K437"/>
  <c r="I437"/>
  <c r="G437"/>
  <c r="C438"/>
  <c r="D438" s="1"/>
  <c r="O485"/>
  <c r="M385"/>
  <c r="C386"/>
  <c r="D386" s="1"/>
  <c r="F385"/>
  <c r="Q385" s="1"/>
  <c r="K385"/>
  <c r="L385"/>
  <c r="I385"/>
  <c r="G385"/>
  <c r="J385"/>
  <c r="H385"/>
  <c r="F486"/>
  <c r="Q486" s="1"/>
  <c r="C487"/>
  <c r="D487" s="1"/>
  <c r="M486"/>
  <c r="G486"/>
  <c r="J486"/>
  <c r="L486"/>
  <c r="I486"/>
  <c r="K486"/>
  <c r="H486"/>
  <c r="M329"/>
  <c r="C330"/>
  <c r="D330" s="1"/>
  <c r="F329"/>
  <c r="Q329" s="1"/>
  <c r="K329"/>
  <c r="H329"/>
  <c r="J329"/>
  <c r="L329"/>
  <c r="G329"/>
  <c r="I329"/>
  <c r="F273"/>
  <c r="Q273" s="1"/>
  <c r="C274"/>
  <c r="D274" s="1"/>
  <c r="M273"/>
  <c r="L273"/>
  <c r="K273"/>
  <c r="H273"/>
  <c r="I273"/>
  <c r="G273"/>
  <c r="J273"/>
  <c r="O384"/>
  <c r="O328"/>
  <c r="O272"/>
  <c r="O385" l="1"/>
  <c r="O486"/>
  <c r="M438"/>
  <c r="K438"/>
  <c r="I438"/>
  <c r="G438"/>
  <c r="L438"/>
  <c r="J438"/>
  <c r="H438"/>
  <c r="O437"/>
  <c r="C439"/>
  <c r="D439" s="1"/>
  <c r="F438"/>
  <c r="Q438" s="1"/>
  <c r="O329"/>
  <c r="O273"/>
  <c r="L386"/>
  <c r="M386"/>
  <c r="I386"/>
  <c r="G386"/>
  <c r="C387"/>
  <c r="D387" s="1"/>
  <c r="F386"/>
  <c r="Q386" s="1"/>
  <c r="J386"/>
  <c r="K386"/>
  <c r="H386"/>
  <c r="F274"/>
  <c r="Q274" s="1"/>
  <c r="C275"/>
  <c r="D275" s="1"/>
  <c r="L274"/>
  <c r="K274"/>
  <c r="G274"/>
  <c r="I274"/>
  <c r="M274"/>
  <c r="H274"/>
  <c r="J274"/>
  <c r="L330"/>
  <c r="M330"/>
  <c r="F330"/>
  <c r="Q330" s="1"/>
  <c r="K330"/>
  <c r="C331"/>
  <c r="D331" s="1"/>
  <c r="H330"/>
  <c r="J330"/>
  <c r="G330"/>
  <c r="I330"/>
  <c r="F487"/>
  <c r="Q487" s="1"/>
  <c r="C488"/>
  <c r="D488" s="1"/>
  <c r="L487"/>
  <c r="I487"/>
  <c r="K487"/>
  <c r="J487"/>
  <c r="G487"/>
  <c r="M487"/>
  <c r="H487"/>
  <c r="O438" l="1"/>
  <c r="F439"/>
  <c r="Q439" s="1"/>
  <c r="L439"/>
  <c r="J439"/>
  <c r="H439"/>
  <c r="G439"/>
  <c r="M439"/>
  <c r="K439"/>
  <c r="I439"/>
  <c r="C440"/>
  <c r="D440" s="1"/>
  <c r="O274"/>
  <c r="M331"/>
  <c r="C332"/>
  <c r="D332" s="1"/>
  <c r="L331"/>
  <c r="F331"/>
  <c r="Q331" s="1"/>
  <c r="J331"/>
  <c r="H331"/>
  <c r="G331"/>
  <c r="K331"/>
  <c r="I331"/>
  <c r="M387"/>
  <c r="C388"/>
  <c r="D388" s="1"/>
  <c r="L387"/>
  <c r="F387"/>
  <c r="Q387" s="1"/>
  <c r="K387"/>
  <c r="I387"/>
  <c r="G387"/>
  <c r="J387"/>
  <c r="H387"/>
  <c r="F488"/>
  <c r="Q488" s="1"/>
  <c r="C489"/>
  <c r="D489" s="1"/>
  <c r="L488"/>
  <c r="G488"/>
  <c r="J488"/>
  <c r="K488"/>
  <c r="H488"/>
  <c r="I488"/>
  <c r="M488"/>
  <c r="F275"/>
  <c r="Q275" s="1"/>
  <c r="C276"/>
  <c r="D276" s="1"/>
  <c r="M275"/>
  <c r="L275"/>
  <c r="K275"/>
  <c r="H275"/>
  <c r="I275"/>
  <c r="G275"/>
  <c r="J275"/>
  <c r="O487"/>
  <c r="O330"/>
  <c r="O386"/>
  <c r="O387" l="1"/>
  <c r="O331"/>
  <c r="F440"/>
  <c r="Q440" s="1"/>
  <c r="M440"/>
  <c r="K440"/>
  <c r="I440"/>
  <c r="G440"/>
  <c r="L440"/>
  <c r="J440"/>
  <c r="H440"/>
  <c r="O439"/>
  <c r="C441"/>
  <c r="D441" s="1"/>
  <c r="O488"/>
  <c r="J18" i="31"/>
  <c r="J23" s="1"/>
  <c r="M25" s="1"/>
  <c r="M36" s="1"/>
  <c r="F276" i="13"/>
  <c r="Q276" s="1"/>
  <c r="C277"/>
  <c r="D277" s="1"/>
  <c r="M276"/>
  <c r="L276"/>
  <c r="G276"/>
  <c r="I276"/>
  <c r="H276"/>
  <c r="K276"/>
  <c r="J276"/>
  <c r="F489"/>
  <c r="Q489" s="1"/>
  <c r="C490"/>
  <c r="D490" s="1"/>
  <c r="M489"/>
  <c r="J489"/>
  <c r="G489"/>
  <c r="I489"/>
  <c r="H489"/>
  <c r="K489"/>
  <c r="L489"/>
  <c r="L388"/>
  <c r="C389"/>
  <c r="D389" s="1"/>
  <c r="M388"/>
  <c r="F388"/>
  <c r="Q388" s="1"/>
  <c r="K388"/>
  <c r="I388"/>
  <c r="G388"/>
  <c r="J388"/>
  <c r="H388"/>
  <c r="L332"/>
  <c r="C333"/>
  <c r="D333" s="1"/>
  <c r="F332"/>
  <c r="Q332" s="1"/>
  <c r="K332"/>
  <c r="H332"/>
  <c r="J332"/>
  <c r="M332"/>
  <c r="G332"/>
  <c r="I332"/>
  <c r="O275"/>
  <c r="O440" l="1"/>
  <c r="O276"/>
  <c r="F441"/>
  <c r="Q441" s="1"/>
  <c r="L441"/>
  <c r="J441"/>
  <c r="H441"/>
  <c r="G441"/>
  <c r="M441"/>
  <c r="K441"/>
  <c r="I441"/>
  <c r="C442"/>
  <c r="D442" s="1"/>
  <c r="O332"/>
  <c r="O388"/>
  <c r="M389"/>
  <c r="C390"/>
  <c r="D390" s="1"/>
  <c r="L389"/>
  <c r="F389"/>
  <c r="Q389" s="1"/>
  <c r="K389"/>
  <c r="I389"/>
  <c r="G389"/>
  <c r="H389"/>
  <c r="J389"/>
  <c r="M333"/>
  <c r="C334"/>
  <c r="D334" s="1"/>
  <c r="F333"/>
  <c r="Q333" s="1"/>
  <c r="L333"/>
  <c r="K333"/>
  <c r="J333"/>
  <c r="H333"/>
  <c r="G333"/>
  <c r="I333"/>
  <c r="F490"/>
  <c r="Q490" s="1"/>
  <c r="C491"/>
  <c r="D491" s="1"/>
  <c r="M490"/>
  <c r="K490"/>
  <c r="H490"/>
  <c r="J490"/>
  <c r="L490"/>
  <c r="G490"/>
  <c r="I490"/>
  <c r="F277"/>
  <c r="Q277" s="1"/>
  <c r="C278"/>
  <c r="D278" s="1"/>
  <c r="L277"/>
  <c r="K277"/>
  <c r="M277"/>
  <c r="H277"/>
  <c r="I277"/>
  <c r="G277"/>
  <c r="J277"/>
  <c r="O489"/>
  <c r="O389" l="1"/>
  <c r="F442"/>
  <c r="Q442" s="1"/>
  <c r="M442"/>
  <c r="K442"/>
  <c r="I442"/>
  <c r="G442"/>
  <c r="L442"/>
  <c r="J442"/>
  <c r="H442"/>
  <c r="O441"/>
  <c r="C443"/>
  <c r="D443" s="1"/>
  <c r="O277"/>
  <c r="F491"/>
  <c r="Q491" s="1"/>
  <c r="C492"/>
  <c r="D492" s="1"/>
  <c r="L491"/>
  <c r="I491"/>
  <c r="K491"/>
  <c r="H491"/>
  <c r="M491"/>
  <c r="J491"/>
  <c r="G491"/>
  <c r="L334"/>
  <c r="M334"/>
  <c r="F334"/>
  <c r="Q334" s="1"/>
  <c r="C335"/>
  <c r="D335" s="1"/>
  <c r="K334"/>
  <c r="J334"/>
  <c r="H334"/>
  <c r="G334"/>
  <c r="I334"/>
  <c r="F278"/>
  <c r="Q278" s="1"/>
  <c r="C279"/>
  <c r="D279" s="1"/>
  <c r="M278"/>
  <c r="L278"/>
  <c r="K278"/>
  <c r="G278"/>
  <c r="I278"/>
  <c r="H278"/>
  <c r="J278"/>
  <c r="L390"/>
  <c r="M390"/>
  <c r="C391"/>
  <c r="D391" s="1"/>
  <c r="I390"/>
  <c r="G390"/>
  <c r="F390"/>
  <c r="Q390" s="1"/>
  <c r="K390"/>
  <c r="J390"/>
  <c r="H390"/>
  <c r="O490"/>
  <c r="O333"/>
  <c r="O442" l="1"/>
  <c r="F443"/>
  <c r="Q443" s="1"/>
  <c r="L443"/>
  <c r="J443"/>
  <c r="H443"/>
  <c r="M443"/>
  <c r="K443"/>
  <c r="I443"/>
  <c r="G443"/>
  <c r="C444"/>
  <c r="D444" s="1"/>
  <c r="O278"/>
  <c r="M391"/>
  <c r="C392"/>
  <c r="D392" s="1"/>
  <c r="L391"/>
  <c r="O391" s="1"/>
  <c r="F391"/>
  <c r="Q391" s="1"/>
  <c r="K391"/>
  <c r="I391"/>
  <c r="G391"/>
  <c r="J391"/>
  <c r="H391"/>
  <c r="M335"/>
  <c r="C336"/>
  <c r="D336" s="1"/>
  <c r="L335"/>
  <c r="F335"/>
  <c r="Q335" s="1"/>
  <c r="H335"/>
  <c r="J335"/>
  <c r="K335"/>
  <c r="G335"/>
  <c r="I335"/>
  <c r="F492"/>
  <c r="Q492" s="1"/>
  <c r="C493"/>
  <c r="D493" s="1"/>
  <c r="L492"/>
  <c r="G492"/>
  <c r="I492"/>
  <c r="M492"/>
  <c r="H492"/>
  <c r="J492"/>
  <c r="K492"/>
  <c r="F279"/>
  <c r="Q279" s="1"/>
  <c r="C280"/>
  <c r="D280" s="1"/>
  <c r="L279"/>
  <c r="K279"/>
  <c r="M279"/>
  <c r="H279"/>
  <c r="I279"/>
  <c r="G279"/>
  <c r="J279"/>
  <c r="O390"/>
  <c r="O334"/>
  <c r="O491"/>
  <c r="O335" l="1"/>
  <c r="F444"/>
  <c r="M444"/>
  <c r="K444"/>
  <c r="I444"/>
  <c r="G444"/>
  <c r="L444"/>
  <c r="J444"/>
  <c r="H444"/>
  <c r="O443"/>
  <c r="C445"/>
  <c r="D445" s="1"/>
  <c r="Q444"/>
  <c r="F280"/>
  <c r="Q280" s="1"/>
  <c r="C281"/>
  <c r="D281" s="1"/>
  <c r="M280"/>
  <c r="L280"/>
  <c r="G280"/>
  <c r="I280"/>
  <c r="K280"/>
  <c r="H280"/>
  <c r="J280"/>
  <c r="F493"/>
  <c r="Q493" s="1"/>
  <c r="C494"/>
  <c r="D494" s="1"/>
  <c r="L493"/>
  <c r="I493"/>
  <c r="K493"/>
  <c r="J493"/>
  <c r="G493"/>
  <c r="M493"/>
  <c r="H493"/>
  <c r="L336"/>
  <c r="C337"/>
  <c r="D337" s="1"/>
  <c r="F336"/>
  <c r="Q336" s="1"/>
  <c r="M336"/>
  <c r="K336"/>
  <c r="J336"/>
  <c r="H336"/>
  <c r="G336"/>
  <c r="I336"/>
  <c r="L392"/>
  <c r="C393"/>
  <c r="D393" s="1"/>
  <c r="M392"/>
  <c r="F392"/>
  <c r="Q392" s="1"/>
  <c r="K392"/>
  <c r="I392"/>
  <c r="G392"/>
  <c r="J392"/>
  <c r="H392"/>
  <c r="O279"/>
  <c r="O492"/>
  <c r="O444" l="1"/>
  <c r="F445"/>
  <c r="Q445" s="1"/>
  <c r="L445"/>
  <c r="J445"/>
  <c r="H445"/>
  <c r="G445"/>
  <c r="M445"/>
  <c r="K445"/>
  <c r="I445"/>
  <c r="C446"/>
  <c r="D446" s="1"/>
  <c r="O392"/>
  <c r="M393"/>
  <c r="C394"/>
  <c r="D394" s="1"/>
  <c r="F393"/>
  <c r="Q393" s="1"/>
  <c r="K393"/>
  <c r="I393"/>
  <c r="G393"/>
  <c r="L393"/>
  <c r="J393"/>
  <c r="H393"/>
  <c r="M337"/>
  <c r="C338"/>
  <c r="D338" s="1"/>
  <c r="F337"/>
  <c r="Q337" s="1"/>
  <c r="L337"/>
  <c r="K337"/>
  <c r="H337"/>
  <c r="J337"/>
  <c r="I337"/>
  <c r="G337"/>
  <c r="F494"/>
  <c r="Q494" s="1"/>
  <c r="C495"/>
  <c r="D495" s="1"/>
  <c r="M494"/>
  <c r="K494"/>
  <c r="H494"/>
  <c r="J494"/>
  <c r="L494"/>
  <c r="I494"/>
  <c r="G494"/>
  <c r="F281"/>
  <c r="Q281" s="1"/>
  <c r="C282"/>
  <c r="D282" s="1"/>
  <c r="L281"/>
  <c r="M281"/>
  <c r="K281"/>
  <c r="H281"/>
  <c r="I281"/>
  <c r="G281"/>
  <c r="J281"/>
  <c r="O336"/>
  <c r="O493"/>
  <c r="O280"/>
  <c r="O337" l="1"/>
  <c r="F446"/>
  <c r="Q446" s="1"/>
  <c r="M446"/>
  <c r="K446"/>
  <c r="I446"/>
  <c r="G446"/>
  <c r="L446"/>
  <c r="J446"/>
  <c r="H446"/>
  <c r="O445"/>
  <c r="C447"/>
  <c r="D447" s="1"/>
  <c r="O281"/>
  <c r="F282"/>
  <c r="Q282" s="1"/>
  <c r="C283"/>
  <c r="D283" s="1"/>
  <c r="M282"/>
  <c r="L282"/>
  <c r="K282"/>
  <c r="G282"/>
  <c r="I282"/>
  <c r="H282"/>
  <c r="J282"/>
  <c r="F495"/>
  <c r="Q495" s="1"/>
  <c r="C496"/>
  <c r="D496" s="1"/>
  <c r="L495"/>
  <c r="J495"/>
  <c r="K495"/>
  <c r="M495"/>
  <c r="I495"/>
  <c r="G495"/>
  <c r="H495"/>
  <c r="L394"/>
  <c r="M394"/>
  <c r="C395"/>
  <c r="D395" s="1"/>
  <c r="I394"/>
  <c r="G394"/>
  <c r="F394"/>
  <c r="Q394" s="1"/>
  <c r="J394"/>
  <c r="K394"/>
  <c r="H394"/>
  <c r="L338"/>
  <c r="M338"/>
  <c r="F338"/>
  <c r="Q338" s="1"/>
  <c r="K338"/>
  <c r="G338"/>
  <c r="H338"/>
  <c r="C339"/>
  <c r="D339" s="1"/>
  <c r="I338"/>
  <c r="J338"/>
  <c r="O494"/>
  <c r="O393"/>
  <c r="O446" l="1"/>
  <c r="O282"/>
  <c r="F447"/>
  <c r="Q447" s="1"/>
  <c r="L447"/>
  <c r="J447"/>
  <c r="H447"/>
  <c r="G447"/>
  <c r="M447"/>
  <c r="K447"/>
  <c r="I447"/>
  <c r="C448"/>
  <c r="D448" s="1"/>
  <c r="O495"/>
  <c r="M395"/>
  <c r="C396"/>
  <c r="D396" s="1"/>
  <c r="L395"/>
  <c r="F395"/>
  <c r="Q395" s="1"/>
  <c r="K395"/>
  <c r="I395"/>
  <c r="G395"/>
  <c r="J395"/>
  <c r="H395"/>
  <c r="M339"/>
  <c r="C340"/>
  <c r="D340" s="1"/>
  <c r="L339"/>
  <c r="F339"/>
  <c r="Q339" s="1"/>
  <c r="G339"/>
  <c r="H339"/>
  <c r="I339"/>
  <c r="K339"/>
  <c r="J339"/>
  <c r="F496"/>
  <c r="Q496" s="1"/>
  <c r="C497"/>
  <c r="D497" s="1"/>
  <c r="M496"/>
  <c r="J496"/>
  <c r="I496"/>
  <c r="G496"/>
  <c r="L496"/>
  <c r="K496"/>
  <c r="H496"/>
  <c r="F283"/>
  <c r="Q283" s="1"/>
  <c r="C284"/>
  <c r="D284" s="1"/>
  <c r="L283"/>
  <c r="M283"/>
  <c r="K283"/>
  <c r="H283"/>
  <c r="I283"/>
  <c r="G283"/>
  <c r="J283"/>
  <c r="O338"/>
  <c r="O394"/>
  <c r="O395" l="1"/>
  <c r="O339"/>
  <c r="F448"/>
  <c r="Q448" s="1"/>
  <c r="M448"/>
  <c r="K448"/>
  <c r="I448"/>
  <c r="G448"/>
  <c r="L448"/>
  <c r="J448"/>
  <c r="H448"/>
  <c r="O447"/>
  <c r="C449"/>
  <c r="D449" s="1"/>
  <c r="O283"/>
  <c r="F497"/>
  <c r="Q497" s="1"/>
  <c r="C498"/>
  <c r="D498" s="1"/>
  <c r="L497"/>
  <c r="G497"/>
  <c r="I497"/>
  <c r="J497"/>
  <c r="M497"/>
  <c r="K497"/>
  <c r="H497"/>
  <c r="F284"/>
  <c r="Q284" s="1"/>
  <c r="C285"/>
  <c r="D285" s="1"/>
  <c r="M284"/>
  <c r="L284"/>
  <c r="G284"/>
  <c r="I284"/>
  <c r="H284"/>
  <c r="K284"/>
  <c r="J284"/>
  <c r="L340"/>
  <c r="C341"/>
  <c r="D341" s="1"/>
  <c r="F340"/>
  <c r="Q340" s="1"/>
  <c r="K340"/>
  <c r="M340"/>
  <c r="I340"/>
  <c r="H340"/>
  <c r="G340"/>
  <c r="J340"/>
  <c r="L396"/>
  <c r="C397"/>
  <c r="D397" s="1"/>
  <c r="F396"/>
  <c r="Q396" s="1"/>
  <c r="K396"/>
  <c r="I396"/>
  <c r="G396"/>
  <c r="M396"/>
  <c r="J396"/>
  <c r="H396"/>
  <c r="O496"/>
  <c r="O448" l="1"/>
  <c r="F449"/>
  <c r="Q449" s="1"/>
  <c r="L449"/>
  <c r="J449"/>
  <c r="H449"/>
  <c r="M449"/>
  <c r="K449"/>
  <c r="I449"/>
  <c r="G449"/>
  <c r="C450"/>
  <c r="D450" s="1"/>
  <c r="O497"/>
  <c r="O340"/>
  <c r="O396"/>
  <c r="M397"/>
  <c r="C398"/>
  <c r="D398" s="1"/>
  <c r="L397"/>
  <c r="F397"/>
  <c r="Q397" s="1"/>
  <c r="K397"/>
  <c r="I397"/>
  <c r="G397"/>
  <c r="J397"/>
  <c r="H397"/>
  <c r="M341"/>
  <c r="C342"/>
  <c r="D342" s="1"/>
  <c r="F341"/>
  <c r="Q341" s="1"/>
  <c r="L341"/>
  <c r="K341"/>
  <c r="H341"/>
  <c r="J341"/>
  <c r="I341"/>
  <c r="G341"/>
  <c r="F285"/>
  <c r="Q285" s="1"/>
  <c r="C286"/>
  <c r="D286" s="1"/>
  <c r="L285"/>
  <c r="M285"/>
  <c r="K285"/>
  <c r="H285"/>
  <c r="I285"/>
  <c r="G285"/>
  <c r="J285"/>
  <c r="F498"/>
  <c r="Q498" s="1"/>
  <c r="C499"/>
  <c r="D499" s="1"/>
  <c r="L498"/>
  <c r="H498"/>
  <c r="G498"/>
  <c r="I498"/>
  <c r="J498"/>
  <c r="M498"/>
  <c r="K498"/>
  <c r="O284"/>
  <c r="O397" l="1"/>
  <c r="F450"/>
  <c r="Q450" s="1"/>
  <c r="M450"/>
  <c r="K450"/>
  <c r="I450"/>
  <c r="G450"/>
  <c r="L450"/>
  <c r="J450"/>
  <c r="H450"/>
  <c r="O449"/>
  <c r="C451"/>
  <c r="D451" s="1"/>
  <c r="O285"/>
  <c r="F499"/>
  <c r="Q499" s="1"/>
  <c r="C500"/>
  <c r="D500" s="1"/>
  <c r="M499"/>
  <c r="I499"/>
  <c r="K499"/>
  <c r="H499"/>
  <c r="G499"/>
  <c r="J499"/>
  <c r="L499"/>
  <c r="F286"/>
  <c r="Q286" s="1"/>
  <c r="C287"/>
  <c r="D287" s="1"/>
  <c r="M286"/>
  <c r="L286"/>
  <c r="K286"/>
  <c r="G286"/>
  <c r="I286"/>
  <c r="H286"/>
  <c r="J286"/>
  <c r="L342"/>
  <c r="M342"/>
  <c r="F342"/>
  <c r="Q342" s="1"/>
  <c r="C343"/>
  <c r="D343" s="1"/>
  <c r="K342"/>
  <c r="J342"/>
  <c r="H342"/>
  <c r="G342"/>
  <c r="I342"/>
  <c r="L398"/>
  <c r="M398"/>
  <c r="C399"/>
  <c r="D399" s="1"/>
  <c r="I398"/>
  <c r="G398"/>
  <c r="F398"/>
  <c r="Q398" s="1"/>
  <c r="K398"/>
  <c r="J398"/>
  <c r="H398"/>
  <c r="O498"/>
  <c r="O341"/>
  <c r="O450" l="1"/>
  <c r="O286"/>
  <c r="F451"/>
  <c r="Q451" s="1"/>
  <c r="L451"/>
  <c r="J451"/>
  <c r="H451"/>
  <c r="G451"/>
  <c r="M451"/>
  <c r="K451"/>
  <c r="I451"/>
  <c r="C452"/>
  <c r="D452" s="1"/>
  <c r="M399"/>
  <c r="C400"/>
  <c r="D400" s="1"/>
  <c r="L399"/>
  <c r="F399"/>
  <c r="Q399" s="1"/>
  <c r="K399"/>
  <c r="I399"/>
  <c r="G399"/>
  <c r="J399"/>
  <c r="H399"/>
  <c r="M343"/>
  <c r="C344"/>
  <c r="D344" s="1"/>
  <c r="L343"/>
  <c r="F343"/>
  <c r="Q343" s="1"/>
  <c r="G343"/>
  <c r="I343"/>
  <c r="K343"/>
  <c r="H343"/>
  <c r="J343"/>
  <c r="F287"/>
  <c r="Q287" s="1"/>
  <c r="C288"/>
  <c r="D288" s="1"/>
  <c r="M287"/>
  <c r="L287"/>
  <c r="K287"/>
  <c r="H287"/>
  <c r="I287"/>
  <c r="G287"/>
  <c r="J287"/>
  <c r="F500"/>
  <c r="Q500" s="1"/>
  <c r="C501"/>
  <c r="D501" s="1"/>
  <c r="M500"/>
  <c r="I500"/>
  <c r="K500"/>
  <c r="H500"/>
  <c r="J500"/>
  <c r="L500"/>
  <c r="G500"/>
  <c r="O398"/>
  <c r="O342"/>
  <c r="O499"/>
  <c r="O343" l="1"/>
  <c r="F452"/>
  <c r="Q452" s="1"/>
  <c r="M452"/>
  <c r="K452"/>
  <c r="I452"/>
  <c r="G452"/>
  <c r="L452"/>
  <c r="J452"/>
  <c r="H452"/>
  <c r="O451"/>
  <c r="C453"/>
  <c r="D453" s="1"/>
  <c r="O500"/>
  <c r="O399"/>
  <c r="F501"/>
  <c r="Q501" s="1"/>
  <c r="C502"/>
  <c r="D502" s="1"/>
  <c r="L501"/>
  <c r="I501"/>
  <c r="K501"/>
  <c r="M501"/>
  <c r="H501"/>
  <c r="G501"/>
  <c r="J501"/>
  <c r="F288"/>
  <c r="Q288" s="1"/>
  <c r="C289"/>
  <c r="D289" s="1"/>
  <c r="L288"/>
  <c r="M288"/>
  <c r="G288"/>
  <c r="I288"/>
  <c r="K288"/>
  <c r="H288"/>
  <c r="J288"/>
  <c r="L344"/>
  <c r="C345"/>
  <c r="D345" s="1"/>
  <c r="F344"/>
  <c r="Q344" s="1"/>
  <c r="M344"/>
  <c r="K344"/>
  <c r="I344"/>
  <c r="G344"/>
  <c r="H344"/>
  <c r="J344"/>
  <c r="L400"/>
  <c r="C401"/>
  <c r="D401" s="1"/>
  <c r="M400"/>
  <c r="F400"/>
  <c r="Q400" s="1"/>
  <c r="K400"/>
  <c r="I400"/>
  <c r="G400"/>
  <c r="J400"/>
  <c r="H400"/>
  <c r="O287"/>
  <c r="O452" l="1"/>
  <c r="F453"/>
  <c r="Q453" s="1"/>
  <c r="L453"/>
  <c r="J453"/>
  <c r="H453"/>
  <c r="G453"/>
  <c r="M453"/>
  <c r="K453"/>
  <c r="I453"/>
  <c r="C454"/>
  <c r="D454" s="1"/>
  <c r="O288"/>
  <c r="O501"/>
  <c r="O400"/>
  <c r="M401"/>
  <c r="C402"/>
  <c r="D402" s="1"/>
  <c r="F401"/>
  <c r="Q401" s="1"/>
  <c r="K401"/>
  <c r="L401"/>
  <c r="I401"/>
  <c r="G401"/>
  <c r="J401"/>
  <c r="H401"/>
  <c r="M345"/>
  <c r="C346"/>
  <c r="D346" s="1"/>
  <c r="F345"/>
  <c r="Q345" s="1"/>
  <c r="K345"/>
  <c r="I345"/>
  <c r="G345"/>
  <c r="L345"/>
  <c r="H345"/>
  <c r="J345"/>
  <c r="F289"/>
  <c r="Q289" s="1"/>
  <c r="C290"/>
  <c r="D290" s="1"/>
  <c r="L289"/>
  <c r="M289"/>
  <c r="K289"/>
  <c r="H289"/>
  <c r="I289"/>
  <c r="G289"/>
  <c r="J289"/>
  <c r="F502"/>
  <c r="Q502" s="1"/>
  <c r="C503"/>
  <c r="D503" s="1"/>
  <c r="M502"/>
  <c r="J502"/>
  <c r="G502"/>
  <c r="I502"/>
  <c r="H502"/>
  <c r="L502"/>
  <c r="K502"/>
  <c r="O344"/>
  <c r="F454" l="1"/>
  <c r="Q454" s="1"/>
  <c r="M454"/>
  <c r="K454"/>
  <c r="I454"/>
  <c r="G454"/>
  <c r="L454"/>
  <c r="J454"/>
  <c r="H454"/>
  <c r="O453"/>
  <c r="C455"/>
  <c r="D455" s="1"/>
  <c r="O502"/>
  <c r="F503"/>
  <c r="Q503" s="1"/>
  <c r="C504"/>
  <c r="D504" s="1"/>
  <c r="L503"/>
  <c r="G503"/>
  <c r="I503"/>
  <c r="K503"/>
  <c r="J503"/>
  <c r="M503"/>
  <c r="H503"/>
  <c r="L402"/>
  <c r="M402"/>
  <c r="J402"/>
  <c r="H402"/>
  <c r="C403"/>
  <c r="D403" s="1"/>
  <c r="F402"/>
  <c r="Q402" s="1"/>
  <c r="I402"/>
  <c r="K402"/>
  <c r="G402"/>
  <c r="F290"/>
  <c r="Q290" s="1"/>
  <c r="C291"/>
  <c r="D291" s="1"/>
  <c r="M290"/>
  <c r="L290"/>
  <c r="K290"/>
  <c r="J290"/>
  <c r="H290"/>
  <c r="G290"/>
  <c r="I290"/>
  <c r="L346"/>
  <c r="M346"/>
  <c r="F346"/>
  <c r="Q346" s="1"/>
  <c r="K346"/>
  <c r="C347"/>
  <c r="D347" s="1"/>
  <c r="I346"/>
  <c r="G346"/>
  <c r="H346"/>
  <c r="J346"/>
  <c r="O289"/>
  <c r="O345"/>
  <c r="O401"/>
  <c r="O454" l="1"/>
  <c r="F455"/>
  <c r="Q455" s="1"/>
  <c r="L455"/>
  <c r="J455"/>
  <c r="H455"/>
  <c r="G455"/>
  <c r="M455"/>
  <c r="K455"/>
  <c r="I455"/>
  <c r="C456"/>
  <c r="D456" s="1"/>
  <c r="M403"/>
  <c r="C404"/>
  <c r="D404" s="1"/>
  <c r="L403"/>
  <c r="F403"/>
  <c r="Q403" s="1"/>
  <c r="K403"/>
  <c r="J403"/>
  <c r="H403"/>
  <c r="I403"/>
  <c r="G403"/>
  <c r="M347"/>
  <c r="C348"/>
  <c r="D348" s="1"/>
  <c r="L347"/>
  <c r="F347"/>
  <c r="Q347" s="1"/>
  <c r="G347"/>
  <c r="I347"/>
  <c r="H347"/>
  <c r="K347"/>
  <c r="J347"/>
  <c r="F291"/>
  <c r="Q291" s="1"/>
  <c r="C292"/>
  <c r="D292" s="1"/>
  <c r="L291"/>
  <c r="M291"/>
  <c r="K291"/>
  <c r="G291"/>
  <c r="J291"/>
  <c r="H291"/>
  <c r="I291"/>
  <c r="F504"/>
  <c r="Q504" s="1"/>
  <c r="C505"/>
  <c r="D505" s="1"/>
  <c r="M504"/>
  <c r="I504"/>
  <c r="K504"/>
  <c r="L504"/>
  <c r="H504"/>
  <c r="G504"/>
  <c r="J504"/>
  <c r="O346"/>
  <c r="O402"/>
  <c r="O503"/>
  <c r="O290"/>
  <c r="O403" l="1"/>
  <c r="O347"/>
  <c r="F456"/>
  <c r="Q456" s="1"/>
  <c r="M456"/>
  <c r="K456"/>
  <c r="I456"/>
  <c r="G456"/>
  <c r="L456"/>
  <c r="J456"/>
  <c r="H456"/>
  <c r="O504"/>
  <c r="O455"/>
  <c r="C457"/>
  <c r="D457" s="1"/>
  <c r="O291"/>
  <c r="F505"/>
  <c r="Q505" s="1"/>
  <c r="C506"/>
  <c r="D506" s="1"/>
  <c r="L505"/>
  <c r="I505"/>
  <c r="K505"/>
  <c r="H505"/>
  <c r="M505"/>
  <c r="J505"/>
  <c r="G505"/>
  <c r="F292"/>
  <c r="Q292" s="1"/>
  <c r="C293"/>
  <c r="D293" s="1"/>
  <c r="L292"/>
  <c r="M292"/>
  <c r="J292"/>
  <c r="H292"/>
  <c r="I292"/>
  <c r="K292"/>
  <c r="G292"/>
  <c r="L348"/>
  <c r="C349"/>
  <c r="D349" s="1"/>
  <c r="F348"/>
  <c r="Q348" s="1"/>
  <c r="K348"/>
  <c r="I348"/>
  <c r="G348"/>
  <c r="M348"/>
  <c r="H348"/>
  <c r="J348"/>
  <c r="L404"/>
  <c r="C405"/>
  <c r="D405" s="1"/>
  <c r="M404"/>
  <c r="F404"/>
  <c r="Q404" s="1"/>
  <c r="K404"/>
  <c r="J404"/>
  <c r="H404"/>
  <c r="I404"/>
  <c r="G404"/>
  <c r="O456" l="1"/>
  <c r="F457"/>
  <c r="Q457" s="1"/>
  <c r="L457"/>
  <c r="J457"/>
  <c r="H457"/>
  <c r="M457"/>
  <c r="K457"/>
  <c r="I457"/>
  <c r="G457"/>
  <c r="C458"/>
  <c r="D458" s="1"/>
  <c r="O348"/>
  <c r="O404"/>
  <c r="M405"/>
  <c r="C406"/>
  <c r="D406" s="1"/>
  <c r="L405"/>
  <c r="F405"/>
  <c r="Q405" s="1"/>
  <c r="K405"/>
  <c r="J405"/>
  <c r="H405"/>
  <c r="I405"/>
  <c r="G405"/>
  <c r="M349"/>
  <c r="C350"/>
  <c r="D350" s="1"/>
  <c r="F349"/>
  <c r="Q349" s="1"/>
  <c r="L349"/>
  <c r="K349"/>
  <c r="I349"/>
  <c r="G349"/>
  <c r="H349"/>
  <c r="J349"/>
  <c r="F506"/>
  <c r="Q506" s="1"/>
  <c r="C507"/>
  <c r="D507" s="1"/>
  <c r="L506"/>
  <c r="K506"/>
  <c r="H506"/>
  <c r="M506"/>
  <c r="G506"/>
  <c r="J506"/>
  <c r="I506"/>
  <c r="F293"/>
  <c r="Q293" s="1"/>
  <c r="C294"/>
  <c r="D294" s="1"/>
  <c r="M293"/>
  <c r="K293"/>
  <c r="J293"/>
  <c r="H293"/>
  <c r="L293"/>
  <c r="G293"/>
  <c r="I293"/>
  <c r="O292"/>
  <c r="O505"/>
  <c r="O405" l="1"/>
  <c r="F458"/>
  <c r="Q458" s="1"/>
  <c r="M458"/>
  <c r="K458"/>
  <c r="I458"/>
  <c r="G458"/>
  <c r="L458"/>
  <c r="J458"/>
  <c r="H458"/>
  <c r="O457"/>
  <c r="C459"/>
  <c r="D459" s="1"/>
  <c r="L350"/>
  <c r="M350"/>
  <c r="F350"/>
  <c r="Q350" s="1"/>
  <c r="C351"/>
  <c r="D351" s="1"/>
  <c r="K350"/>
  <c r="I350"/>
  <c r="G350"/>
  <c r="H350"/>
  <c r="J350"/>
  <c r="F294"/>
  <c r="Q294" s="1"/>
  <c r="C295"/>
  <c r="D295" s="1"/>
  <c r="L294"/>
  <c r="M294"/>
  <c r="K294"/>
  <c r="J294"/>
  <c r="H294"/>
  <c r="I294"/>
  <c r="G294"/>
  <c r="F507"/>
  <c r="Q507" s="1"/>
  <c r="C508"/>
  <c r="D508" s="1"/>
  <c r="L507"/>
  <c r="O507" s="1"/>
  <c r="I507"/>
  <c r="K507"/>
  <c r="J507"/>
  <c r="G507"/>
  <c r="H507"/>
  <c r="L406"/>
  <c r="M406"/>
  <c r="C407"/>
  <c r="D407" s="1"/>
  <c r="I406"/>
  <c r="G406"/>
  <c r="F406"/>
  <c r="Q406" s="1"/>
  <c r="K406"/>
  <c r="J406"/>
  <c r="H406"/>
  <c r="O506"/>
  <c r="O293"/>
  <c r="O349"/>
  <c r="O458" l="1"/>
  <c r="F459"/>
  <c r="Q459" s="1"/>
  <c r="L459"/>
  <c r="J459"/>
  <c r="H459"/>
  <c r="G459"/>
  <c r="M459"/>
  <c r="K459"/>
  <c r="I459"/>
  <c r="C460"/>
  <c r="D460" s="1"/>
  <c r="M407"/>
  <c r="C408"/>
  <c r="D408" s="1"/>
  <c r="L407"/>
  <c r="O407" s="1"/>
  <c r="F407"/>
  <c r="Q407" s="1"/>
  <c r="K407"/>
  <c r="I407"/>
  <c r="G407"/>
  <c r="J407"/>
  <c r="H407"/>
  <c r="M351"/>
  <c r="C352"/>
  <c r="D352" s="1"/>
  <c r="L351"/>
  <c r="F351"/>
  <c r="Q351" s="1"/>
  <c r="G351"/>
  <c r="I351"/>
  <c r="K351"/>
  <c r="H351"/>
  <c r="J351"/>
  <c r="F508"/>
  <c r="Q508" s="1"/>
  <c r="C509"/>
  <c r="D509" s="1"/>
  <c r="M508"/>
  <c r="K508"/>
  <c r="J508"/>
  <c r="H508"/>
  <c r="I508"/>
  <c r="L508"/>
  <c r="G508"/>
  <c r="F295"/>
  <c r="Q295" s="1"/>
  <c r="C296"/>
  <c r="D296" s="1"/>
  <c r="M295"/>
  <c r="L295"/>
  <c r="K295"/>
  <c r="J295"/>
  <c r="H295"/>
  <c r="G295"/>
  <c r="I295"/>
  <c r="O294"/>
  <c r="O350"/>
  <c r="O406"/>
  <c r="O351" l="1"/>
  <c r="O508"/>
  <c r="F460"/>
  <c r="Q460" s="1"/>
  <c r="M460"/>
  <c r="K460"/>
  <c r="I460"/>
  <c r="G460"/>
  <c r="L460"/>
  <c r="J460"/>
  <c r="H460"/>
  <c r="O459"/>
  <c r="C461"/>
  <c r="D461" s="1"/>
  <c r="F296"/>
  <c r="Q296" s="1"/>
  <c r="C297"/>
  <c r="D297" s="1"/>
  <c r="L296"/>
  <c r="M296"/>
  <c r="J296"/>
  <c r="H296"/>
  <c r="K296"/>
  <c r="I296"/>
  <c r="G296"/>
  <c r="F509"/>
  <c r="Q509" s="1"/>
  <c r="C510"/>
  <c r="D510" s="1"/>
  <c r="L509"/>
  <c r="H509"/>
  <c r="J509"/>
  <c r="G509"/>
  <c r="I509"/>
  <c r="M509"/>
  <c r="K509"/>
  <c r="L352"/>
  <c r="C353"/>
  <c r="D353" s="1"/>
  <c r="F352"/>
  <c r="Q352" s="1"/>
  <c r="M352"/>
  <c r="K352"/>
  <c r="G352"/>
  <c r="I352"/>
  <c r="H352"/>
  <c r="J352"/>
  <c r="L408"/>
  <c r="C409"/>
  <c r="D409" s="1"/>
  <c r="M408"/>
  <c r="F408"/>
  <c r="Q408" s="1"/>
  <c r="K408"/>
  <c r="I408"/>
  <c r="G408"/>
  <c r="J408"/>
  <c r="H408"/>
  <c r="O295"/>
  <c r="O460" l="1"/>
  <c r="F461"/>
  <c r="Q461" s="1"/>
  <c r="L461"/>
  <c r="J461"/>
  <c r="H461"/>
  <c r="G461"/>
  <c r="M461"/>
  <c r="K461"/>
  <c r="I461"/>
  <c r="C462"/>
  <c r="D462" s="1"/>
  <c r="O408"/>
  <c r="M409"/>
  <c r="C410"/>
  <c r="D410" s="1"/>
  <c r="F409"/>
  <c r="Q409" s="1"/>
  <c r="K409"/>
  <c r="I409"/>
  <c r="G409"/>
  <c r="L409"/>
  <c r="J409"/>
  <c r="H409"/>
  <c r="M353"/>
  <c r="C354"/>
  <c r="D354" s="1"/>
  <c r="F353"/>
  <c r="Q353" s="1"/>
  <c r="L353"/>
  <c r="K353"/>
  <c r="G353"/>
  <c r="I353"/>
  <c r="H353"/>
  <c r="J353"/>
  <c r="F510"/>
  <c r="Q510" s="1"/>
  <c r="C511"/>
  <c r="D511" s="1"/>
  <c r="L510"/>
  <c r="J510"/>
  <c r="G510"/>
  <c r="M510"/>
  <c r="K510"/>
  <c r="H510"/>
  <c r="I510"/>
  <c r="F297"/>
  <c r="Q297" s="1"/>
  <c r="C298"/>
  <c r="D298" s="1"/>
  <c r="M297"/>
  <c r="L297"/>
  <c r="K297"/>
  <c r="H297"/>
  <c r="J297"/>
  <c r="I297"/>
  <c r="G297"/>
  <c r="O352"/>
  <c r="O509"/>
  <c r="O296"/>
  <c r="O353" l="1"/>
  <c r="F462"/>
  <c r="Q462" s="1"/>
  <c r="M462"/>
  <c r="K462"/>
  <c r="I462"/>
  <c r="G462"/>
  <c r="L462"/>
  <c r="J462"/>
  <c r="H462"/>
  <c r="O461"/>
  <c r="C463"/>
  <c r="D463" s="1"/>
  <c r="O297"/>
  <c r="L410"/>
  <c r="M410"/>
  <c r="C411"/>
  <c r="D411" s="1"/>
  <c r="I410"/>
  <c r="G410"/>
  <c r="F410"/>
  <c r="Q410" s="1"/>
  <c r="J410"/>
  <c r="K410"/>
  <c r="H410"/>
  <c r="F298"/>
  <c r="Q298" s="1"/>
  <c r="C299"/>
  <c r="D299" s="1"/>
  <c r="M298"/>
  <c r="L298"/>
  <c r="K298"/>
  <c r="J298"/>
  <c r="H298"/>
  <c r="I298"/>
  <c r="G298"/>
  <c r="F511"/>
  <c r="Q511" s="1"/>
  <c r="C512"/>
  <c r="D512" s="1"/>
  <c r="M511"/>
  <c r="G511"/>
  <c r="I511"/>
  <c r="L511"/>
  <c r="H511"/>
  <c r="J511"/>
  <c r="K511"/>
  <c r="L354"/>
  <c r="M354"/>
  <c r="F354"/>
  <c r="Q354" s="1"/>
  <c r="K354"/>
  <c r="I354"/>
  <c r="G354"/>
  <c r="C355"/>
  <c r="D355" s="1"/>
  <c r="H354"/>
  <c r="J354"/>
  <c r="O510"/>
  <c r="O409"/>
  <c r="O462" l="1"/>
  <c r="O298"/>
  <c r="F463"/>
  <c r="Q463" s="1"/>
  <c r="L463"/>
  <c r="J463"/>
  <c r="H463"/>
  <c r="M463"/>
  <c r="K463"/>
  <c r="I463"/>
  <c r="G463"/>
  <c r="C464"/>
  <c r="D464" s="1"/>
  <c r="M411"/>
  <c r="C412"/>
  <c r="D412" s="1"/>
  <c r="L411"/>
  <c r="O411" s="1"/>
  <c r="F411"/>
  <c r="Q411" s="1"/>
  <c r="K411"/>
  <c r="I411"/>
  <c r="G411"/>
  <c r="J411"/>
  <c r="H411"/>
  <c r="M355"/>
  <c r="C356"/>
  <c r="D356" s="1"/>
  <c r="L355"/>
  <c r="F355"/>
  <c r="Q355" s="1"/>
  <c r="J355"/>
  <c r="H355"/>
  <c r="G355"/>
  <c r="K355"/>
  <c r="I355"/>
  <c r="F512"/>
  <c r="Q512" s="1"/>
  <c r="C513"/>
  <c r="D513" s="1"/>
  <c r="L512"/>
  <c r="I512"/>
  <c r="K512"/>
  <c r="H512"/>
  <c r="M512"/>
  <c r="G512"/>
  <c r="J512"/>
  <c r="F299"/>
  <c r="Q299" s="1"/>
  <c r="C300"/>
  <c r="D300" s="1"/>
  <c r="L299"/>
  <c r="K299"/>
  <c r="J299"/>
  <c r="H299"/>
  <c r="M299"/>
  <c r="G299"/>
  <c r="I299"/>
  <c r="O354"/>
  <c r="O410"/>
  <c r="O511"/>
  <c r="O355" l="1"/>
  <c r="F464"/>
  <c r="Q464" s="1"/>
  <c r="M464"/>
  <c r="K464"/>
  <c r="I464"/>
  <c r="G464"/>
  <c r="L464"/>
  <c r="J464"/>
  <c r="H464"/>
  <c r="O463"/>
  <c r="C465"/>
  <c r="D465" s="1"/>
  <c r="O299"/>
  <c r="O512"/>
  <c r="F300"/>
  <c r="Q300" s="1"/>
  <c r="C301"/>
  <c r="D301" s="1"/>
  <c r="L300"/>
  <c r="M300"/>
  <c r="J300"/>
  <c r="H300"/>
  <c r="G300"/>
  <c r="K300"/>
  <c r="I300"/>
  <c r="F513"/>
  <c r="Q513" s="1"/>
  <c r="C514"/>
  <c r="D514" s="1"/>
  <c r="M513"/>
  <c r="I513"/>
  <c r="K513"/>
  <c r="L513"/>
  <c r="H513"/>
  <c r="G513"/>
  <c r="J513"/>
  <c r="L356"/>
  <c r="C357"/>
  <c r="D357" s="1"/>
  <c r="F356"/>
  <c r="Q356" s="1"/>
  <c r="K356"/>
  <c r="M356"/>
  <c r="J356"/>
  <c r="H356"/>
  <c r="G356"/>
  <c r="I356"/>
  <c r="L412"/>
  <c r="C413"/>
  <c r="D413" s="1"/>
  <c r="F412"/>
  <c r="Q412" s="1"/>
  <c r="K412"/>
  <c r="I412"/>
  <c r="G412"/>
  <c r="M412"/>
  <c r="J412"/>
  <c r="H412"/>
  <c r="O464" l="1"/>
  <c r="F465"/>
  <c r="Q465" s="1"/>
  <c r="L465"/>
  <c r="J465"/>
  <c r="H465"/>
  <c r="G465"/>
  <c r="M465"/>
  <c r="K465"/>
  <c r="I465"/>
  <c r="C466"/>
  <c r="D466" s="1"/>
  <c r="O356"/>
  <c r="O412"/>
  <c r="M357"/>
  <c r="C358"/>
  <c r="D358" s="1"/>
  <c r="F357"/>
  <c r="Q357" s="1"/>
  <c r="L357"/>
  <c r="J357"/>
  <c r="H357"/>
  <c r="K357"/>
  <c r="G357"/>
  <c r="I357"/>
  <c r="M413"/>
  <c r="C414"/>
  <c r="D414" s="1"/>
  <c r="L413"/>
  <c r="O413" s="1"/>
  <c r="F413"/>
  <c r="Q413" s="1"/>
  <c r="K413"/>
  <c r="H413"/>
  <c r="J413"/>
  <c r="G413"/>
  <c r="I413"/>
  <c r="F514"/>
  <c r="Q514" s="1"/>
  <c r="C515"/>
  <c r="D515" s="1"/>
  <c r="M514"/>
  <c r="K514"/>
  <c r="H514"/>
  <c r="J514"/>
  <c r="L514"/>
  <c r="G514"/>
  <c r="I514"/>
  <c r="F301"/>
  <c r="Q301" s="1"/>
  <c r="C302"/>
  <c r="D302" s="1"/>
  <c r="M301"/>
  <c r="L301"/>
  <c r="K301"/>
  <c r="H301"/>
  <c r="J301"/>
  <c r="I301"/>
  <c r="G301"/>
  <c r="O300"/>
  <c r="O513"/>
  <c r="F466" l="1"/>
  <c r="Q466" s="1"/>
  <c r="M466"/>
  <c r="K466"/>
  <c r="I466"/>
  <c r="G466"/>
  <c r="L466"/>
  <c r="J466"/>
  <c r="H466"/>
  <c r="O465"/>
  <c r="C467"/>
  <c r="D467" s="1"/>
  <c r="F302"/>
  <c r="Q302" s="1"/>
  <c r="C303"/>
  <c r="D303" s="1"/>
  <c r="M302"/>
  <c r="L302"/>
  <c r="K302"/>
  <c r="J302"/>
  <c r="H302"/>
  <c r="I302"/>
  <c r="G302"/>
  <c r="F515"/>
  <c r="Q515" s="1"/>
  <c r="C516"/>
  <c r="D516" s="1"/>
  <c r="M515"/>
  <c r="I515"/>
  <c r="K515"/>
  <c r="H515"/>
  <c r="J515"/>
  <c r="L515"/>
  <c r="G515"/>
  <c r="L358"/>
  <c r="M358"/>
  <c r="F358"/>
  <c r="Q358" s="1"/>
  <c r="C359"/>
  <c r="D359" s="1"/>
  <c r="K358"/>
  <c r="J358"/>
  <c r="H358"/>
  <c r="G358"/>
  <c r="I358"/>
  <c r="L414"/>
  <c r="M414"/>
  <c r="C415"/>
  <c r="D415" s="1"/>
  <c r="G414"/>
  <c r="I414"/>
  <c r="F414"/>
  <c r="Q414" s="1"/>
  <c r="K414"/>
  <c r="H414"/>
  <c r="J414"/>
  <c r="O301"/>
  <c r="O514"/>
  <c r="O357"/>
  <c r="O302" l="1"/>
  <c r="O466"/>
  <c r="O515"/>
  <c r="F467"/>
  <c r="Q467" s="1"/>
  <c r="L467"/>
  <c r="J467"/>
  <c r="H467"/>
  <c r="G467"/>
  <c r="M467"/>
  <c r="K467"/>
  <c r="I467"/>
  <c r="C468"/>
  <c r="D468" s="1"/>
  <c r="M415"/>
  <c r="C416"/>
  <c r="D416" s="1"/>
  <c r="L415"/>
  <c r="F415"/>
  <c r="Q415" s="1"/>
  <c r="K415"/>
  <c r="H415"/>
  <c r="J415"/>
  <c r="G415"/>
  <c r="I415"/>
  <c r="M359"/>
  <c r="C360"/>
  <c r="D360" s="1"/>
  <c r="L359"/>
  <c r="F359"/>
  <c r="Q359" s="1"/>
  <c r="J359"/>
  <c r="H359"/>
  <c r="G359"/>
  <c r="K359"/>
  <c r="I359"/>
  <c r="F516"/>
  <c r="Q516" s="1"/>
  <c r="C517"/>
  <c r="D517" s="1"/>
  <c r="L516"/>
  <c r="G516"/>
  <c r="I516"/>
  <c r="M516"/>
  <c r="H516"/>
  <c r="J516"/>
  <c r="K516"/>
  <c r="F303"/>
  <c r="Q303" s="1"/>
  <c r="C304"/>
  <c r="D304" s="1"/>
  <c r="L303"/>
  <c r="M303"/>
  <c r="K303"/>
  <c r="J303"/>
  <c r="H303"/>
  <c r="G303"/>
  <c r="I303"/>
  <c r="O414"/>
  <c r="O358"/>
  <c r="O359" l="1"/>
  <c r="O415"/>
  <c r="M468"/>
  <c r="K468"/>
  <c r="I468"/>
  <c r="G468"/>
  <c r="L468"/>
  <c r="J468"/>
  <c r="H468"/>
  <c r="O467"/>
  <c r="C469"/>
  <c r="D469" s="1"/>
  <c r="F468"/>
  <c r="Q468" s="1"/>
  <c r="O303"/>
  <c r="F304"/>
  <c r="Q304" s="1"/>
  <c r="C305"/>
  <c r="D305" s="1"/>
  <c r="M304"/>
  <c r="G304"/>
  <c r="H304"/>
  <c r="L304"/>
  <c r="K304"/>
  <c r="I304"/>
  <c r="J304"/>
  <c r="F517"/>
  <c r="Q517" s="1"/>
  <c r="C518"/>
  <c r="D518" s="1"/>
  <c r="L517"/>
  <c r="J517"/>
  <c r="K517"/>
  <c r="I517"/>
  <c r="M517"/>
  <c r="H517"/>
  <c r="G517"/>
  <c r="L360"/>
  <c r="C361"/>
  <c r="D361" s="1"/>
  <c r="F360"/>
  <c r="Q360" s="1"/>
  <c r="M360"/>
  <c r="K360"/>
  <c r="J360"/>
  <c r="H360"/>
  <c r="G360"/>
  <c r="I360"/>
  <c r="L416"/>
  <c r="C417"/>
  <c r="D417" s="1"/>
  <c r="M416"/>
  <c r="F416"/>
  <c r="Q416" s="1"/>
  <c r="K416"/>
  <c r="G416"/>
  <c r="I416"/>
  <c r="H416"/>
  <c r="J416"/>
  <c r="O516"/>
  <c r="O468" l="1"/>
  <c r="L469"/>
  <c r="J469"/>
  <c r="H469"/>
  <c r="G469"/>
  <c r="M469"/>
  <c r="K469"/>
  <c r="I469"/>
  <c r="O304"/>
  <c r="C470"/>
  <c r="D470" s="1"/>
  <c r="F469"/>
  <c r="Q469" s="1"/>
  <c r="O517"/>
  <c r="O416"/>
  <c r="M417"/>
  <c r="C418"/>
  <c r="D418" s="1"/>
  <c r="F417"/>
  <c r="Q417" s="1"/>
  <c r="K417"/>
  <c r="L417"/>
  <c r="G417"/>
  <c r="I417"/>
  <c r="H417"/>
  <c r="J417"/>
  <c r="M361"/>
  <c r="C362"/>
  <c r="D362" s="1"/>
  <c r="F361"/>
  <c r="Q361" s="1"/>
  <c r="J361"/>
  <c r="H361"/>
  <c r="K361"/>
  <c r="G361"/>
  <c r="L361"/>
  <c r="I361"/>
  <c r="F518"/>
  <c r="Q518" s="1"/>
  <c r="C519"/>
  <c r="D519" s="1"/>
  <c r="M518"/>
  <c r="H518"/>
  <c r="G518"/>
  <c r="I518"/>
  <c r="J518"/>
  <c r="K518"/>
  <c r="L518"/>
  <c r="F305"/>
  <c r="Q305" s="1"/>
  <c r="C306"/>
  <c r="D306" s="1"/>
  <c r="L305"/>
  <c r="M305"/>
  <c r="K305"/>
  <c r="G305"/>
  <c r="I305"/>
  <c r="J305"/>
  <c r="H305"/>
  <c r="O360"/>
  <c r="O361" l="1"/>
  <c r="F470"/>
  <c r="Q470" s="1"/>
  <c r="M470"/>
  <c r="K470"/>
  <c r="I470"/>
  <c r="G470"/>
  <c r="C471"/>
  <c r="D471" s="1"/>
  <c r="L470"/>
  <c r="J470"/>
  <c r="H470"/>
  <c r="O469"/>
  <c r="F519"/>
  <c r="Q519" s="1"/>
  <c r="C520"/>
  <c r="D520" s="1"/>
  <c r="L519"/>
  <c r="K519"/>
  <c r="J519"/>
  <c r="M519"/>
  <c r="H519"/>
  <c r="I519"/>
  <c r="G519"/>
  <c r="L418"/>
  <c r="M418"/>
  <c r="H418"/>
  <c r="J418"/>
  <c r="C419"/>
  <c r="D419" s="1"/>
  <c r="F418"/>
  <c r="Q418" s="1"/>
  <c r="G418"/>
  <c r="K418"/>
  <c r="I418"/>
  <c r="F306"/>
  <c r="Q306" s="1"/>
  <c r="C307"/>
  <c r="D307" s="1"/>
  <c r="M306"/>
  <c r="L306"/>
  <c r="K306"/>
  <c r="G306"/>
  <c r="J306"/>
  <c r="I306"/>
  <c r="H306"/>
  <c r="L362"/>
  <c r="M362"/>
  <c r="F362"/>
  <c r="Q362" s="1"/>
  <c r="K362"/>
  <c r="J362"/>
  <c r="H362"/>
  <c r="C363"/>
  <c r="D363" s="1"/>
  <c r="G362"/>
  <c r="I362"/>
  <c r="O305"/>
  <c r="O518"/>
  <c r="O417"/>
  <c r="O470" l="1"/>
  <c r="L471"/>
  <c r="L472" s="1"/>
  <c r="J471"/>
  <c r="H471"/>
  <c r="M471"/>
  <c r="M472" s="1"/>
  <c r="K471"/>
  <c r="K472" s="1"/>
  <c r="I471"/>
  <c r="G471"/>
  <c r="F471"/>
  <c r="Q471" s="1"/>
  <c r="O519"/>
  <c r="M419"/>
  <c r="C420"/>
  <c r="D420" s="1"/>
  <c r="L419"/>
  <c r="F419"/>
  <c r="Q419" s="1"/>
  <c r="K419"/>
  <c r="G419"/>
  <c r="I419"/>
  <c r="H419"/>
  <c r="J419"/>
  <c r="M363"/>
  <c r="C364"/>
  <c r="D364" s="1"/>
  <c r="L363"/>
  <c r="F363"/>
  <c r="Q363" s="1"/>
  <c r="J363"/>
  <c r="H363"/>
  <c r="G363"/>
  <c r="I363"/>
  <c r="K363"/>
  <c r="F307"/>
  <c r="Q307" s="1"/>
  <c r="C308"/>
  <c r="D308" s="1"/>
  <c r="M307"/>
  <c r="L307"/>
  <c r="K307"/>
  <c r="G307"/>
  <c r="J307"/>
  <c r="I307"/>
  <c r="H307"/>
  <c r="F520"/>
  <c r="Q520" s="1"/>
  <c r="C521"/>
  <c r="D521" s="1"/>
  <c r="M520"/>
  <c r="H520"/>
  <c r="G520"/>
  <c r="I520"/>
  <c r="L520"/>
  <c r="K520"/>
  <c r="J520"/>
  <c r="O362"/>
  <c r="O418"/>
  <c r="O306"/>
  <c r="O363" l="1"/>
  <c r="DV62" i="15"/>
  <c r="DW18"/>
  <c r="DW50"/>
  <c r="DV28"/>
  <c r="DV64"/>
  <c r="DW13"/>
  <c r="DW45"/>
  <c r="DV19"/>
  <c r="DV54"/>
  <c r="DW16"/>
  <c r="DW48"/>
  <c r="DV25"/>
  <c r="DV60"/>
  <c r="DW51"/>
  <c r="DV30"/>
  <c r="DV66"/>
  <c r="DW14"/>
  <c r="DW46"/>
  <c r="DV21"/>
  <c r="DV56"/>
  <c r="DW9"/>
  <c r="DW41"/>
  <c r="DV11"/>
  <c r="DV46"/>
  <c r="DW12"/>
  <c r="DW44"/>
  <c r="DV17"/>
  <c r="DV52"/>
  <c r="DW15"/>
  <c r="DW47"/>
  <c r="DW10"/>
  <c r="DW42"/>
  <c r="DV13"/>
  <c r="DV48"/>
  <c r="DV39"/>
  <c r="DW37"/>
  <c r="DW69"/>
  <c r="DV65"/>
  <c r="DW8"/>
  <c r="DW40"/>
  <c r="DW72"/>
  <c r="DV71"/>
  <c r="DW11"/>
  <c r="DW43"/>
  <c r="DV15"/>
  <c r="DV50"/>
  <c r="DW22"/>
  <c r="DW54"/>
  <c r="DV36"/>
  <c r="DV72"/>
  <c r="DW17"/>
  <c r="DW49"/>
  <c r="DV26"/>
  <c r="DV37"/>
  <c r="DW36"/>
  <c r="DW68"/>
  <c r="DV63"/>
  <c r="DV10"/>
  <c r="DW23"/>
  <c r="DW55"/>
  <c r="DV38"/>
  <c r="DV23"/>
  <c r="DV33"/>
  <c r="DW34"/>
  <c r="DV59"/>
  <c r="DV22"/>
  <c r="DW29"/>
  <c r="DW61"/>
  <c r="DV49"/>
  <c r="DV29"/>
  <c r="DW32"/>
  <c r="DV55"/>
  <c r="DV35"/>
  <c r="DW35"/>
  <c r="DW67"/>
  <c r="DV61"/>
  <c r="DV24"/>
  <c r="DW30"/>
  <c r="DW62"/>
  <c r="DV51"/>
  <c r="DV14"/>
  <c r="DW25"/>
  <c r="DW57"/>
  <c r="DV42"/>
  <c r="DV20"/>
  <c r="DW28"/>
  <c r="DV47"/>
  <c r="DV27"/>
  <c r="DW31"/>
  <c r="DW63"/>
  <c r="DV9"/>
  <c r="DV16"/>
  <c r="DW26"/>
  <c r="DV44"/>
  <c r="DV8"/>
  <c r="DW21"/>
  <c r="DW53"/>
  <c r="DV34"/>
  <c r="DV70"/>
  <c r="DV12"/>
  <c r="DW24"/>
  <c r="DW56"/>
  <c r="DV40"/>
  <c r="DV18"/>
  <c r="DW27"/>
  <c r="DW59"/>
  <c r="DV45"/>
  <c r="DV41"/>
  <c r="DW38"/>
  <c r="DW70"/>
  <c r="DV67"/>
  <c r="DV31"/>
  <c r="DW33"/>
  <c r="DW65"/>
  <c r="DV57"/>
  <c r="DW20"/>
  <c r="DW52"/>
  <c r="DV32"/>
  <c r="DV68"/>
  <c r="DV43"/>
  <c r="DW39"/>
  <c r="DW71"/>
  <c r="DV69"/>
  <c r="DV53"/>
  <c r="DV58"/>
  <c r="S50" i="1"/>
  <c r="S43"/>
  <c r="S38"/>
  <c r="S34"/>
  <c r="S29"/>
  <c r="S25"/>
  <c r="S21"/>
  <c r="S17"/>
  <c r="S13"/>
  <c r="S9"/>
  <c r="R59"/>
  <c r="R55"/>
  <c r="R51"/>
  <c r="R47"/>
  <c r="R43"/>
  <c r="R39"/>
  <c r="R35"/>
  <c r="R31"/>
  <c r="R27"/>
  <c r="R23"/>
  <c r="R19"/>
  <c r="R15"/>
  <c r="R11"/>
  <c r="R7"/>
  <c r="S45"/>
  <c r="S59"/>
  <c r="S48"/>
  <c r="S41"/>
  <c r="S37"/>
  <c r="S33"/>
  <c r="S28"/>
  <c r="S24"/>
  <c r="S20"/>
  <c r="S16"/>
  <c r="S12"/>
  <c r="S8"/>
  <c r="R58"/>
  <c r="R54"/>
  <c r="R50"/>
  <c r="R46"/>
  <c r="R42"/>
  <c r="R38"/>
  <c r="R34"/>
  <c r="R30"/>
  <c r="R26"/>
  <c r="R22"/>
  <c r="R18"/>
  <c r="R14"/>
  <c r="R10"/>
  <c r="S51"/>
  <c r="S42"/>
  <c r="S46"/>
  <c r="S40"/>
  <c r="S36"/>
  <c r="S31"/>
  <c r="S27"/>
  <c r="S23"/>
  <c r="S19"/>
  <c r="S15"/>
  <c r="S11"/>
  <c r="S7"/>
  <c r="R57"/>
  <c r="R53"/>
  <c r="R49"/>
  <c r="R45"/>
  <c r="R41"/>
  <c r="R37"/>
  <c r="R33"/>
  <c r="R29"/>
  <c r="R25"/>
  <c r="R21"/>
  <c r="R17"/>
  <c r="R13"/>
  <c r="R9"/>
  <c r="S57"/>
  <c r="S49"/>
  <c r="S32"/>
  <c r="S44"/>
  <c r="S39"/>
  <c r="S35"/>
  <c r="S30"/>
  <c r="S26"/>
  <c r="S22"/>
  <c r="S18"/>
  <c r="S14"/>
  <c r="S10"/>
  <c r="R56"/>
  <c r="R52"/>
  <c r="R48"/>
  <c r="R44"/>
  <c r="R40"/>
  <c r="R36"/>
  <c r="R32"/>
  <c r="R28"/>
  <c r="R24"/>
  <c r="R20"/>
  <c r="R16"/>
  <c r="R12"/>
  <c r="R8"/>
  <c r="S55"/>
  <c r="S47"/>
  <c r="O419" i="13"/>
  <c r="S54" i="1"/>
  <c r="O471" i="13"/>
  <c r="O472" s="1"/>
  <c r="F521"/>
  <c r="Q521" s="1"/>
  <c r="C522"/>
  <c r="D522" s="1"/>
  <c r="L521"/>
  <c r="K521"/>
  <c r="H521"/>
  <c r="G521"/>
  <c r="J521"/>
  <c r="M521"/>
  <c r="I521"/>
  <c r="F308"/>
  <c r="Q308" s="1"/>
  <c r="C309"/>
  <c r="D309" s="1"/>
  <c r="L308"/>
  <c r="M308"/>
  <c r="G308"/>
  <c r="J308"/>
  <c r="I308"/>
  <c r="K308"/>
  <c r="H308"/>
  <c r="L364"/>
  <c r="C365"/>
  <c r="D365" s="1"/>
  <c r="F364"/>
  <c r="Q364" s="1"/>
  <c r="K364"/>
  <c r="J364"/>
  <c r="H364"/>
  <c r="G364"/>
  <c r="M364"/>
  <c r="I364"/>
  <c r="L420"/>
  <c r="C421"/>
  <c r="D421" s="1"/>
  <c r="M420"/>
  <c r="F420"/>
  <c r="Q420" s="1"/>
  <c r="K420"/>
  <c r="G420"/>
  <c r="I420"/>
  <c r="H420"/>
  <c r="J420"/>
  <c r="O520"/>
  <c r="O307"/>
  <c r="S52" i="1" l="1"/>
  <c r="DW58" i="15"/>
  <c r="DW60"/>
  <c r="S53" i="1"/>
  <c r="S56"/>
  <c r="DW64" i="15"/>
  <c r="DW19"/>
  <c r="BK119" i="16"/>
  <c r="S58" i="1"/>
  <c r="DW66" i="15"/>
  <c r="O308" i="13"/>
  <c r="O420"/>
  <c r="M421"/>
  <c r="M422" s="1"/>
  <c r="L421"/>
  <c r="F421"/>
  <c r="Q421" s="1"/>
  <c r="K421"/>
  <c r="K422" s="1"/>
  <c r="I421"/>
  <c r="G421"/>
  <c r="J421"/>
  <c r="H421"/>
  <c r="M365"/>
  <c r="C366"/>
  <c r="D366" s="1"/>
  <c r="F365"/>
  <c r="Q365" s="1"/>
  <c r="L365"/>
  <c r="I365"/>
  <c r="G365"/>
  <c r="K365"/>
  <c r="H365"/>
  <c r="J365"/>
  <c r="F309"/>
  <c r="Q309" s="1"/>
  <c r="C310"/>
  <c r="D310" s="1"/>
  <c r="M309"/>
  <c r="L309"/>
  <c r="K309"/>
  <c r="G309"/>
  <c r="I309"/>
  <c r="H309"/>
  <c r="J309"/>
  <c r="F522"/>
  <c r="Q522" s="1"/>
  <c r="C523"/>
  <c r="D523" s="1"/>
  <c r="L522"/>
  <c r="I522"/>
  <c r="K522"/>
  <c r="H522"/>
  <c r="G522"/>
  <c r="M522"/>
  <c r="J522"/>
  <c r="O364"/>
  <c r="O521"/>
  <c r="F523" l="1"/>
  <c r="Q523" s="1"/>
  <c r="C524"/>
  <c r="M523"/>
  <c r="G523"/>
  <c r="I523"/>
  <c r="K523"/>
  <c r="J523"/>
  <c r="D524"/>
  <c r="L523"/>
  <c r="O523" s="1"/>
  <c r="H523"/>
  <c r="F310"/>
  <c r="Q310" s="1"/>
  <c r="C311"/>
  <c r="M310"/>
  <c r="D311"/>
  <c r="L310"/>
  <c r="O310" s="1"/>
  <c r="K310"/>
  <c r="G310"/>
  <c r="I310"/>
  <c r="H310"/>
  <c r="J310"/>
  <c r="L366"/>
  <c r="M366"/>
  <c r="F366"/>
  <c r="Q366" s="1"/>
  <c r="C367"/>
  <c r="D367" s="1"/>
  <c r="K366"/>
  <c r="I366"/>
  <c r="G366"/>
  <c r="H366"/>
  <c r="J366"/>
  <c r="Q7" i="1"/>
  <c r="DF70" i="15"/>
  <c r="DE36"/>
  <c r="P12" i="1"/>
  <c r="DF32" i="15"/>
  <c r="DF44"/>
  <c r="DF17"/>
  <c r="Q19" i="1"/>
  <c r="P26"/>
  <c r="DF11" i="15"/>
  <c r="DF37"/>
  <c r="DE10"/>
  <c r="DF23"/>
  <c r="Q21" i="1"/>
  <c r="P28"/>
  <c r="DF40" i="15"/>
  <c r="DE14"/>
  <c r="DF56"/>
  <c r="Q35" i="1"/>
  <c r="P42"/>
  <c r="DF46" i="15"/>
  <c r="DE20"/>
  <c r="DF42"/>
  <c r="Q37" i="1"/>
  <c r="P44"/>
  <c r="DF51" i="15"/>
  <c r="DF64"/>
  <c r="Q51" i="1"/>
  <c r="P58"/>
  <c r="DF60" i="15"/>
  <c r="DE28"/>
  <c r="DE48"/>
  <c r="Q53" i="1"/>
  <c r="P60"/>
  <c r="DF65" i="15"/>
  <c r="DE31"/>
  <c r="DE27"/>
  <c r="P10" i="1"/>
  <c r="Q59"/>
  <c r="DE49" i="15"/>
  <c r="DE26"/>
  <c r="DF59"/>
  <c r="P52" i="1"/>
  <c r="Q45"/>
  <c r="DF61" i="15"/>
  <c r="DE23"/>
  <c r="DF53"/>
  <c r="P54" i="1"/>
  <c r="Q47"/>
  <c r="DF55" i="15"/>
  <c r="DE21"/>
  <c r="DF47"/>
  <c r="P40" i="1"/>
  <c r="Q33"/>
  <c r="DF15" i="15"/>
  <c r="DE13"/>
  <c r="DF39"/>
  <c r="P50" i="1"/>
  <c r="Q43"/>
  <c r="DF48" i="15"/>
  <c r="DE19"/>
  <c r="DF45"/>
  <c r="P36" i="1"/>
  <c r="Q29"/>
  <c r="DF28" i="15"/>
  <c r="DE16"/>
  <c r="P38" i="1"/>
  <c r="Q31"/>
  <c r="DF26" i="15"/>
  <c r="DE11"/>
  <c r="DF38"/>
  <c r="P24" i="1"/>
  <c r="Q17"/>
  <c r="DF18" i="15"/>
  <c r="DF72"/>
  <c r="DF31"/>
  <c r="P34" i="1"/>
  <c r="Q27"/>
  <c r="DF24" i="15"/>
  <c r="DE9"/>
  <c r="DF36"/>
  <c r="P20" i="1"/>
  <c r="Q13"/>
  <c r="DF14" i="15"/>
  <c r="DE7"/>
  <c r="DF33"/>
  <c r="P22" i="1"/>
  <c r="Q15"/>
  <c r="DF13" i="15"/>
  <c r="DF71"/>
  <c r="DF30"/>
  <c r="P8" i="1"/>
  <c r="DE57" i="15"/>
  <c r="DE30"/>
  <c r="DF63"/>
  <c r="P18" i="1"/>
  <c r="Q11"/>
  <c r="DE35" i="15"/>
  <c r="DF69"/>
  <c r="DF9"/>
  <c r="P6" i="1"/>
  <c r="DE22" i="15"/>
  <c r="DE32"/>
  <c r="DE12"/>
  <c r="DE29"/>
  <c r="DF62"/>
  <c r="P56" i="1"/>
  <c r="Q49"/>
  <c r="DE44" i="15"/>
  <c r="DF10"/>
  <c r="Q14" i="1"/>
  <c r="DE54" i="15"/>
  <c r="P39" i="1"/>
  <c r="DE71" i="15"/>
  <c r="DF58"/>
  <c r="DE25"/>
  <c r="DE42"/>
  <c r="Q57" i="1"/>
  <c r="DF67" i="15"/>
  <c r="DE33"/>
  <c r="DE64"/>
  <c r="P14" i="1"/>
  <c r="DE66" i="15"/>
  <c r="DE46"/>
  <c r="P29" i="1"/>
  <c r="DF21" i="15"/>
  <c r="Q56" i="1"/>
  <c r="DF43" i="15"/>
  <c r="DE18"/>
  <c r="DF52"/>
  <c r="Q41" i="1"/>
  <c r="P48"/>
  <c r="DF54" i="15"/>
  <c r="DE24"/>
  <c r="DE52"/>
  <c r="Q55" i="1"/>
  <c r="DE41" i="15"/>
  <c r="P55" i="1"/>
  <c r="Q24"/>
  <c r="DF57" i="15"/>
  <c r="P11" i="1"/>
  <c r="Q60"/>
  <c r="DE47" i="15"/>
  <c r="P31" i="1"/>
  <c r="DE67" i="15"/>
  <c r="DE45"/>
  <c r="P27" i="1"/>
  <c r="DE65" i="15"/>
  <c r="DE60"/>
  <c r="P47" i="1"/>
  <c r="Q8"/>
  <c r="Q30"/>
  <c r="DE59" i="15"/>
  <c r="P9" i="1"/>
  <c r="DF35" i="15"/>
  <c r="DE8"/>
  <c r="DF25"/>
  <c r="Q25" i="1"/>
  <c r="P32"/>
  <c r="DF41" i="15"/>
  <c r="DE17"/>
  <c r="Q39" i="1"/>
  <c r="P46"/>
  <c r="P23"/>
  <c r="DE62" i="15"/>
  <c r="DF49"/>
  <c r="P7" i="1"/>
  <c r="Q52"/>
  <c r="DF8" i="15"/>
  <c r="DF68"/>
  <c r="DE34"/>
  <c r="Q9" i="1"/>
  <c r="P16"/>
  <c r="DF34" i="15"/>
  <c r="Q23" i="1"/>
  <c r="P30"/>
  <c r="Q46"/>
  <c r="Q20"/>
  <c r="P41"/>
  <c r="DE61" i="15"/>
  <c r="DF22"/>
  <c r="Q22" i="1"/>
  <c r="DE53" i="15"/>
  <c r="P45" i="1"/>
  <c r="Q18"/>
  <c r="DE50" i="15"/>
  <c r="P37" i="1"/>
  <c r="Q38"/>
  <c r="Q6"/>
  <c r="P25"/>
  <c r="Q44"/>
  <c r="DF27" i="15"/>
  <c r="P19" i="1"/>
  <c r="P13"/>
  <c r="DE37" i="15"/>
  <c r="P49" i="1"/>
  <c r="Q28"/>
  <c r="Q50"/>
  <c r="DF29" i="15"/>
  <c r="Q40" i="1"/>
  <c r="DF7" i="15"/>
  <c r="DE70"/>
  <c r="P17" i="1"/>
  <c r="DE15" i="15"/>
  <c r="Q34" i="1"/>
  <c r="P53"/>
  <c r="DE56" i="15"/>
  <c r="Q26" i="1"/>
  <c r="P33"/>
  <c r="Q12"/>
  <c r="Q42"/>
  <c r="DF20" i="15"/>
  <c r="DE40"/>
  <c r="Q48" i="1"/>
  <c r="DF16" i="15"/>
  <c r="DE72"/>
  <c r="P21" i="1"/>
  <c r="DE43" i="15"/>
  <c r="Q10" i="1"/>
  <c r="DE39" i="15"/>
  <c r="P15" i="1"/>
  <c r="DE38" i="15"/>
  <c r="Q32" i="1"/>
  <c r="P59"/>
  <c r="DE68" i="15"/>
  <c r="P57" i="1"/>
  <c r="Q36"/>
  <c r="Q54"/>
  <c r="DF12" i="15"/>
  <c r="DE55"/>
  <c r="P43" i="1"/>
  <c r="DE58" i="15"/>
  <c r="DE69"/>
  <c r="P35" i="1"/>
  <c r="DE51" i="15"/>
  <c r="Q16" i="1"/>
  <c r="P51"/>
  <c r="DE63" i="15"/>
  <c r="O421" i="13"/>
  <c r="O422" s="1"/>
  <c r="L422"/>
  <c r="O522"/>
  <c r="O309"/>
  <c r="O365"/>
  <c r="M367" l="1"/>
  <c r="C368"/>
  <c r="D368" s="1"/>
  <c r="L367"/>
  <c r="F367"/>
  <c r="Q367" s="1"/>
  <c r="I367"/>
  <c r="G367"/>
  <c r="H367"/>
  <c r="K367"/>
  <c r="J367"/>
  <c r="DM44" i="15"/>
  <c r="CP46" i="5"/>
  <c r="CQ46"/>
  <c r="DN44" i="15"/>
  <c r="K17" i="31"/>
  <c r="DF19" i="15"/>
  <c r="F311" i="13"/>
  <c r="Q311" s="1"/>
  <c r="C312"/>
  <c r="D312" s="1"/>
  <c r="M311"/>
  <c r="L311"/>
  <c r="K311"/>
  <c r="G311"/>
  <c r="I311"/>
  <c r="H311"/>
  <c r="J311"/>
  <c r="F524"/>
  <c r="Q524" s="1"/>
  <c r="C525"/>
  <c r="D525" s="1"/>
  <c r="L524"/>
  <c r="J524"/>
  <c r="H524"/>
  <c r="G524"/>
  <c r="M524"/>
  <c r="I524"/>
  <c r="K524"/>
  <c r="P61" i="1"/>
  <c r="DE73" i="15"/>
  <c r="O366" i="13"/>
  <c r="Q58" i="1"/>
  <c r="Q61" s="1"/>
  <c r="DF66" i="15"/>
  <c r="O367" i="13" l="1"/>
  <c r="CW46" i="5"/>
  <c r="DS44" i="15"/>
  <c r="ED44" s="1"/>
  <c r="EJ44" s="1"/>
  <c r="CX46" i="5"/>
  <c r="DT44" i="15"/>
  <c r="EE44" s="1"/>
  <c r="EK44" s="1"/>
  <c r="DF73"/>
  <c r="O524" i="13"/>
  <c r="F525"/>
  <c r="Q525" s="1"/>
  <c r="C526"/>
  <c r="D526" s="1"/>
  <c r="L525"/>
  <c r="K525"/>
  <c r="H525"/>
  <c r="M525"/>
  <c r="G525"/>
  <c r="I525"/>
  <c r="J525"/>
  <c r="F312"/>
  <c r="Q312" s="1"/>
  <c r="C313"/>
  <c r="D313" s="1"/>
  <c r="L312"/>
  <c r="M312"/>
  <c r="G312"/>
  <c r="I312"/>
  <c r="K312"/>
  <c r="H312"/>
  <c r="J312"/>
  <c r="L368"/>
  <c r="C369"/>
  <c r="D369" s="1"/>
  <c r="F368"/>
  <c r="Q368" s="1"/>
  <c r="M368"/>
  <c r="K368"/>
  <c r="I368"/>
  <c r="G368"/>
  <c r="H368"/>
  <c r="J368"/>
  <c r="O311"/>
  <c r="O525" l="1"/>
  <c r="M369"/>
  <c r="C370"/>
  <c r="D370" s="1"/>
  <c r="F369"/>
  <c r="Q369" s="1"/>
  <c r="I369"/>
  <c r="G369"/>
  <c r="L369"/>
  <c r="K369"/>
  <c r="H369"/>
  <c r="J369"/>
  <c r="F313"/>
  <c r="Q313" s="1"/>
  <c r="L313"/>
  <c r="K313"/>
  <c r="K314" s="1"/>
  <c r="M313"/>
  <c r="M314" s="1"/>
  <c r="I313"/>
  <c r="G313"/>
  <c r="J313"/>
  <c r="H313"/>
  <c r="F526"/>
  <c r="Q526" s="1"/>
  <c r="C527"/>
  <c r="D527" s="1"/>
  <c r="L526"/>
  <c r="K526"/>
  <c r="H526"/>
  <c r="J526"/>
  <c r="M526"/>
  <c r="I526"/>
  <c r="G526"/>
  <c r="O368"/>
  <c r="O312"/>
  <c r="O369" l="1"/>
  <c r="O526"/>
  <c r="F527"/>
  <c r="Q527" s="1"/>
  <c r="C528"/>
  <c r="M527"/>
  <c r="J527"/>
  <c r="G527"/>
  <c r="I527"/>
  <c r="H527"/>
  <c r="D528"/>
  <c r="L527"/>
  <c r="O527" s="1"/>
  <c r="K527"/>
  <c r="BW8" i="15"/>
  <c r="BX15"/>
  <c r="BW49"/>
  <c r="BW58"/>
  <c r="BW64"/>
  <c r="L16" i="1"/>
  <c r="M25"/>
  <c r="L29"/>
  <c r="L7"/>
  <c r="BW66" i="15"/>
  <c r="BX56"/>
  <c r="L20" i="1"/>
  <c r="M29"/>
  <c r="L37"/>
  <c r="L23"/>
  <c r="BW18" i="15"/>
  <c r="BX47"/>
  <c r="BW54"/>
  <c r="BW56"/>
  <c r="L14" i="1"/>
  <c r="M23"/>
  <c r="L25"/>
  <c r="L15"/>
  <c r="BW25" i="15"/>
  <c r="BX46"/>
  <c r="BX31"/>
  <c r="BX25"/>
  <c r="L24" i="1"/>
  <c r="M33"/>
  <c r="L45"/>
  <c r="L39"/>
  <c r="BW29" i="15"/>
  <c r="BX21"/>
  <c r="BX41"/>
  <c r="BX30"/>
  <c r="L28" i="1"/>
  <c r="M37"/>
  <c r="L53"/>
  <c r="L55"/>
  <c r="BW65" i="15"/>
  <c r="BW26"/>
  <c r="BX64"/>
  <c r="BX42"/>
  <c r="M9" i="1"/>
  <c r="BX10" i="15"/>
  <c r="BX33"/>
  <c r="BW37"/>
  <c r="BX39"/>
  <c r="BX70"/>
  <c r="L36" i="1"/>
  <c r="M45"/>
  <c r="L19"/>
  <c r="BW31" i="15"/>
  <c r="BX37"/>
  <c r="BX52"/>
  <c r="BX28"/>
  <c r="L30" i="1"/>
  <c r="M39"/>
  <c r="L58"/>
  <c r="M26"/>
  <c r="BX11" i="15"/>
  <c r="BX49"/>
  <c r="L40" i="1"/>
  <c r="M49"/>
  <c r="M20"/>
  <c r="M50"/>
  <c r="BW45" i="15"/>
  <c r="BX53"/>
  <c r="BX61"/>
  <c r="BX45"/>
  <c r="L44" i="1"/>
  <c r="M53"/>
  <c r="M28"/>
  <c r="M12"/>
  <c r="BW55" i="15"/>
  <c r="BW9"/>
  <c r="BX43"/>
  <c r="BW36"/>
  <c r="L54" i="1"/>
  <c r="BW43" i="15"/>
  <c r="M57" i="1"/>
  <c r="BW20" i="15"/>
  <c r="BX67"/>
  <c r="BX24"/>
  <c r="BX7"/>
  <c r="L48" i="1"/>
  <c r="M36"/>
  <c r="M22"/>
  <c r="BW53" i="15"/>
  <c r="BX58"/>
  <c r="BX60"/>
  <c r="L52" i="1"/>
  <c r="BW15" i="15"/>
  <c r="M44" i="1"/>
  <c r="M38"/>
  <c r="BW47" i="15"/>
  <c r="BX57"/>
  <c r="BX65"/>
  <c r="BX50"/>
  <c r="L46" i="1"/>
  <c r="M55"/>
  <c r="M40"/>
  <c r="M30"/>
  <c r="BW57" i="15"/>
  <c r="BW13"/>
  <c r="BX13"/>
  <c r="BW52"/>
  <c r="L57" i="1"/>
  <c r="BX32" i="15"/>
  <c r="M52" i="1"/>
  <c r="M54"/>
  <c r="BW61" i="15"/>
  <c r="BW21"/>
  <c r="BX20"/>
  <c r="BX26"/>
  <c r="BW28"/>
  <c r="BW33"/>
  <c r="BX36"/>
  <c r="BX22"/>
  <c r="BX48"/>
  <c r="L32" i="1"/>
  <c r="M41"/>
  <c r="M6"/>
  <c r="M18"/>
  <c r="BW69" i="15"/>
  <c r="BW34"/>
  <c r="BW19"/>
  <c r="L6" i="1"/>
  <c r="M13"/>
  <c r="M34"/>
  <c r="BW63" i="15"/>
  <c r="BX35"/>
  <c r="BX27"/>
  <c r="M7" i="1"/>
  <c r="L11"/>
  <c r="BW12" i="15"/>
  <c r="BX72"/>
  <c r="BW41"/>
  <c r="BW32"/>
  <c r="L8" i="1"/>
  <c r="M17"/>
  <c r="L13"/>
  <c r="L35"/>
  <c r="BW16" i="15"/>
  <c r="BX8"/>
  <c r="BW50"/>
  <c r="BW48"/>
  <c r="L12" i="1"/>
  <c r="M21"/>
  <c r="L21"/>
  <c r="L51"/>
  <c r="BW23" i="15"/>
  <c r="BX29"/>
  <c r="BW70"/>
  <c r="BX14"/>
  <c r="L22" i="1"/>
  <c r="M31"/>
  <c r="L41"/>
  <c r="L47"/>
  <c r="L43"/>
  <c r="L9"/>
  <c r="M15"/>
  <c r="BW24" i="15"/>
  <c r="BW38"/>
  <c r="BW71"/>
  <c r="BW10"/>
  <c r="BX16"/>
  <c r="M48" i="1"/>
  <c r="M60"/>
  <c r="L34"/>
  <c r="BW72" i="15"/>
  <c r="BW62"/>
  <c r="BX34"/>
  <c r="BW22"/>
  <c r="M42" i="1"/>
  <c r="L49"/>
  <c r="M35"/>
  <c r="L26"/>
  <c r="BX62" i="15"/>
  <c r="BX63"/>
  <c r="BW27"/>
  <c r="M16" i="1"/>
  <c r="L50"/>
  <c r="BX9" i="15"/>
  <c r="BX38"/>
  <c r="BX40"/>
  <c r="BW35"/>
  <c r="M46" i="1"/>
  <c r="M32"/>
  <c r="M51"/>
  <c r="L42"/>
  <c r="BX17" i="15"/>
  <c r="BX71"/>
  <c r="BW42"/>
  <c r="M24" i="1"/>
  <c r="M47"/>
  <c r="L38"/>
  <c r="BX51" i="15"/>
  <c r="BX23"/>
  <c r="BX12"/>
  <c r="BW39"/>
  <c r="M11" i="1"/>
  <c r="L31"/>
  <c r="L33"/>
  <c r="M27"/>
  <c r="BX68" i="15"/>
  <c r="BX54"/>
  <c r="BW51"/>
  <c r="M10" i="1"/>
  <c r="BW60" i="15"/>
  <c r="BX59"/>
  <c r="L59" i="1"/>
  <c r="BW68" i="15"/>
  <c r="BX18"/>
  <c r="BW17"/>
  <c r="BW59"/>
  <c r="M8" i="1"/>
  <c r="L27"/>
  <c r="M43"/>
  <c r="L18"/>
  <c r="BW11" i="15"/>
  <c r="BW30"/>
  <c r="BW67"/>
  <c r="BW7"/>
  <c r="L60" i="1"/>
  <c r="L17"/>
  <c r="M19"/>
  <c r="L10"/>
  <c r="BW40" i="15"/>
  <c r="BW46"/>
  <c r="BX55"/>
  <c r="BW14"/>
  <c r="O313" i="13"/>
  <c r="O314" s="1"/>
  <c r="L314"/>
  <c r="L370"/>
  <c r="M370"/>
  <c r="M371" s="1"/>
  <c r="F370"/>
  <c r="Q370" s="1"/>
  <c r="K370"/>
  <c r="K371" s="1"/>
  <c r="I370"/>
  <c r="G370"/>
  <c r="H370"/>
  <c r="J370"/>
  <c r="M58" i="1" l="1"/>
  <c r="BX66" i="15"/>
  <c r="CF66" s="1"/>
  <c r="CO47"/>
  <c r="CO56"/>
  <c r="CO23"/>
  <c r="CO15"/>
  <c r="CO22"/>
  <c r="CO67"/>
  <c r="CO12"/>
  <c r="CO10"/>
  <c r="CO7"/>
  <c r="CO27"/>
  <c r="CO21"/>
  <c r="CO11"/>
  <c r="CO18"/>
  <c r="CO20"/>
  <c r="CO28"/>
  <c r="CO26"/>
  <c r="CO61"/>
  <c r="CO57"/>
  <c r="O33" i="1"/>
  <c r="O43"/>
  <c r="CN25" i="15"/>
  <c r="O22" i="1"/>
  <c r="N13"/>
  <c r="CN41" i="15"/>
  <c r="CO25"/>
  <c r="CO24"/>
  <c r="CN52"/>
  <c r="N48" i="1"/>
  <c r="CO8" i="15"/>
  <c r="N37" i="1"/>
  <c r="CN60" i="15"/>
  <c r="CO72"/>
  <c r="O9" i="1"/>
  <c r="CN7" i="15"/>
  <c r="N24" i="1"/>
  <c r="O50"/>
  <c r="N41"/>
  <c r="CN63" i="15"/>
  <c r="CN9"/>
  <c r="O17" i="1"/>
  <c r="CN10" i="15"/>
  <c r="N28" i="1"/>
  <c r="O52"/>
  <c r="N39"/>
  <c r="CN62" i="15"/>
  <c r="N30" i="1"/>
  <c r="O11"/>
  <c r="CO35" i="15"/>
  <c r="O6" i="1"/>
  <c r="CN15" i="15"/>
  <c r="CN31"/>
  <c r="CO14"/>
  <c r="CO13"/>
  <c r="N50" i="1"/>
  <c r="CO55" i="15"/>
  <c r="N16" i="1"/>
  <c r="O46"/>
  <c r="N21"/>
  <c r="CN47" i="15"/>
  <c r="CO50"/>
  <c r="CO52"/>
  <c r="CO49"/>
  <c r="CO46"/>
  <c r="CO36"/>
  <c r="O29" i="1"/>
  <c r="CN16" i="15"/>
  <c r="N32" i="1"/>
  <c r="O54"/>
  <c r="N45"/>
  <c r="CN66" i="15"/>
  <c r="CN14"/>
  <c r="CO48"/>
  <c r="CO42"/>
  <c r="CN20"/>
  <c r="O59" i="1"/>
  <c r="CN42" i="15"/>
  <c r="O30" i="1"/>
  <c r="CN38" i="15"/>
  <c r="CO37"/>
  <c r="O21" i="1"/>
  <c r="O35"/>
  <c r="CN18" i="15"/>
  <c r="O18" i="1"/>
  <c r="N9"/>
  <c r="CN40" i="15"/>
  <c r="CO39"/>
  <c r="O25" i="1"/>
  <c r="O39"/>
  <c r="O20"/>
  <c r="N7"/>
  <c r="CN39" i="15"/>
  <c r="CO38"/>
  <c r="N18" i="1"/>
  <c r="CO32" i="15"/>
  <c r="CN61"/>
  <c r="O38" i="1"/>
  <c r="N29"/>
  <c r="CN54" i="15"/>
  <c r="CO68"/>
  <c r="CO63"/>
  <c r="CO62"/>
  <c r="O27" i="1"/>
  <c r="CN8" i="15"/>
  <c r="N53" i="1"/>
  <c r="CN70" i="15"/>
  <c r="CO16"/>
  <c r="CN24"/>
  <c r="CN71"/>
  <c r="N55" i="1"/>
  <c r="CO33" i="15"/>
  <c r="O7" i="1"/>
  <c r="N22"/>
  <c r="CO53" i="15"/>
  <c r="CN51"/>
  <c r="N25" i="1"/>
  <c r="O34"/>
  <c r="CN49" i="15"/>
  <c r="CO9"/>
  <c r="CN64"/>
  <c r="CO69"/>
  <c r="CN56"/>
  <c r="N31" i="1"/>
  <c r="O44"/>
  <c r="N12"/>
  <c r="N42"/>
  <c r="CN19" i="15"/>
  <c r="CN68"/>
  <c r="N49" i="1"/>
  <c r="N40"/>
  <c r="CN28" i="15"/>
  <c r="O45" i="1"/>
  <c r="CO45" i="15"/>
  <c r="CN46"/>
  <c r="N19" i="1"/>
  <c r="O32"/>
  <c r="CN48" i="15"/>
  <c r="CN32"/>
  <c r="O12" i="1"/>
  <c r="CN29" i="15"/>
  <c r="CN12"/>
  <c r="N60" i="1"/>
  <c r="CO58" i="15"/>
  <c r="O15" i="1"/>
  <c r="N38"/>
  <c r="CN17" i="15"/>
  <c r="CN67"/>
  <c r="N47" i="1"/>
  <c r="O60"/>
  <c r="N44"/>
  <c r="CN36" i="15"/>
  <c r="O53" i="1"/>
  <c r="CN35" i="15"/>
  <c r="CN27"/>
  <c r="O10" i="1"/>
  <c r="CO60" i="15"/>
  <c r="O19" i="1"/>
  <c r="N46"/>
  <c r="N33"/>
  <c r="N8"/>
  <c r="N34"/>
  <c r="CO51" i="15"/>
  <c r="CN50"/>
  <c r="N23" i="1"/>
  <c r="O36"/>
  <c r="CN55" i="15"/>
  <c r="CO30"/>
  <c r="N10" i="1"/>
  <c r="CN26" i="15"/>
  <c r="CN72"/>
  <c r="N58" i="1"/>
  <c r="CO31" i="15"/>
  <c r="N57" i="1"/>
  <c r="N14"/>
  <c r="CN33" i="15"/>
  <c r="CN22"/>
  <c r="CO65"/>
  <c r="O23" i="1"/>
  <c r="N54"/>
  <c r="CO43" i="15"/>
  <c r="CN45"/>
  <c r="N17" i="1"/>
  <c r="O26"/>
  <c r="CN34" i="15"/>
  <c r="O51" i="1"/>
  <c r="O49"/>
  <c r="CN21" i="15"/>
  <c r="CN69"/>
  <c r="N51" i="1"/>
  <c r="CO17" i="15"/>
  <c r="N52" i="1"/>
  <c r="O8"/>
  <c r="CO54" i="15"/>
  <c r="CN53"/>
  <c r="N27" i="1"/>
  <c r="O40"/>
  <c r="N6"/>
  <c r="CO34" i="15"/>
  <c r="N26" i="1"/>
  <c r="CO41" i="15"/>
  <c r="CN43"/>
  <c r="N15" i="1"/>
  <c r="O28"/>
  <c r="O55"/>
  <c r="O57"/>
  <c r="CO70" i="15"/>
  <c r="CN58"/>
  <c r="O42" i="1"/>
  <c r="CO59" i="15"/>
  <c r="O37" i="1"/>
  <c r="CN23" i="15"/>
  <c r="N36" i="1"/>
  <c r="O56"/>
  <c r="N43"/>
  <c r="CN65" i="15"/>
  <c r="CN11"/>
  <c r="N59" i="1"/>
  <c r="CO64" i="15"/>
  <c r="N20" i="1"/>
  <c r="O48"/>
  <c r="N35"/>
  <c r="CN59" i="15"/>
  <c r="CO71"/>
  <c r="O41" i="1"/>
  <c r="O47"/>
  <c r="CN30" i="15"/>
  <c r="O24" i="1"/>
  <c r="N11"/>
  <c r="CO40" i="15"/>
  <c r="O13" i="1"/>
  <c r="O31"/>
  <c r="CN13" i="15"/>
  <c r="O16" i="1"/>
  <c r="CN57" i="15"/>
  <c r="CN37"/>
  <c r="CO29"/>
  <c r="O370" i="13"/>
  <c r="O371" s="1"/>
  <c r="L371"/>
  <c r="K15" i="31"/>
  <c r="M14" i="1"/>
  <c r="BX19" i="15"/>
  <c r="DV7"/>
  <c r="DW7"/>
  <c r="DW73" s="1"/>
  <c r="S60" i="1"/>
  <c r="S6"/>
  <c r="R60"/>
  <c r="R6"/>
  <c r="CF55" i="15"/>
  <c r="BM57" i="5"/>
  <c r="CE40" i="15"/>
  <c r="BL42" i="5"/>
  <c r="BL69"/>
  <c r="CE67" i="15"/>
  <c r="BL12" i="5"/>
  <c r="CE11" i="15"/>
  <c r="CE17"/>
  <c r="BL18" i="5"/>
  <c r="BL70"/>
  <c r="CE68" i="15"/>
  <c r="CF59"/>
  <c r="BM61" i="5"/>
  <c r="BM56"/>
  <c r="CF54" i="15"/>
  <c r="BM13" i="5"/>
  <c r="CF12" i="15"/>
  <c r="BM53" i="5"/>
  <c r="CF51" i="15"/>
  <c r="BM73" i="5"/>
  <c r="CF71" i="15"/>
  <c r="CF17"/>
  <c r="BM18" i="5"/>
  <c r="CF40" i="15"/>
  <c r="BM42" i="5"/>
  <c r="CF9" i="15"/>
  <c r="BM10" i="5"/>
  <c r="CF63" i="15"/>
  <c r="BM65" i="5"/>
  <c r="CF62" i="15"/>
  <c r="BM64" i="5"/>
  <c r="CF34" i="15"/>
  <c r="BM36" i="5"/>
  <c r="BL74"/>
  <c r="CE72" i="15"/>
  <c r="BL73" i="5"/>
  <c r="CE71" i="15"/>
  <c r="CE24"/>
  <c r="BL26" i="5"/>
  <c r="CE70" i="15"/>
  <c r="BL72" i="5"/>
  <c r="CE23" i="15"/>
  <c r="BL25" i="5"/>
  <c r="CE50" i="15"/>
  <c r="BL52" i="5"/>
  <c r="CE16" i="15"/>
  <c r="BL17" i="5"/>
  <c r="BL43"/>
  <c r="CE41" i="15"/>
  <c r="BL13" i="5"/>
  <c r="CE12" i="15"/>
  <c r="CF27"/>
  <c r="BM29" i="5"/>
  <c r="BL24"/>
  <c r="CE19" i="15"/>
  <c r="BL20" i="5"/>
  <c r="BL71"/>
  <c r="CE69" i="15"/>
  <c r="CF22"/>
  <c r="BM23" i="5"/>
  <c r="BL35"/>
  <c r="CE33" i="15"/>
  <c r="CF26"/>
  <c r="BM28" i="5"/>
  <c r="CE21" i="15"/>
  <c r="BL22" i="5"/>
  <c r="BL54"/>
  <c r="CE52" i="15"/>
  <c r="BL14" i="5"/>
  <c r="CE13" i="15"/>
  <c r="CF50"/>
  <c r="BM52" i="5"/>
  <c r="BM59"/>
  <c r="CF57" i="15"/>
  <c r="CE15"/>
  <c r="BL16" i="5"/>
  <c r="BM60"/>
  <c r="CF58" i="15"/>
  <c r="BM7" i="5"/>
  <c r="CF7" i="15"/>
  <c r="CF67"/>
  <c r="BM69" i="5"/>
  <c r="BM45"/>
  <c r="CF43" i="15"/>
  <c r="CE55"/>
  <c r="BL57" i="5"/>
  <c r="CF45" i="15"/>
  <c r="BM47" i="5"/>
  <c r="BM55"/>
  <c r="CF53" i="15"/>
  <c r="BM51" i="5"/>
  <c r="CF49" i="15"/>
  <c r="BM12" i="5"/>
  <c r="CF11" i="15"/>
  <c r="CF28"/>
  <c r="BM30" i="5"/>
  <c r="BM39"/>
  <c r="CF37" i="15"/>
  <c r="CF39"/>
  <c r="BM41" i="5"/>
  <c r="CE37" i="15"/>
  <c r="BL39" i="5"/>
  <c r="CF42" i="15"/>
  <c r="BM44" i="5"/>
  <c r="BL28"/>
  <c r="CE26" i="15"/>
  <c r="CF30"/>
  <c r="BM32" i="5"/>
  <c r="CF21" i="15"/>
  <c r="BM22" i="5"/>
  <c r="BM27"/>
  <c r="CF25" i="15"/>
  <c r="CF46"/>
  <c r="BM48" i="5"/>
  <c r="BL58"/>
  <c r="CE56" i="15"/>
  <c r="CF47"/>
  <c r="BM49" i="5"/>
  <c r="BM58"/>
  <c r="CF56" i="15"/>
  <c r="CE64"/>
  <c r="BL66" i="5"/>
  <c r="BL51"/>
  <c r="CE49" i="15"/>
  <c r="BL9" i="5"/>
  <c r="CE8" i="15"/>
  <c r="BL15" i="5"/>
  <c r="CE14" i="15"/>
  <c r="BL48" i="5"/>
  <c r="CE46" i="15"/>
  <c r="BW73"/>
  <c r="BW74" s="1"/>
  <c r="CE7"/>
  <c r="BL7" i="5"/>
  <c r="CE30" i="15"/>
  <c r="BL32" i="5"/>
  <c r="BL61"/>
  <c r="CE59" i="15"/>
  <c r="BM19" i="5"/>
  <c r="CF18" i="15"/>
  <c r="BL62" i="5"/>
  <c r="CE60" i="15"/>
  <c r="BL53" i="5"/>
  <c r="CE51" i="15"/>
  <c r="BM70" i="5"/>
  <c r="CF68" i="15"/>
  <c r="CE39"/>
  <c r="BL41" i="5"/>
  <c r="BM25"/>
  <c r="CF23" i="15"/>
  <c r="BL44" i="5"/>
  <c r="CE42" i="15"/>
  <c r="BM24" i="5"/>
  <c r="BL37"/>
  <c r="CE35" i="15"/>
  <c r="BM40" i="5"/>
  <c r="CF38" i="15"/>
  <c r="CE27"/>
  <c r="BL29" i="5"/>
  <c r="BL23"/>
  <c r="CE22" i="15"/>
  <c r="BL64" i="5"/>
  <c r="CE62" i="15"/>
  <c r="CE10"/>
  <c r="BL11" i="5"/>
  <c r="BL40"/>
  <c r="CE38" i="15"/>
  <c r="BM15" i="5"/>
  <c r="CF14" i="15"/>
  <c r="CF29"/>
  <c r="BM31" i="5"/>
  <c r="BL50"/>
  <c r="CE48" i="15"/>
  <c r="CF8"/>
  <c r="BM9" i="5"/>
  <c r="BL34"/>
  <c r="CE32" i="15"/>
  <c r="BM74" i="5"/>
  <c r="CF72" i="15"/>
  <c r="BM37" i="5"/>
  <c r="CF35" i="15"/>
  <c r="BL65" i="5"/>
  <c r="CE63" i="15"/>
  <c r="CE34"/>
  <c r="BL36" i="5"/>
  <c r="CF48" i="15"/>
  <c r="BM50" i="5"/>
  <c r="CF36" i="15"/>
  <c r="BM38" i="5"/>
  <c r="CE28" i="15"/>
  <c r="BL30" i="5"/>
  <c r="BM21"/>
  <c r="CF20" i="15"/>
  <c r="BL63" i="5"/>
  <c r="CE61" i="15"/>
  <c r="BM14" i="5"/>
  <c r="CF13" i="15"/>
  <c r="BL59" i="5"/>
  <c r="CE57" i="15"/>
  <c r="CF65"/>
  <c r="BM67" i="5"/>
  <c r="CE47" i="15"/>
  <c r="BL49" i="5"/>
  <c r="BM62"/>
  <c r="CF60" i="15"/>
  <c r="BL55" i="5"/>
  <c r="CE53" i="15"/>
  <c r="CF24"/>
  <c r="BM26" i="5"/>
  <c r="CE20" i="15"/>
  <c r="BL21" i="5"/>
  <c r="CE43" i="15"/>
  <c r="BL45" i="5"/>
  <c r="CE36" i="15"/>
  <c r="BL38" i="5"/>
  <c r="BL10"/>
  <c r="CE9" i="15"/>
  <c r="CF61"/>
  <c r="BM63" i="5"/>
  <c r="CE45" i="15"/>
  <c r="BL47" i="5"/>
  <c r="BM54"/>
  <c r="CF52" i="15"/>
  <c r="CE31"/>
  <c r="BL33" i="5"/>
  <c r="BM72"/>
  <c r="CF70" i="15"/>
  <c r="CF33"/>
  <c r="BM35" i="5"/>
  <c r="BM66"/>
  <c r="CF64" i="15"/>
  <c r="CE65"/>
  <c r="BL67" i="5"/>
  <c r="CF41" i="15"/>
  <c r="BM43" i="5"/>
  <c r="CE29" i="15"/>
  <c r="BL31" i="5"/>
  <c r="BM33"/>
  <c r="CF31" i="15"/>
  <c r="CE25"/>
  <c r="BL27" i="5"/>
  <c r="CE54" i="15"/>
  <c r="BL56" i="5"/>
  <c r="CE18" i="15"/>
  <c r="BL19" i="5"/>
  <c r="CE66" i="15"/>
  <c r="BL68" i="5"/>
  <c r="BL60"/>
  <c r="CE58" i="15"/>
  <c r="BM16" i="5"/>
  <c r="CF15" i="15"/>
  <c r="F528" i="13"/>
  <c r="Q528" s="1"/>
  <c r="C529"/>
  <c r="D529" s="1"/>
  <c r="M528"/>
  <c r="J528"/>
  <c r="G528"/>
  <c r="I528"/>
  <c r="L528"/>
  <c r="K528"/>
  <c r="H528"/>
  <c r="M59" i="1"/>
  <c r="BX69" i="15"/>
  <c r="L61" i="1"/>
  <c r="BM68" i="5" l="1"/>
  <c r="O528" i="13"/>
  <c r="DV73" i="15"/>
  <c r="M61" i="1"/>
  <c r="O58"/>
  <c r="F529" i="13"/>
  <c r="Q529" s="1"/>
  <c r="M529"/>
  <c r="M530" s="1"/>
  <c r="J529"/>
  <c r="G529"/>
  <c r="L529"/>
  <c r="L530" s="1"/>
  <c r="K529"/>
  <c r="K530" s="1"/>
  <c r="I529"/>
  <c r="H529"/>
  <c r="CL15" i="15"/>
  <c r="BT16" i="5"/>
  <c r="BS60"/>
  <c r="CK58" i="15"/>
  <c r="CL31"/>
  <c r="BT33" i="5"/>
  <c r="CL64" i="15"/>
  <c r="BT66" i="5"/>
  <c r="CL70" i="15"/>
  <c r="BT72" i="5"/>
  <c r="CL52" i="15"/>
  <c r="BT54" i="5"/>
  <c r="CK9" i="15"/>
  <c r="BS10" i="5"/>
  <c r="BS55"/>
  <c r="CK53" i="15"/>
  <c r="CL60"/>
  <c r="BT62" i="5"/>
  <c r="CK57" i="15"/>
  <c r="BS59" i="5"/>
  <c r="CL13" i="15"/>
  <c r="BT14" i="5"/>
  <c r="CK61" i="15"/>
  <c r="BS63" i="5"/>
  <c r="BT21"/>
  <c r="CL20" i="15"/>
  <c r="BS65" i="5"/>
  <c r="CK63" i="15"/>
  <c r="CL35"/>
  <c r="BT37" i="5"/>
  <c r="CL72" i="15"/>
  <c r="BT74" i="5"/>
  <c r="CK32" i="15"/>
  <c r="BS34" i="5"/>
  <c r="CK48" i="15"/>
  <c r="BS50" i="5"/>
  <c r="CL14" i="15"/>
  <c r="BT15" i="5"/>
  <c r="BS40"/>
  <c r="CK38" i="15"/>
  <c r="BS64" i="5"/>
  <c r="CK62" i="15"/>
  <c r="CK22"/>
  <c r="BS23" i="5"/>
  <c r="CL38" i="15"/>
  <c r="BT40" i="5"/>
  <c r="CK35" i="15"/>
  <c r="BS37" i="5"/>
  <c r="CK42" i="15"/>
  <c r="BS44" i="5"/>
  <c r="CL23" i="15"/>
  <c r="BT25" i="5"/>
  <c r="CL68" i="15"/>
  <c r="BT70" i="5"/>
  <c r="BS53"/>
  <c r="CK51" i="15"/>
  <c r="BS62" i="5"/>
  <c r="CK60" i="15"/>
  <c r="CL18"/>
  <c r="BT19" i="5"/>
  <c r="BS61"/>
  <c r="CK59" i="15"/>
  <c r="CE75"/>
  <c r="K18" i="31"/>
  <c r="CK64" i="15"/>
  <c r="BS66" i="5"/>
  <c r="BT49"/>
  <c r="CL47" i="15"/>
  <c r="BT48" i="5"/>
  <c r="CL46" i="15"/>
  <c r="CL21"/>
  <c r="BT22" i="5"/>
  <c r="CL30" i="15"/>
  <c r="BT32" i="5"/>
  <c r="CL42" i="15"/>
  <c r="BT44" i="5"/>
  <c r="CK37" i="15"/>
  <c r="BS39" i="5"/>
  <c r="CL39" i="15"/>
  <c r="BT41" i="5"/>
  <c r="CL28" i="15"/>
  <c r="BT30" i="5"/>
  <c r="CL45" i="15"/>
  <c r="BT47" i="5"/>
  <c r="CK55" i="15"/>
  <c r="BS57" i="5"/>
  <c r="BT69"/>
  <c r="CL67" i="15"/>
  <c r="CL7"/>
  <c r="BT7" i="5"/>
  <c r="CL58" i="15"/>
  <c r="BT60" i="5"/>
  <c r="CL57" i="15"/>
  <c r="BT59" i="5"/>
  <c r="CK13" i="15"/>
  <c r="BS14" i="5"/>
  <c r="CK52" i="15"/>
  <c r="BS54" i="5"/>
  <c r="CK33" i="15"/>
  <c r="BS35" i="5"/>
  <c r="BS71"/>
  <c r="CK69" i="15"/>
  <c r="BS24" i="5"/>
  <c r="BS13"/>
  <c r="CK12" i="15"/>
  <c r="CK41"/>
  <c r="BS43" i="5"/>
  <c r="BS73"/>
  <c r="CK71" i="15"/>
  <c r="BS74" i="5"/>
  <c r="CK72" i="15"/>
  <c r="CL71"/>
  <c r="BT73" i="5"/>
  <c r="CL51" i="15"/>
  <c r="BT53" i="5"/>
  <c r="CL12" i="15"/>
  <c r="BT13" i="5"/>
  <c r="CL54" i="15"/>
  <c r="BT56" i="5"/>
  <c r="BS70"/>
  <c r="CK68" i="15"/>
  <c r="CK11"/>
  <c r="BS12" i="5"/>
  <c r="CK67" i="15"/>
  <c r="BS69" i="5"/>
  <c r="BM71"/>
  <c r="CF69" i="15"/>
  <c r="BS68" i="5"/>
  <c r="CK66" i="15"/>
  <c r="CK18"/>
  <c r="BS19" i="5"/>
  <c r="CK54" i="15"/>
  <c r="BS56" i="5"/>
  <c r="CK25" i="15"/>
  <c r="BS27" i="5"/>
  <c r="CK29" i="15"/>
  <c r="BS31" i="5"/>
  <c r="CL41" i="15"/>
  <c r="BT43" i="5"/>
  <c r="BS67"/>
  <c r="CK65" i="15"/>
  <c r="CL33"/>
  <c r="BT35" i="5"/>
  <c r="CK31" i="15"/>
  <c r="BS33" i="5"/>
  <c r="BS47"/>
  <c r="CK45" i="15"/>
  <c r="CL61"/>
  <c r="BT63" i="5"/>
  <c r="CK36" i="15"/>
  <c r="BS38" i="5"/>
  <c r="BS45"/>
  <c r="CK43" i="15"/>
  <c r="CK20"/>
  <c r="BS21" i="5"/>
  <c r="CL24" i="15"/>
  <c r="BT26" i="5"/>
  <c r="CK47" i="15"/>
  <c r="BS49" i="5"/>
  <c r="CL65" i="15"/>
  <c r="BT67" i="5"/>
  <c r="CK28" i="15"/>
  <c r="BS30" i="5"/>
  <c r="BT38"/>
  <c r="CL36" i="15"/>
  <c r="CL48"/>
  <c r="BT50" i="5"/>
  <c r="CK34" i="15"/>
  <c r="BS36" i="5"/>
  <c r="CL8" i="15"/>
  <c r="BT9" i="5"/>
  <c r="CL29" i="15"/>
  <c r="BT31" i="5"/>
  <c r="CK10" i="15"/>
  <c r="BS11" i="5"/>
  <c r="BS29"/>
  <c r="CK27" i="15"/>
  <c r="BT24" i="5"/>
  <c r="BS41"/>
  <c r="CK39" i="15"/>
  <c r="CK30"/>
  <c r="BS32" i="5"/>
  <c r="CK7" i="15"/>
  <c r="BS7" i="5"/>
  <c r="CE73" i="15"/>
  <c r="BS48" i="5"/>
  <c r="CK46" i="15"/>
  <c r="CK14"/>
  <c r="BS15" i="5"/>
  <c r="CK8" i="15"/>
  <c r="BS9" i="5"/>
  <c r="CK49" i="15"/>
  <c r="BS51" i="5"/>
  <c r="CL56" i="15"/>
  <c r="BT58" i="5"/>
  <c r="CK56" i="15"/>
  <c r="BS58" i="5"/>
  <c r="CL25" i="15"/>
  <c r="BT27" i="5"/>
  <c r="CK26" i="15"/>
  <c r="BS28" i="5"/>
  <c r="CL37" i="15"/>
  <c r="BT39" i="5"/>
  <c r="CL11" i="15"/>
  <c r="BT12" i="5"/>
  <c r="CL49" i="15"/>
  <c r="BT51" i="5"/>
  <c r="CL53" i="15"/>
  <c r="BT55" i="5"/>
  <c r="CL43" i="15"/>
  <c r="BT45" i="5"/>
  <c r="CK15" i="15"/>
  <c r="BS16" i="5"/>
  <c r="CL50" i="15"/>
  <c r="BT52" i="5"/>
  <c r="CK21" i="15"/>
  <c r="BS22" i="5"/>
  <c r="BT28"/>
  <c r="CL26" i="15"/>
  <c r="CL22"/>
  <c r="BT23" i="5"/>
  <c r="CK19" i="15"/>
  <c r="BS20" i="5"/>
  <c r="CL27" i="15"/>
  <c r="BT29" i="5"/>
  <c r="CL66" i="15"/>
  <c r="BT68" i="5"/>
  <c r="CK16" i="15"/>
  <c r="BS17" i="5"/>
  <c r="BS52"/>
  <c r="CK50" i="15"/>
  <c r="CK23"/>
  <c r="BS25" i="5"/>
  <c r="BS72"/>
  <c r="CK70" i="15"/>
  <c r="CK24"/>
  <c r="BS26" i="5"/>
  <c r="CL34" i="15"/>
  <c r="BT36" i="5"/>
  <c r="BT64"/>
  <c r="CL62" i="15"/>
  <c r="BT65" i="5"/>
  <c r="CL63" i="15"/>
  <c r="CL9"/>
  <c r="BT10" i="5"/>
  <c r="BT42"/>
  <c r="CL40" i="15"/>
  <c r="BT18" i="5"/>
  <c r="CL17" i="15"/>
  <c r="BT61" i="5"/>
  <c r="CL59" i="15"/>
  <c r="CK17"/>
  <c r="BS18" i="5"/>
  <c r="CK40" i="15"/>
  <c r="BS42" i="5"/>
  <c r="CL55" i="15"/>
  <c r="BT57" i="5"/>
  <c r="CF19" i="15"/>
  <c r="BM20" i="5"/>
  <c r="K16" i="31"/>
  <c r="CO19" i="15"/>
  <c r="O14" i="1"/>
  <c r="BL75" i="5"/>
  <c r="BY4" s="1"/>
  <c r="BY8" s="1"/>
  <c r="R61" i="1"/>
  <c r="BX73" i="15"/>
  <c r="S61" i="1"/>
  <c r="N61"/>
  <c r="CO66" i="15"/>
  <c r="CN73"/>
  <c r="EN12" l="1"/>
  <c r="EN10"/>
  <c r="EM71"/>
  <c r="EM55"/>
  <c r="EN56"/>
  <c r="EM68"/>
  <c r="EM21"/>
  <c r="EN21"/>
  <c r="EM65"/>
  <c r="EM22"/>
  <c r="EN22"/>
  <c r="EN54"/>
  <c r="EM66"/>
  <c r="EM23"/>
  <c r="EN23"/>
  <c r="EN55"/>
  <c r="EM67"/>
  <c r="EM20"/>
  <c r="EM52"/>
  <c r="EN52"/>
  <c r="EM64"/>
  <c r="EM17"/>
  <c r="EM49"/>
  <c r="EN49"/>
  <c r="EM61"/>
  <c r="EM18"/>
  <c r="EM50"/>
  <c r="EM62"/>
  <c r="EM19"/>
  <c r="EM51"/>
  <c r="EN51"/>
  <c r="EM63"/>
  <c r="EM16"/>
  <c r="EM48"/>
  <c r="EN48"/>
  <c r="EM60"/>
  <c r="EM13"/>
  <c r="EM45"/>
  <c r="EN45"/>
  <c r="EM57"/>
  <c r="EM14"/>
  <c r="EM46"/>
  <c r="EN46"/>
  <c r="EM58"/>
  <c r="EM15"/>
  <c r="EM47"/>
  <c r="EN47"/>
  <c r="EM59"/>
  <c r="EM28"/>
  <c r="EN28"/>
  <c r="EN60"/>
  <c r="EM72"/>
  <c r="EM25"/>
  <c r="EN25"/>
  <c r="EN57"/>
  <c r="EM69"/>
  <c r="EM10"/>
  <c r="EM42"/>
  <c r="EM54"/>
  <c r="EM11"/>
  <c r="EM43"/>
  <c r="EN43"/>
  <c r="EN40"/>
  <c r="EN72"/>
  <c r="EN17"/>
  <c r="EM37"/>
  <c r="EN69"/>
  <c r="EN18"/>
  <c r="EM38"/>
  <c r="EN38"/>
  <c r="EN70"/>
  <c r="EN19"/>
  <c r="EM39"/>
  <c r="EN71"/>
  <c r="EN16"/>
  <c r="EM36"/>
  <c r="EN36"/>
  <c r="EN68"/>
  <c r="EN13"/>
  <c r="EM33"/>
  <c r="EN33"/>
  <c r="EN65"/>
  <c r="EN14"/>
  <c r="EM34"/>
  <c r="EN34"/>
  <c r="EN66"/>
  <c r="EN15"/>
  <c r="EM35"/>
  <c r="EN67"/>
  <c r="EM32"/>
  <c r="EN32"/>
  <c r="EN64"/>
  <c r="EN9"/>
  <c r="EM29"/>
  <c r="EN29"/>
  <c r="EN61"/>
  <c r="EM30"/>
  <c r="EN30"/>
  <c r="EN62"/>
  <c r="EN11"/>
  <c r="EM31"/>
  <c r="EN31"/>
  <c r="EN63"/>
  <c r="EM12"/>
  <c r="EM44"/>
  <c r="EU44" s="1"/>
  <c r="EN44"/>
  <c r="EM56"/>
  <c r="EM9"/>
  <c r="EM41"/>
  <c r="EN41"/>
  <c r="EM53"/>
  <c r="EM26"/>
  <c r="EN26"/>
  <c r="EN58"/>
  <c r="EM70"/>
  <c r="EM27"/>
  <c r="EN27"/>
  <c r="EN59"/>
  <c r="EM40"/>
  <c r="EN20"/>
  <c r="EN24"/>
  <c r="EM24"/>
  <c r="O61" i="1"/>
  <c r="K23" i="31"/>
  <c r="CO73" i="15"/>
  <c r="O529" i="13"/>
  <c r="EN53" i="15" s="1"/>
  <c r="CL19"/>
  <c r="BT20" i="5"/>
  <c r="CB57"/>
  <c r="CW55" i="15"/>
  <c r="CA42" i="5"/>
  <c r="CV40" i="15"/>
  <c r="CV17"/>
  <c r="CA18" i="5"/>
  <c r="CB10"/>
  <c r="CW9" i="15"/>
  <c r="CW34"/>
  <c r="CB36" i="5"/>
  <c r="CV24" i="15"/>
  <c r="CA26" i="5"/>
  <c r="CV23" i="15"/>
  <c r="CA25" i="5"/>
  <c r="CV16" i="15"/>
  <c r="CA17" i="5"/>
  <c r="CB68"/>
  <c r="CW66" i="15"/>
  <c r="CB29" i="5"/>
  <c r="CW27" i="15"/>
  <c r="CV19"/>
  <c r="CA20" i="5"/>
  <c r="CB23"/>
  <c r="CW22" i="15"/>
  <c r="CV21"/>
  <c r="CA22" i="5"/>
  <c r="CB52"/>
  <c r="CW50" i="15"/>
  <c r="CA16" i="5"/>
  <c r="CV15" i="15"/>
  <c r="CW43"/>
  <c r="CB45" i="5"/>
  <c r="CB55"/>
  <c r="CW53" i="15"/>
  <c r="CB51" i="5"/>
  <c r="CW49" i="15"/>
  <c r="CB12" i="5"/>
  <c r="CW11" i="15"/>
  <c r="CW37"/>
  <c r="CB39" i="5"/>
  <c r="CV26" i="15"/>
  <c r="CA28" i="5"/>
  <c r="CB27"/>
  <c r="CW25" i="15"/>
  <c r="CV56"/>
  <c r="CA58" i="5"/>
  <c r="CB58"/>
  <c r="CW56" i="15"/>
  <c r="CV49"/>
  <c r="CA51" i="5"/>
  <c r="CV8" i="15"/>
  <c r="CA9" i="5"/>
  <c r="CV14" i="15"/>
  <c r="CA15" i="5"/>
  <c r="CA41"/>
  <c r="CV39" i="15"/>
  <c r="CB24" i="5"/>
  <c r="CA29"/>
  <c r="CV27" i="15"/>
  <c r="CB38" i="5"/>
  <c r="CW36" i="15"/>
  <c r="CV43"/>
  <c r="CA45" i="5"/>
  <c r="CA47"/>
  <c r="CV45" i="15"/>
  <c r="CV65"/>
  <c r="CA67" i="5"/>
  <c r="CA68"/>
  <c r="CV66" i="15"/>
  <c r="CL69"/>
  <c r="BT71" i="5"/>
  <c r="CA70"/>
  <c r="CV68" i="15"/>
  <c r="CA74" i="5"/>
  <c r="CV72" i="15"/>
  <c r="CV71"/>
  <c r="CA73" i="5"/>
  <c r="CV12" i="15"/>
  <c r="CA13" i="5"/>
  <c r="CV69" i="15"/>
  <c r="CA71" i="5"/>
  <c r="CW7" i="15"/>
  <c r="CB7" i="5"/>
  <c r="CV55" i="15"/>
  <c r="CA57" i="5"/>
  <c r="CW45" i="15"/>
  <c r="CB47" i="5"/>
  <c r="CB30"/>
  <c r="CW28" i="15"/>
  <c r="CB41" i="5"/>
  <c r="CW39" i="15"/>
  <c r="CA39" i="5"/>
  <c r="CV37" i="15"/>
  <c r="CW42"/>
  <c r="CB44" i="5"/>
  <c r="CB32"/>
  <c r="CW30" i="15"/>
  <c r="CW21"/>
  <c r="CB22" i="5"/>
  <c r="CV64" i="15"/>
  <c r="CA66" i="5"/>
  <c r="CW18" i="15"/>
  <c r="CB19" i="5"/>
  <c r="CB70"/>
  <c r="CW68" i="15"/>
  <c r="CB25" i="5"/>
  <c r="CW23" i="15"/>
  <c r="CV42"/>
  <c r="CA44" i="5"/>
  <c r="CV35" i="15"/>
  <c r="CA37" i="5"/>
  <c r="CB40"/>
  <c r="CW38" i="15"/>
  <c r="CA23" i="5"/>
  <c r="CV22" i="15"/>
  <c r="CB15" i="5"/>
  <c r="CW14" i="15"/>
  <c r="CV48"/>
  <c r="CA50" i="5"/>
  <c r="CV32" i="15"/>
  <c r="CA34" i="5"/>
  <c r="CB74"/>
  <c r="CW72" i="15"/>
  <c r="CB37" i="5"/>
  <c r="CW35" i="15"/>
  <c r="CV61"/>
  <c r="CA63" i="5"/>
  <c r="CW13" i="15"/>
  <c r="CB14" i="5"/>
  <c r="CA59"/>
  <c r="CV57" i="15"/>
  <c r="CB62" i="5"/>
  <c r="CW60" i="15"/>
  <c r="CV9"/>
  <c r="CA10" i="5"/>
  <c r="CB54"/>
  <c r="CW52" i="15"/>
  <c r="CB72" i="5"/>
  <c r="CW70" i="15"/>
  <c r="CW64"/>
  <c r="CB66" i="5"/>
  <c r="CB33"/>
  <c r="CW31" i="15"/>
  <c r="CB16" i="5"/>
  <c r="CW15" i="15"/>
  <c r="T44" i="1"/>
  <c r="T42"/>
  <c r="T14"/>
  <c r="U40"/>
  <c r="T15"/>
  <c r="U57"/>
  <c r="T8"/>
  <c r="T24"/>
  <c r="U8"/>
  <c r="U55"/>
  <c r="U48"/>
  <c r="T30"/>
  <c r="U32"/>
  <c r="T52"/>
  <c r="U35"/>
  <c r="T13"/>
  <c r="U24"/>
  <c r="T48"/>
  <c r="U31"/>
  <c r="U13"/>
  <c r="T31"/>
  <c r="U16"/>
  <c r="T51"/>
  <c r="T19"/>
  <c r="T60"/>
  <c r="T23"/>
  <c r="U7"/>
  <c r="T26"/>
  <c r="T32"/>
  <c r="T10"/>
  <c r="U30"/>
  <c r="T11"/>
  <c r="U54"/>
  <c r="EN8" i="15"/>
  <c r="U18" i="1"/>
  <c r="U60"/>
  <c r="U50"/>
  <c r="EN7" i="15"/>
  <c r="T18" i="1"/>
  <c r="T28"/>
  <c r="T7"/>
  <c r="U49"/>
  <c r="T20"/>
  <c r="U59"/>
  <c r="T22"/>
  <c r="U28"/>
  <c r="T50"/>
  <c r="U34"/>
  <c r="T35"/>
  <c r="U21"/>
  <c r="U53"/>
  <c r="U11"/>
  <c r="T41"/>
  <c r="U25"/>
  <c r="T27"/>
  <c r="U12"/>
  <c r="T53"/>
  <c r="T47"/>
  <c r="T16"/>
  <c r="EM7" i="15"/>
  <c r="T34" i="1"/>
  <c r="T36"/>
  <c r="T12"/>
  <c r="U22"/>
  <c r="U52"/>
  <c r="T40"/>
  <c r="U36"/>
  <c r="T54"/>
  <c r="U38"/>
  <c r="T58"/>
  <c r="T59"/>
  <c r="U43"/>
  <c r="T6"/>
  <c r="U20"/>
  <c r="T45"/>
  <c r="U29"/>
  <c r="U26"/>
  <c r="T33"/>
  <c r="U19"/>
  <c r="U6"/>
  <c r="T29"/>
  <c r="U14"/>
  <c r="U58"/>
  <c r="U15"/>
  <c r="T43"/>
  <c r="U27"/>
  <c r="U44"/>
  <c r="T38"/>
  <c r="U23"/>
  <c r="EM8" i="15"/>
  <c r="T21" i="1"/>
  <c r="T55"/>
  <c r="U10"/>
  <c r="T25"/>
  <c r="U41"/>
  <c r="T57"/>
  <c r="U42"/>
  <c r="T49"/>
  <c r="U51"/>
  <c r="CB61" i="5"/>
  <c r="CW59" i="15"/>
  <c r="CB18" i="5"/>
  <c r="CW17" i="15"/>
  <c r="CW40"/>
  <c r="CB42" i="5"/>
  <c r="CB65"/>
  <c r="CW63" i="15"/>
  <c r="CB64" i="5"/>
  <c r="CW62" i="15"/>
  <c r="CA72" i="5"/>
  <c r="CV70" i="15"/>
  <c r="CV50"/>
  <c r="CA52" i="5"/>
  <c r="CW26" i="15"/>
  <c r="CB28" i="5"/>
  <c r="CV46" i="15"/>
  <c r="CA48" i="5"/>
  <c r="CV7" i="15"/>
  <c r="CK73"/>
  <c r="CN74" s="1"/>
  <c r="CV75" s="1"/>
  <c r="CA7" i="5"/>
  <c r="CV30" i="15"/>
  <c r="CA32" i="5"/>
  <c r="CV10" i="15"/>
  <c r="CA11" i="5"/>
  <c r="CB31"/>
  <c r="CW29" i="15"/>
  <c r="CB9" i="5"/>
  <c r="CW8" i="15"/>
  <c r="CV34"/>
  <c r="CA36" i="5"/>
  <c r="CB50"/>
  <c r="CW48" i="15"/>
  <c r="CV28"/>
  <c r="CA30" i="5"/>
  <c r="CB67"/>
  <c r="CW65" i="15"/>
  <c r="CA49" i="5"/>
  <c r="CV47" i="15"/>
  <c r="CB26" i="5"/>
  <c r="CW24" i="15"/>
  <c r="CV20"/>
  <c r="CA21" i="5"/>
  <c r="CV36" i="15"/>
  <c r="CA38" i="5"/>
  <c r="CB63"/>
  <c r="CW61" i="15"/>
  <c r="CV31"/>
  <c r="CA33" i="5"/>
  <c r="CB35"/>
  <c r="CW33" i="15"/>
  <c r="CB43" i="5"/>
  <c r="CW41" i="15"/>
  <c r="CV29"/>
  <c r="CA31" i="5"/>
  <c r="CV25" i="15"/>
  <c r="CA27" i="5"/>
  <c r="CV54" i="15"/>
  <c r="CA56" i="5"/>
  <c r="CV18" i="15"/>
  <c r="CA19" i="5"/>
  <c r="CV67" i="15"/>
  <c r="CA69" i="5"/>
  <c r="CV11" i="15"/>
  <c r="CA12" i="5"/>
  <c r="CB56"/>
  <c r="CW54" i="15"/>
  <c r="CW12"/>
  <c r="CB13" i="5"/>
  <c r="CB53"/>
  <c r="CW51" i="15"/>
  <c r="CB73" i="5"/>
  <c r="CW71" i="15"/>
  <c r="CV41"/>
  <c r="CA43" i="5"/>
  <c r="CA24"/>
  <c r="CV33" i="15"/>
  <c r="CA35" i="5"/>
  <c r="CV52" i="15"/>
  <c r="CA54" i="5"/>
  <c r="CV13" i="15"/>
  <c r="CA14" i="5"/>
  <c r="CW57" i="15"/>
  <c r="CB59" i="5"/>
  <c r="CB60"/>
  <c r="CW58" i="15"/>
  <c r="CB69" i="5"/>
  <c r="CW67" i="15"/>
  <c r="CB48" i="5"/>
  <c r="CW46" i="15"/>
  <c r="CB49" i="5"/>
  <c r="CW47" i="15"/>
  <c r="CA61" i="5"/>
  <c r="CV59" i="15"/>
  <c r="CA62" i="5"/>
  <c r="CV60" i="15"/>
  <c r="CA53" i="5"/>
  <c r="CV51" i="15"/>
  <c r="CA64" i="5"/>
  <c r="CV62" i="15"/>
  <c r="CV38"/>
  <c r="CA40" i="5"/>
  <c r="CV63" i="15"/>
  <c r="CA65" i="5"/>
  <c r="CB21"/>
  <c r="CW20" i="15"/>
  <c r="CA55" i="5"/>
  <c r="CV53" i="15"/>
  <c r="CA60" i="5"/>
  <c r="CV58" i="15"/>
  <c r="BS75" i="5"/>
  <c r="CE76" i="15"/>
  <c r="U33" i="1" l="1"/>
  <c r="EN35" i="15"/>
  <c r="U45" i="1"/>
  <c r="EN50" i="15"/>
  <c r="EN42"/>
  <c r="EN39"/>
  <c r="EN37"/>
  <c r="U47" i="1"/>
  <c r="DB63" i="15"/>
  <c r="CH65" i="5"/>
  <c r="DB38" i="15"/>
  <c r="CH40" i="5"/>
  <c r="DC57" i="15"/>
  <c r="CI59" i="5"/>
  <c r="DB13" i="15"/>
  <c r="CH14" i="5"/>
  <c r="CH54"/>
  <c r="DB52" i="15"/>
  <c r="CH35" i="5"/>
  <c r="DB33" i="15"/>
  <c r="CH24" i="5"/>
  <c r="DB41" i="15"/>
  <c r="CH43" i="5"/>
  <c r="DC12" i="15"/>
  <c r="CI13" i="5"/>
  <c r="CH12"/>
  <c r="DB11" i="15"/>
  <c r="DB67"/>
  <c r="CH69" i="5"/>
  <c r="DB18" i="15"/>
  <c r="CH19" i="5"/>
  <c r="DB54" i="15"/>
  <c r="CH56" i="5"/>
  <c r="DB25" i="15"/>
  <c r="CH27" i="5"/>
  <c r="CH31"/>
  <c r="DB29" i="15"/>
  <c r="CH33" i="5"/>
  <c r="DB31" i="15"/>
  <c r="DB36"/>
  <c r="CH38" i="5"/>
  <c r="DB20" i="15"/>
  <c r="CH21" i="5"/>
  <c r="DB28" i="15"/>
  <c r="CH30" i="5"/>
  <c r="DB34" i="15"/>
  <c r="CH36" i="5"/>
  <c r="DB10" i="15"/>
  <c r="CH11" i="5"/>
  <c r="DB30" i="15"/>
  <c r="CH32" i="5"/>
  <c r="DB70" i="15"/>
  <c r="CH72" i="5"/>
  <c r="DC62" i="15"/>
  <c r="CI64" i="5"/>
  <c r="DC63" i="15"/>
  <c r="CI65" i="5"/>
  <c r="DC17" i="15"/>
  <c r="CI18" i="5"/>
  <c r="DC59" i="15"/>
  <c r="CI61" i="5"/>
  <c r="DC15" i="15"/>
  <c r="CI16" i="5"/>
  <c r="DC31" i="15"/>
  <c r="CI33" i="5"/>
  <c r="DC70" i="15"/>
  <c r="CI72" i="5"/>
  <c r="DC52" i="15"/>
  <c r="CI54" i="5"/>
  <c r="DC60" i="15"/>
  <c r="CI62" i="5"/>
  <c r="CH59"/>
  <c r="DB57" i="15"/>
  <c r="CI37" i="5"/>
  <c r="DC35" i="15"/>
  <c r="DC72"/>
  <c r="CI74" i="5"/>
  <c r="DC14" i="15"/>
  <c r="CI15" i="5"/>
  <c r="CH23"/>
  <c r="DB22" i="15"/>
  <c r="DC38"/>
  <c r="CI40" i="5"/>
  <c r="CI25"/>
  <c r="DC23" i="15"/>
  <c r="DC68"/>
  <c r="CI70" i="5"/>
  <c r="DC30" i="15"/>
  <c r="CI32" i="5"/>
  <c r="DB37" i="15"/>
  <c r="CH39" i="5"/>
  <c r="DC39" i="15"/>
  <c r="CI41" i="5"/>
  <c r="DC28" i="15"/>
  <c r="CI30" i="5"/>
  <c r="DC7" i="15"/>
  <c r="CI7" i="5"/>
  <c r="DB69" i="15"/>
  <c r="CH71" i="5"/>
  <c r="CH13"/>
  <c r="DB12" i="15"/>
  <c r="DB71"/>
  <c r="CH73" i="5"/>
  <c r="CB71"/>
  <c r="CW69" i="15"/>
  <c r="DB65"/>
  <c r="CH67" i="5"/>
  <c r="DB43" i="15"/>
  <c r="CH45" i="5"/>
  <c r="CI24"/>
  <c r="CH15"/>
  <c r="DB14" i="15"/>
  <c r="DB8"/>
  <c r="CH9" i="5"/>
  <c r="CH51"/>
  <c r="DB49" i="15"/>
  <c r="DB56"/>
  <c r="CH58" i="5"/>
  <c r="CH28"/>
  <c r="DB26" i="15"/>
  <c r="DC37"/>
  <c r="CI39" i="5"/>
  <c r="DC43" i="15"/>
  <c r="CI45" i="5"/>
  <c r="CH22"/>
  <c r="DB21" i="15"/>
  <c r="CH20" i="5"/>
  <c r="DB19" i="15"/>
  <c r="DB16"/>
  <c r="CH17" i="5"/>
  <c r="DB23" i="15"/>
  <c r="CH25" i="5"/>
  <c r="CH26"/>
  <c r="DB24" i="15"/>
  <c r="DC34"/>
  <c r="CI36" i="5"/>
  <c r="CH18"/>
  <c r="DB17" i="15"/>
  <c r="CB20" i="5"/>
  <c r="CW19" i="15"/>
  <c r="DB58"/>
  <c r="CH60" i="5"/>
  <c r="DB53" i="15"/>
  <c r="CH55" i="5"/>
  <c r="DC20" i="15"/>
  <c r="CI21" i="5"/>
  <c r="DB62" i="15"/>
  <c r="CH64" i="5"/>
  <c r="DB51" i="15"/>
  <c r="CH53" i="5"/>
  <c r="DB60" i="15"/>
  <c r="CH62" i="5"/>
  <c r="DB59" i="15"/>
  <c r="CH61" i="5"/>
  <c r="DC47" i="15"/>
  <c r="CI49" i="5"/>
  <c r="DC46" i="15"/>
  <c r="CI48" i="5"/>
  <c r="DC67" i="15"/>
  <c r="CI69" i="5"/>
  <c r="DC58" i="15"/>
  <c r="CI60" i="5"/>
  <c r="DC71" i="15"/>
  <c r="CI73" i="5"/>
  <c r="DC51" i="15"/>
  <c r="CI53" i="5"/>
  <c r="DC54" i="15"/>
  <c r="CI56" i="5"/>
  <c r="DC41" i="15"/>
  <c r="CI43" i="5"/>
  <c r="DC33" i="15"/>
  <c r="CI35" i="5"/>
  <c r="DC61" i="15"/>
  <c r="CI63" i="5"/>
  <c r="DC24" i="15"/>
  <c r="CI26" i="5"/>
  <c r="DB47" i="15"/>
  <c r="CH49" i="5"/>
  <c r="CI67"/>
  <c r="DC65" i="15"/>
  <c r="DC48"/>
  <c r="CI50" i="5"/>
  <c r="DC8" i="15"/>
  <c r="CI9" i="5"/>
  <c r="DC29" i="15"/>
  <c r="CI31" i="5"/>
  <c r="DB7" i="15"/>
  <c r="CH7" i="5"/>
  <c r="CV73" i="15"/>
  <c r="CV76" s="1"/>
  <c r="DB46"/>
  <c r="CH48" i="5"/>
  <c r="DC26" i="15"/>
  <c r="CI28" i="5"/>
  <c r="DB50" i="15"/>
  <c r="CH52" i="5"/>
  <c r="DC40" i="15"/>
  <c r="CI42" i="5"/>
  <c r="DC64" i="15"/>
  <c r="CI66" i="5"/>
  <c r="CH10"/>
  <c r="DB9" i="15"/>
  <c r="DC13"/>
  <c r="CI14" i="5"/>
  <c r="DB61" i="15"/>
  <c r="CH63" i="5"/>
  <c r="DB32" i="15"/>
  <c r="CH34" i="5"/>
  <c r="CH50"/>
  <c r="DB48" i="15"/>
  <c r="CH37" i="5"/>
  <c r="DB35" i="15"/>
  <c r="DB42"/>
  <c r="CH44" i="5"/>
  <c r="DC18" i="15"/>
  <c r="CI19" i="5"/>
  <c r="CH66"/>
  <c r="DB64" i="15"/>
  <c r="DC21"/>
  <c r="CI22" i="5"/>
  <c r="CI44"/>
  <c r="DC42" i="15"/>
  <c r="CI47" i="5"/>
  <c r="DC45" i="15"/>
  <c r="DB55"/>
  <c r="CH57" i="5"/>
  <c r="DB72" i="15"/>
  <c r="CH74" i="5"/>
  <c r="DB68" i="15"/>
  <c r="CH70" i="5"/>
  <c r="DB66" i="15"/>
  <c r="CH68" i="5"/>
  <c r="DB45" i="15"/>
  <c r="CH47" i="5"/>
  <c r="DC36" i="15"/>
  <c r="CI38" i="5"/>
  <c r="CH29"/>
  <c r="DB27" i="15"/>
  <c r="DB39"/>
  <c r="CH41" i="5"/>
  <c r="DC56" i="15"/>
  <c r="CI58" i="5"/>
  <c r="DC25" i="15"/>
  <c r="CI27" i="5"/>
  <c r="DC11" i="15"/>
  <c r="CI12" i="5"/>
  <c r="DC49" i="15"/>
  <c r="CI51" i="5"/>
  <c r="DC53" i="15"/>
  <c r="CI55" i="5"/>
  <c r="CH16"/>
  <c r="DB15" i="15"/>
  <c r="CI52" i="5"/>
  <c r="DC50" i="15"/>
  <c r="DC22"/>
  <c r="CI23" i="5"/>
  <c r="CI29"/>
  <c r="DC27" i="15"/>
  <c r="CI68" i="5"/>
  <c r="DC66" i="15"/>
  <c r="DC9"/>
  <c r="CI10" i="5"/>
  <c r="DB40" i="15"/>
  <c r="CH42" i="5"/>
  <c r="DC55" i="15"/>
  <c r="CI57" i="5"/>
  <c r="EM73" i="15"/>
  <c r="EN73"/>
  <c r="CA75" i="5"/>
  <c r="CN4" s="1"/>
  <c r="CN8" s="1"/>
  <c r="U61" i="1"/>
  <c r="U62" s="1"/>
  <c r="T61"/>
  <c r="DN55" i="15" l="1"/>
  <c r="CQ57" i="5"/>
  <c r="DM40" i="15"/>
  <c r="DS40" s="1"/>
  <c r="ED40" s="1"/>
  <c r="EJ40" s="1"/>
  <c r="EU40" s="1"/>
  <c r="CP42" i="5"/>
  <c r="DN9" i="15"/>
  <c r="DT9" s="1"/>
  <c r="EE9" s="1"/>
  <c r="EK9" s="1"/>
  <c r="CQ10" i="5"/>
  <c r="DN22" i="15"/>
  <c r="CQ23" i="5"/>
  <c r="DN53" i="15"/>
  <c r="DT53" s="1"/>
  <c r="EE53" s="1"/>
  <c r="EK53" s="1"/>
  <c r="CQ55" i="5"/>
  <c r="CQ51"/>
  <c r="DN49" i="15"/>
  <c r="DN11"/>
  <c r="DT11" s="1"/>
  <c r="EE11" s="1"/>
  <c r="EK11" s="1"/>
  <c r="CQ12" i="5"/>
  <c r="DN25" i="15"/>
  <c r="DT25" s="1"/>
  <c r="EE25" s="1"/>
  <c r="EK25" s="1"/>
  <c r="CQ27" i="5"/>
  <c r="DN56" i="15"/>
  <c r="DT56" s="1"/>
  <c r="EE56" s="1"/>
  <c r="EK56" s="1"/>
  <c r="CQ58" i="5"/>
  <c r="DM39" i="15"/>
  <c r="DS39" s="1"/>
  <c r="ED39" s="1"/>
  <c r="EJ39" s="1"/>
  <c r="EU39" s="1"/>
  <c r="CP41" i="5"/>
  <c r="DN36" i="15"/>
  <c r="DT36" s="1"/>
  <c r="EE36" s="1"/>
  <c r="EK36" s="1"/>
  <c r="CQ38" i="5"/>
  <c r="DM45" i="15"/>
  <c r="DS45" s="1"/>
  <c r="ED45" s="1"/>
  <c r="EJ45" s="1"/>
  <c r="EU45" s="1"/>
  <c r="CP47" i="5"/>
  <c r="DM66" i="15"/>
  <c r="DS66" s="1"/>
  <c r="ED66" s="1"/>
  <c r="EJ66" s="1"/>
  <c r="EU66" s="1"/>
  <c r="CP68" i="5"/>
  <c r="DM68" i="15"/>
  <c r="DS68" s="1"/>
  <c r="ED68" s="1"/>
  <c r="EJ68" s="1"/>
  <c r="EU68" s="1"/>
  <c r="CP70" i="5"/>
  <c r="DM72" i="15"/>
  <c r="DS72" s="1"/>
  <c r="CP74" i="5"/>
  <c r="DM55" i="15"/>
  <c r="CP57" i="5"/>
  <c r="DN21" i="15"/>
  <c r="DT21" s="1"/>
  <c r="EE21" s="1"/>
  <c r="EK21" s="1"/>
  <c r="CQ22" i="5"/>
  <c r="DN18" i="15"/>
  <c r="DT18" s="1"/>
  <c r="EE18" s="1"/>
  <c r="EK18" s="1"/>
  <c r="CQ19" i="5"/>
  <c r="DM42" i="15"/>
  <c r="CP44" i="5"/>
  <c r="DM32" i="15"/>
  <c r="DS32" s="1"/>
  <c r="ED32" s="1"/>
  <c r="EJ32" s="1"/>
  <c r="EU32" s="1"/>
  <c r="FA32" s="1"/>
  <c r="FL32" s="1"/>
  <c r="CP34" i="5"/>
  <c r="DM61" i="15"/>
  <c r="CP63" i="5"/>
  <c r="DN13" i="15"/>
  <c r="DT13" s="1"/>
  <c r="EE13" s="1"/>
  <c r="EK13" s="1"/>
  <c r="CQ14" i="5"/>
  <c r="DN64" i="15"/>
  <c r="CQ66" i="5"/>
  <c r="CQ42"/>
  <c r="DN40" i="15"/>
  <c r="DT40" s="1"/>
  <c r="EE40" s="1"/>
  <c r="EK40" s="1"/>
  <c r="DM50"/>
  <c r="DS50" s="1"/>
  <c r="ED50" s="1"/>
  <c r="EJ50" s="1"/>
  <c r="EU50" s="1"/>
  <c r="CP52" i="5"/>
  <c r="CQ28"/>
  <c r="DN26" i="15"/>
  <c r="DT26" s="1"/>
  <c r="EE26" s="1"/>
  <c r="EK26" s="1"/>
  <c r="DM46"/>
  <c r="DS46" s="1"/>
  <c r="ED46" s="1"/>
  <c r="EJ46" s="1"/>
  <c r="EU46" s="1"/>
  <c r="CP48" i="5"/>
  <c r="DN65" i="15"/>
  <c r="DT65" s="1"/>
  <c r="EE65" s="1"/>
  <c r="EK65" s="1"/>
  <c r="CQ67" i="5"/>
  <c r="CI20"/>
  <c r="DC19" i="15"/>
  <c r="DM17"/>
  <c r="DS17" s="1"/>
  <c r="ED17" s="1"/>
  <c r="EJ17" s="1"/>
  <c r="EU17" s="1"/>
  <c r="FA17" s="1"/>
  <c r="FL17" s="1"/>
  <c r="CP18" i="5"/>
  <c r="DM24" i="15"/>
  <c r="DS24" s="1"/>
  <c r="ED24" s="1"/>
  <c r="EJ24" s="1"/>
  <c r="EU24" s="1"/>
  <c r="FA24" s="1"/>
  <c r="FL24" s="1"/>
  <c r="CP26" i="5"/>
  <c r="DM19" i="15"/>
  <c r="DS19" s="1"/>
  <c r="ED19" s="1"/>
  <c r="EJ19" s="1"/>
  <c r="EU19" s="1"/>
  <c r="FA19" s="1"/>
  <c r="FL19" s="1"/>
  <c r="CP20" i="5"/>
  <c r="DM21" i="15"/>
  <c r="DS21" s="1"/>
  <c r="ED21" s="1"/>
  <c r="EJ21" s="1"/>
  <c r="EU21" s="1"/>
  <c r="FA21" s="1"/>
  <c r="FL21" s="1"/>
  <c r="CP22" i="5"/>
  <c r="DM26" i="15"/>
  <c r="DS26" s="1"/>
  <c r="ED26" s="1"/>
  <c r="EJ26" s="1"/>
  <c r="EU26" s="1"/>
  <c r="FA26" s="1"/>
  <c r="FL26" s="1"/>
  <c r="CP28" i="5"/>
  <c r="CP51"/>
  <c r="DM49" i="15"/>
  <c r="DM14"/>
  <c r="DS14" s="1"/>
  <c r="ED14" s="1"/>
  <c r="EJ14" s="1"/>
  <c r="EU14" s="1"/>
  <c r="FA14" s="1"/>
  <c r="FL14" s="1"/>
  <c r="CP15" i="5"/>
  <c r="DC69" i="15"/>
  <c r="CI71" i="5"/>
  <c r="DM12" i="15"/>
  <c r="CP13" i="5"/>
  <c r="DN7" i="15"/>
  <c r="CQ7" i="5"/>
  <c r="DN28" i="15"/>
  <c r="DT28" s="1"/>
  <c r="EE28" s="1"/>
  <c r="EK28" s="1"/>
  <c r="CQ30" i="5"/>
  <c r="DN39" i="15"/>
  <c r="DT39" s="1"/>
  <c r="EE39" s="1"/>
  <c r="EK39" s="1"/>
  <c r="CQ41" i="5"/>
  <c r="DM37" i="15"/>
  <c r="DS37" s="1"/>
  <c r="ED37" s="1"/>
  <c r="EJ37" s="1"/>
  <c r="EU37" s="1"/>
  <c r="CP39" i="5"/>
  <c r="DN30" i="15"/>
  <c r="DT30" s="1"/>
  <c r="EE30" s="1"/>
  <c r="EK30" s="1"/>
  <c r="CQ32" i="5"/>
  <c r="DN68" i="15"/>
  <c r="DT68" s="1"/>
  <c r="EE68" s="1"/>
  <c r="EK68" s="1"/>
  <c r="CQ70" i="5"/>
  <c r="DN38" i="15"/>
  <c r="DT38" s="1"/>
  <c r="EE38" s="1"/>
  <c r="EK38" s="1"/>
  <c r="CQ40" i="5"/>
  <c r="CQ15"/>
  <c r="DN14" i="15"/>
  <c r="DT14" s="1"/>
  <c r="EE14" s="1"/>
  <c r="EK14" s="1"/>
  <c r="DN72"/>
  <c r="DT72" s="1"/>
  <c r="CQ74" i="5"/>
  <c r="DN60" i="15"/>
  <c r="DT60" s="1"/>
  <c r="EE60" s="1"/>
  <c r="EK60" s="1"/>
  <c r="CQ62" i="5"/>
  <c r="CQ54"/>
  <c r="DN52" i="15"/>
  <c r="DN70"/>
  <c r="DT70" s="1"/>
  <c r="EE70" s="1"/>
  <c r="EK70" s="1"/>
  <c r="CQ72" i="5"/>
  <c r="DN31" i="15"/>
  <c r="DT31" s="1"/>
  <c r="EE31" s="1"/>
  <c r="EK31" s="1"/>
  <c r="CQ33" i="5"/>
  <c r="CQ16"/>
  <c r="DN15" i="15"/>
  <c r="DN59"/>
  <c r="DT59" s="1"/>
  <c r="EE59" s="1"/>
  <c r="EK59" s="1"/>
  <c r="CQ61" i="5"/>
  <c r="CQ18"/>
  <c r="DN17" i="15"/>
  <c r="DT17" s="1"/>
  <c r="EE17" s="1"/>
  <c r="EK17" s="1"/>
  <c r="DN63"/>
  <c r="DT63" s="1"/>
  <c r="EE63" s="1"/>
  <c r="EK63" s="1"/>
  <c r="CQ65" i="5"/>
  <c r="DN62" i="15"/>
  <c r="DT62" s="1"/>
  <c r="EE62" s="1"/>
  <c r="EK62" s="1"/>
  <c r="CQ64" i="5"/>
  <c r="DM70" i="15"/>
  <c r="DS70" s="1"/>
  <c r="ED70" s="1"/>
  <c r="EJ70" s="1"/>
  <c r="EU70" s="1"/>
  <c r="CP72" i="5"/>
  <c r="CP32"/>
  <c r="DM30" i="15"/>
  <c r="DS30" s="1"/>
  <c r="ED30" s="1"/>
  <c r="EJ30" s="1"/>
  <c r="EU30" s="1"/>
  <c r="FA30" s="1"/>
  <c r="FL30" s="1"/>
  <c r="DM10"/>
  <c r="DS10" s="1"/>
  <c r="ED10" s="1"/>
  <c r="EJ10" s="1"/>
  <c r="EU10" s="1"/>
  <c r="FA10" s="1"/>
  <c r="FL10" s="1"/>
  <c r="CP11" i="5"/>
  <c r="DM34" i="15"/>
  <c r="DS34" s="1"/>
  <c r="ED34" s="1"/>
  <c r="EJ34" s="1"/>
  <c r="EU34" s="1"/>
  <c r="FA34" s="1"/>
  <c r="FL34" s="1"/>
  <c r="CP36" i="5"/>
  <c r="CP30"/>
  <c r="DM28" i="15"/>
  <c r="DS28" s="1"/>
  <c r="ED28" s="1"/>
  <c r="EJ28" s="1"/>
  <c r="EU28" s="1"/>
  <c r="FA28" s="1"/>
  <c r="FL28" s="1"/>
  <c r="CP21" i="5"/>
  <c r="DM20" i="15"/>
  <c r="DS20" s="1"/>
  <c r="ED20" s="1"/>
  <c r="EJ20" s="1"/>
  <c r="EU20" s="1"/>
  <c r="FA20" s="1"/>
  <c r="FL20" s="1"/>
  <c r="DM36"/>
  <c r="DS36" s="1"/>
  <c r="ED36" s="1"/>
  <c r="EJ36" s="1"/>
  <c r="EU36" s="1"/>
  <c r="CP38" i="5"/>
  <c r="DM25" i="15"/>
  <c r="DS25" s="1"/>
  <c r="ED25" s="1"/>
  <c r="EJ25" s="1"/>
  <c r="EU25" s="1"/>
  <c r="FA25" s="1"/>
  <c r="FL25" s="1"/>
  <c r="CP27" i="5"/>
  <c r="DM54" i="15"/>
  <c r="DS54" s="1"/>
  <c r="ED54" s="1"/>
  <c r="EJ54" s="1"/>
  <c r="EU54" s="1"/>
  <c r="CP56" i="5"/>
  <c r="CP19"/>
  <c r="DM18" i="15"/>
  <c r="DS18" s="1"/>
  <c r="ED18" s="1"/>
  <c r="EJ18" s="1"/>
  <c r="EU18" s="1"/>
  <c r="FA18" s="1"/>
  <c r="FL18" s="1"/>
  <c r="DM67"/>
  <c r="DS67" s="1"/>
  <c r="ED67" s="1"/>
  <c r="EJ67" s="1"/>
  <c r="EU67" s="1"/>
  <c r="CP69" i="5"/>
  <c r="DN12" i="15"/>
  <c r="CQ13" i="5"/>
  <c r="DM41" i="15"/>
  <c r="DS41" s="1"/>
  <c r="ED41" s="1"/>
  <c r="EJ41" s="1"/>
  <c r="EU41" s="1"/>
  <c r="CP43" i="5"/>
  <c r="CP14"/>
  <c r="DM13" i="15"/>
  <c r="DS13" s="1"/>
  <c r="ED13" s="1"/>
  <c r="EJ13" s="1"/>
  <c r="EU13" s="1"/>
  <c r="FA13" s="1"/>
  <c r="FL13" s="1"/>
  <c r="DN57"/>
  <c r="CQ59" i="5"/>
  <c r="DM38" i="15"/>
  <c r="DS38" s="1"/>
  <c r="ED38" s="1"/>
  <c r="EJ38" s="1"/>
  <c r="EU38" s="1"/>
  <c r="CP40" i="5"/>
  <c r="DM63" i="15"/>
  <c r="DS63" s="1"/>
  <c r="ED63" s="1"/>
  <c r="EJ63" s="1"/>
  <c r="EU63" s="1"/>
  <c r="CP65" i="5"/>
  <c r="DN66" i="15"/>
  <c r="DT66" s="1"/>
  <c r="EE66" s="1"/>
  <c r="EK66" s="1"/>
  <c r="CQ68" i="5"/>
  <c r="DN27" i="15"/>
  <c r="CQ29" i="5"/>
  <c r="DN50" i="15"/>
  <c r="DT50" s="1"/>
  <c r="EE50" s="1"/>
  <c r="EK50" s="1"/>
  <c r="CQ52" i="5"/>
  <c r="DM15" i="15"/>
  <c r="CP16" i="5"/>
  <c r="DM27" i="15"/>
  <c r="CP29" i="5"/>
  <c r="DN45" i="15"/>
  <c r="DT45" s="1"/>
  <c r="EE45" s="1"/>
  <c r="EK45" s="1"/>
  <c r="CQ47" i="5"/>
  <c r="DN42" i="15"/>
  <c r="CQ44" i="5"/>
  <c r="CP66"/>
  <c r="DM64" i="15"/>
  <c r="DM35"/>
  <c r="DS35" s="1"/>
  <c r="ED35" s="1"/>
  <c r="EJ35" s="1"/>
  <c r="EU35" s="1"/>
  <c r="CP37" i="5"/>
  <c r="DM48" i="15"/>
  <c r="CP50" i="5"/>
  <c r="DM9" i="15"/>
  <c r="DS9" s="1"/>
  <c r="ED9" s="1"/>
  <c r="EJ9" s="1"/>
  <c r="EU9" s="1"/>
  <c r="FA9" s="1"/>
  <c r="FL9" s="1"/>
  <c r="CP10" i="5"/>
  <c r="DM7" i="15"/>
  <c r="DB73"/>
  <c r="DE74" s="1"/>
  <c r="DM75" s="1"/>
  <c r="CP7" i="5"/>
  <c r="DN29" i="15"/>
  <c r="DT29" s="1"/>
  <c r="EE29" s="1"/>
  <c r="EK29" s="1"/>
  <c r="CQ31" i="5"/>
  <c r="DN8" i="15"/>
  <c r="DT8" s="1"/>
  <c r="EE8" s="1"/>
  <c r="CQ9" i="5"/>
  <c r="CQ50"/>
  <c r="DN48" i="15"/>
  <c r="DM47"/>
  <c r="DS47" s="1"/>
  <c r="ED47" s="1"/>
  <c r="EJ47" s="1"/>
  <c r="EU47" s="1"/>
  <c r="CP49" i="5"/>
  <c r="DN24" i="15"/>
  <c r="DT24" s="1"/>
  <c r="EE24" s="1"/>
  <c r="EK24" s="1"/>
  <c r="CQ26" i="5"/>
  <c r="DN61" i="15"/>
  <c r="CQ63" i="5"/>
  <c r="DN33" i="15"/>
  <c r="DT33" s="1"/>
  <c r="EE33" s="1"/>
  <c r="EK33" s="1"/>
  <c r="CQ35" i="5"/>
  <c r="DN41" i="15"/>
  <c r="DT41" s="1"/>
  <c r="EE41" s="1"/>
  <c r="EK41" s="1"/>
  <c r="CQ43" i="5"/>
  <c r="DN54" i="15"/>
  <c r="DT54" s="1"/>
  <c r="EE54" s="1"/>
  <c r="EK54" s="1"/>
  <c r="CQ56" i="5"/>
  <c r="DN51" i="15"/>
  <c r="DT51" s="1"/>
  <c r="EE51" s="1"/>
  <c r="EK51" s="1"/>
  <c r="CQ53" i="5"/>
  <c r="DN71" i="15"/>
  <c r="DT71" s="1"/>
  <c r="CQ73" i="5"/>
  <c r="DN58" i="15"/>
  <c r="DT58" s="1"/>
  <c r="EE58" s="1"/>
  <c r="EK58" s="1"/>
  <c r="CQ60" i="5"/>
  <c r="DN67" i="15"/>
  <c r="DT67" s="1"/>
  <c r="EE67" s="1"/>
  <c r="EK67" s="1"/>
  <c r="CQ69" i="5"/>
  <c r="DN46" i="15"/>
  <c r="DT46" s="1"/>
  <c r="EE46" s="1"/>
  <c r="EK46" s="1"/>
  <c r="CQ48" i="5"/>
  <c r="DN47" i="15"/>
  <c r="DT47" s="1"/>
  <c r="EE47" s="1"/>
  <c r="EK47" s="1"/>
  <c r="CQ49" i="5"/>
  <c r="DM59" i="15"/>
  <c r="DS59" s="1"/>
  <c r="ED59" s="1"/>
  <c r="EJ59" s="1"/>
  <c r="EU59" s="1"/>
  <c r="CP61" i="5"/>
  <c r="DM60" i="15"/>
  <c r="DS60" s="1"/>
  <c r="ED60" s="1"/>
  <c r="EJ60" s="1"/>
  <c r="EU60" s="1"/>
  <c r="CP62" i="5"/>
  <c r="DM51" i="15"/>
  <c r="DS51" s="1"/>
  <c r="ED51" s="1"/>
  <c r="EJ51" s="1"/>
  <c r="EU51" s="1"/>
  <c r="CP53" i="5"/>
  <c r="DM62" i="15"/>
  <c r="DS62" s="1"/>
  <c r="ED62" s="1"/>
  <c r="EJ62" s="1"/>
  <c r="EU62" s="1"/>
  <c r="CP64" i="5"/>
  <c r="DN20" i="15"/>
  <c r="DT20" s="1"/>
  <c r="EE20" s="1"/>
  <c r="EK20" s="1"/>
  <c r="CQ21" i="5"/>
  <c r="DM53" i="15"/>
  <c r="DS53" s="1"/>
  <c r="ED53" s="1"/>
  <c r="EJ53" s="1"/>
  <c r="EU53" s="1"/>
  <c r="CP55" i="5"/>
  <c r="DM58" i="15"/>
  <c r="DS58" s="1"/>
  <c r="ED58" s="1"/>
  <c r="EJ58" s="1"/>
  <c r="EU58" s="1"/>
  <c r="CP60" i="5"/>
  <c r="DN34" i="15"/>
  <c r="DT34" s="1"/>
  <c r="EE34" s="1"/>
  <c r="EK34" s="1"/>
  <c r="CQ36" i="5"/>
  <c r="DM23" i="15"/>
  <c r="DS23" s="1"/>
  <c r="ED23" s="1"/>
  <c r="EJ23" s="1"/>
  <c r="EU23" s="1"/>
  <c r="FA23" s="1"/>
  <c r="FL23" s="1"/>
  <c r="CP25" i="5"/>
  <c r="CP17"/>
  <c r="DM16" i="15"/>
  <c r="DS16" s="1"/>
  <c r="ED16" s="1"/>
  <c r="EJ16" s="1"/>
  <c r="EU16" s="1"/>
  <c r="FA16" s="1"/>
  <c r="FL16" s="1"/>
  <c r="DN43"/>
  <c r="DT43" s="1"/>
  <c r="EE43" s="1"/>
  <c r="EK43" s="1"/>
  <c r="CQ45" i="5"/>
  <c r="DN37" i="15"/>
  <c r="DT37" s="1"/>
  <c r="EE37" s="1"/>
  <c r="EK37" s="1"/>
  <c r="CQ39" i="5"/>
  <c r="DM56" i="15"/>
  <c r="DS56" s="1"/>
  <c r="ED56" s="1"/>
  <c r="EJ56" s="1"/>
  <c r="EU56" s="1"/>
  <c r="CP58" i="5"/>
  <c r="CP9"/>
  <c r="DM8" i="15"/>
  <c r="DS8" s="1"/>
  <c r="ED8" s="1"/>
  <c r="CQ24" i="5"/>
  <c r="DM43" i="15"/>
  <c r="DS43" s="1"/>
  <c r="ED43" s="1"/>
  <c r="EJ43" s="1"/>
  <c r="EU43" s="1"/>
  <c r="CP45" i="5"/>
  <c r="DM65" i="15"/>
  <c r="DS65" s="1"/>
  <c r="ED65" s="1"/>
  <c r="EJ65" s="1"/>
  <c r="EU65" s="1"/>
  <c r="CP67" i="5"/>
  <c r="DM71" i="15"/>
  <c r="DS71" s="1"/>
  <c r="CP73" i="5"/>
  <c r="DM69" i="15"/>
  <c r="DS69" s="1"/>
  <c r="ED69" s="1"/>
  <c r="EJ69" s="1"/>
  <c r="EU69" s="1"/>
  <c r="CP71" i="5"/>
  <c r="DN23" i="15"/>
  <c r="DT23" s="1"/>
  <c r="EE23" s="1"/>
  <c r="EK23" s="1"/>
  <c r="CQ25" i="5"/>
  <c r="CP23"/>
  <c r="DM22" i="15"/>
  <c r="CQ37" i="5"/>
  <c r="DN35" i="15"/>
  <c r="DT35" s="1"/>
  <c r="EE35" s="1"/>
  <c r="EK35" s="1"/>
  <c r="CP59" i="5"/>
  <c r="DM57" i="15"/>
  <c r="DM31"/>
  <c r="DS31" s="1"/>
  <c r="ED31" s="1"/>
  <c r="EJ31" s="1"/>
  <c r="EU31" s="1"/>
  <c r="FA31" s="1"/>
  <c r="FL31" s="1"/>
  <c r="CP33" i="5"/>
  <c r="DM29" i="15"/>
  <c r="DS29" s="1"/>
  <c r="ED29" s="1"/>
  <c r="EJ29" s="1"/>
  <c r="EU29" s="1"/>
  <c r="FA29" s="1"/>
  <c r="FL29" s="1"/>
  <c r="CP31" i="5"/>
  <c r="DM11" i="15"/>
  <c r="DS11" s="1"/>
  <c r="ED11" s="1"/>
  <c r="EJ11" s="1"/>
  <c r="EU11" s="1"/>
  <c r="FA11" s="1"/>
  <c r="FL11" s="1"/>
  <c r="CP12" i="5"/>
  <c r="CP24"/>
  <c r="DM33" i="15"/>
  <c r="DS33" s="1"/>
  <c r="ED33" s="1"/>
  <c r="EJ33" s="1"/>
  <c r="EU33" s="1"/>
  <c r="FA33" s="1"/>
  <c r="FL33" s="1"/>
  <c r="CP35" i="5"/>
  <c r="CP54"/>
  <c r="DM52" i="15"/>
  <c r="CH75" i="5"/>
  <c r="CW54" l="1"/>
  <c r="DS52" i="15"/>
  <c r="ED52" s="1"/>
  <c r="EJ52" s="1"/>
  <c r="EU52" s="1"/>
  <c r="CW59" i="5"/>
  <c r="DS57" i="15"/>
  <c r="ED57" s="1"/>
  <c r="EJ57" s="1"/>
  <c r="EU57" s="1"/>
  <c r="CW23" i="5"/>
  <c r="DS22" i="15"/>
  <c r="ED22" s="1"/>
  <c r="EJ22" s="1"/>
  <c r="EU22" s="1"/>
  <c r="FA22" s="1"/>
  <c r="FL22" s="1"/>
  <c r="CW66" i="5"/>
  <c r="DS64" i="15"/>
  <c r="ED64" s="1"/>
  <c r="EJ64" s="1"/>
  <c r="EU64" s="1"/>
  <c r="CW51" i="5"/>
  <c r="DS49" i="15"/>
  <c r="ED49" s="1"/>
  <c r="EJ49" s="1"/>
  <c r="EU49" s="1"/>
  <c r="FA49" s="1"/>
  <c r="CW63" i="5"/>
  <c r="DS61" i="15"/>
  <c r="CW44" i="5"/>
  <c r="DS42" i="15"/>
  <c r="ED42" s="1"/>
  <c r="EJ42" s="1"/>
  <c r="EU42" s="1"/>
  <c r="CW57" i="5"/>
  <c r="DS55" i="15"/>
  <c r="ED55" s="1"/>
  <c r="EJ55" s="1"/>
  <c r="CW50" i="5"/>
  <c r="DS48" i="15"/>
  <c r="ED48" s="1"/>
  <c r="EJ48" s="1"/>
  <c r="EU48" s="1"/>
  <c r="FA48" s="1"/>
  <c r="CW29" i="5"/>
  <c r="DS27" i="15"/>
  <c r="ED27" s="1"/>
  <c r="EJ27" s="1"/>
  <c r="EU27" s="1"/>
  <c r="FA27" s="1"/>
  <c r="FL27" s="1"/>
  <c r="CW16" i="5"/>
  <c r="DS15" i="15"/>
  <c r="ED15" s="1"/>
  <c r="EJ15" s="1"/>
  <c r="EU15" s="1"/>
  <c r="FA15" s="1"/>
  <c r="FL15" s="1"/>
  <c r="CW13" i="5"/>
  <c r="DS12" i="15"/>
  <c r="ED12" s="1"/>
  <c r="EJ12" s="1"/>
  <c r="EU12" s="1"/>
  <c r="FA12" s="1"/>
  <c r="FL12" s="1"/>
  <c r="CX50" i="5"/>
  <c r="DT48" i="15"/>
  <c r="EE48" s="1"/>
  <c r="EK48" s="1"/>
  <c r="CX44" i="5"/>
  <c r="DT42" i="15"/>
  <c r="EE42" s="1"/>
  <c r="EK42" s="1"/>
  <c r="CX29" i="5"/>
  <c r="DT27" i="15"/>
  <c r="EE27" s="1"/>
  <c r="EK27" s="1"/>
  <c r="CX59" i="5"/>
  <c r="DT57" i="15"/>
  <c r="CX13" i="5"/>
  <c r="DT12" i="15"/>
  <c r="EE12" s="1"/>
  <c r="EK12" s="1"/>
  <c r="CX66" i="5"/>
  <c r="DT64" i="15"/>
  <c r="EE64" s="1"/>
  <c r="EK64" s="1"/>
  <c r="CX23" i="5"/>
  <c r="DT22" i="15"/>
  <c r="EE22" s="1"/>
  <c r="EK22" s="1"/>
  <c r="CX57" i="5"/>
  <c r="DT55" i="15"/>
  <c r="CX63" i="5"/>
  <c r="DT61" i="15"/>
  <c r="CX16" i="5"/>
  <c r="DT15" i="15"/>
  <c r="EE15" s="1"/>
  <c r="EK15" s="1"/>
  <c r="CX54" i="5"/>
  <c r="DT52" i="15"/>
  <c r="EE52" s="1"/>
  <c r="EK52" s="1"/>
  <c r="CX51" i="5"/>
  <c r="DT49" i="15"/>
  <c r="EE49" s="1"/>
  <c r="EK49" s="1"/>
  <c r="CW35" i="5"/>
  <c r="CW24"/>
  <c r="CW12"/>
  <c r="CW31"/>
  <c r="CW33"/>
  <c r="CW58"/>
  <c r="CX39"/>
  <c r="CX45"/>
  <c r="CW25"/>
  <c r="CX21"/>
  <c r="CW53"/>
  <c r="CX48"/>
  <c r="CX9"/>
  <c r="CX31"/>
  <c r="CW14"/>
  <c r="CW21"/>
  <c r="CW30"/>
  <c r="CW32"/>
  <c r="CX18"/>
  <c r="DT7" i="15"/>
  <c r="CX7" i="5"/>
  <c r="DN69" i="15"/>
  <c r="DT69" s="1"/>
  <c r="EE69" s="1"/>
  <c r="EK69" s="1"/>
  <c r="CQ71" i="5"/>
  <c r="CW28"/>
  <c r="CW22"/>
  <c r="CW20"/>
  <c r="CW26"/>
  <c r="CW18"/>
  <c r="CX67"/>
  <c r="CW48"/>
  <c r="CW52"/>
  <c r="CX14"/>
  <c r="CW34"/>
  <c r="CX19"/>
  <c r="CX22"/>
  <c r="CW74"/>
  <c r="CW70"/>
  <c r="CW68"/>
  <c r="CW47"/>
  <c r="CX38"/>
  <c r="CW41"/>
  <c r="CX58"/>
  <c r="CX27"/>
  <c r="CX12"/>
  <c r="CX55"/>
  <c r="CX10"/>
  <c r="CW42"/>
  <c r="CX25"/>
  <c r="CW71"/>
  <c r="CW73"/>
  <c r="CW67"/>
  <c r="CW45"/>
  <c r="CX24"/>
  <c r="CX36"/>
  <c r="CW60"/>
  <c r="CW55"/>
  <c r="CW64"/>
  <c r="CW62"/>
  <c r="FA60" i="15"/>
  <c r="FL60" s="1"/>
  <c r="FR60" s="1"/>
  <c r="CW61" i="5"/>
  <c r="CX49"/>
  <c r="CX69"/>
  <c r="CX60"/>
  <c r="CX73"/>
  <c r="CX53"/>
  <c r="CX56"/>
  <c r="CX43"/>
  <c r="CX35"/>
  <c r="CX26"/>
  <c r="CW49"/>
  <c r="CW19"/>
  <c r="CX15"/>
  <c r="CW15"/>
  <c r="CX37"/>
  <c r="CW9"/>
  <c r="CW17"/>
  <c r="DS7" i="15"/>
  <c r="DM73"/>
  <c r="DM76" s="1"/>
  <c r="CW7" i="5"/>
  <c r="CW10"/>
  <c r="CW37"/>
  <c r="CX47"/>
  <c r="CX52"/>
  <c r="CX68"/>
  <c r="CW65"/>
  <c r="CW40"/>
  <c r="CW43"/>
  <c r="CW69"/>
  <c r="CW56"/>
  <c r="CW27"/>
  <c r="CW38"/>
  <c r="CW36"/>
  <c r="CW11"/>
  <c r="CW72"/>
  <c r="CX64"/>
  <c r="CX65"/>
  <c r="CX61"/>
  <c r="CX33"/>
  <c r="CX72"/>
  <c r="CX62"/>
  <c r="FB60" i="15"/>
  <c r="FM60" s="1"/>
  <c r="FS60" s="1"/>
  <c r="CX74" i="5"/>
  <c r="CX40"/>
  <c r="CX70"/>
  <c r="CX32"/>
  <c r="CW39"/>
  <c r="CX41"/>
  <c r="CX30"/>
  <c r="DN19" i="15"/>
  <c r="DT19" s="1"/>
  <c r="EE19" s="1"/>
  <c r="EK19" s="1"/>
  <c r="CQ20" i="5"/>
  <c r="CX28"/>
  <c r="CX42"/>
  <c r="CP75"/>
  <c r="DC4" s="1"/>
  <c r="DC8" s="1"/>
  <c r="FL48" i="15" l="1"/>
  <c r="EI50" i="5"/>
  <c r="EU55" i="15"/>
  <c r="DT57" i="5"/>
  <c r="ED61" i="15"/>
  <c r="DE63" i="5"/>
  <c r="EI51"/>
  <c r="FL49" i="15"/>
  <c r="EA59" i="5"/>
  <c r="FA57" i="15"/>
  <c r="EE61"/>
  <c r="DF63" i="5"/>
  <c r="EE55" i="15"/>
  <c r="EE57"/>
  <c r="CX20" i="5"/>
  <c r="DF30"/>
  <c r="DF41"/>
  <c r="DF61"/>
  <c r="DF65"/>
  <c r="DF64"/>
  <c r="DE11"/>
  <c r="DE36"/>
  <c r="DE38"/>
  <c r="DE27"/>
  <c r="DE69"/>
  <c r="DE40"/>
  <c r="DE37"/>
  <c r="DE10"/>
  <c r="DF37"/>
  <c r="DF15"/>
  <c r="DE49"/>
  <c r="DF56"/>
  <c r="DF53"/>
  <c r="EE71" i="15"/>
  <c r="EK71" s="1"/>
  <c r="DF73" i="5"/>
  <c r="DF60"/>
  <c r="GC60" i="15"/>
  <c r="EX62" i="5"/>
  <c r="DE64"/>
  <c r="DE60"/>
  <c r="DF24"/>
  <c r="DE45"/>
  <c r="DF25"/>
  <c r="DE42"/>
  <c r="DF55"/>
  <c r="DF12"/>
  <c r="DF27"/>
  <c r="DF58"/>
  <c r="DE41"/>
  <c r="DF38"/>
  <c r="DE68"/>
  <c r="DE70"/>
  <c r="DE74"/>
  <c r="ED72" i="15"/>
  <c r="EJ72" s="1"/>
  <c r="EU72" s="1"/>
  <c r="DE52" i="5"/>
  <c r="DE48"/>
  <c r="DF67"/>
  <c r="EE7" i="15"/>
  <c r="DF7" i="5"/>
  <c r="DE32"/>
  <c r="DE30"/>
  <c r="DE21"/>
  <c r="DE14"/>
  <c r="DF9"/>
  <c r="DE53"/>
  <c r="DE25"/>
  <c r="DF45"/>
  <c r="DF39"/>
  <c r="DE33"/>
  <c r="DE31"/>
  <c r="DE12"/>
  <c r="DE24"/>
  <c r="DE35"/>
  <c r="DF42"/>
  <c r="DF28"/>
  <c r="DE39"/>
  <c r="DF32"/>
  <c r="DF70"/>
  <c r="DF40"/>
  <c r="EE72" i="15"/>
  <c r="EK72" s="1"/>
  <c r="DF74" i="5"/>
  <c r="GD60" i="15"/>
  <c r="EY62" i="5"/>
  <c r="DF72"/>
  <c r="DF33"/>
  <c r="DE72"/>
  <c r="DE56"/>
  <c r="DE43"/>
  <c r="DE65"/>
  <c r="DF68"/>
  <c r="DF52"/>
  <c r="DF47"/>
  <c r="ED7" i="15"/>
  <c r="DS73"/>
  <c r="DV74" s="1"/>
  <c r="ED75" s="1"/>
  <c r="DE7" i="5"/>
  <c r="DE17"/>
  <c r="DE9"/>
  <c r="DE15"/>
  <c r="DE19"/>
  <c r="DF26"/>
  <c r="DF35"/>
  <c r="DF43"/>
  <c r="DF69"/>
  <c r="DF49"/>
  <c r="DE61"/>
  <c r="DE55"/>
  <c r="DF36"/>
  <c r="DE67"/>
  <c r="DE73"/>
  <c r="ED71" i="15"/>
  <c r="EJ71" s="1"/>
  <c r="EU71" s="1"/>
  <c r="DE71" i="5"/>
  <c r="DF10"/>
  <c r="DE47"/>
  <c r="DF22"/>
  <c r="DF19"/>
  <c r="DE34"/>
  <c r="DF14"/>
  <c r="DE18"/>
  <c r="DE26"/>
  <c r="DE20"/>
  <c r="DE22"/>
  <c r="DE28"/>
  <c r="CX71"/>
  <c r="DF18"/>
  <c r="DF31"/>
  <c r="DF48"/>
  <c r="DF21"/>
  <c r="DE58"/>
  <c r="CW75"/>
  <c r="EJ61" i="15" l="1"/>
  <c r="DL63" i="5"/>
  <c r="EA57"/>
  <c r="FA55" i="15"/>
  <c r="EP50" i="5"/>
  <c r="FR48" i="15"/>
  <c r="FL57"/>
  <c r="EI59" i="5"/>
  <c r="EP51"/>
  <c r="FR49" i="15"/>
  <c r="ED73"/>
  <c r="ED76" s="1"/>
  <c r="FB57"/>
  <c r="EK57"/>
  <c r="DU59" i="5" s="1"/>
  <c r="DT59" s="1"/>
  <c r="FB55" i="15"/>
  <c r="EK55"/>
  <c r="DU57" i="5" s="1"/>
  <c r="DM63"/>
  <c r="EK61" i="15"/>
  <c r="DU63" i="5" s="1"/>
  <c r="EJ59"/>
  <c r="FM57" i="15"/>
  <c r="FS57" s="1"/>
  <c r="EJ57" i="5"/>
  <c r="FM55" i="15"/>
  <c r="FS55" s="1"/>
  <c r="DM21" i="5"/>
  <c r="DM48"/>
  <c r="DM18"/>
  <c r="DL28"/>
  <c r="DL22"/>
  <c r="DL20"/>
  <c r="DL26"/>
  <c r="DL18"/>
  <c r="DM14"/>
  <c r="DL34"/>
  <c r="DM19"/>
  <c r="DL47"/>
  <c r="DM10"/>
  <c r="DL71"/>
  <c r="DL67"/>
  <c r="DM49"/>
  <c r="DM69"/>
  <c r="DL19"/>
  <c r="DL15"/>
  <c r="DL9"/>
  <c r="EJ8" i="15"/>
  <c r="DL17" i="5"/>
  <c r="DL65"/>
  <c r="DL72"/>
  <c r="DM33"/>
  <c r="DM40"/>
  <c r="DM32"/>
  <c r="DL39"/>
  <c r="DM28"/>
  <c r="DM42"/>
  <c r="DM39"/>
  <c r="DM45"/>
  <c r="EK8" i="15"/>
  <c r="DM9" i="5"/>
  <c r="EK7" i="15"/>
  <c r="DM7" i="5"/>
  <c r="DM67"/>
  <c r="DM58"/>
  <c r="DM55"/>
  <c r="DL42"/>
  <c r="DM25"/>
  <c r="DM24"/>
  <c r="DL60"/>
  <c r="GI60" i="15"/>
  <c r="FE62" i="5"/>
  <c r="DM60"/>
  <c r="DM73"/>
  <c r="DM53"/>
  <c r="DM56"/>
  <c r="DL49"/>
  <c r="DM37"/>
  <c r="DL10"/>
  <c r="DL37"/>
  <c r="DL40"/>
  <c r="DL27"/>
  <c r="DL38"/>
  <c r="DL36"/>
  <c r="DL11"/>
  <c r="DM64"/>
  <c r="DM65"/>
  <c r="DM30"/>
  <c r="DL58"/>
  <c r="DM31"/>
  <c r="DF71"/>
  <c r="DM22"/>
  <c r="DL73"/>
  <c r="DM36"/>
  <c r="DL55"/>
  <c r="DL61"/>
  <c r="DM43"/>
  <c r="DM35"/>
  <c r="DM26"/>
  <c r="DL7"/>
  <c r="EJ7" i="15"/>
  <c r="DM47" i="5"/>
  <c r="DM52"/>
  <c r="DM68"/>
  <c r="DL43"/>
  <c r="DL56"/>
  <c r="DM72"/>
  <c r="GJ60" i="15"/>
  <c r="FF62" i="5"/>
  <c r="DM74"/>
  <c r="DM70"/>
  <c r="DL35"/>
  <c r="DL24"/>
  <c r="DL12"/>
  <c r="DL31"/>
  <c r="DL33"/>
  <c r="DL25"/>
  <c r="DL53"/>
  <c r="DL14"/>
  <c r="DL21"/>
  <c r="DL30"/>
  <c r="DL32"/>
  <c r="DL48"/>
  <c r="DL52"/>
  <c r="DL74"/>
  <c r="DL70"/>
  <c r="DL68"/>
  <c r="DM38"/>
  <c r="DL41"/>
  <c r="DM27"/>
  <c r="DM12"/>
  <c r="DL45"/>
  <c r="DL64"/>
  <c r="DM15"/>
  <c r="DL69"/>
  <c r="DM61"/>
  <c r="DM41"/>
  <c r="DF20"/>
  <c r="DE75"/>
  <c r="DR4" s="1"/>
  <c r="DR8" s="1"/>
  <c r="EP59" l="1"/>
  <c r="FR57" i="15"/>
  <c r="EU61"/>
  <c r="EA63" i="5" s="1"/>
  <c r="DT63"/>
  <c r="GC49" i="15"/>
  <c r="EX51" i="5"/>
  <c r="EX50"/>
  <c r="GC48" i="15"/>
  <c r="EI57" i="5"/>
  <c r="FL55" i="15"/>
  <c r="EQ57" i="5"/>
  <c r="EQ59"/>
  <c r="EY59"/>
  <c r="GD57" i="15"/>
  <c r="EY57" i="5"/>
  <c r="GD55" i="15"/>
  <c r="DM20" i="5"/>
  <c r="DU61"/>
  <c r="DT69"/>
  <c r="DT64"/>
  <c r="DT45"/>
  <c r="DU27"/>
  <c r="DT41"/>
  <c r="DU38"/>
  <c r="DT68"/>
  <c r="DT70"/>
  <c r="DT74"/>
  <c r="DT52"/>
  <c r="DT48"/>
  <c r="DT53"/>
  <c r="DT33"/>
  <c r="DT31"/>
  <c r="DT12"/>
  <c r="DT24"/>
  <c r="DT35"/>
  <c r="DU70"/>
  <c r="DU74"/>
  <c r="GU60" i="15"/>
  <c r="FU62" i="5" s="1"/>
  <c r="FN62"/>
  <c r="DU72"/>
  <c r="DT56"/>
  <c r="DT43"/>
  <c r="DU68"/>
  <c r="DU52"/>
  <c r="DU47"/>
  <c r="DU26"/>
  <c r="DU35"/>
  <c r="DU43"/>
  <c r="DU30"/>
  <c r="DT11"/>
  <c r="DT36"/>
  <c r="DT38"/>
  <c r="DT27"/>
  <c r="DU7"/>
  <c r="DU9"/>
  <c r="DU45"/>
  <c r="DU39"/>
  <c r="DU42"/>
  <c r="DU28"/>
  <c r="DT39"/>
  <c r="DU40"/>
  <c r="DU33"/>
  <c r="DT72"/>
  <c r="DT65"/>
  <c r="DT15"/>
  <c r="DU69"/>
  <c r="DU49"/>
  <c r="DT67"/>
  <c r="DT71"/>
  <c r="DU10"/>
  <c r="DT47"/>
  <c r="DU19"/>
  <c r="DU14"/>
  <c r="DT18"/>
  <c r="DT26"/>
  <c r="DT20"/>
  <c r="DT22"/>
  <c r="DT28"/>
  <c r="DU48"/>
  <c r="DU21"/>
  <c r="DU41"/>
  <c r="DU15"/>
  <c r="DU12"/>
  <c r="DT32"/>
  <c r="DT30"/>
  <c r="DT21"/>
  <c r="DT14"/>
  <c r="DT25"/>
  <c r="EU7" i="15"/>
  <c r="EJ73"/>
  <c r="EM74" s="1"/>
  <c r="EU75" s="1"/>
  <c r="DT7" i="5"/>
  <c r="DT61"/>
  <c r="DT55"/>
  <c r="DU36"/>
  <c r="DT73"/>
  <c r="DU22"/>
  <c r="DM71"/>
  <c r="DU31"/>
  <c r="DT58"/>
  <c r="DU65"/>
  <c r="DU64"/>
  <c r="DT40"/>
  <c r="DT37"/>
  <c r="DT10"/>
  <c r="DU37"/>
  <c r="DT49"/>
  <c r="DU56"/>
  <c r="DU53"/>
  <c r="DU73"/>
  <c r="DU60"/>
  <c r="FM62"/>
  <c r="GT60" i="15"/>
  <c r="FT62" i="5" s="1"/>
  <c r="DT60"/>
  <c r="DU24"/>
  <c r="DU25"/>
  <c r="DT42"/>
  <c r="DU55"/>
  <c r="DU58"/>
  <c r="DU67"/>
  <c r="DU32"/>
  <c r="DT17"/>
  <c r="EU8" i="15"/>
  <c r="DT9" i="5"/>
  <c r="DT19"/>
  <c r="DT34"/>
  <c r="DU18"/>
  <c r="DL75"/>
  <c r="FE51" l="1"/>
  <c r="GI49" i="15"/>
  <c r="FR55"/>
  <c r="EP57" i="5"/>
  <c r="GI48" i="15"/>
  <c r="FE50" i="5"/>
  <c r="GC57" i="15"/>
  <c r="EX59" i="5"/>
  <c r="FF57"/>
  <c r="GJ55" i="15"/>
  <c r="GJ57"/>
  <c r="FF59" i="5"/>
  <c r="EB18"/>
  <c r="EA34"/>
  <c r="EB34"/>
  <c r="EA19"/>
  <c r="FA8" i="15"/>
  <c r="EA9" i="5"/>
  <c r="EA17"/>
  <c r="EB32"/>
  <c r="FB65" i="15"/>
  <c r="EB67" i="5"/>
  <c r="EB58"/>
  <c r="FB56" i="15"/>
  <c r="EB55" i="5"/>
  <c r="FB53" i="15"/>
  <c r="FA40"/>
  <c r="EA42" i="5"/>
  <c r="EB25"/>
  <c r="EB24"/>
  <c r="EA60"/>
  <c r="FA58" i="15"/>
  <c r="FB58"/>
  <c r="EB60" i="5"/>
  <c r="FB71" i="15"/>
  <c r="EB73" i="5"/>
  <c r="FB51" i="15"/>
  <c r="EB53" i="5"/>
  <c r="FB54" i="15"/>
  <c r="EB56" i="5"/>
  <c r="FA47" i="15"/>
  <c r="EA49" i="5"/>
  <c r="EA40"/>
  <c r="FA38" i="15"/>
  <c r="FB62"/>
  <c r="EB64" i="5"/>
  <c r="FB63" i="15"/>
  <c r="EB65" i="5"/>
  <c r="EA58"/>
  <c r="FA56" i="15"/>
  <c r="EB31" i="5"/>
  <c r="DU71"/>
  <c r="EB22"/>
  <c r="EA73"/>
  <c r="FA71" i="15"/>
  <c r="EB36" i="5"/>
  <c r="FA53" i="15"/>
  <c r="EA55" i="5"/>
  <c r="EA61"/>
  <c r="FA59" i="15"/>
  <c r="FB46"/>
  <c r="EB48" i="5"/>
  <c r="EA28"/>
  <c r="EA22"/>
  <c r="EA20"/>
  <c r="EA26"/>
  <c r="EA15"/>
  <c r="FB8" i="15"/>
  <c r="EB9" i="5"/>
  <c r="FB7" i="15"/>
  <c r="EB7" i="5"/>
  <c r="EB17"/>
  <c r="EA27"/>
  <c r="FA36" i="15"/>
  <c r="EA38" i="5"/>
  <c r="EA36"/>
  <c r="EA11"/>
  <c r="EB30"/>
  <c r="EB43"/>
  <c r="FB41" i="15"/>
  <c r="EB35" i="5"/>
  <c r="EB26"/>
  <c r="FB45" i="15"/>
  <c r="EB47" i="5"/>
  <c r="EB52"/>
  <c r="FB50" i="15"/>
  <c r="FB66"/>
  <c r="EB68" i="5"/>
  <c r="EA43"/>
  <c r="FA41" i="15"/>
  <c r="EA56" i="5"/>
  <c r="FA54" i="15"/>
  <c r="FB70"/>
  <c r="EB72" i="5"/>
  <c r="FB72" i="15"/>
  <c r="EB74" i="5"/>
  <c r="FB68" i="15"/>
  <c r="EB70" i="5"/>
  <c r="EA12"/>
  <c r="EB11"/>
  <c r="EA53"/>
  <c r="FA51" i="15"/>
  <c r="EA48" i="5"/>
  <c r="FA46" i="15"/>
  <c r="FA50"/>
  <c r="EA52" i="5"/>
  <c r="FA72" i="15"/>
  <c r="EA74" i="5"/>
  <c r="EA70"/>
  <c r="FA68" i="15"/>
  <c r="FA66"/>
  <c r="EA68" i="5"/>
  <c r="EB38"/>
  <c r="FB36" i="15"/>
  <c r="FA39"/>
  <c r="EA41" i="5"/>
  <c r="EB27"/>
  <c r="EA45"/>
  <c r="FA43" i="15"/>
  <c r="FA62"/>
  <c r="EA64" i="5"/>
  <c r="FA67" i="15"/>
  <c r="EA69" i="5"/>
  <c r="FB59" i="15"/>
  <c r="EB61" i="5"/>
  <c r="EV73" i="15"/>
  <c r="DU20" i="5"/>
  <c r="EB37"/>
  <c r="FB35" i="15"/>
  <c r="EA10" i="5"/>
  <c r="FA35" i="15"/>
  <c r="EA37" i="5"/>
  <c r="FA7" i="15"/>
  <c r="EU73"/>
  <c r="EU76" s="1"/>
  <c r="EA7" i="5"/>
  <c r="EA25"/>
  <c r="EA14"/>
  <c r="EA21"/>
  <c r="EA30"/>
  <c r="EA32"/>
  <c r="EB12"/>
  <c r="EB15"/>
  <c r="EB41"/>
  <c r="FB39" i="15"/>
  <c r="EB21" i="5"/>
  <c r="EA18"/>
  <c r="EB14"/>
  <c r="EB19"/>
  <c r="FA45" i="15"/>
  <c r="EA47" i="5"/>
  <c r="EB10"/>
  <c r="FA69" i="15"/>
  <c r="EA71" i="5"/>
  <c r="EA67"/>
  <c r="FA65" i="15"/>
  <c r="FB47"/>
  <c r="EB49" i="5"/>
  <c r="FB67" i="15"/>
  <c r="EB69" i="5"/>
  <c r="FA63" i="15"/>
  <c r="EA65" i="5"/>
  <c r="EA72"/>
  <c r="FA70" i="15"/>
  <c r="EB33" i="5"/>
  <c r="EB40"/>
  <c r="FB38" i="15"/>
  <c r="FA37"/>
  <c r="EA39" i="5"/>
  <c r="EB28"/>
  <c r="EB42"/>
  <c r="FB40" i="15"/>
  <c r="EB39" i="5"/>
  <c r="FB37" i="15"/>
  <c r="EB45" i="5"/>
  <c r="FB43" i="15"/>
  <c r="EA35" i="5"/>
  <c r="EA24"/>
  <c r="EA31"/>
  <c r="EA33"/>
  <c r="DT75"/>
  <c r="EG4" s="1"/>
  <c r="EG8" s="1"/>
  <c r="FE59" l="1"/>
  <c r="GI57" i="15"/>
  <c r="GT48"/>
  <c r="FT50" i="5" s="1"/>
  <c r="FM50"/>
  <c r="GC55" i="15"/>
  <c r="EX57" i="5"/>
  <c r="FM51"/>
  <c r="GT49" i="15"/>
  <c r="FT51" i="5" s="1"/>
  <c r="GU57" i="15"/>
  <c r="FU59" i="5" s="1"/>
  <c r="FN59"/>
  <c r="FN57"/>
  <c r="GU55" i="15"/>
  <c r="FU57" i="5" s="1"/>
  <c r="EI33"/>
  <c r="EI31"/>
  <c r="EI24"/>
  <c r="EI35"/>
  <c r="FL37" i="15"/>
  <c r="EI39" i="5"/>
  <c r="FL63" i="15"/>
  <c r="EI65" i="5"/>
  <c r="FM67" i="15"/>
  <c r="EJ69" i="5"/>
  <c r="FM47" i="15"/>
  <c r="EJ49" i="5"/>
  <c r="FL69" i="15"/>
  <c r="EI71" i="5"/>
  <c r="EJ10"/>
  <c r="FL45" i="15"/>
  <c r="EI47" i="5"/>
  <c r="EJ19"/>
  <c r="EJ14"/>
  <c r="EI18"/>
  <c r="EJ21"/>
  <c r="EJ15"/>
  <c r="EJ12"/>
  <c r="EI32"/>
  <c r="EI30"/>
  <c r="EI21"/>
  <c r="EI14"/>
  <c r="EI25"/>
  <c r="FM35" i="15"/>
  <c r="EJ37" i="5"/>
  <c r="FL43" i="15"/>
  <c r="EI45" i="5"/>
  <c r="EJ27"/>
  <c r="FM36" i="15"/>
  <c r="EJ38" i="5"/>
  <c r="FL68" i="15"/>
  <c r="EI70" i="5"/>
  <c r="FL46" i="15"/>
  <c r="EI48" i="5"/>
  <c r="FL51" i="15"/>
  <c r="EI53" i="5"/>
  <c r="FL54" i="15"/>
  <c r="EI56" i="5"/>
  <c r="FL41" i="15"/>
  <c r="EI43" i="5"/>
  <c r="FM50" i="15"/>
  <c r="EJ52" i="5"/>
  <c r="EJ26"/>
  <c r="EJ35"/>
  <c r="FM41" i="15"/>
  <c r="EJ43" i="5"/>
  <c r="EJ30"/>
  <c r="FM7" i="15"/>
  <c r="EJ7" i="5"/>
  <c r="FM8" i="15"/>
  <c r="EJ9" i="5"/>
  <c r="EI15"/>
  <c r="EI26"/>
  <c r="EI20"/>
  <c r="EI22"/>
  <c r="EI28"/>
  <c r="FM46" i="15"/>
  <c r="EJ48" i="5"/>
  <c r="FL53" i="15"/>
  <c r="EI55" i="5"/>
  <c r="FB69" i="15"/>
  <c r="EB71" i="5"/>
  <c r="EJ65"/>
  <c r="FM63" i="15"/>
  <c r="FM62"/>
  <c r="EJ64" i="5"/>
  <c r="FL47" i="15"/>
  <c r="EI49" i="5"/>
  <c r="EJ56"/>
  <c r="FM54" i="15"/>
  <c r="EJ53" i="5"/>
  <c r="FM51" i="15"/>
  <c r="EJ73" i="5"/>
  <c r="FM71" i="15"/>
  <c r="EJ60" i="5"/>
  <c r="FM58" i="15"/>
  <c r="EJ24" i="5"/>
  <c r="FL40" i="15"/>
  <c r="EI42" i="5"/>
  <c r="EJ67"/>
  <c r="FM65" i="15"/>
  <c r="EI17" i="5"/>
  <c r="EI9"/>
  <c r="FL8" i="15"/>
  <c r="EI19" i="5"/>
  <c r="EI34"/>
  <c r="EJ18"/>
  <c r="FM43" i="15"/>
  <c r="EJ45" i="5"/>
  <c r="FM37" i="15"/>
  <c r="EJ39" i="5"/>
  <c r="EJ42"/>
  <c r="FM40" i="15"/>
  <c r="EJ28" i="5"/>
  <c r="FM38" i="15"/>
  <c r="EJ40" i="5"/>
  <c r="EJ33"/>
  <c r="FL70" i="15"/>
  <c r="EI72" i="5"/>
  <c r="FL65" i="15"/>
  <c r="EI67" i="5"/>
  <c r="FM39" i="15"/>
  <c r="EJ41" i="5"/>
  <c r="EI7"/>
  <c r="FL7" i="15"/>
  <c r="FA73"/>
  <c r="FD74" s="1"/>
  <c r="FL75" s="1"/>
  <c r="FL35"/>
  <c r="EI37" i="5"/>
  <c r="EI10"/>
  <c r="EB20"/>
  <c r="FM59" i="15"/>
  <c r="EJ61" i="5"/>
  <c r="FL67" i="15"/>
  <c r="EI69" i="5"/>
  <c r="FL62" i="15"/>
  <c r="EI64" i="5"/>
  <c r="FL39" i="15"/>
  <c r="EI41" i="5"/>
  <c r="FL66" i="15"/>
  <c r="EI68" i="5"/>
  <c r="FL72" i="15"/>
  <c r="EI74" i="5"/>
  <c r="FL50" i="15"/>
  <c r="EI52" i="5"/>
  <c r="EJ11"/>
  <c r="EI12"/>
  <c r="FM68" i="15"/>
  <c r="EJ70" i="5"/>
  <c r="FM72" i="15"/>
  <c r="EJ74" i="5"/>
  <c r="FM70" i="15"/>
  <c r="EJ72" i="5"/>
  <c r="FM66" i="15"/>
  <c r="EJ68" i="5"/>
  <c r="FM45" i="15"/>
  <c r="EJ47" i="5"/>
  <c r="EI11"/>
  <c r="EI36"/>
  <c r="EI38"/>
  <c r="FL36" i="15"/>
  <c r="EI27" i="5"/>
  <c r="EJ17"/>
  <c r="FL59" i="15"/>
  <c r="EI61" i="5"/>
  <c r="EJ36"/>
  <c r="FL71" i="15"/>
  <c r="EI73" i="5"/>
  <c r="EJ22"/>
  <c r="EJ31"/>
  <c r="FL56" i="15"/>
  <c r="EI58" i="5"/>
  <c r="FL38" i="15"/>
  <c r="EI40" i="5"/>
  <c r="FL58" i="15"/>
  <c r="EI60" i="5"/>
  <c r="EJ25"/>
  <c r="FM53" i="15"/>
  <c r="EJ55" i="5"/>
  <c r="FM56" i="15"/>
  <c r="EJ58" i="5"/>
  <c r="EJ32"/>
  <c r="EJ34"/>
  <c r="EA75"/>
  <c r="GI55" i="15" l="1"/>
  <c r="FE57" i="5"/>
  <c r="GT57" i="15"/>
  <c r="FT59" i="5" s="1"/>
  <c r="FM59"/>
  <c r="EB75"/>
  <c r="FS32" i="15"/>
  <c r="EQ34" i="5"/>
  <c r="FS30" i="15"/>
  <c r="EQ32" i="5"/>
  <c r="FS56" i="15"/>
  <c r="EQ58" i="5"/>
  <c r="FS53" i="15"/>
  <c r="EQ55" i="5"/>
  <c r="EQ25"/>
  <c r="FS23" i="15"/>
  <c r="EP60" i="5"/>
  <c r="FR58" i="15"/>
  <c r="EP40" i="5"/>
  <c r="FR38" i="15"/>
  <c r="EP58" i="5"/>
  <c r="FR56" i="15"/>
  <c r="EQ22" i="5"/>
  <c r="FS21" i="15"/>
  <c r="EP73" i="5"/>
  <c r="FR71" i="15"/>
  <c r="EQ36" i="5"/>
  <c r="FS34" i="15"/>
  <c r="FR59"/>
  <c r="EP61" i="5"/>
  <c r="FS16" i="15"/>
  <c r="EQ17" i="5"/>
  <c r="EQ47"/>
  <c r="FS45" i="15"/>
  <c r="EQ68" i="5"/>
  <c r="FS66" i="15"/>
  <c r="EQ72" i="5"/>
  <c r="FS70" i="15"/>
  <c r="EQ74" i="5"/>
  <c r="FS72" i="15"/>
  <c r="EQ70" i="5"/>
  <c r="FS68" i="15"/>
  <c r="FR11"/>
  <c r="EP12" i="5"/>
  <c r="FS10" i="15"/>
  <c r="EQ11" i="5"/>
  <c r="FR50" i="15"/>
  <c r="EP52" i="5"/>
  <c r="EP74"/>
  <c r="FR72" i="15"/>
  <c r="FR66"/>
  <c r="EP68" i="5"/>
  <c r="FR39" i="15"/>
  <c r="EP41" i="5"/>
  <c r="EP64"/>
  <c r="FR62" i="15"/>
  <c r="EP69" i="5"/>
  <c r="FR67" i="15"/>
  <c r="FS59"/>
  <c r="EQ61" i="5"/>
  <c r="EJ20"/>
  <c r="FR9" i="15"/>
  <c r="EP10" i="5"/>
  <c r="FR35" i="15"/>
  <c r="EP37" i="5"/>
  <c r="FR7" i="15"/>
  <c r="EP7" i="5"/>
  <c r="FL73" i="15"/>
  <c r="FL76" s="1"/>
  <c r="EQ28" i="5"/>
  <c r="FS26" i="15"/>
  <c r="EQ42" i="5"/>
  <c r="FS40" i="15"/>
  <c r="EQ18" i="5"/>
  <c r="FS17" i="15"/>
  <c r="FR32"/>
  <c r="EP34" i="5"/>
  <c r="FR18" i="15"/>
  <c r="EP19" i="5"/>
  <c r="FR8" i="15"/>
  <c r="EP9" i="5"/>
  <c r="FR16" i="15"/>
  <c r="EP17" i="5"/>
  <c r="EQ67"/>
  <c r="FS65" i="15"/>
  <c r="EQ24" i="5"/>
  <c r="EQ60"/>
  <c r="FS58" i="15"/>
  <c r="EQ73" i="5"/>
  <c r="FS71" i="15"/>
  <c r="EQ53" i="5"/>
  <c r="FS51" i="15"/>
  <c r="EQ56" i="5"/>
  <c r="FS54" i="15"/>
  <c r="FS63"/>
  <c r="EQ65" i="5"/>
  <c r="FS7" i="15"/>
  <c r="EQ7" i="5"/>
  <c r="FS28" i="15"/>
  <c r="EQ30" i="5"/>
  <c r="FS41" i="15"/>
  <c r="EQ43" i="5"/>
  <c r="FS33" i="15"/>
  <c r="EQ35" i="5"/>
  <c r="FS24" i="15"/>
  <c r="EQ26" i="5"/>
  <c r="EQ52"/>
  <c r="FS50" i="15"/>
  <c r="EP43" i="5"/>
  <c r="FR41" i="15"/>
  <c r="EP56" i="5"/>
  <c r="FR54" i="15"/>
  <c r="EP53" i="5"/>
  <c r="FR51" i="15"/>
  <c r="FR46"/>
  <c r="EP48" i="5"/>
  <c r="EP70"/>
  <c r="FR68" i="15"/>
  <c r="FS36"/>
  <c r="EQ38" i="5"/>
  <c r="EQ27"/>
  <c r="FS25" i="15"/>
  <c r="FR43"/>
  <c r="EP45" i="5"/>
  <c r="EQ37"/>
  <c r="FS35" i="15"/>
  <c r="FS20"/>
  <c r="EQ21" i="5"/>
  <c r="FR17" i="15"/>
  <c r="EP18" i="5"/>
  <c r="FS13" i="15"/>
  <c r="EQ14" i="5"/>
  <c r="FS18" i="15"/>
  <c r="EQ19" i="5"/>
  <c r="EP47"/>
  <c r="FR45" i="15"/>
  <c r="FS9"/>
  <c r="EQ10" i="5"/>
  <c r="EP71"/>
  <c r="FR69" i="15"/>
  <c r="EQ49" i="5"/>
  <c r="FS47" i="15"/>
  <c r="EQ69" i="5"/>
  <c r="FS67" i="15"/>
  <c r="EP65" i="5"/>
  <c r="FR63" i="15"/>
  <c r="FR37"/>
  <c r="EP39" i="5"/>
  <c r="FR33" i="15"/>
  <c r="EP35" i="5"/>
  <c r="EP24"/>
  <c r="FR29" i="15"/>
  <c r="EP31" i="5"/>
  <c r="FR31" i="15"/>
  <c r="EP33" i="5"/>
  <c r="FS29" i="15"/>
  <c r="EQ31" i="5"/>
  <c r="FR25" i="15"/>
  <c r="EP27" i="5"/>
  <c r="FR36" i="15"/>
  <c r="EP38" i="5"/>
  <c r="FR34" i="15"/>
  <c r="EP36" i="5"/>
  <c r="FR10" i="15"/>
  <c r="EP11" i="5"/>
  <c r="FS39" i="15"/>
  <c r="EQ41" i="5"/>
  <c r="EP67"/>
  <c r="FR65" i="15"/>
  <c r="EP72" i="5"/>
  <c r="FR70" i="15"/>
  <c r="EQ33" i="5"/>
  <c r="FS31" i="15"/>
  <c r="EQ40" i="5"/>
  <c r="FS38" i="15"/>
  <c r="EQ39" i="5"/>
  <c r="FS37" i="15"/>
  <c r="EQ45" i="5"/>
  <c r="FS43" i="15"/>
  <c r="EP42" i="5"/>
  <c r="FR40" i="15"/>
  <c r="EP49" i="5"/>
  <c r="FR47" i="15"/>
  <c r="EQ64" i="5"/>
  <c r="FS62" i="15"/>
  <c r="EJ71" i="5"/>
  <c r="FM69" i="15"/>
  <c r="FR53"/>
  <c r="EP55" i="5"/>
  <c r="EQ48"/>
  <c r="FS46" i="15"/>
  <c r="FR26"/>
  <c r="EP28" i="5"/>
  <c r="FR21" i="15"/>
  <c r="EP22" i="5"/>
  <c r="FR19" i="15"/>
  <c r="EP20" i="5"/>
  <c r="FR24" i="15"/>
  <c r="EP26" i="5"/>
  <c r="FR14" i="15"/>
  <c r="EP15" i="5"/>
  <c r="FS8" i="15"/>
  <c r="EQ9" i="5"/>
  <c r="FR23" i="15"/>
  <c r="EP25" i="5"/>
  <c r="FR13" i="15"/>
  <c r="EP14" i="5"/>
  <c r="FR20" i="15"/>
  <c r="EP21" i="5"/>
  <c r="FR28" i="15"/>
  <c r="EP30" i="5"/>
  <c r="FR30" i="15"/>
  <c r="EP32" i="5"/>
  <c r="FS11" i="15"/>
  <c r="EQ12" i="5"/>
  <c r="FS14" i="15"/>
  <c r="EQ15" i="5"/>
  <c r="FB73" i="15"/>
  <c r="FE74" s="1"/>
  <c r="FM75" s="1"/>
  <c r="EI75" i="5"/>
  <c r="EV4" s="1"/>
  <c r="EV8" s="1"/>
  <c r="EJ75" l="1"/>
  <c r="EW4" s="1"/>
  <c r="EW8" s="1"/>
  <c r="FM57"/>
  <c r="GT55" i="15"/>
  <c r="FT57" i="5" s="1"/>
  <c r="GD14" i="15"/>
  <c r="EY15" i="5"/>
  <c r="EY12"/>
  <c r="GD11" i="15"/>
  <c r="GC30"/>
  <c r="EX32" i="5"/>
  <c r="GC28" i="15"/>
  <c r="EX30" i="5"/>
  <c r="GC20" i="15"/>
  <c r="EX21" i="5"/>
  <c r="GC13" i="15"/>
  <c r="EX14" i="5"/>
  <c r="GC23" i="15"/>
  <c r="EX25" i="5"/>
  <c r="GD8" i="15"/>
  <c r="EY9" i="5"/>
  <c r="EX15"/>
  <c r="GC14" i="15"/>
  <c r="EX26" i="5"/>
  <c r="GC24" i="15"/>
  <c r="EX20" i="5"/>
  <c r="GC19" i="15"/>
  <c r="EX22" i="5"/>
  <c r="GC21" i="15"/>
  <c r="EX28" i="5"/>
  <c r="GC26" i="15"/>
  <c r="GC53"/>
  <c r="EX55" i="5"/>
  <c r="GD39" i="15"/>
  <c r="EY41" i="5"/>
  <c r="GC10" i="15"/>
  <c r="EX11" i="5"/>
  <c r="GC34" i="15"/>
  <c r="EX36" i="5"/>
  <c r="GC36" i="15"/>
  <c r="EX38" i="5"/>
  <c r="GC25" i="15"/>
  <c r="EX27" i="5"/>
  <c r="EY31"/>
  <c r="GD29" i="15"/>
  <c r="GC31"/>
  <c r="EX33" i="5"/>
  <c r="EX31"/>
  <c r="GC29" i="15"/>
  <c r="EX24" i="5"/>
  <c r="GC33" i="15"/>
  <c r="EX35" i="5"/>
  <c r="GC37" i="15"/>
  <c r="EX39" i="5"/>
  <c r="GD9" i="15"/>
  <c r="EY10" i="5"/>
  <c r="EY19"/>
  <c r="GD18" i="15"/>
  <c r="GD13"/>
  <c r="EY14" i="5"/>
  <c r="EX18"/>
  <c r="GC17" i="15"/>
  <c r="GD20"/>
  <c r="EY21" i="5"/>
  <c r="GC43" i="15"/>
  <c r="EX45" i="5"/>
  <c r="GD36" i="15"/>
  <c r="EY38" i="5"/>
  <c r="GC46" i="15"/>
  <c r="EX48" i="5"/>
  <c r="GD24" i="15"/>
  <c r="EY26" i="5"/>
  <c r="GD33" i="15"/>
  <c r="EY35" i="5"/>
  <c r="GD41" i="15"/>
  <c r="EY43" i="5"/>
  <c r="EY30"/>
  <c r="GD28" i="15"/>
  <c r="EY56" i="5"/>
  <c r="GD54" i="15"/>
  <c r="EY53" i="5"/>
  <c r="GD51" i="15"/>
  <c r="EY73" i="5"/>
  <c r="GD71" i="15"/>
  <c r="EY60" i="5"/>
  <c r="GD58" i="15"/>
  <c r="EY24" i="5"/>
  <c r="GD65" i="15"/>
  <c r="EY67" i="5"/>
  <c r="EY18"/>
  <c r="GD17" i="15"/>
  <c r="EY42" i="5"/>
  <c r="GD40" i="15"/>
  <c r="EY28" i="5"/>
  <c r="GD26" i="15"/>
  <c r="GC7"/>
  <c r="FR73"/>
  <c r="FU74" s="1"/>
  <c r="GC75" s="1"/>
  <c r="EX7" i="5"/>
  <c r="GC35" i="15"/>
  <c r="EX37" i="5"/>
  <c r="EX10"/>
  <c r="GC9" i="15"/>
  <c r="EQ20" i="5"/>
  <c r="FS19" i="15"/>
  <c r="GD59"/>
  <c r="EY61" i="5"/>
  <c r="GC39" i="15"/>
  <c r="EX41" i="5"/>
  <c r="GC66" i="15"/>
  <c r="EX68" i="5"/>
  <c r="GC50" i="15"/>
  <c r="EX52" i="5"/>
  <c r="GD10" i="15"/>
  <c r="EY11" i="5"/>
  <c r="EX12"/>
  <c r="GC11" i="15"/>
  <c r="GD16"/>
  <c r="EY17" i="5"/>
  <c r="GC59" i="15"/>
  <c r="EX61" i="5"/>
  <c r="EY55"/>
  <c r="GD53" i="15"/>
  <c r="EY58" i="5"/>
  <c r="GD56" i="15"/>
  <c r="GD30"/>
  <c r="EY32" i="5"/>
  <c r="EY34"/>
  <c r="GD32" i="15"/>
  <c r="EY48" i="5"/>
  <c r="GD46" i="15"/>
  <c r="EQ71" i="5"/>
  <c r="FS69" i="15"/>
  <c r="GD62"/>
  <c r="EY64" i="5"/>
  <c r="GC47" i="15"/>
  <c r="EX49" i="5"/>
  <c r="GC40" i="15"/>
  <c r="EX42" i="5"/>
  <c r="EY45"/>
  <c r="GD43" i="15"/>
  <c r="EY39" i="5"/>
  <c r="GD37" i="15"/>
  <c r="GD38"/>
  <c r="EY40" i="5"/>
  <c r="EY33"/>
  <c r="GD31" i="15"/>
  <c r="GC70"/>
  <c r="EX72" i="5"/>
  <c r="GC65" i="15"/>
  <c r="EX67" i="5"/>
  <c r="GC63" i="15"/>
  <c r="EX65" i="5"/>
  <c r="GD67" i="15"/>
  <c r="EY69" i="5"/>
  <c r="GD47" i="15"/>
  <c r="EY49" i="5"/>
  <c r="GC69" i="15"/>
  <c r="EX71" i="5"/>
  <c r="GC45" i="15"/>
  <c r="EX47" i="5"/>
  <c r="EY37"/>
  <c r="GD35" i="15"/>
  <c r="GD25"/>
  <c r="EY27" i="5"/>
  <c r="GC68" i="15"/>
  <c r="EX70" i="5"/>
  <c r="GC51" i="15"/>
  <c r="EX53" i="5"/>
  <c r="GC54" i="15"/>
  <c r="EX56" i="5"/>
  <c r="GC41" i="15"/>
  <c r="EX43" i="5"/>
  <c r="GD50" i="15"/>
  <c r="EY52" i="5"/>
  <c r="GD7" i="15"/>
  <c r="EY7" i="5"/>
  <c r="EY65"/>
  <c r="GD63" i="15"/>
  <c r="GC16"/>
  <c r="EX17" i="5"/>
  <c r="GC8" i="15"/>
  <c r="EX9" i="5"/>
  <c r="GC18" i="15"/>
  <c r="EX19" i="5"/>
  <c r="GC32" i="15"/>
  <c r="EX34" i="5"/>
  <c r="GC67" i="15"/>
  <c r="EX69" i="5"/>
  <c r="GC62" i="15"/>
  <c r="EX64" i="5"/>
  <c r="GC72" i="15"/>
  <c r="EX74" i="5"/>
  <c r="GD68" i="15"/>
  <c r="EY70" i="5"/>
  <c r="GD72" i="15"/>
  <c r="EY74" i="5"/>
  <c r="GD70" i="15"/>
  <c r="EY72" i="5"/>
  <c r="GD66" i="15"/>
  <c r="EY68" i="5"/>
  <c r="GD45" i="15"/>
  <c r="EY47" i="5"/>
  <c r="GD34" i="15"/>
  <c r="EY36" i="5"/>
  <c r="GC71" i="15"/>
  <c r="EX73" i="5"/>
  <c r="EY22"/>
  <c r="GD21" i="15"/>
  <c r="GC56"/>
  <c r="EX58" i="5"/>
  <c r="GC38" i="15"/>
  <c r="EX40" i="5"/>
  <c r="GC58" i="15"/>
  <c r="EX60" i="5"/>
  <c r="GD23" i="15"/>
  <c r="EY25" i="5"/>
  <c r="EQ75"/>
  <c r="FM73" i="15"/>
  <c r="FM76" s="1"/>
  <c r="EP75" i="5"/>
  <c r="EJ76" l="1"/>
  <c r="GJ23" i="15"/>
  <c r="FF25" i="5"/>
  <c r="FE60"/>
  <c r="GI58" i="15"/>
  <c r="GI38"/>
  <c r="FE40" i="5"/>
  <c r="FE58"/>
  <c r="GI56" i="15"/>
  <c r="FE73" i="5"/>
  <c r="GI71" i="15"/>
  <c r="GJ34"/>
  <c r="FF36" i="5"/>
  <c r="FF47"/>
  <c r="GJ45" i="15"/>
  <c r="FF68" i="5"/>
  <c r="GJ66" i="15"/>
  <c r="GJ70"/>
  <c r="FF72" i="5"/>
  <c r="GJ72" i="15"/>
  <c r="FF74" i="5"/>
  <c r="GJ68" i="15"/>
  <c r="FF70" i="5"/>
  <c r="GI72" i="15"/>
  <c r="FE74" i="5"/>
  <c r="FE64"/>
  <c r="GI62" i="15"/>
  <c r="FE69" i="5"/>
  <c r="GI67" i="15"/>
  <c r="GI32"/>
  <c r="FE34" i="5"/>
  <c r="GI18" i="15"/>
  <c r="FE19" i="5"/>
  <c r="GI8" i="15"/>
  <c r="FE9" i="5"/>
  <c r="GI16" i="15"/>
  <c r="FE17" i="5"/>
  <c r="FF37"/>
  <c r="GJ35" i="15"/>
  <c r="FF33" i="5"/>
  <c r="GJ31" i="15"/>
  <c r="GJ37"/>
  <c r="FF39" i="5"/>
  <c r="GJ43" i="15"/>
  <c r="FF45" i="5"/>
  <c r="EY71"/>
  <c r="GD69" i="15"/>
  <c r="FF48" i="5"/>
  <c r="GJ46" i="15"/>
  <c r="FF34" i="5"/>
  <c r="GJ32" i="15"/>
  <c r="GJ56"/>
  <c r="FF58" i="5"/>
  <c r="FF55"/>
  <c r="GJ53" i="15"/>
  <c r="GI11"/>
  <c r="FE12" i="5"/>
  <c r="GD19" i="15"/>
  <c r="EY20" i="5"/>
  <c r="GI9" i="15"/>
  <c r="FE10" i="5"/>
  <c r="GI7" i="15"/>
  <c r="FE7" i="5"/>
  <c r="GC73" i="15"/>
  <c r="GC76" s="1"/>
  <c r="GJ65"/>
  <c r="FF67" i="5"/>
  <c r="FF24"/>
  <c r="GJ41" i="15"/>
  <c r="FF43" i="5"/>
  <c r="FF35"/>
  <c r="GJ33" i="15"/>
  <c r="FF26" i="5"/>
  <c r="GJ24" i="15"/>
  <c r="FE48" i="5"/>
  <c r="GI46" i="15"/>
  <c r="FF38" i="5"/>
  <c r="GJ36" i="15"/>
  <c r="FE45" i="5"/>
  <c r="GI43" i="15"/>
  <c r="GJ20"/>
  <c r="FF21" i="5"/>
  <c r="GJ13" i="15"/>
  <c r="FF14" i="5"/>
  <c r="GJ9" i="15"/>
  <c r="FF10" i="5"/>
  <c r="FE39"/>
  <c r="GI37" i="15"/>
  <c r="GI33"/>
  <c r="FE35" i="5"/>
  <c r="GI31" i="15"/>
  <c r="FE33" i="5"/>
  <c r="GI25" i="15"/>
  <c r="FE27" i="5"/>
  <c r="GI36" i="15"/>
  <c r="FE38" i="5"/>
  <c r="GI34" i="15"/>
  <c r="FE36" i="5"/>
  <c r="GI10" i="15"/>
  <c r="FE11" i="5"/>
  <c r="GJ39" i="15"/>
  <c r="FF41" i="5"/>
  <c r="FE55"/>
  <c r="GI53" i="15"/>
  <c r="GJ8"/>
  <c r="FF9" i="5"/>
  <c r="GI23" i="15"/>
  <c r="FE25" i="5"/>
  <c r="GI13" i="15"/>
  <c r="FE14" i="5"/>
  <c r="GI20" i="15"/>
  <c r="FE21" i="5"/>
  <c r="GI28" i="15"/>
  <c r="FE30" i="5"/>
  <c r="GI30" i="15"/>
  <c r="FE32" i="5"/>
  <c r="FF15"/>
  <c r="GJ14" i="15"/>
  <c r="FF22" i="5"/>
  <c r="GJ21" i="15"/>
  <c r="FF65" i="5"/>
  <c r="GJ63" i="15"/>
  <c r="GJ7"/>
  <c r="FF7" i="5"/>
  <c r="GJ50" i="15"/>
  <c r="FF52" i="5"/>
  <c r="GI41" i="15"/>
  <c r="FE43" i="5"/>
  <c r="FE56"/>
  <c r="GI54" i="15"/>
  <c r="GI51"/>
  <c r="FE53" i="5"/>
  <c r="GI68" i="15"/>
  <c r="FE70" i="5"/>
  <c r="GJ25" i="15"/>
  <c r="FF27" i="5"/>
  <c r="FE47"/>
  <c r="GI45" i="15"/>
  <c r="FE71" i="5"/>
  <c r="GI69" i="15"/>
  <c r="GJ47"/>
  <c r="FF49" i="5"/>
  <c r="FF69"/>
  <c r="GJ67" i="15"/>
  <c r="FE65" i="5"/>
  <c r="GI63" i="15"/>
  <c r="FE67" i="5"/>
  <c r="GI65" i="15"/>
  <c r="GI70"/>
  <c r="FE72" i="5"/>
  <c r="GJ38" i="15"/>
  <c r="FF40" i="5"/>
  <c r="FE42"/>
  <c r="GI40" i="15"/>
  <c r="FE49" i="5"/>
  <c r="GI47" i="15"/>
  <c r="FF64" i="5"/>
  <c r="GJ62" i="15"/>
  <c r="GJ30"/>
  <c r="FF32" i="5"/>
  <c r="FE61"/>
  <c r="GI59" i="15"/>
  <c r="FF17" i="5"/>
  <c r="GJ16" i="15"/>
  <c r="GJ10"/>
  <c r="FF11" i="5"/>
  <c r="FE52"/>
  <c r="GI50" i="15"/>
  <c r="GI66"/>
  <c r="FE68" i="5"/>
  <c r="FE41"/>
  <c r="GI39" i="15"/>
  <c r="GJ59"/>
  <c r="FF61" i="5"/>
  <c r="GI35" i="15"/>
  <c r="FE37" i="5"/>
  <c r="GJ26" i="15"/>
  <c r="FF28" i="5"/>
  <c r="GJ40" i="15"/>
  <c r="FF42" i="5"/>
  <c r="GJ17" i="15"/>
  <c r="FF18" i="5"/>
  <c r="GJ58" i="15"/>
  <c r="FF60" i="5"/>
  <c r="FF73"/>
  <c r="GJ71" i="15"/>
  <c r="GJ51"/>
  <c r="FF53" i="5"/>
  <c r="GJ54" i="15"/>
  <c r="FF56" i="5"/>
  <c r="FF30"/>
  <c r="GJ28" i="15"/>
  <c r="GI17"/>
  <c r="FE18" i="5"/>
  <c r="GJ18" i="15"/>
  <c r="FF19" i="5"/>
  <c r="FE24"/>
  <c r="GI29" i="15"/>
  <c r="FE31" i="5"/>
  <c r="GJ29" i="15"/>
  <c r="FF31" i="5"/>
  <c r="GI26" i="15"/>
  <c r="FE28" i="5"/>
  <c r="GI21" i="15"/>
  <c r="FE22" i="5"/>
  <c r="GI19" i="15"/>
  <c r="FE20" i="5"/>
  <c r="GI24" i="15"/>
  <c r="FE26" i="5"/>
  <c r="GI14" i="15"/>
  <c r="FE15" i="5"/>
  <c r="GJ11" i="15"/>
  <c r="FF12" i="5"/>
  <c r="EX75"/>
  <c r="FK4" s="1"/>
  <c r="FK8" s="1"/>
  <c r="FS73" i="15"/>
  <c r="FV74" s="1"/>
  <c r="GD75" s="1"/>
  <c r="EY75" i="5" l="1"/>
  <c r="EY76" s="1"/>
  <c r="FN12"/>
  <c r="GU11" i="15"/>
  <c r="FU12" i="5" s="1"/>
  <c r="FM15"/>
  <c r="GT14" i="15"/>
  <c r="FT15" i="5" s="1"/>
  <c r="FM26"/>
  <c r="GT24" i="15"/>
  <c r="FT26" i="5" s="1"/>
  <c r="FM20"/>
  <c r="GT19" i="15"/>
  <c r="FT20" i="5" s="1"/>
  <c r="FM22"/>
  <c r="GT21" i="15"/>
  <c r="FT22" i="5" s="1"/>
  <c r="FM28"/>
  <c r="GT26" i="15"/>
  <c r="FT28" i="5" s="1"/>
  <c r="FN31"/>
  <c r="GU29" i="15"/>
  <c r="FU31" i="5" s="1"/>
  <c r="FM31"/>
  <c r="GT29" i="15"/>
  <c r="FT31" i="5" s="1"/>
  <c r="FM24"/>
  <c r="FT24"/>
  <c r="FN19"/>
  <c r="GU18" i="15"/>
  <c r="FU19" i="5" s="1"/>
  <c r="FM18"/>
  <c r="GT17" i="15"/>
  <c r="FT18" i="5" s="1"/>
  <c r="GU54" i="15"/>
  <c r="FU56" i="5" s="1"/>
  <c r="FN56"/>
  <c r="GU51" i="15"/>
  <c r="FU53" i="5" s="1"/>
  <c r="FN53"/>
  <c r="GU58" i="15"/>
  <c r="FU60" i="5" s="1"/>
  <c r="FN60"/>
  <c r="FN18"/>
  <c r="GU17" i="15"/>
  <c r="FU18" i="5" s="1"/>
  <c r="GU40" i="15"/>
  <c r="FU42" i="5" s="1"/>
  <c r="FN42"/>
  <c r="GU26" i="15"/>
  <c r="FU28" i="5" s="1"/>
  <c r="FN28"/>
  <c r="FM37"/>
  <c r="GT35" i="15"/>
  <c r="FT37" i="5" s="1"/>
  <c r="GU59" i="15"/>
  <c r="FU61" i="5" s="1"/>
  <c r="FN61"/>
  <c r="FM68"/>
  <c r="GT66" i="15"/>
  <c r="FT68" i="5" s="1"/>
  <c r="FN11"/>
  <c r="GU10" i="15"/>
  <c r="FU11" i="5" s="1"/>
  <c r="GU30" i="15"/>
  <c r="FU32" i="5" s="1"/>
  <c r="FN32"/>
  <c r="GU38" i="15"/>
  <c r="FU40" i="5" s="1"/>
  <c r="FN40"/>
  <c r="FM72"/>
  <c r="GT70" i="15"/>
  <c r="FT72" i="5" s="1"/>
  <c r="FN49"/>
  <c r="GU47" i="15"/>
  <c r="FU49" i="5" s="1"/>
  <c r="GU25" i="15"/>
  <c r="FU27" i="5" s="1"/>
  <c r="FN27"/>
  <c r="FM70"/>
  <c r="GT68" i="15"/>
  <c r="FT70" i="5" s="1"/>
  <c r="FM53"/>
  <c r="GT51" i="15"/>
  <c r="FT53" i="5" s="1"/>
  <c r="FM43"/>
  <c r="GT41" i="15"/>
  <c r="FT43" i="5" s="1"/>
  <c r="FN52"/>
  <c r="GU50" i="15"/>
  <c r="FU52" i="5" s="1"/>
  <c r="FN65"/>
  <c r="GU63" i="15"/>
  <c r="FU65" i="5" s="1"/>
  <c r="GU21" i="15"/>
  <c r="FU22" i="5" s="1"/>
  <c r="FN22"/>
  <c r="GU14" i="15"/>
  <c r="FU15" i="5" s="1"/>
  <c r="FN15"/>
  <c r="FM55"/>
  <c r="GT53" i="15"/>
  <c r="FT55" i="5" s="1"/>
  <c r="FM39"/>
  <c r="GT37" i="15"/>
  <c r="FT39" i="5" s="1"/>
  <c r="FM45"/>
  <c r="GT43" i="15"/>
  <c r="FT45" i="5" s="1"/>
  <c r="FN38"/>
  <c r="GU36" i="15"/>
  <c r="FU38" i="5" s="1"/>
  <c r="FM48"/>
  <c r="GT46" i="15"/>
  <c r="FT48" i="5" s="1"/>
  <c r="FN26"/>
  <c r="GU24" i="15"/>
  <c r="FU26" i="5" s="1"/>
  <c r="FN35"/>
  <c r="GU33" i="15"/>
  <c r="FU35" i="5" s="1"/>
  <c r="GT7" i="15"/>
  <c r="FM7" i="5"/>
  <c r="GI73" i="15"/>
  <c r="GL74" s="1"/>
  <c r="GT75" s="1"/>
  <c r="FM10" i="5"/>
  <c r="GT9" i="15"/>
  <c r="FT10" i="5" s="1"/>
  <c r="FF20"/>
  <c r="GJ19" i="15"/>
  <c r="FM12" i="5"/>
  <c r="GT11" i="15"/>
  <c r="FT12" i="5" s="1"/>
  <c r="GU56" i="15"/>
  <c r="FU58" i="5" s="1"/>
  <c r="FN58"/>
  <c r="GU43" i="15"/>
  <c r="FU45" i="5" s="1"/>
  <c r="FN45"/>
  <c r="GU37" i="15"/>
  <c r="FU39" i="5" s="1"/>
  <c r="FN39"/>
  <c r="GT16" i="15"/>
  <c r="FT17" i="5" s="1"/>
  <c r="FM17"/>
  <c r="GT8" i="15"/>
  <c r="FT9" i="5" s="1"/>
  <c r="FM9"/>
  <c r="FM19"/>
  <c r="GT18" i="15"/>
  <c r="FT19" i="5" s="1"/>
  <c r="FM34"/>
  <c r="GT32" i="15"/>
  <c r="FT34" i="5" s="1"/>
  <c r="FM74"/>
  <c r="GT72" i="15"/>
  <c r="FT74" i="5" s="1"/>
  <c r="GU68" i="15"/>
  <c r="FU70" i="5" s="1"/>
  <c r="FN70"/>
  <c r="GU72" i="15"/>
  <c r="FU74" i="5" s="1"/>
  <c r="FN74"/>
  <c r="GU70" i="15"/>
  <c r="FU72" i="5" s="1"/>
  <c r="FN72"/>
  <c r="GU34" i="15"/>
  <c r="FU36" i="5" s="1"/>
  <c r="FN36"/>
  <c r="FM40"/>
  <c r="GT38" i="15"/>
  <c r="FT40" i="5" s="1"/>
  <c r="GU23" i="15"/>
  <c r="FU25" i="5" s="1"/>
  <c r="FN25"/>
  <c r="FN30"/>
  <c r="GU28" i="15"/>
  <c r="FU30" i="5" s="1"/>
  <c r="GU71" i="15"/>
  <c r="FU73" i="5" s="1"/>
  <c r="FN73"/>
  <c r="FM41"/>
  <c r="GT39" i="15"/>
  <c r="FT41" i="5" s="1"/>
  <c r="FM52"/>
  <c r="GT50" i="15"/>
  <c r="FT52" i="5" s="1"/>
  <c r="FN17"/>
  <c r="GU16" i="15"/>
  <c r="FU17" i="5" s="1"/>
  <c r="FM61"/>
  <c r="GT59" i="15"/>
  <c r="FT61" i="5" s="1"/>
  <c r="FN64"/>
  <c r="GU62" i="15"/>
  <c r="FU64" i="5" s="1"/>
  <c r="FM49"/>
  <c r="GT47" i="15"/>
  <c r="FT49" i="5" s="1"/>
  <c r="FM42"/>
  <c r="GT40" i="15"/>
  <c r="FT42" i="5" s="1"/>
  <c r="FM67"/>
  <c r="GT65" i="15"/>
  <c r="FT67" i="5" s="1"/>
  <c r="FM65"/>
  <c r="GT63" i="15"/>
  <c r="FT65" i="5" s="1"/>
  <c r="FN69"/>
  <c r="GU67" i="15"/>
  <c r="FU69" i="5" s="1"/>
  <c r="FM71"/>
  <c r="GT69" i="15"/>
  <c r="FT71" i="5" s="1"/>
  <c r="FM47"/>
  <c r="GT45" i="15"/>
  <c r="FT47" i="5" s="1"/>
  <c r="FM56"/>
  <c r="GT54" i="15"/>
  <c r="FT56" i="5" s="1"/>
  <c r="FN7"/>
  <c r="GU7" i="15"/>
  <c r="GT30"/>
  <c r="FT32" i="5" s="1"/>
  <c r="FM32"/>
  <c r="GT28" i="15"/>
  <c r="FT30" i="5" s="1"/>
  <c r="FM30"/>
  <c r="GT20" i="15"/>
  <c r="FT21" i="5" s="1"/>
  <c r="FM21"/>
  <c r="FM14"/>
  <c r="GT13" i="15"/>
  <c r="FT14" i="5" s="1"/>
  <c r="GT23" i="15"/>
  <c r="FT25" i="5" s="1"/>
  <c r="FM25"/>
  <c r="GU8" i="15"/>
  <c r="FU9" i="5" s="1"/>
  <c r="FN9"/>
  <c r="FN41"/>
  <c r="GU39" i="15"/>
  <c r="FU41" i="5" s="1"/>
  <c r="FM11"/>
  <c r="GT10" i="15"/>
  <c r="FT11" i="5" s="1"/>
  <c r="GT34" i="15"/>
  <c r="FT36" i="5" s="1"/>
  <c r="FM36"/>
  <c r="GT36" i="15"/>
  <c r="FT38" i="5" s="1"/>
  <c r="FM38"/>
  <c r="FM27"/>
  <c r="GT25" i="15"/>
  <c r="FT27" i="5" s="1"/>
  <c r="FM33"/>
  <c r="GT31" i="15"/>
  <c r="FT33" i="5" s="1"/>
  <c r="FM35"/>
  <c r="GT33" i="15"/>
  <c r="FT35" i="5" s="1"/>
  <c r="FN10"/>
  <c r="GU9" i="15"/>
  <c r="FU10" i="5" s="1"/>
  <c r="FN14"/>
  <c r="GU13" i="15"/>
  <c r="FU14" i="5" s="1"/>
  <c r="GU20" i="15"/>
  <c r="FU21" i="5" s="1"/>
  <c r="FN21"/>
  <c r="GU41" i="15"/>
  <c r="FU43" i="5" s="1"/>
  <c r="FN43"/>
  <c r="FN24"/>
  <c r="FU24"/>
  <c r="GU65" i="15"/>
  <c r="FU67" i="5" s="1"/>
  <c r="FN67"/>
  <c r="FN55"/>
  <c r="GU53" i="15"/>
  <c r="FU55" i="5" s="1"/>
  <c r="FN34"/>
  <c r="GU32" i="15"/>
  <c r="FU34" i="5" s="1"/>
  <c r="GU46" i="15"/>
  <c r="FU48" i="5" s="1"/>
  <c r="FN48"/>
  <c r="FF71"/>
  <c r="FF75" s="1"/>
  <c r="GJ69" i="15"/>
  <c r="GU31"/>
  <c r="FU33" i="5" s="1"/>
  <c r="FN33"/>
  <c r="GU35" i="15"/>
  <c r="FU37" i="5" s="1"/>
  <c r="FN37"/>
  <c r="FM69"/>
  <c r="GT67" i="15"/>
  <c r="FT69" i="5" s="1"/>
  <c r="FM64"/>
  <c r="GT62" i="15"/>
  <c r="FT64" i="5" s="1"/>
  <c r="GU66" i="15"/>
  <c r="FU68" i="5" s="1"/>
  <c r="FN68"/>
  <c r="FN47"/>
  <c r="GU45" i="15"/>
  <c r="FU47" i="5" s="1"/>
  <c r="FM73"/>
  <c r="GT71" i="15"/>
  <c r="FT73" i="5" s="1"/>
  <c r="FM58"/>
  <c r="GT56" i="15"/>
  <c r="FT58" i="5" s="1"/>
  <c r="FM60"/>
  <c r="GT58" i="15"/>
  <c r="FT60" i="5" s="1"/>
  <c r="GD73" i="15"/>
  <c r="GD76" s="1"/>
  <c r="FE75" i="5"/>
  <c r="FL4" l="1"/>
  <c r="FL8" s="1"/>
  <c r="FU7"/>
  <c r="GU19" i="15"/>
  <c r="FU20" i="5" s="1"/>
  <c r="FN20"/>
  <c r="GT73" i="15"/>
  <c r="GT76" s="1"/>
  <c r="FT7" i="5"/>
  <c r="FT75" s="1"/>
  <c r="GU69" i="15"/>
  <c r="FU71" i="5" s="1"/>
  <c r="FN71"/>
  <c r="GJ73" i="15"/>
  <c r="GM74" s="1"/>
  <c r="GU75" s="1"/>
  <c r="FM75" i="5"/>
  <c r="FZ4" s="1"/>
  <c r="FZ8" s="1"/>
  <c r="FN75" l="1"/>
  <c r="FN76" s="1"/>
  <c r="FU75"/>
  <c r="GU73" i="15"/>
  <c r="GU76" s="1"/>
  <c r="GA4" i="5" l="1"/>
  <c r="GA8" s="1"/>
  <c r="L28" i="10" l="1"/>
  <c r="N28" s="1"/>
  <c r="L33"/>
  <c r="N33" s="1"/>
  <c r="L67"/>
  <c r="N67" s="1"/>
  <c r="V144"/>
  <c r="V870" s="1"/>
  <c r="V1376" s="1"/>
  <c r="K144"/>
  <c r="K870" s="1"/>
  <c r="K1376" s="1"/>
  <c r="W28" l="1"/>
  <c r="F10" i="15"/>
  <c r="L144" i="10"/>
  <c r="L870" s="1"/>
  <c r="L1376" s="1"/>
  <c r="K1377" s="1"/>
  <c r="F16" i="15"/>
  <c r="W33" i="10"/>
  <c r="N144"/>
  <c r="F32" i="15"/>
  <c r="W67" i="10"/>
  <c r="K145"/>
  <c r="N145" l="1"/>
  <c r="N147" s="1"/>
  <c r="Q10" i="15"/>
  <c r="E11" i="5"/>
  <c r="K6" i="31"/>
  <c r="K7" s="1"/>
  <c r="N25" s="1"/>
  <c r="N870" i="10"/>
  <c r="N1376" s="1"/>
  <c r="N1377" s="1"/>
  <c r="N1380" s="1"/>
  <c r="E104" i="31"/>
  <c r="E17" i="5"/>
  <c r="F73" i="15"/>
  <c r="I74" s="1"/>
  <c r="Q75" s="1"/>
  <c r="Q16"/>
  <c r="Q32"/>
  <c r="E34" i="5"/>
  <c r="W144" i="10"/>
  <c r="L11" i="5" l="1"/>
  <c r="V10" i="15"/>
  <c r="E75" i="5"/>
  <c r="R4" s="1"/>
  <c r="R8" s="1"/>
  <c r="W145" i="10"/>
  <c r="L33" i="31" s="1"/>
  <c r="V16" i="15"/>
  <c r="L17" i="5"/>
  <c r="Q73" i="15"/>
  <c r="Q76" s="1"/>
  <c r="V32"/>
  <c r="L34" i="5"/>
  <c r="AG10" i="15" l="1"/>
  <c r="T11" i="5"/>
  <c r="T17"/>
  <c r="AG16" i="15"/>
  <c r="V73"/>
  <c r="Y74" s="1"/>
  <c r="AG32"/>
  <c r="T34" i="5"/>
  <c r="L75"/>
  <c r="AM10" i="15" l="1"/>
  <c r="AA11" i="5"/>
  <c r="AM32" i="15"/>
  <c r="AA34" i="5"/>
  <c r="AG75" i="15"/>
  <c r="T75" i="5"/>
  <c r="AG4" s="1"/>
  <c r="AG8" s="1"/>
  <c r="AM16" i="15"/>
  <c r="AA17" i="5"/>
  <c r="AG73" i="15"/>
  <c r="AG76" l="1"/>
  <c r="AX10"/>
  <c r="AI11" i="5"/>
  <c r="AA75"/>
  <c r="AA76" s="1"/>
  <c r="AI17"/>
  <c r="AX16" i="15"/>
  <c r="AM73"/>
  <c r="AP74" s="1"/>
  <c r="AX32"/>
  <c r="AI34" i="5"/>
  <c r="T76"/>
  <c r="BD10" i="15" l="1"/>
  <c r="AP11" i="5"/>
  <c r="BD32" i="15"/>
  <c r="AP34" i="5"/>
  <c r="AX75" i="15"/>
  <c r="AI75" i="5"/>
  <c r="AV4" s="1"/>
  <c r="AV8" s="1"/>
  <c r="BD16" i="15"/>
  <c r="AP17" i="5"/>
  <c r="AX73" i="15"/>
  <c r="AX76" l="1"/>
  <c r="BO10"/>
  <c r="AX11" i="5"/>
  <c r="AI76"/>
  <c r="AP75"/>
  <c r="BO16" i="15"/>
  <c r="AX17" i="5"/>
  <c r="BD73" i="15"/>
  <c r="BG74" s="1"/>
  <c r="AX34" i="5"/>
  <c r="BO32" i="15"/>
  <c r="BU10" l="1"/>
  <c r="BE11" i="5"/>
  <c r="BU32" i="15"/>
  <c r="BE34" i="5"/>
  <c r="BO75" i="15"/>
  <c r="BU16"/>
  <c r="BE17" i="5"/>
  <c r="BO73" i="15"/>
  <c r="AX75" i="5"/>
  <c r="BK4" s="1"/>
  <c r="BK8" s="1"/>
  <c r="BM11" l="1"/>
  <c r="CF10" i="15"/>
  <c r="BE75" i="5"/>
  <c r="CF16" i="15"/>
  <c r="BM17" i="5"/>
  <c r="BU73" i="15"/>
  <c r="BX74" s="1"/>
  <c r="CF75" s="1"/>
  <c r="BM34" i="5"/>
  <c r="CF32" i="15"/>
  <c r="BO76"/>
  <c r="AX76" i="5"/>
  <c r="CL10" i="15" l="1"/>
  <c r="BT11" i="5"/>
  <c r="CL32" i="15"/>
  <c r="BT34" i="5"/>
  <c r="CL16" i="15"/>
  <c r="BT17" i="5"/>
  <c r="CF73" i="15"/>
  <c r="CF76" s="1"/>
  <c r="BM75" i="5"/>
  <c r="BT75" l="1"/>
  <c r="CB11"/>
  <c r="CW10" i="15"/>
  <c r="BM76" i="5"/>
  <c r="BZ4"/>
  <c r="BZ8" s="1"/>
  <c r="CW16" i="15"/>
  <c r="CB17" i="5"/>
  <c r="CL73" i="15"/>
  <c r="CO74" s="1"/>
  <c r="CW75" s="1"/>
  <c r="CB34" i="5"/>
  <c r="CW32" i="15"/>
  <c r="DC10" l="1"/>
  <c r="CI11" i="5"/>
  <c r="DC32" i="15"/>
  <c r="CI34" i="5"/>
  <c r="DC16" i="15"/>
  <c r="CI17" i="5"/>
  <c r="CW73" i="15"/>
  <c r="CW76" s="1"/>
  <c r="CB75" i="5"/>
  <c r="CQ11" l="1"/>
  <c r="DN10" i="15"/>
  <c r="CI75" i="5"/>
  <c r="CI76" s="1"/>
  <c r="CB76"/>
  <c r="CO4"/>
  <c r="CO8" s="1"/>
  <c r="CQ17"/>
  <c r="DN16" i="15"/>
  <c r="DC73"/>
  <c r="DF74" s="1"/>
  <c r="DN75" s="1"/>
  <c r="DN32"/>
  <c r="CQ34" i="5"/>
  <c r="DT10" i="15" l="1"/>
  <c r="CX11" i="5"/>
  <c r="DT32" i="15"/>
  <c r="CX34" i="5"/>
  <c r="DT16" i="15"/>
  <c r="CX17" i="5"/>
  <c r="DN73" i="15"/>
  <c r="DN76" s="1"/>
  <c r="CQ75" i="5"/>
  <c r="DF11" l="1"/>
  <c r="EE10" i="15"/>
  <c r="CX75" i="5"/>
  <c r="BJ186" i="16" s="1"/>
  <c r="DD4" i="5"/>
  <c r="DD8" s="1"/>
  <c r="CQ76"/>
  <c r="EE16" i="15"/>
  <c r="DF17" i="5"/>
  <c r="DT73" i="15"/>
  <c r="DW74" s="1"/>
  <c r="EE75" s="1"/>
  <c r="DF34" i="5"/>
  <c r="EE32" i="15"/>
  <c r="EK10" l="1"/>
  <c r="DU11" i="5" s="1"/>
  <c r="DM11"/>
  <c r="EK32" i="15"/>
  <c r="DU34" i="5" s="1"/>
  <c r="DM34"/>
  <c r="EK16" i="15"/>
  <c r="DM17" i="5"/>
  <c r="EE73" i="15"/>
  <c r="EE76" s="1"/>
  <c r="DF75" i="5"/>
  <c r="DM75" l="1"/>
  <c r="DU17"/>
  <c r="DU75" s="1"/>
  <c r="EK73" i="15"/>
  <c r="EN74" s="1"/>
  <c r="DS4" i="5"/>
  <c r="DS8" s="1"/>
  <c r="DF76"/>
  <c r="EH4" l="1"/>
  <c r="DU76"/>
  <c r="DZ11"/>
  <c r="DZ75" s="1"/>
  <c r="ET10" i="15"/>
  <c r="ET73" s="1"/>
  <c r="EV74" s="1"/>
  <c r="U178" i="10"/>
  <c r="W178" s="1"/>
  <c r="W864" s="1"/>
  <c r="W870" l="1"/>
  <c r="ER10" i="15"/>
  <c r="ER73" s="1"/>
  <c r="EV75" s="1"/>
  <c r="EV76" s="1"/>
  <c r="U864" i="10"/>
  <c r="EH7" i="5"/>
  <c r="P19" i="31"/>
  <c r="P23" s="1"/>
  <c r="L30" s="1"/>
  <c r="U870" i="10" l="1"/>
  <c r="U1376" s="1"/>
  <c r="DX11" i="5"/>
  <c r="DX75" s="1"/>
  <c r="EH5" s="1"/>
  <c r="EH8" s="1"/>
  <c r="S865" i="10"/>
  <c r="S1376" s="1"/>
  <c r="S1377" l="1"/>
  <c r="W865"/>
  <c r="W1376" s="1"/>
  <c r="M19" i="31"/>
  <c r="M23" s="1"/>
  <c r="L28" s="1"/>
  <c r="N31" s="1"/>
  <c r="W1377" i="10" l="1"/>
  <c r="L34" i="31"/>
  <c r="N35" s="1"/>
  <c r="N36" s="1"/>
</calcChain>
</file>

<file path=xl/comments1.xml><?xml version="1.0" encoding="utf-8"?>
<comments xmlns="http://schemas.openxmlformats.org/spreadsheetml/2006/main">
  <authors>
    <author>INDRI</author>
  </authors>
  <commentList>
    <comment ref="K5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SUDAH DIKURANG DP DES 2015 342.000.000</t>
        </r>
      </text>
    </comment>
    <comment ref="D8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SCHEDULE PAYMENT DI JANUARI 2017 KARENA SDG PROSES PERUBAHAN KEPEMILIKAN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H9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K9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dikurangin 9jt karena ada 10 Modul yang riject </t>
        </r>
      </text>
    </comment>
    <comment ref="N9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dikurangin 9jt karena ada 10 Modul yang riject </t>
        </r>
      </text>
    </comment>
    <comment ref="AJ15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RESEND INV REVISI 20 MAR 2017 DITERIMA JEPRI SUKARJO</t>
        </r>
      </text>
    </comment>
    <comment ref="C17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tgl sblm rev 31 mei 2017</t>
        </r>
      </text>
    </comment>
    <comment ref="C18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invoice tgl 9 Jan 2017</t>
        </r>
      </text>
    </comment>
    <comment ref="AH18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dikirim Yakfi tgl 19 Jan 2017</t>
        </r>
      </text>
    </comment>
    <comment ref="AJ18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dikirim Yakfi tgl 19 Jan 2017</t>
        </r>
      </text>
    </comment>
    <comment ref="B23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awal 1 feb 2017
revisi 1 mar 2017</t>
        </r>
      </text>
    </comment>
    <comment ref="C32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 MAR 17 (TGL INV SBLM REVISI)
REV KE 1 TGL 21 MAR 17</t>
        </r>
      </text>
    </comment>
    <comment ref="AJ32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RESEND INV HPMU 17-009 TGL 23 MAR 17 DITERIMA YAYAN</t>
        </r>
      </text>
    </comment>
    <comment ref="W41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PEMBAYARAN DI TGL 8 JUNI 2017 </t>
        </r>
      </text>
    </comment>
    <comment ref="C41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sblmnya tgl 15 mar 2017
inv rev ke 1 tgl 21 Mar 17
revisi ke 3 10 Mei 2017
inv revisi ke 4 17 Mei 2017</t>
        </r>
      </text>
    </comment>
    <comment ref="AJ41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RESEND INV KPP 17-005 TGL 23 MAR DITERIMA OLEH NOVA YUSTI
17 MEI 2017 OLEH MAYA</t>
        </r>
      </text>
    </comment>
    <comment ref="C41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SEBELUMNYA TGL 3 APR 17</t>
        </r>
      </text>
    </comment>
    <comment ref="C41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SEBELUMNYA TGL 2 MEI 2017</t>
        </r>
      </text>
    </comment>
    <comment ref="C42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sebelum revisi tgl 10 Mei 2017</t>
        </r>
      </text>
    </comment>
    <comment ref="H72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PEMKAB SIGI DISHUB KOMINFO</t>
        </r>
      </text>
    </comment>
    <comment ref="AJ72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revisi dikirim 16 Juni oleh rohadi</t>
        </r>
      </text>
    </comment>
    <comment ref="H72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PEMKAB SIGI SEKRETARIAT DAERAH</t>
        </r>
      </text>
    </comment>
    <comment ref="AJ81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revisi dikirim tgl 9 feb 17 (tanda terima tidak dibalikin)</t>
        </r>
      </text>
    </comment>
    <comment ref="C82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TGL INVOICE SEBELUM REVISI (12 JAN 2017)</t>
        </r>
      </text>
    </comment>
    <comment ref="AJ82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revisi dikirim tgl 9 feb 17 (tanda terima tidak dibalikin)</t>
        </r>
      </text>
    </comment>
    <comment ref="C82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TGL INVOICE SEBELUM REVISI (1 FEB 2017)</t>
        </r>
      </text>
    </comment>
  </commentList>
</comments>
</file>

<file path=xl/comments2.xml><?xml version="1.0" encoding="utf-8"?>
<comments xmlns="http://schemas.openxmlformats.org/spreadsheetml/2006/main">
  <authors>
    <author>INDRI</author>
  </authors>
  <commentList>
    <comment ref="C6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sebelum revisi tgl 10 Mei 2017</t>
        </r>
      </text>
    </comment>
    <comment ref="F9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PEMKAB SIGI DISHUB KOMINFO</t>
        </r>
      </text>
    </comment>
  </commentList>
</comments>
</file>

<file path=xl/comments3.xml><?xml version="1.0" encoding="utf-8"?>
<comments xmlns="http://schemas.openxmlformats.org/spreadsheetml/2006/main">
  <authors>
    <author>INDRI</author>
  </authors>
  <commentList>
    <comment ref="J3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untuk invoice repair indosat ke KPPTI pakai copy kontrak</t>
        </r>
      </text>
    </comment>
    <comment ref="G4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FAKTUR PAJAK MADHANI MINTA DI CANTUMIN NOMOR INVOICE</t>
        </r>
      </text>
    </comment>
    <comment ref="G4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FAKTUR PAJAK MADHANI MINTA DI CANTUMIN NOMOR INVOICE</t>
        </r>
      </text>
    </comment>
    <comment ref="G4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FAKTUR PAJAK MADHANI MINTA DI CANTUMIN NOMOR INVOICE</t>
        </r>
      </text>
    </comment>
    <comment ref="G4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FAKTUR PAJAK MADHANI MINTA DI CANTUMIN NOMOR INVOICE</t>
        </r>
      </text>
    </comment>
    <comment ref="G4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FAKTUR PAJAK MADHANI MINTA DI CANTUMIN NOMOR INVOICE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FAKTUR PAJAK MADHANI MINTA DI CANTUMIN NOMOR INVOICE</t>
        </r>
      </text>
    </comment>
    <comment ref="G4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FAKTUR PAJAK MADHANI MINTA DI CANTUMIN NOMOR INVOICE</t>
        </r>
      </text>
    </comment>
    <comment ref="G4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FAKTUR PAJAK MADHANI MINTA DI CANTUMIN NOMOR INVOICE</t>
        </r>
      </text>
    </comment>
    <comment ref="G4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FAKTUR PAJAK MADHANI MINTA DI CANTUMIN NOMOR INVOICE</t>
        </r>
      </text>
    </comment>
    <comment ref="G4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FAKTUR PAJAK MADHANI MINTA DI CANTUMIN NOMOR INVOICE</t>
        </r>
      </text>
    </comment>
    <comment ref="B5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minta ditagihkan di akhir bulan</t>
        </r>
      </text>
    </comment>
  </commentList>
</comments>
</file>

<file path=xl/comments4.xml><?xml version="1.0" encoding="utf-8"?>
<comments xmlns="http://schemas.openxmlformats.org/spreadsheetml/2006/main">
  <authors>
    <author>INDRI</author>
  </authors>
  <commentList>
    <comment ref="P1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relokasi mpls</t>
        </r>
      </text>
    </comment>
    <comment ref="R2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instalasi &amp; monthly</t>
        </r>
      </text>
    </comment>
    <comment ref="N2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17-023 DISMANTLE SGU</t>
        </r>
      </text>
    </comment>
    <comment ref="M3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17-005 Jasa Dismantle
17-006 Jasa Instalasi
17-007 Jasa Sewa</t>
        </r>
      </text>
    </comment>
    <comment ref="J4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17-034 relokasi asam2
17-035 reimburse relokasi</t>
        </r>
      </text>
    </comment>
    <comment ref="P4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17-037 Reimburse maint</t>
        </r>
      </text>
    </comment>
    <comment ref="P4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17-038 Instalasi VSAT</t>
        </r>
      </text>
    </comment>
    <comment ref="J5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17-033 reimburse maint tembang</t>
        </r>
      </text>
    </comment>
    <comment ref="C5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perkiraan aktif di akhir Juli</t>
        </r>
      </text>
    </comment>
    <comment ref="K6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17-010 intalasi radio timika</t>
        </r>
      </text>
    </comment>
    <comment ref="C7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infonya akan di upgrade di bulan agustus
</t>
        </r>
      </text>
    </comment>
    <comment ref="E7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17-003 PETROSEA SUBAN</t>
        </r>
      </text>
    </comment>
    <comment ref="AG7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baru d ttd tgl 13 feb 17</t>
        </r>
      </text>
    </comment>
    <comment ref="G7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17-001 INSTALASI ROKA
</t>
        </r>
      </text>
    </comment>
  </commentList>
</comments>
</file>

<file path=xl/comments5.xml><?xml version="1.0" encoding="utf-8"?>
<comments xmlns="http://schemas.openxmlformats.org/spreadsheetml/2006/main">
  <authors>
    <author>INDRI</author>
  </authors>
  <commentList>
    <comment ref="E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ADDENDUM I NO 003/BKU/MTN/ADDI/I/15 
TGL 11 SEP 2015</t>
        </r>
      </text>
    </comment>
    <comment ref="G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ADDENDUM I NO 003/BKU/MTN/ADDI/I/15 
TGL 11 SEP 2015</t>
        </r>
      </text>
    </comment>
    <comment ref="H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instal 6 apr 16</t>
        </r>
      </text>
    </comment>
    <comment ref="H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install 26 des 2016</t>
        </r>
      </text>
    </comment>
    <comment ref="H1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Install 27 Jan 16</t>
        </r>
      </text>
    </comment>
    <comment ref="H1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sejak 18 Mei 2016</t>
        </r>
      </text>
    </comment>
  </commentList>
</comments>
</file>

<file path=xl/comments6.xml><?xml version="1.0" encoding="utf-8"?>
<comments xmlns="http://schemas.openxmlformats.org/spreadsheetml/2006/main">
  <authors>
    <author>INDRI</author>
  </authors>
  <commentList>
    <comment ref="C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C6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I11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INVOICE AWAL 2 FEB REVISI JADI 11 MEI 2016</t>
        </r>
      </text>
    </comment>
    <comment ref="C13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C19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C26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C31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C37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C42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C47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C53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C60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  <comment ref="C67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KUNCI YG MENENTUKAN JARAK BARIS BULAN YG DIMAKSUD</t>
        </r>
      </text>
    </comment>
  </commentList>
</comments>
</file>

<file path=xl/comments7.xml><?xml version="1.0" encoding="utf-8"?>
<comments xmlns="http://schemas.openxmlformats.org/spreadsheetml/2006/main">
  <authors>
    <author>INDRI</author>
  </authors>
  <commentList>
    <comment ref="DA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REVISI TGL</t>
        </r>
      </text>
    </comment>
    <comment ref="DB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sudah dikembalikan ke Pak Ade BUMA
</t>
        </r>
      </text>
    </comment>
    <comment ref="AV2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tgl sblm rev 31 mei 2017</t>
        </r>
      </text>
    </comment>
    <comment ref="CI2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REVISI TGL</t>
        </r>
      </text>
    </comment>
    <comment ref="CK2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sudah dikembalikan ke Pak Ade BUMA
</t>
        </r>
      </text>
    </comment>
    <comment ref="BZ2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REVISI TGL</t>
        </r>
      </text>
    </comment>
    <comment ref="CB2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sudah dikembalikan ke Pak Ade BUMA
</t>
        </r>
      </text>
    </comment>
    <comment ref="BQ2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REVISI TGL</t>
        </r>
      </text>
    </comment>
    <comment ref="BS2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sudah dikembalikan ke Pak Ade BUMA
</t>
        </r>
      </text>
    </comment>
    <comment ref="DA3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TANGGAL 15 FEB 16</t>
        </r>
      </text>
    </comment>
    <comment ref="T4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awal 1 feb 2017
revisi 1 mar 2017</t>
        </r>
      </text>
    </comment>
    <comment ref="DA4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TGL 10 FEB 2016</t>
        </r>
      </text>
    </comment>
    <comment ref="DA4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 TGL 11 FEB 16</t>
        </r>
      </text>
    </comment>
    <comment ref="BE4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sebelum revisi tgl 10 Mei 2017</t>
        </r>
      </text>
    </comment>
    <comment ref="AD4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 MAR 17 (TGL INV SBLM REVISI)
REV KE 1 TGL 21 MAR 17</t>
        </r>
      </text>
    </comment>
    <comment ref="AM5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sblmnya tgl 15 mar 2017
inv rev ke 1 tgl 21 Mar 17
revisi ke 3 10 Mei 2017
inv revisi ke 4 17 Mei 2017</t>
        </r>
      </text>
    </comment>
    <comment ref="AM5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SEBELUMNYA TGL 3 APR 17</t>
        </r>
      </text>
    </comment>
    <comment ref="AM5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SEBELUMNYA TGL 2 MEI 2017</t>
        </r>
      </text>
    </comment>
    <comment ref="U5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sblmnya tgl 15 mar 2017
inv rev ke 1 tgl 21 Mar 17
revisi ke 3 10 Mei 2017</t>
        </r>
      </text>
    </comment>
    <comment ref="AV5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sblmnya tgl 15 mar 2017
inv rev ke 1 tgl 21 Mar 17
revisi ke 3 10 Mei 2017
inv revisi ke 4 17 Mei 2017</t>
        </r>
      </text>
    </comment>
    <comment ref="AV5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SEBELUMNYA TGL 2 MEI 2017</t>
        </r>
      </text>
    </comment>
    <comment ref="AV5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sebelum revisi tgl 10 Mei 2017</t>
        </r>
      </text>
    </comment>
    <comment ref="AD6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sblmnya tgl 15 mar 2017
inv rev ke 1 tgl 21 Mar 17
revisi ke 3 10 Mei 2017</t>
        </r>
      </text>
    </comment>
    <comment ref="BQ6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TANGGAL 15 FEB 16</t>
        </r>
      </text>
    </comment>
    <comment ref="BZ6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TANGGAL 15 FEB 16</t>
        </r>
      </text>
    </comment>
    <comment ref="BH6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PEMKAB SIGI DISHUB KOMINFO</t>
        </r>
      </text>
    </comment>
    <comment ref="AD6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INV SEBELUMNYA TGL 3 APR 17</t>
        </r>
      </text>
    </comment>
    <comment ref="CI6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TANGGAL 15 FEB 16</t>
        </r>
      </text>
    </comment>
    <comment ref="D6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SCHEDULE PAYMENT DI JANUARI 2017 KARENA SDG PROSES PERUBAHAN KEPEMILIKAN</t>
        </r>
      </text>
    </comment>
    <comment ref="CI7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TGL 10 FEB 2016</t>
        </r>
      </text>
    </comment>
    <comment ref="CI7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 TGL 11 FEB 16</t>
        </r>
      </text>
    </comment>
    <comment ref="F7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AP7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PEMKAB SIGI DISHUB KOMINFO</t>
        </r>
      </text>
    </comment>
    <comment ref="F7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X7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AP8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PEMKAB SIGI SEKRETARIAT DAERAH</t>
        </r>
      </text>
    </comment>
    <comment ref="AY8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PEMKAB SIGI DISHUB KOMINFO</t>
        </r>
      </text>
    </comment>
    <comment ref="O8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O9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AY9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PEMKAB SIGI SEKRETARIAT DAERAH</t>
        </r>
      </text>
    </comment>
    <comment ref="AG9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BZ9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TGL 10 FEB 2016</t>
        </r>
      </text>
    </comment>
    <comment ref="BZ9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 TGL 11 FEB 16</t>
        </r>
      </text>
    </comment>
    <comment ref="L9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TGL INVOICE SEBELUM REVISI (12 JAN 2017)</t>
        </r>
      </text>
    </comment>
    <comment ref="L10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TGL INVOICE SEBELUM REVISI (1 FEB 2017)</t>
        </r>
      </text>
    </comment>
    <comment ref="BQ10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TGL 10 FEB 2016</t>
        </r>
      </text>
    </comment>
    <comment ref="BQ104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 TGL 11 FEB 16</t>
        </r>
      </text>
    </comment>
    <comment ref="CP12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SCHEDULE PAYMENT DI JANUARI 2017 KARENA SDG PROSES PERUBAHAN KEPEMILIKAN</t>
        </r>
      </text>
    </comment>
    <comment ref="C12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invoice tgl 9 Jan 2017</t>
        </r>
      </text>
    </comment>
    <comment ref="BE12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tgl sblm rev 31 mei 2017</t>
        </r>
      </text>
    </comment>
    <comment ref="U12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invoice tgl 9 Jan 2017</t>
        </r>
      </text>
    </comment>
    <comment ref="BE129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invoice tgl 9 Jan 2017</t>
        </r>
      </text>
    </comment>
    <comment ref="CR13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CR137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L14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invoice tgl 9 Jan 2017</t>
        </r>
      </text>
    </comment>
    <comment ref="AM14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invoice tgl 9 Jan 2017</t>
        </r>
      </text>
    </comment>
    <comment ref="BE14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 MAR 17 (TGL INV SBLM REVISI)
REV KE 1 TGL 21 MAR 17</t>
        </r>
      </text>
    </comment>
    <comment ref="AD15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invoice tgl 9 Jan 2017</t>
        </r>
      </text>
    </comment>
    <comment ref="AM151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 MAR 17 (TGL INV SBLM REVISI)
REV KE 1 TGL 21 MAR 17</t>
        </r>
      </text>
    </comment>
    <comment ref="AV15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revisi invoice tgl 9 Jan 2017</t>
        </r>
      </text>
    </comment>
    <comment ref="AV16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1 MAR 17 (TGL INV SBLM REVISI)
REV KE 1 TGL 21 MAR 17</t>
        </r>
      </text>
    </comment>
    <comment ref="CG16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SCHEDULE PAYMENT DI JANUARI 2017 KARENA SDG PROSES PERUBAHAN KEPEMILIKAN</t>
        </r>
      </text>
    </comment>
    <comment ref="BZ176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BZ178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CI180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CI182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BQ193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  <comment ref="BQ195" authorId="0">
      <text>
        <r>
          <rPr>
            <b/>
            <sz val="9"/>
            <color indexed="81"/>
            <rFont val="Tahoma"/>
            <family val="2"/>
          </rPr>
          <t>INDRI:</t>
        </r>
        <r>
          <rPr>
            <sz val="9"/>
            <color indexed="81"/>
            <rFont val="Tahoma"/>
            <family val="2"/>
          </rPr>
          <t xml:space="preserve">
KEKURANGAN PEMBAYARAN</t>
        </r>
      </text>
    </comment>
  </commentList>
</comments>
</file>

<file path=xl/sharedStrings.xml><?xml version="1.0" encoding="utf-8"?>
<sst xmlns="http://schemas.openxmlformats.org/spreadsheetml/2006/main" count="24423" uniqueCount="4820">
  <si>
    <t>No_Invoice</t>
  </si>
  <si>
    <t>PPN</t>
  </si>
  <si>
    <t>Kode</t>
  </si>
  <si>
    <t>Nama Customer</t>
  </si>
  <si>
    <t>JANUARI</t>
  </si>
  <si>
    <t>MARET</t>
  </si>
  <si>
    <t>No</t>
  </si>
  <si>
    <t>Jumlah</t>
  </si>
  <si>
    <t>Outstanding</t>
  </si>
  <si>
    <t>Selisih</t>
  </si>
  <si>
    <t>Bln Berjalan</t>
  </si>
  <si>
    <t>DPP - USD</t>
  </si>
  <si>
    <t>No_FP</t>
  </si>
  <si>
    <t>BANGUN OLAH SARANA SUKSES, PT</t>
  </si>
  <si>
    <t>-</t>
  </si>
  <si>
    <t>Tgl</t>
  </si>
  <si>
    <t>180</t>
  </si>
  <si>
    <t>166</t>
  </si>
  <si>
    <t>26</t>
  </si>
  <si>
    <t>9</t>
  </si>
  <si>
    <t>BUKIT MAKMUR MANDIRI UTAMA, PT</t>
  </si>
  <si>
    <t>172</t>
  </si>
  <si>
    <t>CAKRAWALA SEJAHTERA, PT</t>
  </si>
  <si>
    <t>198</t>
  </si>
  <si>
    <t>CIPTA INFORMATIKA CEMERLANG, PT</t>
  </si>
  <si>
    <t>097</t>
  </si>
  <si>
    <t>7</t>
  </si>
  <si>
    <t>007</t>
  </si>
  <si>
    <t>EXPANS PETROGAS INTRANUSA, PT</t>
  </si>
  <si>
    <t>189</t>
  </si>
  <si>
    <t>159</t>
  </si>
  <si>
    <t>16</t>
  </si>
  <si>
    <t>179</t>
  </si>
  <si>
    <t>204</t>
  </si>
  <si>
    <t>20</t>
  </si>
  <si>
    <t>INDOSAT, PT</t>
  </si>
  <si>
    <t>010</t>
  </si>
  <si>
    <t>13</t>
  </si>
  <si>
    <t>19</t>
  </si>
  <si>
    <t>29</t>
  </si>
  <si>
    <t>MADHANI TALATAH NUSANTARA, PT</t>
  </si>
  <si>
    <t>057</t>
  </si>
  <si>
    <t>8</t>
  </si>
  <si>
    <t>196</t>
  </si>
  <si>
    <t>MEDCO PAPUA HIJAU SELARAS, PT</t>
  </si>
  <si>
    <t>MEDCO PAPUA INDUSTRI LESTARI, PT</t>
  </si>
  <si>
    <t>145</t>
  </si>
  <si>
    <t>TRILOGI MEDIA SINEMA, PT</t>
  </si>
  <si>
    <t>21</t>
  </si>
  <si>
    <t>ELGA YASA MEDIA, PT</t>
  </si>
  <si>
    <t>Total Tagihan</t>
  </si>
  <si>
    <t>No_Inv</t>
  </si>
  <si>
    <t>Kode Cust</t>
  </si>
  <si>
    <t>DPP - IDR</t>
  </si>
  <si>
    <t>USD</t>
  </si>
  <si>
    <t>IDR</t>
  </si>
  <si>
    <t>Tagihan (Pokok + PPN)</t>
  </si>
  <si>
    <t>APRIL</t>
  </si>
  <si>
    <t>MEI</t>
  </si>
  <si>
    <t>JUNI</t>
  </si>
  <si>
    <t>JULI</t>
  </si>
  <si>
    <t>TOTAL</t>
  </si>
  <si>
    <t>R</t>
  </si>
  <si>
    <t>S</t>
  </si>
  <si>
    <t>KET</t>
  </si>
  <si>
    <t>12</t>
  </si>
  <si>
    <t>30</t>
  </si>
  <si>
    <t>Bank</t>
  </si>
  <si>
    <t>JUMLAH</t>
  </si>
  <si>
    <t>NO</t>
  </si>
  <si>
    <t>CUSTOMER</t>
  </si>
  <si>
    <t>SALDO OUTSTANDING</t>
  </si>
  <si>
    <t>053</t>
  </si>
  <si>
    <t>148</t>
  </si>
  <si>
    <t>109</t>
  </si>
  <si>
    <t>OUTSTANDING</t>
  </si>
  <si>
    <t>PEMBAYARAN</t>
  </si>
  <si>
    <t>PPH 23</t>
  </si>
  <si>
    <t>Terima</t>
  </si>
  <si>
    <t>Outstanding Invoice</t>
  </si>
  <si>
    <t>Penerimaan Pembayaran</t>
  </si>
  <si>
    <t>KETERANGAN</t>
  </si>
  <si>
    <t>Saldo Outstanding Invoice</t>
  </si>
  <si>
    <t>Pembayaran dengan bukti potong</t>
  </si>
  <si>
    <t>MALINAU</t>
  </si>
  <si>
    <t>PPN BYR SENDIRI</t>
  </si>
  <si>
    <t>PPN dibayarkan sendiri</t>
  </si>
  <si>
    <t>1</t>
  </si>
  <si>
    <t>15</t>
  </si>
  <si>
    <t>5</t>
  </si>
  <si>
    <t>002</t>
  </si>
  <si>
    <t>27</t>
  </si>
  <si>
    <t>2</t>
  </si>
  <si>
    <t>24</t>
  </si>
  <si>
    <t>3</t>
  </si>
  <si>
    <t>HARMONI PANCA UTAMA, PT</t>
  </si>
  <si>
    <t>HASTA PANCA MANDIRI UTAMA, PT</t>
  </si>
  <si>
    <t>4</t>
  </si>
  <si>
    <t>ZTE INDONESIA, PT</t>
  </si>
  <si>
    <t>18</t>
  </si>
  <si>
    <t>TAGIHAN (Pokok + PPN)</t>
  </si>
  <si>
    <t>25</t>
  </si>
  <si>
    <t>6</t>
  </si>
  <si>
    <t>23</t>
  </si>
  <si>
    <t>10</t>
  </si>
  <si>
    <t>17</t>
  </si>
  <si>
    <t>28</t>
  </si>
  <si>
    <t>207</t>
  </si>
  <si>
    <t>PERTIWI AGRO SEJAHTERA, PT</t>
  </si>
  <si>
    <t>008</t>
  </si>
  <si>
    <t>011</t>
  </si>
  <si>
    <t>PASIFIK SATELIT NUSANTARA, PT</t>
  </si>
  <si>
    <t>J RESOURCES BOOLANG MONGONDOW, PT</t>
  </si>
  <si>
    <t>31</t>
  </si>
  <si>
    <t>11</t>
  </si>
  <si>
    <t>14</t>
  </si>
  <si>
    <t>22</t>
  </si>
  <si>
    <t>LANANG AGRO BERSATU, PT</t>
  </si>
  <si>
    <t>L</t>
  </si>
  <si>
    <t>210</t>
  </si>
  <si>
    <t>208</t>
  </si>
  <si>
    <t>KALIMANTAN PRIMA PERSADA, PT</t>
  </si>
  <si>
    <t>TANGARA MITRAKOM, PT</t>
  </si>
  <si>
    <t>184</t>
  </si>
  <si>
    <t>213</t>
  </si>
  <si>
    <t>NATIONAL SAGO PRIMA, PT</t>
  </si>
  <si>
    <t>APLIKANUSA LINTASARTA, PT</t>
  </si>
  <si>
    <t>214</t>
  </si>
  <si>
    <t>MANDALA KARYA PRIMA, PT</t>
  </si>
  <si>
    <t>216</t>
  </si>
  <si>
    <t>SAMSUNG ELECTRONICS INDONESIA, PT</t>
  </si>
  <si>
    <t>INTICOM SENTRALINDO, PT</t>
  </si>
  <si>
    <t>218</t>
  </si>
  <si>
    <t>METALINDO BUMI RAYA, PT</t>
  </si>
  <si>
    <t>220</t>
  </si>
  <si>
    <t>009</t>
  </si>
  <si>
    <t>PETROSEA, PT</t>
  </si>
  <si>
    <t>146</t>
  </si>
  <si>
    <t>223</t>
  </si>
  <si>
    <t>KEMENHUB</t>
  </si>
  <si>
    <t>DES</t>
  </si>
  <si>
    <t>Jasa</t>
  </si>
  <si>
    <t>16-001/BKU-004/I/180</t>
  </si>
  <si>
    <t>16-002/BKU-004/II/180</t>
  </si>
  <si>
    <t>O</t>
  </si>
  <si>
    <t>16-001/BKU-004/I/007</t>
  </si>
  <si>
    <t>16-002/BKU-004/II/007</t>
  </si>
  <si>
    <t>PGDN</t>
  </si>
  <si>
    <t>16-003/BKU-004/I/159</t>
  </si>
  <si>
    <t>16-001/BKU-004/I/010</t>
  </si>
  <si>
    <t>16-007/BKU-004/II/010</t>
  </si>
  <si>
    <t>KUSUMA MENTARI MAKMUR, PT</t>
  </si>
  <si>
    <t>16-001/BKU-004/I/224</t>
  </si>
  <si>
    <t>16-001/BKU-004/I/057</t>
  </si>
  <si>
    <t>16-002/BKU-004/I/057</t>
  </si>
  <si>
    <t>16-003/BKU-004/I/057</t>
  </si>
  <si>
    <t>16-004/BKU-004/I/057</t>
  </si>
  <si>
    <t>16-006/BKU-004/I/057</t>
  </si>
  <si>
    <t>16-007/BKU-004/I/057</t>
  </si>
  <si>
    <t>MANDIRI HERINDO ADIPERKASA, PT</t>
  </si>
  <si>
    <t>16-002/BKU-004/II/053</t>
  </si>
  <si>
    <t>16-001/BKU-004/I/166</t>
  </si>
  <si>
    <t>16-002/BKU-004/II/166</t>
  </si>
  <si>
    <t>BKU-ZTE15008</t>
  </si>
  <si>
    <t>MANDIRI INTI PERKASA, PT</t>
  </si>
  <si>
    <t>DPP-USD</t>
  </si>
  <si>
    <t>DPP-IDR</t>
  </si>
  <si>
    <t>Nominal</t>
  </si>
  <si>
    <t>Via</t>
  </si>
  <si>
    <t>Pembayaran Invoice</t>
  </si>
  <si>
    <t>Pembayaran PPN</t>
  </si>
  <si>
    <t xml:space="preserve">Ket </t>
  </si>
  <si>
    <t>Pembayaran PPH</t>
  </si>
  <si>
    <t>BINTANG MANGGALA BORNEO, PT</t>
  </si>
  <si>
    <t>13-010/BKU-004/X/129</t>
  </si>
  <si>
    <t>13-011/BKU-004/XI/129</t>
  </si>
  <si>
    <t>13-012/BKU-004/XII/129</t>
  </si>
  <si>
    <t>14-001/BKU-004/I/129</t>
  </si>
  <si>
    <t>14-002/BKU-004/II/129</t>
  </si>
  <si>
    <t>14-003/BKU-004/III/129</t>
  </si>
  <si>
    <t>14-004/BKU-004/IV/129</t>
  </si>
  <si>
    <t>14-005/BKU-004/V/129</t>
  </si>
  <si>
    <t>14-006/BKU-004/VI/129</t>
  </si>
  <si>
    <t>14-007/BKU-004/VII/129</t>
  </si>
  <si>
    <t>14-008/BKU-004/VIII/129</t>
  </si>
  <si>
    <t>15-012/BKU-004/XI/180</t>
  </si>
  <si>
    <t>15-013/BKU-004/XII/180</t>
  </si>
  <si>
    <t>15-032/BKU-004/XI/172</t>
  </si>
  <si>
    <t>15-033/BKU-004/XI/172</t>
  </si>
  <si>
    <t>15-035/BKU-004/XII/172</t>
  </si>
  <si>
    <t>CITRA SARI MAKMUR, PT</t>
  </si>
  <si>
    <t>10-018/BKU-004/XI/021</t>
  </si>
  <si>
    <t>010.001-16.18691706</t>
  </si>
  <si>
    <t>Nama</t>
  </si>
  <si>
    <t>JAN</t>
  </si>
  <si>
    <t>FEB</t>
  </si>
  <si>
    <t>KEY</t>
  </si>
  <si>
    <t>SUM</t>
  </si>
  <si>
    <t>BLN</t>
  </si>
  <si>
    <t>TGL</t>
  </si>
  <si>
    <t>FORMULA</t>
  </si>
  <si>
    <t>224</t>
  </si>
  <si>
    <t>211</t>
  </si>
  <si>
    <t>Note:</t>
  </si>
  <si>
    <t>Balance</t>
  </si>
  <si>
    <t>FAJAR BHAKTI LINTAS NUSANTARA, PT</t>
  </si>
  <si>
    <t>HUTAN KETAPANG INDUSTRI, PT</t>
  </si>
  <si>
    <t>KENCANA MANDIRI SEJAHTERA TELECOM, PT</t>
  </si>
  <si>
    <t>MEDITERANIAN MEGA TRAVEL, PT</t>
  </si>
  <si>
    <t>MOBITEL ANDALAN KOMUNIKASI, PT</t>
  </si>
  <si>
    <t>NEXWAVE, PT</t>
  </si>
  <si>
    <t>PEMKAB TOJO UNA UNA</t>
  </si>
  <si>
    <t>POCA JARINGAN SAMANDHAU, PT</t>
  </si>
  <si>
    <t>REALITA JAYA MANDIRI, PT</t>
  </si>
  <si>
    <t>SERVO BUANA RESOURCES, PT</t>
  </si>
  <si>
    <t>SARANA MANDIRI UTAMA, PT</t>
  </si>
  <si>
    <t>TIGA BAJI, PT</t>
  </si>
  <si>
    <t>TRANSNETWORK, PT</t>
  </si>
  <si>
    <t>UPTRANS TEKNOLOGI, PT</t>
  </si>
  <si>
    <t>WILBES, PT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</si>
  <si>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</si>
  <si>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</si>
  <si>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</si>
  <si>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</si>
  <si>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</si>
  <si>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</si>
  <si>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</si>
  <si>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</si>
  <si>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</si>
  <si>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</si>
  <si>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</si>
  <si>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</si>
  <si>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</si>
  <si>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</si>
  <si>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Total</t>
  </si>
  <si>
    <t>FORMULA UNTUK SHEET SUMMARY</t>
  </si>
  <si>
    <t>Bln</t>
  </si>
  <si>
    <t>M. THAMRIN</t>
  </si>
  <si>
    <t>NOV</t>
  </si>
  <si>
    <t>MAR</t>
  </si>
  <si>
    <t>APR</t>
  </si>
  <si>
    <t>JUN</t>
  </si>
  <si>
    <t>JUL</t>
  </si>
  <si>
    <t>AGS</t>
  </si>
  <si>
    <t>SEP</t>
  </si>
  <si>
    <t>OKT</t>
  </si>
  <si>
    <t>15-013/BKU-004/X/007</t>
  </si>
  <si>
    <t>15-014/BKU-004/XI/007</t>
  </si>
  <si>
    <t>15-015/BKU-004/XII/007</t>
  </si>
  <si>
    <t>14-001/BKU-004/III/153</t>
  </si>
  <si>
    <t>14-002/BKU-004/III/153</t>
  </si>
  <si>
    <t>15-022/BKU-004/XI/010</t>
  </si>
  <si>
    <t>15-028/BKU-004/XII/010</t>
  </si>
  <si>
    <t>15-029/BKU-004/XII/010</t>
  </si>
  <si>
    <t>15-001/BKU-004/III/138</t>
  </si>
  <si>
    <t>12-001/BKU-004/VI/143</t>
  </si>
  <si>
    <t>TSSR</t>
  </si>
  <si>
    <t>15-010/BKU-004/X/186</t>
  </si>
  <si>
    <t>002/INV-TL/VI/09</t>
  </si>
  <si>
    <t>14-002/BKU-004/VIII/200</t>
  </si>
  <si>
    <t>14-003/BKU-004/XI/200</t>
  </si>
  <si>
    <t>13-001/BKU-004/I/151</t>
  </si>
  <si>
    <t>FEIS</t>
  </si>
  <si>
    <t>Pot PPH</t>
  </si>
  <si>
    <t>14-001/BKU-004/IX/148</t>
  </si>
  <si>
    <t>KURANG 14-002/BKU-004/IX/148</t>
  </si>
  <si>
    <t>14-003/BKU-004/IX/148</t>
  </si>
  <si>
    <t>KURANG 14-004/BKU-004/IX/148</t>
  </si>
  <si>
    <t>13-003/BKU-004/VIII/164</t>
  </si>
  <si>
    <t>13-004/BKU-004/IX/164</t>
  </si>
  <si>
    <t>13-005/BKU-004/X/164</t>
  </si>
  <si>
    <t>13-007/BKU-004/XI/164</t>
  </si>
  <si>
    <t>13-008/BKU-004/XII/164</t>
  </si>
  <si>
    <t>12-014/BKU-004/XI/134</t>
  </si>
  <si>
    <t>13-004/BKU-004/II/091</t>
  </si>
  <si>
    <t>11-004/BKU-004/XII/133</t>
  </si>
  <si>
    <t>12-001/BKU-004/I/133</t>
  </si>
  <si>
    <t>12-002/BKU-004/II/133</t>
  </si>
  <si>
    <t>12-004/BKU-004/IV/133</t>
  </si>
  <si>
    <t>08-001/BKU-004/I/028</t>
  </si>
  <si>
    <t>08-002/BKU-004/I/028</t>
  </si>
  <si>
    <t>08-003/BKU-004/I/028</t>
  </si>
  <si>
    <t>08-004/BKU-004/I/028</t>
  </si>
  <si>
    <t>08-005/BKU-004/I/028</t>
  </si>
  <si>
    <t>08-006/BKU-004/II/028</t>
  </si>
  <si>
    <t>08-007/BKU-004/III/028</t>
  </si>
  <si>
    <t>08-008/BKU-004/III/028</t>
  </si>
  <si>
    <t>08-009/BKU-004/IV/028</t>
  </si>
  <si>
    <t>08-010/BKU-004/V/028</t>
  </si>
  <si>
    <t>08-011/BKU-004/VI/028</t>
  </si>
  <si>
    <t>15-017/BKU-004/XI/166</t>
  </si>
  <si>
    <t>15-018/BKU-004/XII/166</t>
  </si>
  <si>
    <t>10-002/BKU-004/VIII/105</t>
  </si>
  <si>
    <t>08-001/BKU-004/XII/069</t>
  </si>
  <si>
    <t>BCA GIF</t>
  </si>
  <si>
    <t>Rumus untuk sum data Pembayaran</t>
  </si>
  <si>
    <t>Selisih / Outstanding</t>
  </si>
  <si>
    <t>16-001</t>
  </si>
  <si>
    <t>16-001-003</t>
  </si>
  <si>
    <t>13-010-14-008</t>
  </si>
  <si>
    <t>14-012-15-013</t>
  </si>
  <si>
    <t>15-028-035</t>
  </si>
  <si>
    <t>15-023-024</t>
  </si>
  <si>
    <t>10-018</t>
  </si>
  <si>
    <t>15-013-015</t>
  </si>
  <si>
    <t>15-034-038</t>
  </si>
  <si>
    <t>14-001-002</t>
  </si>
  <si>
    <t>15-055-073</t>
  </si>
  <si>
    <t>15-018-019</t>
  </si>
  <si>
    <t>14-003,4,15-001</t>
  </si>
  <si>
    <t>15-011-012</t>
  </si>
  <si>
    <t>12-001</t>
  </si>
  <si>
    <t>15-009-010</t>
  </si>
  <si>
    <t>15-020-021</t>
  </si>
  <si>
    <t>14-002-003</t>
  </si>
  <si>
    <t>13-001</t>
  </si>
  <si>
    <t>15-006</t>
  </si>
  <si>
    <t>15-012</t>
  </si>
  <si>
    <t>15-004-010</t>
  </si>
  <si>
    <t>14-001-004</t>
  </si>
  <si>
    <t>13-003-008</t>
  </si>
  <si>
    <t>15-003</t>
  </si>
  <si>
    <t>12-014</t>
  </si>
  <si>
    <t>13-004</t>
  </si>
  <si>
    <t>11-004,12-001-004</t>
  </si>
  <si>
    <t>08-001-011</t>
  </si>
  <si>
    <t>14-020-15-018</t>
  </si>
  <si>
    <t>10-002</t>
  </si>
  <si>
    <t>08-001</t>
  </si>
  <si>
    <t>021</t>
  </si>
  <si>
    <t>153</t>
  </si>
  <si>
    <t>138</t>
  </si>
  <si>
    <t>143</t>
  </si>
  <si>
    <t>186</t>
  </si>
  <si>
    <t>200</t>
  </si>
  <si>
    <t>151</t>
  </si>
  <si>
    <t>09</t>
  </si>
  <si>
    <t>164</t>
  </si>
  <si>
    <t>133</t>
  </si>
  <si>
    <t>091</t>
  </si>
  <si>
    <t>028</t>
  </si>
  <si>
    <t>105</t>
  </si>
  <si>
    <t>069</t>
  </si>
  <si>
    <t>134</t>
  </si>
  <si>
    <t>129</t>
  </si>
  <si>
    <t>50</t>
  </si>
  <si>
    <t>HMS</t>
  </si>
  <si>
    <t>16-003/BKU-004/II/172</t>
  </si>
  <si>
    <t>16-004/BKU-004/II/172</t>
  </si>
  <si>
    <t>INDO INTERNET, PT</t>
  </si>
  <si>
    <t>16-012/BKU-004/II/057</t>
  </si>
  <si>
    <t>16-013/BKU-004/II/057</t>
  </si>
  <si>
    <t>OVERSEAS KOREAN TELEVISION NETWORK, PT</t>
  </si>
  <si>
    <t>MENYUSUL</t>
  </si>
  <si>
    <t>V</t>
  </si>
  <si>
    <t>W</t>
  </si>
  <si>
    <t xml:space="preserve">Wireless </t>
  </si>
  <si>
    <t>M</t>
  </si>
  <si>
    <t>Mpls</t>
  </si>
  <si>
    <t>E</t>
  </si>
  <si>
    <t>Metro E</t>
  </si>
  <si>
    <t>Repeater GSM</t>
  </si>
  <si>
    <t>P</t>
  </si>
  <si>
    <t>Perangkat</t>
  </si>
  <si>
    <t>I</t>
  </si>
  <si>
    <t>Internet</t>
  </si>
  <si>
    <t>Satellite Broadcast</t>
  </si>
  <si>
    <t>G</t>
  </si>
  <si>
    <t>Repair</t>
  </si>
  <si>
    <t>Operasional (Instalasi, Maintenance, Relokasi)</t>
  </si>
  <si>
    <t>Lain-lain (Reimbursement)</t>
  </si>
  <si>
    <t>E, M, V</t>
  </si>
  <si>
    <t>V SCPC</t>
  </si>
  <si>
    <t>M, V</t>
  </si>
  <si>
    <t>G, W</t>
  </si>
  <si>
    <t>V, G</t>
  </si>
  <si>
    <t>W, I</t>
  </si>
  <si>
    <t>Vsat (Bandwith, Broadband, SCPC, Backup)</t>
  </si>
  <si>
    <t>SB</t>
  </si>
  <si>
    <t>FEBRUARI</t>
  </si>
  <si>
    <t>100</t>
  </si>
  <si>
    <t>062</t>
  </si>
  <si>
    <t>46</t>
  </si>
  <si>
    <t>47</t>
  </si>
  <si>
    <t>16-002</t>
  </si>
  <si>
    <t>16-003</t>
  </si>
  <si>
    <t>15-013,014,019,020,021</t>
  </si>
  <si>
    <t>LINE INTER CIKARA, PT</t>
  </si>
  <si>
    <t>HDD</t>
  </si>
  <si>
    <t>16-001/BKU-KWIT/JAN</t>
  </si>
  <si>
    <t>48</t>
  </si>
  <si>
    <t>16-005/BKU-004/III/172</t>
  </si>
  <si>
    <t>16-001/BKU-004/III/148</t>
  </si>
  <si>
    <t>16-003/BKU-004/III/166</t>
  </si>
  <si>
    <t>16-003/BKU-004/III/180</t>
  </si>
  <si>
    <t>JETCOMS NETINDO, PT</t>
  </si>
  <si>
    <t>PEMERINTAH KABUPATEN SIGI</t>
  </si>
  <si>
    <t>16-001/BKU-004/III/184</t>
  </si>
  <si>
    <t>16-014/BKU-004/III/057</t>
  </si>
  <si>
    <t>16-015/BKU-004/III/057</t>
  </si>
  <si>
    <t>16-017/BKU-004/III/057</t>
  </si>
  <si>
    <t>16-009/BKU-004/III/010</t>
  </si>
  <si>
    <t>027</t>
  </si>
  <si>
    <t>49</t>
  </si>
  <si>
    <t>16-007-009</t>
  </si>
  <si>
    <t>16-005</t>
  </si>
  <si>
    <t>16-004/BKU-004/IV/180</t>
  </si>
  <si>
    <t>16-018/BKU-004/IV/057</t>
  </si>
  <si>
    <t>16-004/BKU-004/IV/166</t>
  </si>
  <si>
    <t>16-024/BKU-004/IV/057</t>
  </si>
  <si>
    <t>16-003/BKU-004/IV/007</t>
  </si>
  <si>
    <t>16-004/BKU-004/IV/007</t>
  </si>
  <si>
    <t>TEBAR TANDAN TENERA, PT</t>
  </si>
  <si>
    <t>ARD, PT</t>
  </si>
  <si>
    <t>16-012/BKU-004/IV/198</t>
  </si>
  <si>
    <t>indria</t>
  </si>
  <si>
    <t>16-025/BKU-004/IV/057</t>
  </si>
  <si>
    <t>16-026/BKU-004/IV/057</t>
  </si>
  <si>
    <t>16-028/BKU-004/IV/057</t>
  </si>
  <si>
    <t>16-029/BKU-004/IV/057</t>
  </si>
  <si>
    <t>16-030/BKU-004/IV/057</t>
  </si>
  <si>
    <t>16-013/BKU-004/IV/009</t>
  </si>
  <si>
    <t>227</t>
  </si>
  <si>
    <t>51</t>
  </si>
  <si>
    <t>52</t>
  </si>
  <si>
    <t>53</t>
  </si>
  <si>
    <t>16-007-008</t>
  </si>
  <si>
    <t>PALU</t>
  </si>
  <si>
    <t>027/05.48/PHBKI</t>
  </si>
  <si>
    <t>54</t>
  </si>
  <si>
    <t>PEMBANGUNAN PERUMAHAN (PERSERO), PT</t>
  </si>
  <si>
    <t>16-001/BKU-004/V/226</t>
  </si>
  <si>
    <t>16-002/BKU-004/V/226</t>
  </si>
  <si>
    <t>O &amp; V</t>
  </si>
  <si>
    <t>16-004/BKU-004/V/184</t>
  </si>
  <si>
    <t>16-007/BKU-004/V/172</t>
  </si>
  <si>
    <t>16-005/BKU-004/V/166</t>
  </si>
  <si>
    <t>16-005/BKU-004/V/180</t>
  </si>
  <si>
    <t>16-017/BKU-004/V/189</t>
  </si>
  <si>
    <t>16-023/BKU-004/V/159</t>
  </si>
  <si>
    <t>16-024/BKU-004/V/159</t>
  </si>
  <si>
    <t>16-025/BKU-004/V/159</t>
  </si>
  <si>
    <t>16-026/BKU-004/V/159</t>
  </si>
  <si>
    <t>16-027/BKU-004/V/159</t>
  </si>
  <si>
    <t>16-028/BKU-004/V/159</t>
  </si>
  <si>
    <t>RIUNG MITRA LESTARI, PT</t>
  </si>
  <si>
    <t>16-001/BKU-004/V/149</t>
  </si>
  <si>
    <t>16-044/BKU-004/V/057</t>
  </si>
  <si>
    <t>W &amp; G</t>
  </si>
  <si>
    <t>16-029/BKU-004/V/159</t>
  </si>
  <si>
    <t>16-030/BKU-004/V/159</t>
  </si>
  <si>
    <t>16-010/BKU-004/V/172</t>
  </si>
  <si>
    <t>226</t>
  </si>
  <si>
    <t>149</t>
  </si>
  <si>
    <t>55</t>
  </si>
  <si>
    <t>56</t>
  </si>
  <si>
    <t>16-004-005</t>
  </si>
  <si>
    <t>16-011/BKU-004/VI/172</t>
  </si>
  <si>
    <t>16-008/BKU-004/VI/179</t>
  </si>
  <si>
    <t>16-009/BKU-004/VI/179</t>
  </si>
  <si>
    <t>16-031/BKU-004/VI/159</t>
  </si>
  <si>
    <t>16-032/BKU-004/VI/159</t>
  </si>
  <si>
    <t>16-033/BKU-004/VI/159</t>
  </si>
  <si>
    <t>16-034/BKU-004/VI/159</t>
  </si>
  <si>
    <t>16-035/BKU-004/VI/159</t>
  </si>
  <si>
    <t>16-006/BKU-004/VI/166</t>
  </si>
  <si>
    <t>16-006/BKU-004/VI/180</t>
  </si>
  <si>
    <t>16-007/BKU-004/VI/180</t>
  </si>
  <si>
    <t>16-003/BKU-004/VI/226</t>
  </si>
  <si>
    <t>16-007/BKU-004/VI/145</t>
  </si>
  <si>
    <t>16-022/BKU-004/VI/010</t>
  </si>
  <si>
    <t>16-023/BKU-004/VI/010</t>
  </si>
  <si>
    <t>16-024/BKU-004/VI/010</t>
  </si>
  <si>
    <t>16-025/BKU-004/VI/010</t>
  </si>
  <si>
    <t>16-026/BKU-004/VI/010</t>
  </si>
  <si>
    <t>16-027/BKU-004/VI/010</t>
  </si>
  <si>
    <t>16-028/BKU-004/VI/010</t>
  </si>
  <si>
    <t>16-029/BKU-004/VI/010</t>
  </si>
  <si>
    <t>16-030/BKU-004/VI/010</t>
  </si>
  <si>
    <t>16-031/BKU-004/VI/010</t>
  </si>
  <si>
    <t>16-021/BKU-004/VI/189</t>
  </si>
  <si>
    <t>16-002/BKU-004/VI/149</t>
  </si>
  <si>
    <t>16-053/BKU-004/VI/057</t>
  </si>
  <si>
    <t>16-005/BKU-004/VI/007</t>
  </si>
  <si>
    <t>16-006/BKU-004/VI/007</t>
  </si>
  <si>
    <t>BKU-ZTE16005</t>
  </si>
  <si>
    <t>16-010/BKU-004/VI/179</t>
  </si>
  <si>
    <t>16-011/BKU-004/VI/179</t>
  </si>
  <si>
    <t>16-013/BKU-004/VI/172</t>
  </si>
  <si>
    <t>16-014/BKU-004/VI/172</t>
  </si>
  <si>
    <t>16-009/BKU-004/VII/097</t>
  </si>
  <si>
    <t>16-007/BKU-004/VII/208</t>
  </si>
  <si>
    <t>16-004/BKU-004/VII/226</t>
  </si>
  <si>
    <t>16-003/BKU-004/VII/149</t>
  </si>
  <si>
    <t>16-007/BKU-004/VII/166</t>
  </si>
  <si>
    <t>16-061/BKU-004/VII/057</t>
  </si>
  <si>
    <t>16-023/BKU-004/VII/189</t>
  </si>
  <si>
    <t>16-009/BKU-004/VII/145</t>
  </si>
  <si>
    <t>16-024/BKU-004/VII/009</t>
  </si>
  <si>
    <t>16-012/BKU-004/VII/179</t>
  </si>
  <si>
    <t>16-013/BKU-004/VII/179</t>
  </si>
  <si>
    <t>16-014/BKU-004/VII/179</t>
  </si>
  <si>
    <t>16-015/BKU-004/VII/179</t>
  </si>
  <si>
    <t>16-036/BKU-004/VII/159</t>
  </si>
  <si>
    <t>16-037/BKU-004/VII/159</t>
  </si>
  <si>
    <t>16-038/BKU-004/VII/159</t>
  </si>
  <si>
    <t>16-039/BKU-004/VII/159</t>
  </si>
  <si>
    <t>16-040/BKU-004/VII/159</t>
  </si>
  <si>
    <t>014/BKU-SPH09/IV/2016 (01/Dok/Pojka.ULP/Kominfo.01.01/IV/2016</t>
  </si>
  <si>
    <t>15-010</t>
  </si>
  <si>
    <t>16-008</t>
  </si>
  <si>
    <t>14-001-16-001</t>
  </si>
  <si>
    <t>16-069/BKU-004/VII/057</t>
  </si>
  <si>
    <t>16-016/BKU-004/VII/211</t>
  </si>
  <si>
    <t>16-017/BKU-004/VII/211</t>
  </si>
  <si>
    <t>16-018/BKU-004/VII/211</t>
  </si>
  <si>
    <t>16-015/BKU-004/VII/172</t>
  </si>
  <si>
    <t>16-016/BKU-004/VII/172</t>
  </si>
  <si>
    <t>16-029/BKU-004/VIII/009</t>
  </si>
  <si>
    <t>16-028/BKU-004/VIII/009</t>
  </si>
  <si>
    <t>16-010/BKU-004/VIII/220</t>
  </si>
  <si>
    <t>16-020/BKU-004/VIII/198</t>
  </si>
  <si>
    <t>16-021/BKU-004/VIII/198</t>
  </si>
  <si>
    <t>16-010/BKU-004/VIII/097</t>
  </si>
  <si>
    <t>16-014/BKU-004/VIII/196</t>
  </si>
  <si>
    <t>16-015/BKU-004/VIII/196</t>
  </si>
  <si>
    <t>16-010/BKU-004/VIII/145</t>
  </si>
  <si>
    <t>16-005/BKU-004/VIII/226</t>
  </si>
  <si>
    <t>16-004/BKU-004/VIII/149</t>
  </si>
  <si>
    <t>16-008/BKU-004/VIII/166</t>
  </si>
  <si>
    <t>16-008/BKU-004/VIII/208</t>
  </si>
  <si>
    <t>16-032/BKU-004/VIII/010</t>
  </si>
  <si>
    <t>16-033/BKU-004/VIII/010</t>
  </si>
  <si>
    <t>16-010/BKU-004/VIII/224</t>
  </si>
  <si>
    <t>16-008/BKU-004/VIII/207</t>
  </si>
  <si>
    <t>16-008/BKU-004/VIII/210</t>
  </si>
  <si>
    <t>16-005/BKU-004/VIII/227</t>
  </si>
  <si>
    <t>16-018/BKU-004/VIII/204</t>
  </si>
  <si>
    <t>16-019/BKU-004/VIII/204</t>
  </si>
  <si>
    <t>16-020/BKU-004/VIII/204</t>
  </si>
  <si>
    <t>16-007/BKU-004/VIII/007</t>
  </si>
  <si>
    <t>16-008/BKU-004/VIII/007</t>
  </si>
  <si>
    <t>16-007/BKU-004/VII/184</t>
  </si>
  <si>
    <t>16-075/BKU-004/VIII/057</t>
  </si>
  <si>
    <t>16-076/BKU-004/VIII/057</t>
  </si>
  <si>
    <t>16-016/BKU-004/VIII/179</t>
  </si>
  <si>
    <t>16-017/BKU-004/VIII/179</t>
  </si>
  <si>
    <t>16-041/BKU-004/VIII/159</t>
  </si>
  <si>
    <t>16-042/BKU-004/VIII/159</t>
  </si>
  <si>
    <t>16-043/BKU-004/VIII/159</t>
  </si>
  <si>
    <t>16-044/BKU-004/VIII/159</t>
  </si>
  <si>
    <t>16-045/BKU-004/VIII/159</t>
  </si>
  <si>
    <t>16-008/BKU-004/VIII/184</t>
  </si>
  <si>
    <t>027/05.40/PHBKI</t>
  </si>
  <si>
    <t>16-077/BKU-004/VIII/057</t>
  </si>
  <si>
    <t>16-078/BKU-004/VIII/057</t>
  </si>
  <si>
    <t>16-079/BKU-004/VIII/057</t>
  </si>
  <si>
    <t>16-080/BKU-004/VIII/057</t>
  </si>
  <si>
    <t>16-027/BKU-004/VIII/009</t>
  </si>
  <si>
    <t>AGUSTUS</t>
  </si>
  <si>
    <t>?</t>
  </si>
  <si>
    <t>16-010</t>
  </si>
  <si>
    <t>15-017-16-007</t>
  </si>
  <si>
    <t>RINCIAN OUTSTANDING INVOICE Per 31 Agustus 2016</t>
  </si>
  <si>
    <t>16-018/BKU-004/VIII/179</t>
  </si>
  <si>
    <t>16-017/BKU-004/VIII/172</t>
  </si>
  <si>
    <t>16-018/BKU-004/VIII/172</t>
  </si>
  <si>
    <t>16-034/BKU-004/VIII/010</t>
  </si>
  <si>
    <t>16-019/BKU-004/VIII/211</t>
  </si>
  <si>
    <t>16-020/BKU-004/VIII/211</t>
  </si>
  <si>
    <t>16-021/BKU-004/VIII/211</t>
  </si>
  <si>
    <t>16-024/BKU-004/IX/189</t>
  </si>
  <si>
    <t>16-025/BKU-004/IX/189</t>
  </si>
  <si>
    <t>16-001/BKU-004/IX/218</t>
  </si>
  <si>
    <t>16-009/BKU-004/IX/166</t>
  </si>
  <si>
    <t>16-011/BKU-004/IX/097</t>
  </si>
  <si>
    <t>16-019/BKU-004/IX/179</t>
  </si>
  <si>
    <t>16-020/BKU-004/IX/179</t>
  </si>
  <si>
    <t>16-021/BKU-004/IX/179</t>
  </si>
  <si>
    <t>16-022/BKU-004/IX/179</t>
  </si>
  <si>
    <t>16-016/BKU-004/IX/196</t>
  </si>
  <si>
    <t>16-017/BKU-004/IX/196</t>
  </si>
  <si>
    <t>16-006/BKU-004/IX/226</t>
  </si>
  <si>
    <t>16-005/BKU-004/IX/149</t>
  </si>
  <si>
    <t>16-011/BKU-004/IX/145</t>
  </si>
  <si>
    <t>16-011/BKU-004/IX/220</t>
  </si>
  <si>
    <t>16-001/BKU-004/IX/038</t>
  </si>
  <si>
    <t>16-011/BKU-004/IX/224</t>
  </si>
  <si>
    <t>16-009/BKU-004/IX/210</t>
  </si>
  <si>
    <t>16-009/BKU-004/IX/207</t>
  </si>
  <si>
    <t>16-006/BKU-004/IX/227</t>
  </si>
  <si>
    <t>INDO PRATAMA TELEGLOBAL, PT</t>
  </si>
  <si>
    <t>16-009/BKU-004/IX/208</t>
  </si>
  <si>
    <t>16-010/BKU-004/IX/208</t>
  </si>
  <si>
    <t>16-011/BKU-004/IX/208</t>
  </si>
  <si>
    <t>O, I</t>
  </si>
  <si>
    <t>16-022/BKU-004/IX/198</t>
  </si>
  <si>
    <t>16-023/BKU-004/IX/198</t>
  </si>
  <si>
    <t>16-024/BKU-004/IX/204</t>
  </si>
  <si>
    <t>16-081/BKU-004/IX/057</t>
  </si>
  <si>
    <t>16-082/BKU-004/IX/057</t>
  </si>
  <si>
    <t>16-009/BKU-004/IX/007</t>
  </si>
  <si>
    <t>SEPTEMBER</t>
  </si>
  <si>
    <t>038</t>
  </si>
  <si>
    <t>57</t>
  </si>
  <si>
    <t>16-010/BKU-004/IX/210</t>
  </si>
  <si>
    <t>PERTIWI LENGGARA AGROMAS, PT</t>
  </si>
  <si>
    <t>16-001/BKU-004/IX/230</t>
  </si>
  <si>
    <t>230</t>
  </si>
  <si>
    <t>58</t>
  </si>
  <si>
    <t>16-022/BKU-004/IX/211</t>
  </si>
  <si>
    <t>16-023/BKU-004/IX/211</t>
  </si>
  <si>
    <t>16-024/BKU-004/IX/211</t>
  </si>
  <si>
    <t>16-009/BKU-004/IX/184</t>
  </si>
  <si>
    <t>BKU-ZTE16006</t>
  </si>
  <si>
    <t>BKU-ZTE16007</t>
  </si>
  <si>
    <t>16-020/BKU-004/IX/172</t>
  </si>
  <si>
    <t>16-020-021</t>
  </si>
  <si>
    <t>16-024,27-29</t>
  </si>
  <si>
    <t>16-017-018</t>
  </si>
  <si>
    <t>15-012-16-007</t>
  </si>
  <si>
    <t>16-021-16-023</t>
  </si>
  <si>
    <t>16-023-16-040</t>
  </si>
  <si>
    <t>16-008-16-018</t>
  </si>
  <si>
    <t>16-018-16-020</t>
  </si>
  <si>
    <t>16-007-16-008</t>
  </si>
  <si>
    <t>16-075-16-080</t>
  </si>
  <si>
    <t>16-016-16-021</t>
  </si>
  <si>
    <t>16-014-16-015</t>
  </si>
  <si>
    <t>PEMERINTAH KABUPATEN LUWUK</t>
  </si>
  <si>
    <t>015/SPK_PAD/DISHUBKOMINFO_BGI/2016</t>
  </si>
  <si>
    <t>59</t>
  </si>
  <si>
    <t>RINCIAN OUTSTANDING INVOICE Per 30 September 2016</t>
  </si>
  <si>
    <t>16-019/BKU-004/X/172</t>
  </si>
  <si>
    <t>BKU-ZTE16008</t>
  </si>
  <si>
    <t>16-010/BKU-004/X/007</t>
  </si>
  <si>
    <t>16-010/BKU-004/X/166</t>
  </si>
  <si>
    <t>16-002/BKU-004/X/230</t>
  </si>
  <si>
    <t>010.034-16.19771326</t>
  </si>
  <si>
    <t>PERUM LEMBAGA PENYELENGGARA PELAYANAN NAVIGASI PENERBANGAN INDONESIA</t>
  </si>
  <si>
    <t>16-001/BKU-004/X/229</t>
  </si>
  <si>
    <t>OKTOBER</t>
  </si>
  <si>
    <t>229</t>
  </si>
  <si>
    <t>60</t>
  </si>
  <si>
    <t>PUNCAK KEEMASAN LLUMBUNG DUNIA, PT</t>
  </si>
  <si>
    <t>225</t>
  </si>
  <si>
    <t>61</t>
  </si>
  <si>
    <t>16-007/BKU-004/XI/149</t>
  </si>
  <si>
    <t>010.034-16.19771365</t>
  </si>
  <si>
    <t>16-013/BKU-004/XI/145</t>
  </si>
  <si>
    <t>010.034-16.19771364</t>
  </si>
  <si>
    <t>16-021/BKU-004/X/172</t>
  </si>
  <si>
    <t>16-028/BKU-004/XI/189</t>
  </si>
  <si>
    <t>010.034-16.19771351</t>
  </si>
  <si>
    <t>16-029/BKU-004/XI/189</t>
  </si>
  <si>
    <t>010.034-16.19771352</t>
  </si>
  <si>
    <t>16-011/BKU-004/XI/166</t>
  </si>
  <si>
    <t>BKU-ZTE16009</t>
  </si>
  <si>
    <t>010.034-16.19771341</t>
  </si>
  <si>
    <t>16-011/BKU-004/XI/007</t>
  </si>
  <si>
    <t>16-003/BKU-004/XI/230</t>
  </si>
  <si>
    <t>010.034-16.19771384</t>
  </si>
  <si>
    <t>16-013/BKU-004/XI/208</t>
  </si>
  <si>
    <t>010.034-16.19771371</t>
  </si>
  <si>
    <t>DATA COSTUMER AKTIF PER BULAN NOVEMBER 2016</t>
  </si>
  <si>
    <t>Muara pahu melak</t>
  </si>
  <si>
    <t>Malinau</t>
  </si>
  <si>
    <t>P. Bun Kalteng</t>
  </si>
  <si>
    <t>WDL</t>
  </si>
  <si>
    <t>Rig 9 Drilling Sarulla</t>
  </si>
  <si>
    <t>MPLS</t>
  </si>
  <si>
    <t>HO</t>
  </si>
  <si>
    <t>PDU</t>
  </si>
  <si>
    <t>DMI</t>
  </si>
  <si>
    <t>SEKAYAN</t>
  </si>
  <si>
    <t>VSAT</t>
  </si>
  <si>
    <t>MGA</t>
  </si>
  <si>
    <t>PPA EX SMI</t>
  </si>
  <si>
    <t>Kendawangan</t>
  </si>
  <si>
    <t>SGU</t>
  </si>
  <si>
    <t>OBI</t>
  </si>
  <si>
    <t>HKI 1</t>
  </si>
  <si>
    <t>HKI 2</t>
  </si>
  <si>
    <t>HKI 5</t>
  </si>
  <si>
    <t>HKI 6</t>
  </si>
  <si>
    <t>Angkasa Pura</t>
  </si>
  <si>
    <t>Antena</t>
  </si>
  <si>
    <t>WAN</t>
  </si>
  <si>
    <t>KPP Mass</t>
  </si>
  <si>
    <t>KPP PBAT</t>
  </si>
  <si>
    <t>Metro</t>
  </si>
  <si>
    <t>Radio</t>
  </si>
  <si>
    <t>Gd. Astra Graphia</t>
  </si>
  <si>
    <t>KPP Asto Muara Teweh</t>
  </si>
  <si>
    <t>LAB 1</t>
  </si>
  <si>
    <t>LAB 2</t>
  </si>
  <si>
    <t>KMM</t>
  </si>
  <si>
    <t>WDL &amp; Internet</t>
  </si>
  <si>
    <t>Krassi Sebakung</t>
  </si>
  <si>
    <t>Internet FO</t>
  </si>
  <si>
    <t>HO Pro Mandiri Build Latumenten</t>
  </si>
  <si>
    <t>Medco Wapeko Merauke</t>
  </si>
  <si>
    <t>1 Nov - 30 Nov 2016</t>
  </si>
  <si>
    <t>Sebuku</t>
  </si>
  <si>
    <t>Lolak</t>
  </si>
  <si>
    <t>20 Okt - 20 Nov 2016</t>
  </si>
  <si>
    <t>Landak Kalbar</t>
  </si>
  <si>
    <t>4 Nov - 4 Des 2016</t>
  </si>
  <si>
    <t>Ketapang Kalbar</t>
  </si>
  <si>
    <t>27 Okt - 27 Nov 2016</t>
  </si>
  <si>
    <t>Krassi Sesayap</t>
  </si>
  <si>
    <t>11 Okt - 11 Nov 2016</t>
  </si>
  <si>
    <t>TTT</t>
  </si>
  <si>
    <t>29 Okt - 29 Nov 2016</t>
  </si>
  <si>
    <t>Transponder</t>
  </si>
  <si>
    <t>Oktober 2016</t>
  </si>
  <si>
    <t>25 Sep - 25 Okt 2016</t>
  </si>
  <si>
    <t>25 Okt - 25 Nov 2016</t>
  </si>
  <si>
    <t>10 Okt - 10 Nov 2016</t>
  </si>
  <si>
    <t>5 Okt - 5 Nov 2016</t>
  </si>
  <si>
    <t>24 Okt - 24 Nov 2016</t>
  </si>
  <si>
    <t>8 Okt - 8 Nov 2016</t>
  </si>
  <si>
    <t>30 Okt - 30 Nov 2016</t>
  </si>
  <si>
    <t>9 Okt - 9 Nov 2016</t>
  </si>
  <si>
    <t>1 Sep - 1 Okt 2016</t>
  </si>
  <si>
    <t>3 Sep - 3 Okt 2016</t>
  </si>
  <si>
    <t>6 Sep - 6 Okt 2016</t>
  </si>
  <si>
    <t>7 Okt - 7 Nov 2016</t>
  </si>
  <si>
    <t>21 Sep - 21 Okt 2016</t>
  </si>
  <si>
    <t>23 Okt - 23 Nov 2016</t>
  </si>
  <si>
    <t>16 Okt - 16 Nov 2016</t>
  </si>
  <si>
    <t>19 Okt - 19 Nov 2016</t>
  </si>
  <si>
    <t>Suban</t>
  </si>
  <si>
    <t>IAC Kintap</t>
  </si>
  <si>
    <t>Timika</t>
  </si>
  <si>
    <t>Binuang</t>
  </si>
  <si>
    <t>4 Ags - 4 Sep 2016</t>
  </si>
  <si>
    <t>24 Ags - 23 Sep 2016</t>
  </si>
  <si>
    <t>Periode Terakhir</t>
  </si>
  <si>
    <t>Site</t>
  </si>
  <si>
    <t>Costumer</t>
  </si>
  <si>
    <t>Checklist Invoice</t>
  </si>
  <si>
    <t>SPI</t>
  </si>
  <si>
    <t>OUTS</t>
  </si>
  <si>
    <t>INV</t>
  </si>
  <si>
    <t>MR/SLA</t>
  </si>
  <si>
    <t>FP (QTY)</t>
  </si>
  <si>
    <t>GSM</t>
  </si>
  <si>
    <t>Asam2</t>
  </si>
  <si>
    <t>Bengalon</t>
  </si>
  <si>
    <t>Wetar</t>
  </si>
  <si>
    <t>Wira/West Pit</t>
  </si>
  <si>
    <t>IPC</t>
  </si>
  <si>
    <t>Kel</t>
  </si>
  <si>
    <t>KPUC</t>
  </si>
  <si>
    <t>Tembang</t>
  </si>
  <si>
    <t>18 Sep - 18 Okt 2016</t>
  </si>
  <si>
    <t>18 Jul - 18 Ags 2016</t>
  </si>
  <si>
    <t>PO</t>
  </si>
  <si>
    <t>Lampiran</t>
  </si>
  <si>
    <t>PEMERINTAH KABUPATEN PASANG KAYU</t>
  </si>
  <si>
    <t xml:space="preserve">PENGADAAN BARANG &amp; JASA UNTUK KEBUTUHAN TINGKAT KABUPATEN, SKPD WIRELESS, SKPD FO, KECAMATAN (CAPEX &amp; OPEX) </t>
  </si>
  <si>
    <t>PEMERINTAH KABUPATEN MALINAU</t>
  </si>
  <si>
    <t>PENGADAAN SEWA TRANSPONDER SATELIT DAN INTERNET BACKUP</t>
  </si>
  <si>
    <t>PUNCAK KEEMASAN LUMBUNG DUNIA, PT</t>
  </si>
  <si>
    <t>√</t>
  </si>
  <si>
    <t>Serah terima pembuatan Invoice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</si>
  <si>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</si>
  <si>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</si>
  <si>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</si>
  <si>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</si>
  <si>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</si>
  <si>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</si>
  <si>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</si>
  <si>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</si>
  <si>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</si>
  <si>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</si>
  <si>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</si>
  <si>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</si>
  <si>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JASA</t>
  </si>
  <si>
    <t>16-002/BKU-004/XI/038</t>
  </si>
  <si>
    <t>010.034-16.19771387</t>
  </si>
  <si>
    <t xml:space="preserve">Note : </t>
  </si>
  <si>
    <t>16-002/BKU-004/XI/225</t>
  </si>
  <si>
    <t>010.034-16.19771388</t>
  </si>
  <si>
    <t>No.</t>
  </si>
  <si>
    <t>Payment Reff</t>
  </si>
  <si>
    <t>No. Invoice</t>
  </si>
  <si>
    <t>Customer</t>
  </si>
  <si>
    <t>0001</t>
  </si>
  <si>
    <t>0051</t>
  </si>
  <si>
    <t>0101</t>
  </si>
  <si>
    <t>0301</t>
  </si>
  <si>
    <t>0002</t>
  </si>
  <si>
    <t>0052</t>
  </si>
  <si>
    <t>0102</t>
  </si>
  <si>
    <t>0302</t>
  </si>
  <si>
    <t>0003</t>
  </si>
  <si>
    <t>0053</t>
  </si>
  <si>
    <t>0103</t>
  </si>
  <si>
    <t>0303</t>
  </si>
  <si>
    <t>0004</t>
  </si>
  <si>
    <t>0054</t>
  </si>
  <si>
    <t>0104</t>
  </si>
  <si>
    <t>0304</t>
  </si>
  <si>
    <t>0005</t>
  </si>
  <si>
    <t>0055</t>
  </si>
  <si>
    <t>0105</t>
  </si>
  <si>
    <t>0305</t>
  </si>
  <si>
    <t>0006</t>
  </si>
  <si>
    <t>0056</t>
  </si>
  <si>
    <t>0106</t>
  </si>
  <si>
    <t>0306</t>
  </si>
  <si>
    <t>0007</t>
  </si>
  <si>
    <t>0057</t>
  </si>
  <si>
    <t>0107</t>
  </si>
  <si>
    <t>0307</t>
  </si>
  <si>
    <t>0008</t>
  </si>
  <si>
    <t>0058</t>
  </si>
  <si>
    <t>0108</t>
  </si>
  <si>
    <t>0308</t>
  </si>
  <si>
    <t>0009</t>
  </si>
  <si>
    <t>0059</t>
  </si>
  <si>
    <t>0109</t>
  </si>
  <si>
    <t>0309</t>
  </si>
  <si>
    <t>0010</t>
  </si>
  <si>
    <t>0060</t>
  </si>
  <si>
    <t>0110</t>
  </si>
  <si>
    <t>0310</t>
  </si>
  <si>
    <t>0011</t>
  </si>
  <si>
    <t>0061</t>
  </si>
  <si>
    <t>0111</t>
  </si>
  <si>
    <t>0311</t>
  </si>
  <si>
    <t>0012</t>
  </si>
  <si>
    <t>0062</t>
  </si>
  <si>
    <t>0112</t>
  </si>
  <si>
    <t>0312</t>
  </si>
  <si>
    <t>0013</t>
  </si>
  <si>
    <t>0063</t>
  </si>
  <si>
    <t>0113</t>
  </si>
  <si>
    <t>0313</t>
  </si>
  <si>
    <t>0014</t>
  </si>
  <si>
    <t>0064</t>
  </si>
  <si>
    <t>0114</t>
  </si>
  <si>
    <t>0314</t>
  </si>
  <si>
    <t>0015</t>
  </si>
  <si>
    <t>0065</t>
  </si>
  <si>
    <t>0115</t>
  </si>
  <si>
    <t>0315</t>
  </si>
  <si>
    <t>0016</t>
  </si>
  <si>
    <t>0066</t>
  </si>
  <si>
    <t>0116</t>
  </si>
  <si>
    <t>0316</t>
  </si>
  <si>
    <t>0017</t>
  </si>
  <si>
    <t>0067</t>
  </si>
  <si>
    <t>0117</t>
  </si>
  <si>
    <t>0317</t>
  </si>
  <si>
    <t>0018</t>
  </si>
  <si>
    <t>0068</t>
  </si>
  <si>
    <t>0118</t>
  </si>
  <si>
    <t>0318</t>
  </si>
  <si>
    <t>0019</t>
  </si>
  <si>
    <t>0069</t>
  </si>
  <si>
    <t>0119</t>
  </si>
  <si>
    <t>0319</t>
  </si>
  <si>
    <t>0020</t>
  </si>
  <si>
    <t>0070</t>
  </si>
  <si>
    <t>0120</t>
  </si>
  <si>
    <t>0320</t>
  </si>
  <si>
    <t>0021</t>
  </si>
  <si>
    <t>0071</t>
  </si>
  <si>
    <t>0121</t>
  </si>
  <si>
    <t>0321</t>
  </si>
  <si>
    <t>0022</t>
  </si>
  <si>
    <t>0072</t>
  </si>
  <si>
    <t>0122</t>
  </si>
  <si>
    <t>0322</t>
  </si>
  <si>
    <t>0023</t>
  </si>
  <si>
    <t>0073</t>
  </si>
  <si>
    <t>0123</t>
  </si>
  <si>
    <t>0323</t>
  </si>
  <si>
    <t>0024</t>
  </si>
  <si>
    <t>0074</t>
  </si>
  <si>
    <t>0124</t>
  </si>
  <si>
    <t>0324</t>
  </si>
  <si>
    <t>0025</t>
  </si>
  <si>
    <t>0075</t>
  </si>
  <si>
    <t>0125</t>
  </si>
  <si>
    <t>0325</t>
  </si>
  <si>
    <t>0026</t>
  </si>
  <si>
    <t>0076</t>
  </si>
  <si>
    <t>0126</t>
  </si>
  <si>
    <t>0326</t>
  </si>
  <si>
    <t>0027</t>
  </si>
  <si>
    <t>0077</t>
  </si>
  <si>
    <t>0127</t>
  </si>
  <si>
    <t>0327</t>
  </si>
  <si>
    <t>0028</t>
  </si>
  <si>
    <t>0078</t>
  </si>
  <si>
    <t>0128</t>
  </si>
  <si>
    <t>0328</t>
  </si>
  <si>
    <t>0029</t>
  </si>
  <si>
    <t>0079</t>
  </si>
  <si>
    <t>0129</t>
  </si>
  <si>
    <t>0329</t>
  </si>
  <si>
    <t>0030</t>
  </si>
  <si>
    <t>0080</t>
  </si>
  <si>
    <t>0130</t>
  </si>
  <si>
    <t>PTS</t>
  </si>
  <si>
    <t>0330</t>
  </si>
  <si>
    <t>0031</t>
  </si>
  <si>
    <t>0081</t>
  </si>
  <si>
    <t>0131</t>
  </si>
  <si>
    <t>0331</t>
  </si>
  <si>
    <t>0032</t>
  </si>
  <si>
    <t>0082</t>
  </si>
  <si>
    <t>0132</t>
  </si>
  <si>
    <t>0332</t>
  </si>
  <si>
    <t>0033</t>
  </si>
  <si>
    <t>0083</t>
  </si>
  <si>
    <t>0133</t>
  </si>
  <si>
    <t>0333</t>
  </si>
  <si>
    <t>0034</t>
  </si>
  <si>
    <t>0084</t>
  </si>
  <si>
    <t>0134</t>
  </si>
  <si>
    <t>0334</t>
  </si>
  <si>
    <t>0035</t>
  </si>
  <si>
    <t>0085</t>
  </si>
  <si>
    <t>0135</t>
  </si>
  <si>
    <t>0335</t>
  </si>
  <si>
    <t>0036</t>
  </si>
  <si>
    <t>0086</t>
  </si>
  <si>
    <t>0136</t>
  </si>
  <si>
    <t>0336</t>
  </si>
  <si>
    <t>0037</t>
  </si>
  <si>
    <t>0087</t>
  </si>
  <si>
    <t>0137</t>
  </si>
  <si>
    <t>0337</t>
  </si>
  <si>
    <t>0038</t>
  </si>
  <si>
    <t>0088</t>
  </si>
  <si>
    <t>0138</t>
  </si>
  <si>
    <t>0338</t>
  </si>
  <si>
    <t>0039</t>
  </si>
  <si>
    <t>0089</t>
  </si>
  <si>
    <t>0139</t>
  </si>
  <si>
    <t>0339</t>
  </si>
  <si>
    <t>0040</t>
  </si>
  <si>
    <t>0090</t>
  </si>
  <si>
    <t>0140</t>
  </si>
  <si>
    <t>0340</t>
  </si>
  <si>
    <t>0041</t>
  </si>
  <si>
    <t>0091</t>
  </si>
  <si>
    <t>0141</t>
  </si>
  <si>
    <t>0341</t>
  </si>
  <si>
    <t>0042</t>
  </si>
  <si>
    <t>0092</t>
  </si>
  <si>
    <t>0142</t>
  </si>
  <si>
    <t>0342</t>
  </si>
  <si>
    <t>0043</t>
  </si>
  <si>
    <t>0093</t>
  </si>
  <si>
    <t>0143</t>
  </si>
  <si>
    <t>0343</t>
  </si>
  <si>
    <t>0044</t>
  </si>
  <si>
    <t>0094</t>
  </si>
  <si>
    <t>0144</t>
  </si>
  <si>
    <t>0344</t>
  </si>
  <si>
    <t>0045</t>
  </si>
  <si>
    <t>0095</t>
  </si>
  <si>
    <t>0145</t>
  </si>
  <si>
    <t>0345</t>
  </si>
  <si>
    <t>0046</t>
  </si>
  <si>
    <t>0096</t>
  </si>
  <si>
    <t>0146</t>
  </si>
  <si>
    <t>0346</t>
  </si>
  <si>
    <t>0047</t>
  </si>
  <si>
    <t>0097</t>
  </si>
  <si>
    <t>0147</t>
  </si>
  <si>
    <t>0347</t>
  </si>
  <si>
    <t>0048</t>
  </si>
  <si>
    <t>0098</t>
  </si>
  <si>
    <t>0148</t>
  </si>
  <si>
    <t>0348</t>
  </si>
  <si>
    <t>0049</t>
  </si>
  <si>
    <t>0099</t>
  </si>
  <si>
    <t>0149</t>
  </si>
  <si>
    <t>0349</t>
  </si>
  <si>
    <t>0050</t>
  </si>
  <si>
    <t>0100</t>
  </si>
  <si>
    <t>0150</t>
  </si>
  <si>
    <t>0350</t>
  </si>
  <si>
    <t>0151</t>
  </si>
  <si>
    <t>0201</t>
  </si>
  <si>
    <t>0251</t>
  </si>
  <si>
    <t>0351</t>
  </si>
  <si>
    <t>0152</t>
  </si>
  <si>
    <t>0202</t>
  </si>
  <si>
    <t>0252</t>
  </si>
  <si>
    <t>0352</t>
  </si>
  <si>
    <t>0153</t>
  </si>
  <si>
    <t>0203</t>
  </si>
  <si>
    <t>0253</t>
  </si>
  <si>
    <t>0353</t>
  </si>
  <si>
    <t>0154</t>
  </si>
  <si>
    <t>0204</t>
  </si>
  <si>
    <t>0254</t>
  </si>
  <si>
    <t>0354</t>
  </si>
  <si>
    <t>0155</t>
  </si>
  <si>
    <t>0205</t>
  </si>
  <si>
    <t>0255</t>
  </si>
  <si>
    <t>0355</t>
  </si>
  <si>
    <t>0156</t>
  </si>
  <si>
    <t>0206</t>
  </si>
  <si>
    <t>0256</t>
  </si>
  <si>
    <t>0356</t>
  </si>
  <si>
    <t>0157</t>
  </si>
  <si>
    <t>0207</t>
  </si>
  <si>
    <t>0257</t>
  </si>
  <si>
    <t>0357</t>
  </si>
  <si>
    <t>0158</t>
  </si>
  <si>
    <t>0208</t>
  </si>
  <si>
    <t>0258</t>
  </si>
  <si>
    <t>0358</t>
  </si>
  <si>
    <t>0159</t>
  </si>
  <si>
    <t>0209</t>
  </si>
  <si>
    <t>0259</t>
  </si>
  <si>
    <t>0359</t>
  </si>
  <si>
    <t>0160</t>
  </si>
  <si>
    <t>0210</t>
  </si>
  <si>
    <t>0260</t>
  </si>
  <si>
    <t>0360</t>
  </si>
  <si>
    <t>0161</t>
  </si>
  <si>
    <t>0211</t>
  </si>
  <si>
    <t>0261</t>
  </si>
  <si>
    <t>0361</t>
  </si>
  <si>
    <t>0162</t>
  </si>
  <si>
    <t>0212</t>
  </si>
  <si>
    <t>0262</t>
  </si>
  <si>
    <t>0362</t>
  </si>
  <si>
    <t>0163</t>
  </si>
  <si>
    <t>0213</t>
  </si>
  <si>
    <t>0263</t>
  </si>
  <si>
    <t>0363</t>
  </si>
  <si>
    <t>0164</t>
  </si>
  <si>
    <t>0214</t>
  </si>
  <si>
    <t>0264</t>
  </si>
  <si>
    <t>0364</t>
  </si>
  <si>
    <t>0165</t>
  </si>
  <si>
    <t>0215</t>
  </si>
  <si>
    <t>0265</t>
  </si>
  <si>
    <t>0365</t>
  </si>
  <si>
    <t>0166</t>
  </si>
  <si>
    <t>0216</t>
  </si>
  <si>
    <t>0266</t>
  </si>
  <si>
    <t>0366</t>
  </si>
  <si>
    <t>0167</t>
  </si>
  <si>
    <t>0217</t>
  </si>
  <si>
    <t>0267</t>
  </si>
  <si>
    <t>0367</t>
  </si>
  <si>
    <t>0168</t>
  </si>
  <si>
    <t>0218</t>
  </si>
  <si>
    <t>0268</t>
  </si>
  <si>
    <t>0368</t>
  </si>
  <si>
    <t>0169</t>
  </si>
  <si>
    <t>0219</t>
  </si>
  <si>
    <t>0269</t>
  </si>
  <si>
    <t>0369</t>
  </si>
  <si>
    <t>0170</t>
  </si>
  <si>
    <t>0220</t>
  </si>
  <si>
    <t>0270</t>
  </si>
  <si>
    <t>0370</t>
  </si>
  <si>
    <t>0171</t>
  </si>
  <si>
    <t>0221</t>
  </si>
  <si>
    <t>0271</t>
  </si>
  <si>
    <t>0371</t>
  </si>
  <si>
    <t>0172</t>
  </si>
  <si>
    <t>0222</t>
  </si>
  <si>
    <t>0272</t>
  </si>
  <si>
    <t>0372</t>
  </si>
  <si>
    <t>0173</t>
  </si>
  <si>
    <t>0223</t>
  </si>
  <si>
    <t>0273</t>
  </si>
  <si>
    <t>0373</t>
  </si>
  <si>
    <t>0174</t>
  </si>
  <si>
    <t>0224</t>
  </si>
  <si>
    <t>0274</t>
  </si>
  <si>
    <t>0374</t>
  </si>
  <si>
    <t>0175</t>
  </si>
  <si>
    <t>0225</t>
  </si>
  <si>
    <t>0275</t>
  </si>
  <si>
    <t>0375</t>
  </si>
  <si>
    <t>0176</t>
  </si>
  <si>
    <t>0226</t>
  </si>
  <si>
    <t>0276</t>
  </si>
  <si>
    <t>0376</t>
  </si>
  <si>
    <t>0177</t>
  </si>
  <si>
    <t>0227</t>
  </si>
  <si>
    <t>0277</t>
  </si>
  <si>
    <t>0377</t>
  </si>
  <si>
    <t>0178</t>
  </si>
  <si>
    <t>0228</t>
  </si>
  <si>
    <t>0278</t>
  </si>
  <si>
    <t>0378</t>
  </si>
  <si>
    <t>0179</t>
  </si>
  <si>
    <t>0229</t>
  </si>
  <si>
    <t>0279</t>
  </si>
  <si>
    <t>0379</t>
  </si>
  <si>
    <t>0180</t>
  </si>
  <si>
    <t>0230</t>
  </si>
  <si>
    <t>0280</t>
  </si>
  <si>
    <t>0380</t>
  </si>
  <si>
    <t>0181</t>
  </si>
  <si>
    <t>0231</t>
  </si>
  <si>
    <t>0281</t>
  </si>
  <si>
    <t>0381</t>
  </si>
  <si>
    <t>0182</t>
  </si>
  <si>
    <t>0232</t>
  </si>
  <si>
    <t>0282</t>
  </si>
  <si>
    <t>0382</t>
  </si>
  <si>
    <t>0183</t>
  </si>
  <si>
    <t>0233</t>
  </si>
  <si>
    <t>0283</t>
  </si>
  <si>
    <t>0383</t>
  </si>
  <si>
    <t>0184</t>
  </si>
  <si>
    <t>0234</t>
  </si>
  <si>
    <t>0284</t>
  </si>
  <si>
    <t>0384</t>
  </si>
  <si>
    <t>0185</t>
  </si>
  <si>
    <t>0235</t>
  </si>
  <si>
    <t>0285</t>
  </si>
  <si>
    <t>0385</t>
  </si>
  <si>
    <t>0186</t>
  </si>
  <si>
    <t>0236</t>
  </si>
  <si>
    <t>0286</t>
  </si>
  <si>
    <t>0386</t>
  </si>
  <si>
    <t>0187</t>
  </si>
  <si>
    <t>0237</t>
  </si>
  <si>
    <t>0287</t>
  </si>
  <si>
    <t>0387</t>
  </si>
  <si>
    <t>0188</t>
  </si>
  <si>
    <t>0238</t>
  </si>
  <si>
    <t>0288</t>
  </si>
  <si>
    <t>0388</t>
  </si>
  <si>
    <t>0189</t>
  </si>
  <si>
    <t>0239</t>
  </si>
  <si>
    <t>0289</t>
  </si>
  <si>
    <t>0389</t>
  </si>
  <si>
    <t>0190</t>
  </si>
  <si>
    <t>0240</t>
  </si>
  <si>
    <t>0290</t>
  </si>
  <si>
    <t>0390</t>
  </si>
  <si>
    <t>0191</t>
  </si>
  <si>
    <t>0241</t>
  </si>
  <si>
    <t>0291</t>
  </si>
  <si>
    <t>0391</t>
  </si>
  <si>
    <t>0192</t>
  </si>
  <si>
    <t>0242</t>
  </si>
  <si>
    <t>0292</t>
  </si>
  <si>
    <t>0392</t>
  </si>
  <si>
    <t>0193</t>
  </si>
  <si>
    <t>0243</t>
  </si>
  <si>
    <t>0293</t>
  </si>
  <si>
    <t>0393</t>
  </si>
  <si>
    <t>0194</t>
  </si>
  <si>
    <t>0244</t>
  </si>
  <si>
    <t>0294</t>
  </si>
  <si>
    <t>0394</t>
  </si>
  <si>
    <t>0195</t>
  </si>
  <si>
    <t>0245</t>
  </si>
  <si>
    <t>0295</t>
  </si>
  <si>
    <t>0395</t>
  </si>
  <si>
    <t>0196</t>
  </si>
  <si>
    <t>0246</t>
  </si>
  <si>
    <t>0296</t>
  </si>
  <si>
    <t>0396</t>
  </si>
  <si>
    <t>0197</t>
  </si>
  <si>
    <t>0247</t>
  </si>
  <si>
    <t>0297</t>
  </si>
  <si>
    <t>0397</t>
  </si>
  <si>
    <t>0198</t>
  </si>
  <si>
    <t>0248</t>
  </si>
  <si>
    <t>0298</t>
  </si>
  <si>
    <t>0398</t>
  </si>
  <si>
    <t>0199</t>
  </si>
  <si>
    <t>0249</t>
  </si>
  <si>
    <t>0299</t>
  </si>
  <si>
    <t>0399</t>
  </si>
  <si>
    <t>0200</t>
  </si>
  <si>
    <t>0250</t>
  </si>
  <si>
    <t>0300</t>
  </si>
  <si>
    <t>0400</t>
  </si>
  <si>
    <t>0401</t>
  </si>
  <si>
    <t>0451</t>
  </si>
  <si>
    <t>0501</t>
  </si>
  <si>
    <t>0551</t>
  </si>
  <si>
    <t>0402</t>
  </si>
  <si>
    <t>0452</t>
  </si>
  <si>
    <t>0502</t>
  </si>
  <si>
    <t>0552</t>
  </si>
  <si>
    <t>0403</t>
  </si>
  <si>
    <t>0453</t>
  </si>
  <si>
    <t>0503</t>
  </si>
  <si>
    <t>0553</t>
  </si>
  <si>
    <t>0404</t>
  </si>
  <si>
    <t>0454</t>
  </si>
  <si>
    <t>0504</t>
  </si>
  <si>
    <t>0554</t>
  </si>
  <si>
    <t>0405</t>
  </si>
  <si>
    <t>0455</t>
  </si>
  <si>
    <t>0505</t>
  </si>
  <si>
    <t>0555</t>
  </si>
  <si>
    <t>0406</t>
  </si>
  <si>
    <t>0456</t>
  </si>
  <si>
    <t>0506</t>
  </si>
  <si>
    <t>0556</t>
  </si>
  <si>
    <t>0407</t>
  </si>
  <si>
    <t>0457</t>
  </si>
  <si>
    <t>0507</t>
  </si>
  <si>
    <t>0557</t>
  </si>
  <si>
    <t>0408</t>
  </si>
  <si>
    <t>0458</t>
  </si>
  <si>
    <t>0508</t>
  </si>
  <si>
    <t>0558</t>
  </si>
  <si>
    <t>0409</t>
  </si>
  <si>
    <t>0459</t>
  </si>
  <si>
    <t>0509</t>
  </si>
  <si>
    <t>0559</t>
  </si>
  <si>
    <t>0410</t>
  </si>
  <si>
    <t>0460</t>
  </si>
  <si>
    <t>0510</t>
  </si>
  <si>
    <t>0560</t>
  </si>
  <si>
    <t>0411</t>
  </si>
  <si>
    <t>0461</t>
  </si>
  <si>
    <t>0511</t>
  </si>
  <si>
    <t>0561</t>
  </si>
  <si>
    <t>0412</t>
  </si>
  <si>
    <t>0462</t>
  </si>
  <si>
    <t>0512</t>
  </si>
  <si>
    <t>0562</t>
  </si>
  <si>
    <t>0413</t>
  </si>
  <si>
    <t>0463</t>
  </si>
  <si>
    <t>0513</t>
  </si>
  <si>
    <t>0563</t>
  </si>
  <si>
    <t>0414</t>
  </si>
  <si>
    <t>0464</t>
  </si>
  <si>
    <t>0514</t>
  </si>
  <si>
    <t>0564</t>
  </si>
  <si>
    <t>0415</t>
  </si>
  <si>
    <t>0465</t>
  </si>
  <si>
    <t>0515</t>
  </si>
  <si>
    <t>0565</t>
  </si>
  <si>
    <t>0416</t>
  </si>
  <si>
    <t>0466</t>
  </si>
  <si>
    <t>0516</t>
  </si>
  <si>
    <t>0566</t>
  </si>
  <si>
    <t>0417</t>
  </si>
  <si>
    <t>0467</t>
  </si>
  <si>
    <t>0517</t>
  </si>
  <si>
    <t>0567</t>
  </si>
  <si>
    <t>0418</t>
  </si>
  <si>
    <t>0468</t>
  </si>
  <si>
    <t>0518</t>
  </si>
  <si>
    <t>0568</t>
  </si>
  <si>
    <t>0419</t>
  </si>
  <si>
    <t>0469</t>
  </si>
  <si>
    <t>0519</t>
  </si>
  <si>
    <t>0569</t>
  </si>
  <si>
    <t>0420</t>
  </si>
  <si>
    <t>0470</t>
  </si>
  <si>
    <t>0520</t>
  </si>
  <si>
    <t>0570</t>
  </si>
  <si>
    <t>0421</t>
  </si>
  <si>
    <t>0471</t>
  </si>
  <si>
    <t>0521</t>
  </si>
  <si>
    <t>0571</t>
  </si>
  <si>
    <t>0422</t>
  </si>
  <si>
    <t>0472</t>
  </si>
  <si>
    <t>0522</t>
  </si>
  <si>
    <t>0572</t>
  </si>
  <si>
    <t>0423</t>
  </si>
  <si>
    <t>0473</t>
  </si>
  <si>
    <t>0523</t>
  </si>
  <si>
    <t>0573</t>
  </si>
  <si>
    <t>0424</t>
  </si>
  <si>
    <t>0474</t>
  </si>
  <si>
    <t>0524</t>
  </si>
  <si>
    <t>0574</t>
  </si>
  <si>
    <t>0425</t>
  </si>
  <si>
    <t>0475</t>
  </si>
  <si>
    <t>0525</t>
  </si>
  <si>
    <t>0575</t>
  </si>
  <si>
    <t>0426</t>
  </si>
  <si>
    <t>0476</t>
  </si>
  <si>
    <t>0526</t>
  </si>
  <si>
    <t>0576</t>
  </si>
  <si>
    <t>0427</t>
  </si>
  <si>
    <t>0477</t>
  </si>
  <si>
    <t>0527</t>
  </si>
  <si>
    <t>0577</t>
  </si>
  <si>
    <t>0428</t>
  </si>
  <si>
    <t>0478</t>
  </si>
  <si>
    <t>0528</t>
  </si>
  <si>
    <t>0578</t>
  </si>
  <si>
    <t>0429</t>
  </si>
  <si>
    <t>0479</t>
  </si>
  <si>
    <t>0529</t>
  </si>
  <si>
    <t>0579</t>
  </si>
  <si>
    <t>0430</t>
  </si>
  <si>
    <t>0480</t>
  </si>
  <si>
    <t>0530</t>
  </si>
  <si>
    <t>0580</t>
  </si>
  <si>
    <t>0431</t>
  </si>
  <si>
    <t>0481</t>
  </si>
  <si>
    <t>0531</t>
  </si>
  <si>
    <t>0581</t>
  </si>
  <si>
    <t>0432</t>
  </si>
  <si>
    <t>0482</t>
  </si>
  <si>
    <t>0532</t>
  </si>
  <si>
    <t>0582</t>
  </si>
  <si>
    <t>0433</t>
  </si>
  <si>
    <t>0483</t>
  </si>
  <si>
    <t>0533</t>
  </si>
  <si>
    <t>0583</t>
  </si>
  <si>
    <t>0434</t>
  </si>
  <si>
    <t>0484</t>
  </si>
  <si>
    <t>0534</t>
  </si>
  <si>
    <t>0584</t>
  </si>
  <si>
    <t>0435</t>
  </si>
  <si>
    <t>0485</t>
  </si>
  <si>
    <t>0535</t>
  </si>
  <si>
    <t>0585</t>
  </si>
  <si>
    <t>0436</t>
  </si>
  <si>
    <t>0486</t>
  </si>
  <si>
    <t>0536</t>
  </si>
  <si>
    <t>0586</t>
  </si>
  <si>
    <t>0437</t>
  </si>
  <si>
    <t>0487</t>
  </si>
  <si>
    <t>0537</t>
  </si>
  <si>
    <t>0587</t>
  </si>
  <si>
    <t>0438</t>
  </si>
  <si>
    <t>0488</t>
  </si>
  <si>
    <t>0538</t>
  </si>
  <si>
    <t>0588</t>
  </si>
  <si>
    <t>0439</t>
  </si>
  <si>
    <t>0489</t>
  </si>
  <si>
    <t>0539</t>
  </si>
  <si>
    <t>0589</t>
  </si>
  <si>
    <t>0440</t>
  </si>
  <si>
    <t>0490</t>
  </si>
  <si>
    <t>0540</t>
  </si>
  <si>
    <t>0590</t>
  </si>
  <si>
    <t>0441</t>
  </si>
  <si>
    <t>0491</t>
  </si>
  <si>
    <t>0541</t>
  </si>
  <si>
    <t>0591</t>
  </si>
  <si>
    <t>0442</t>
  </si>
  <si>
    <t>0492</t>
  </si>
  <si>
    <t>0542</t>
  </si>
  <si>
    <t>0592</t>
  </si>
  <si>
    <t>0443</t>
  </si>
  <si>
    <t>0493</t>
  </si>
  <si>
    <t>0543</t>
  </si>
  <si>
    <t>0593</t>
  </si>
  <si>
    <t>0444</t>
  </si>
  <si>
    <t>0494</t>
  </si>
  <si>
    <t>0544</t>
  </si>
  <si>
    <t>0594</t>
  </si>
  <si>
    <t>0445</t>
  </si>
  <si>
    <t>0495</t>
  </si>
  <si>
    <t>0545</t>
  </si>
  <si>
    <t>0595</t>
  </si>
  <si>
    <t>0446</t>
  </si>
  <si>
    <t>0496</t>
  </si>
  <si>
    <t>0546</t>
  </si>
  <si>
    <t>0596</t>
  </si>
  <si>
    <t>0447</t>
  </si>
  <si>
    <t>0497</t>
  </si>
  <si>
    <t>0547</t>
  </si>
  <si>
    <t>0597</t>
  </si>
  <si>
    <t>0448</t>
  </si>
  <si>
    <t>0498</t>
  </si>
  <si>
    <t>0548</t>
  </si>
  <si>
    <t>0598</t>
  </si>
  <si>
    <t>0449</t>
  </si>
  <si>
    <t>0499</t>
  </si>
  <si>
    <t>0549</t>
  </si>
  <si>
    <t>0599</t>
  </si>
  <si>
    <t>0450</t>
  </si>
  <si>
    <t>0500</t>
  </si>
  <si>
    <t>0550</t>
  </si>
  <si>
    <t>0600</t>
  </si>
  <si>
    <t>16-101/BKU-004/XI/057</t>
  </si>
  <si>
    <t>16-102/BKU-004/XI/057</t>
  </si>
  <si>
    <t>Tanda Terima Invoice</t>
  </si>
  <si>
    <t>Pengirim</t>
  </si>
  <si>
    <t>Penerima</t>
  </si>
  <si>
    <t>Nana</t>
  </si>
  <si>
    <t>Ready sent Tgl</t>
  </si>
  <si>
    <t>16-040/BKU-004/XI/009</t>
  </si>
  <si>
    <t>SITE</t>
  </si>
  <si>
    <t>HMS Riverbed</t>
  </si>
  <si>
    <t>Des</t>
  </si>
  <si>
    <t>Muara Pahu Melak</t>
  </si>
  <si>
    <t>Sewa Perangkat</t>
  </si>
  <si>
    <t>Rig 9 - Drilling Sarulla</t>
  </si>
  <si>
    <t>MONITOR PENERBITAN INVOICE</t>
  </si>
  <si>
    <t>MPLS &amp; BU VSAT</t>
  </si>
  <si>
    <t>VPN IP</t>
  </si>
  <si>
    <t>Office Belleza</t>
  </si>
  <si>
    <t>WDL (MPLS+BUV)</t>
  </si>
  <si>
    <t>SIMS Batu Kajang Kaltim</t>
  </si>
  <si>
    <t>PEMERINTAH KABUPATEN SIGI, PT</t>
  </si>
  <si>
    <t>Nunukan</t>
  </si>
  <si>
    <t>Internet &amp; Tower</t>
  </si>
  <si>
    <t>16-103/BKU-004/XI/057</t>
  </si>
  <si>
    <t>16-104/BKU-004/XI/057</t>
  </si>
  <si>
    <t>16-105/BKU-004/XI/057</t>
  </si>
  <si>
    <t>16-106/BKU-004/XI/057</t>
  </si>
  <si>
    <t>16-107/BKU-004/XI/057</t>
  </si>
  <si>
    <t>16-108/BKU-004/XI/057</t>
  </si>
  <si>
    <t>16-109/BKU-004/XI/057</t>
  </si>
  <si>
    <t>16-110/BKU-004/XI/057</t>
  </si>
  <si>
    <t>16-111/BKU-004/XI/057</t>
  </si>
  <si>
    <t>Yakfi</t>
  </si>
  <si>
    <t>Devi</t>
  </si>
  <si>
    <t>Ocha</t>
  </si>
  <si>
    <t>Risna</t>
  </si>
  <si>
    <t>Bustamin</t>
  </si>
  <si>
    <t>Azi R.N</t>
  </si>
  <si>
    <t>Seva</t>
  </si>
  <si>
    <t>Laras</t>
  </si>
  <si>
    <t>PENERBITAN INVOICE</t>
  </si>
  <si>
    <t>BULAN</t>
  </si>
  <si>
    <t>REALISASI PENERIMAAN</t>
  </si>
  <si>
    <t>Krasi Sesayap</t>
  </si>
  <si>
    <t>(SPK &amp; BAST TTD Rohadi Asli buat inv, copynya ke bu Vera, Qo bku)</t>
  </si>
  <si>
    <t>Kontrak/Adendum</t>
  </si>
  <si>
    <t>SPK &amp; BAST</t>
  </si>
  <si>
    <t>APLIKANUSA LINTASARTA, PT + Konfirm Pot Pajak</t>
  </si>
  <si>
    <t>No Kontrak/Adendum</t>
  </si>
  <si>
    <t>Dari</t>
  </si>
  <si>
    <t>Berakhir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</si>
  <si>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</si>
  <si>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</si>
  <si>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</si>
  <si>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</si>
  <si>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</si>
  <si>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</si>
  <si>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</si>
  <si>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</si>
  <si>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</si>
  <si>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</si>
  <si>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</si>
  <si>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</si>
  <si>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</si>
  <si>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</si>
  <si>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</si>
  <si>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</si>
  <si>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</si>
  <si>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</si>
  <si>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</si>
  <si>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</si>
  <si>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</si>
  <si>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</si>
  <si>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</si>
  <si>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</si>
  <si>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</si>
  <si>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</si>
  <si>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</si>
  <si>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</si>
  <si>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</si>
  <si>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</si>
  <si>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</si>
  <si>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</si>
  <si>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</si>
  <si>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</si>
  <si>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</si>
  <si>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</si>
  <si>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</si>
  <si>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</si>
  <si>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</si>
  <si>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</si>
  <si>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</si>
  <si>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</si>
  <si>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</si>
  <si>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</si>
  <si>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</si>
  <si>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</si>
  <si>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</si>
  <si>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</si>
  <si>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</si>
  <si>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</si>
  <si>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</si>
  <si>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</si>
  <si>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</si>
  <si>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</si>
  <si>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</si>
  <si>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</si>
  <si>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</si>
  <si>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</si>
  <si>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</si>
  <si>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</si>
  <si>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</si>
  <si>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</si>
  <si>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</si>
  <si>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</si>
  <si>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</si>
  <si>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</si>
  <si>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</si>
  <si>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</si>
  <si>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</si>
  <si>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</si>
  <si>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</si>
  <si>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</si>
  <si>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</si>
  <si>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</si>
  <si>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</si>
  <si>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</si>
  <si>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</si>
  <si>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</si>
  <si>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</si>
  <si>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</si>
  <si>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</si>
  <si>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</si>
  <si>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</si>
  <si>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</si>
  <si>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</si>
  <si>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</si>
  <si>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</si>
  <si>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</si>
  <si>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</si>
  <si>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</si>
  <si>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</si>
  <si>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</si>
  <si>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</si>
  <si>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</si>
  <si>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</si>
  <si>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</si>
  <si>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</si>
  <si>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</si>
  <si>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</si>
  <si>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</si>
  <si>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16-014/BKU-004/XII/097</t>
  </si>
  <si>
    <t>010.034-16.19771407</t>
  </si>
  <si>
    <t>16-030/BKU-004/XII/189</t>
  </si>
  <si>
    <t>16-031/BKU-004/XII/189</t>
  </si>
  <si>
    <t>16-014/BKU-004/XII/145</t>
  </si>
  <si>
    <t>010.034-16.19771408</t>
  </si>
  <si>
    <t>16-014/BKU-004/XII/220</t>
  </si>
  <si>
    <t>010.034-16.19771414</t>
  </si>
  <si>
    <t>010.034-16.19771415</t>
  </si>
  <si>
    <t>16-009/BKU-004/XII/226</t>
  </si>
  <si>
    <t>Isnandar</t>
  </si>
  <si>
    <t>16-014/BKU-004/XII/224</t>
  </si>
  <si>
    <t>16-012/BKU-004/XII/214</t>
  </si>
  <si>
    <t>16-012/BKU-004/XII/207</t>
  </si>
  <si>
    <t>16-004/BKU-004/XII/230</t>
  </si>
  <si>
    <t>010.034-16.19771432</t>
  </si>
  <si>
    <t>16-011/BKU-004/XI/184</t>
  </si>
  <si>
    <t>16-008/BKU-004/XII/149</t>
  </si>
  <si>
    <t>16-009/BKU-004/XII/227</t>
  </si>
  <si>
    <t>010.034-16.19771412</t>
  </si>
  <si>
    <t>010.034-16.19771411</t>
  </si>
  <si>
    <t>010.034-16.19771413</t>
  </si>
  <si>
    <t>010.034-16.19771436</t>
  </si>
  <si>
    <t>I, P</t>
  </si>
  <si>
    <t>16-003/BKU-004/XII/225</t>
  </si>
  <si>
    <t>010.034-16.19771435</t>
  </si>
  <si>
    <t>16-014/BKU-004/XII/208</t>
  </si>
  <si>
    <t>WAN &amp; Radio IP</t>
  </si>
  <si>
    <t>010.034-16.19771442</t>
  </si>
  <si>
    <t>Leo.Akbar@petrosea.com ; Johanes.Mahendra@petrosea.com</t>
  </si>
  <si>
    <t>Reza.Tarmun@petrosea.com</t>
  </si>
  <si>
    <t>Johanes.Mahendra@petrosea.com ; Deni.Nansyah@petrosea.com</t>
  </si>
  <si>
    <t>16-023/BKU-004/XII/172</t>
  </si>
  <si>
    <t>010.034-16.19771440</t>
  </si>
  <si>
    <t>010.034-16.19771441</t>
  </si>
  <si>
    <t>16-024/BKU-004/XII/172</t>
  </si>
  <si>
    <t>16-012/BKU-004/XII/007</t>
  </si>
  <si>
    <t>010.034-16.19771446</t>
  </si>
  <si>
    <t>16-037/BKU-004/XII/010</t>
  </si>
  <si>
    <t>010.034-16.19771443</t>
  </si>
  <si>
    <t>16-038/BKU-004/XII/010</t>
  </si>
  <si>
    <t>010.034-16.19771444</t>
  </si>
  <si>
    <t>16-069/BKU-004/XII/159</t>
  </si>
  <si>
    <t>16-070/BKU-004/XII/159</t>
  </si>
  <si>
    <t>16-071/BKU-004/XII/159</t>
  </si>
  <si>
    <t>010.034-16.19771447</t>
  </si>
  <si>
    <t>16-112/BKU-004/XII/057</t>
  </si>
  <si>
    <t>16-113/BKU-004/XII/057</t>
  </si>
  <si>
    <t>16-114/BKU-004/XII/057</t>
  </si>
  <si>
    <t>010.034-16.19771445</t>
  </si>
  <si>
    <t>PPA (EX SMI/MGM) jadi RUB</t>
  </si>
  <si>
    <t>Pramono</t>
  </si>
  <si>
    <t>16-012/BKU-004/XII/166</t>
  </si>
  <si>
    <t>Marisa</t>
  </si>
  <si>
    <t>Tika</t>
  </si>
  <si>
    <t>16-002/BKU-004/XII/229</t>
  </si>
  <si>
    <t>030.034-16.19771454</t>
  </si>
  <si>
    <t>Yustika</t>
  </si>
  <si>
    <t>Beby. H</t>
  </si>
  <si>
    <t>16-041/BKU-004/XII/009</t>
  </si>
  <si>
    <t>010.034-16.19771450</t>
  </si>
  <si>
    <t>010.034-16.19771451</t>
  </si>
  <si>
    <t>010.034-16.19771452</t>
  </si>
  <si>
    <t>010.034-16.19771453</t>
  </si>
  <si>
    <t>16-042/BKU-004/XII/009</t>
  </si>
  <si>
    <t>16-043/BKU-004/XII/009</t>
  </si>
  <si>
    <t>16-044/BKU-004/XII/009</t>
  </si>
  <si>
    <t>BKU-ZTE16010</t>
  </si>
  <si>
    <t>010.034-16.19771401</t>
  </si>
  <si>
    <t>Ary Susetyo</t>
  </si>
  <si>
    <t>Dedi</t>
  </si>
  <si>
    <t>Presti</t>
  </si>
  <si>
    <t>Yusuf</t>
  </si>
  <si>
    <t>62</t>
  </si>
  <si>
    <t>63</t>
  </si>
  <si>
    <t>NOVEMBER</t>
  </si>
  <si>
    <t>DESEMBER</t>
  </si>
  <si>
    <t>007/SPPBJ/DPKI-KOMINFO/2016 PENGADAAN DAN PEMASANGAN SISTEM KOMUNIKASI TERPADU BERBASIS VSAT IP</t>
  </si>
  <si>
    <t>SELISIH</t>
  </si>
  <si>
    <t>PPH</t>
  </si>
  <si>
    <t>PEMERINTAH KABUPATEN LUWUK BANGGAI</t>
  </si>
  <si>
    <t>45/SPPBJ.TIK_DAU/DISHUBKOMINFO/2016 PEMBANGUNAN SISTEM TEKNOLOGI INFORMASI KOMUNIKASI (TIK) SKPD DAN KECAMATAN TERPADU KABUPATEN BANGGAI</t>
  </si>
  <si>
    <t>ROKA LANE ASIA, PT</t>
  </si>
  <si>
    <t>16-001/BKU-004/XII/239</t>
  </si>
  <si>
    <t>DUTA TAMBANG REKAYASA, PT</t>
  </si>
  <si>
    <t>16-001/BKU-004/XII/243</t>
  </si>
  <si>
    <t>010.034-16.19771455</t>
  </si>
  <si>
    <t>Ibnu</t>
  </si>
  <si>
    <t>16-039/BKU-004/XII/010</t>
  </si>
  <si>
    <t>010.034-16.19771457</t>
  </si>
  <si>
    <t>16-115/BKU-004/XII/057</t>
  </si>
  <si>
    <t>16-116/BKU-004/XII/057</t>
  </si>
  <si>
    <t>16-117/BKU-004/XII/057</t>
  </si>
  <si>
    <t>16-118/BKU-004/XII/057</t>
  </si>
  <si>
    <t>16-119/BKU-004/XII/057</t>
  </si>
  <si>
    <t>16-120/BKU-004/XII/057</t>
  </si>
  <si>
    <t>16-121/BKU-004/XII/057</t>
  </si>
  <si>
    <t>16-122/BKU-004/XII/057</t>
  </si>
  <si>
    <t>16-123/BKU-004/XII/057</t>
  </si>
  <si>
    <t>BKU-ZTE16011</t>
  </si>
  <si>
    <t>010.034-16.19771456</t>
  </si>
  <si>
    <t>010.034-16.19771460</t>
  </si>
  <si>
    <t>010.034-16.19771461</t>
  </si>
  <si>
    <t>010.034-16.79209005</t>
  </si>
  <si>
    <t>010.034-16.79209006</t>
  </si>
  <si>
    <t>010.034-16.79209007</t>
  </si>
  <si>
    <t>010.034-16.79209008</t>
  </si>
  <si>
    <t>010.034-16.79209009</t>
  </si>
  <si>
    <t>010.034-16.79209010</t>
  </si>
  <si>
    <t>010.034-16.79209011</t>
  </si>
  <si>
    <t>015/SPK_PAD/DISHUBKOMINFO_BGI/2016 PENGADAAN ALAT KOMUNIKASI RADIO SSB</t>
  </si>
  <si>
    <t>Pgdn</t>
  </si>
  <si>
    <t>16-124/BKU-004/XII/057</t>
  </si>
  <si>
    <t>011.034-16.79209012</t>
  </si>
  <si>
    <t>KEMENTRIAN KOORDINATOR BIDANG KEMARITIMAN</t>
  </si>
  <si>
    <t>01546T/350494/2016 (PEMBAYARAN BELANJA MODAL PEMASANGAN VISITOR MANAGEMENT SYSTEM &amp; EQUIPMENT PT RBU</t>
  </si>
  <si>
    <t>01553T/350494/2016 (PEMBAYARAN BELANJA BARANG PENATAAN INTERIOR RUANG LOBBY GF DAN RUANG WARTAWAN (PT. RBU)</t>
  </si>
  <si>
    <t>01552T/350494/2016 (PEMBAYARAN BELANJA MODAL PEKERJAAN LAINNYA PEMASANGAN CCTV PT. BKU)</t>
  </si>
  <si>
    <t>01558T/350494/2016 (PEMBAYARAN BELANJA MODAL PEMASANGAN FLAP BARRIER GATES &amp; EQUIPMENT PT. BKU)</t>
  </si>
  <si>
    <t>MONITOR TOUCHSCREEN 49' STANDING FLOOR</t>
  </si>
  <si>
    <t>Pot PPN</t>
  </si>
  <si>
    <t>Hasan</t>
  </si>
  <si>
    <t>Elly</t>
  </si>
  <si>
    <t>239</t>
  </si>
  <si>
    <t>243</t>
  </si>
  <si>
    <t>64</t>
  </si>
  <si>
    <t>65</t>
  </si>
  <si>
    <t>RINCIAN OUTSTANDING INVOICE Per 31 Desember 2016</t>
  </si>
  <si>
    <t>Saldo Outstanding (PPH 23 + PPN)</t>
  </si>
  <si>
    <t>Junlah Outstanding (Invoice &amp; PPH 23)</t>
  </si>
  <si>
    <t>NON AKTIF</t>
  </si>
  <si>
    <t>Selisih Pembayaran</t>
  </si>
  <si>
    <t xml:space="preserve">OUTSTANDING INVOICE </t>
  </si>
  <si>
    <t>SELISIH PEMBAYARAN</t>
  </si>
  <si>
    <t>SEWA YANG MASIH AKTIF</t>
  </si>
  <si>
    <t>Per 31 Desember 2016</t>
  </si>
  <si>
    <t>TERDIRI DARI :</t>
  </si>
  <si>
    <t xml:space="preserve">RINCIAN SELISIH PEMBAYARAN </t>
  </si>
  <si>
    <t xml:space="preserve">RINCIAN OUTSTANDING INVOICE </t>
  </si>
  <si>
    <r>
      <t xml:space="preserve">REKAP OUTSTANDING INVOICE </t>
    </r>
    <r>
      <rPr>
        <sz val="15"/>
        <color theme="1"/>
        <rFont val="Calibri"/>
        <family val="2"/>
        <scheme val="minor"/>
      </rPr>
      <t>(CUSTOMER AKTIF &amp; NON AKTIF)</t>
    </r>
  </si>
  <si>
    <t>OUTSTANDING INVOICE (CUSTOMER AKTIF &amp; NON AKTIF)</t>
  </si>
  <si>
    <t>SELISIH PEMBAYARAN (dari Jan - Des 2016)</t>
  </si>
  <si>
    <t>OUTSTANDING INVOICE (Per 31 Des 2016)</t>
  </si>
  <si>
    <t>Selisih Kurang</t>
  </si>
  <si>
    <t>Restitusi BUMA (dikurangi setelah PPN)</t>
  </si>
  <si>
    <t>PPN USD (Di rupiahkan)</t>
  </si>
  <si>
    <t>Selisih (Inv Cancel)</t>
  </si>
  <si>
    <t>TAHUN 2016</t>
  </si>
  <si>
    <t>TAHUN 2015</t>
  </si>
  <si>
    <t>OUTSTANDING 2015</t>
  </si>
  <si>
    <t>SALDO</t>
  </si>
  <si>
    <t>TOTAL (TAHUN 2015 &amp; TAHUN 2016)</t>
  </si>
  <si>
    <t>PEMOTONGAN PAJAK</t>
  </si>
  <si>
    <t>TOTAL PEMBAYARAN (TH 2016)</t>
  </si>
  <si>
    <t>PEMBAYARAN KE BKU</t>
  </si>
  <si>
    <t>PEMBAYARAN DALAM BENTUK PPH 23</t>
  </si>
  <si>
    <t>PEMBAYARAN (TH 2016) :</t>
  </si>
  <si>
    <t>TOTAL TAGIHAN (OUTS TH 2015 &amp; TAGIHAN TH 2016)</t>
  </si>
  <si>
    <t>INVOICE CANCEL :</t>
  </si>
  <si>
    <t>TH 2015</t>
  </si>
  <si>
    <t>TH 2016</t>
  </si>
  <si>
    <t>TOTAL INVOICE CANCEL</t>
  </si>
  <si>
    <t>PEMBAYARAN DALAM BENTUK SSP</t>
  </si>
  <si>
    <t>SUMMARY LAPORAN TH 2016</t>
  </si>
  <si>
    <t>Lampiran 03</t>
  </si>
  <si>
    <t>OUTSTANDING &amp; PENERBITAN INVOICE</t>
  </si>
  <si>
    <t>Rincian &gt; Lampiran 01</t>
  </si>
  <si>
    <t>Rincian &gt; Lampiran 02</t>
  </si>
  <si>
    <t>Rincian &gt; Lampiran 03</t>
  </si>
  <si>
    <t>Lampiran 01</t>
  </si>
  <si>
    <t>Lampiran 02</t>
  </si>
  <si>
    <t>ROKA LANE SEJAHTERA, PT</t>
  </si>
  <si>
    <t>Kab Waropen Papua</t>
  </si>
  <si>
    <t>17-001</t>
  </si>
  <si>
    <t>17-002</t>
  </si>
  <si>
    <t>16-025/BKU-004/XII/172</t>
  </si>
  <si>
    <t>16-023/BKU-004/XI/172</t>
  </si>
  <si>
    <t>16-024/BKU-004/XI/172</t>
  </si>
  <si>
    <t>16-026/BKU-004/XII/172</t>
  </si>
  <si>
    <t>010.034-16.79209013</t>
  </si>
  <si>
    <t>010.034-16.79209014</t>
  </si>
  <si>
    <t>16-031/BKU-004/XII/211</t>
  </si>
  <si>
    <t>010.034-16.79209016</t>
  </si>
  <si>
    <t>16-032/BKU-004/XII/211</t>
  </si>
  <si>
    <t>010.034-16.79209017</t>
  </si>
  <si>
    <t>010.034-16.79209018</t>
  </si>
  <si>
    <t>16-033/BKU-004/XII/211</t>
  </si>
  <si>
    <t>LEBIH BAYAR DI TH 2016</t>
  </si>
  <si>
    <t>PERIODE TH 2017</t>
  </si>
  <si>
    <t>(Back2back Logicalis)</t>
  </si>
  <si>
    <t>Metro E (Main &amp; Backup), Remote Site (Bw, MPLS Back up VSAT), SCPC Remote</t>
  </si>
  <si>
    <t>V SCPC Bw 1024 Kbps C-Band</t>
  </si>
  <si>
    <t>V SCPC Bw 512 Kbps C-Band</t>
  </si>
  <si>
    <t>WDL 1024 Kbps</t>
  </si>
  <si>
    <t>MPLS 512 Kbps &amp; Backup VSAT</t>
  </si>
  <si>
    <t>MPLS 1 Mbps &amp; Backup VSAT</t>
  </si>
  <si>
    <t>VSAT Broadband 128/256 Kbps</t>
  </si>
  <si>
    <t>MPLS 512 Kbps &amp; BackUp VSAT</t>
  </si>
  <si>
    <t>VSAT Communication MCPC Consist of Voice, Fax &amp; Internet Data Port</t>
  </si>
  <si>
    <t>PT. KPP Site Mass</t>
  </si>
  <si>
    <t>WAN Internet 5 Mbps</t>
  </si>
  <si>
    <t>KPP Asto Muara Teweh KalTeng</t>
  </si>
  <si>
    <t>KPP PBAT Muara Enim SumSel</t>
  </si>
  <si>
    <t>Perangkat VSAT</t>
  </si>
  <si>
    <t>WDL &amp; Internet 1024 Kbps</t>
  </si>
  <si>
    <t>Internet FO Down Link 1024 Kbps</t>
  </si>
  <si>
    <t>VSAT Bw 256/512 Kbps</t>
  </si>
  <si>
    <t>VSAT Broadband Internet 1024/256 Kbps</t>
  </si>
  <si>
    <t>PAS Landak Kalbar</t>
  </si>
  <si>
    <t xml:space="preserve">VSAT MCPC Consist Voice, Fax &amp; Internet Data Port 512 Kbps </t>
  </si>
  <si>
    <t>Internet Simatric 4/4 Mbps &amp; Sewa Tower 60 M</t>
  </si>
  <si>
    <t>PT. PKG - PKLD Nunukan</t>
  </si>
  <si>
    <t>Bw MPLS 512 Kbps &amp; Backup VSAT</t>
  </si>
  <si>
    <t xml:space="preserve">VSAT Internet Broadband 128/512 Kbps </t>
  </si>
  <si>
    <t>16-025</t>
  </si>
  <si>
    <t>16-026</t>
  </si>
  <si>
    <t>17-003</t>
  </si>
  <si>
    <t>17-004</t>
  </si>
  <si>
    <t>17-005</t>
  </si>
  <si>
    <t>17-006</t>
  </si>
  <si>
    <t>16-032</t>
  </si>
  <si>
    <t>16-033</t>
  </si>
  <si>
    <t>MKP</t>
  </si>
  <si>
    <t>16-012</t>
  </si>
  <si>
    <t>PKLD</t>
  </si>
  <si>
    <t>17-001/BKU-004/I/166</t>
  </si>
  <si>
    <t>17-001/BKU-004/I/097</t>
  </si>
  <si>
    <t>010.001-17.53957811</t>
  </si>
  <si>
    <t>011.034-16.19771409</t>
  </si>
  <si>
    <t>17-001/BKU-004/I/145</t>
  </si>
  <si>
    <t>010.001-17.53957814</t>
  </si>
  <si>
    <t>17-001/BKU-004/I/220</t>
  </si>
  <si>
    <t>17-001/BKU-004/I/226</t>
  </si>
  <si>
    <t>030.001-17.53957816</t>
  </si>
  <si>
    <t>Taufik</t>
  </si>
  <si>
    <t>17-001/BKU-004/I/198</t>
  </si>
  <si>
    <t>010.001-17.53957817</t>
  </si>
  <si>
    <t>17-002/BKU-004/I/198</t>
  </si>
  <si>
    <t>010.001-17.53957828</t>
  </si>
  <si>
    <t>17-001/BKU-004/I/007</t>
  </si>
  <si>
    <t>010.001-17.53957815</t>
  </si>
  <si>
    <t>17-001/BKU-004/I/189</t>
  </si>
  <si>
    <t>17-002/BKU-004/I/189</t>
  </si>
  <si>
    <t>010.001-17.53957812</t>
  </si>
  <si>
    <t>010.001-17.53957813</t>
  </si>
  <si>
    <t>17-001/BKU-004/I/159</t>
  </si>
  <si>
    <t>17-002/BKU-004/I/159</t>
  </si>
  <si>
    <t>17-003/BKU-004/I/159</t>
  </si>
  <si>
    <t>17-004/BKU-004/I/159</t>
  </si>
  <si>
    <t>17-005/BKU-004/I/159</t>
  </si>
  <si>
    <t>17-006/BKU-004/I/159</t>
  </si>
  <si>
    <t>010.001-17.53957818</t>
  </si>
  <si>
    <t>010.001-17.53957819</t>
  </si>
  <si>
    <t>010.001-17.53957820</t>
  </si>
  <si>
    <t>010.001-17.53957821</t>
  </si>
  <si>
    <t>010.001-17.53957822</t>
  </si>
  <si>
    <t>010.001-17.53957823</t>
  </si>
  <si>
    <t>17-001/BKU-004/I/179</t>
  </si>
  <si>
    <t>17-002/BKU-004/I/179</t>
  </si>
  <si>
    <t>17-003/BKU-004/I/179</t>
  </si>
  <si>
    <t>17-004/BKU-004/I/179</t>
  </si>
  <si>
    <t>010.001-17.53957824</t>
  </si>
  <si>
    <t>010.001-17.53957825</t>
  </si>
  <si>
    <t>010.001-17.53957826</t>
  </si>
  <si>
    <t>010.001-17.53957827</t>
  </si>
  <si>
    <t>17-001/BKU-004/I/210</t>
  </si>
  <si>
    <t>17-002/BKU-004/I/210</t>
  </si>
  <si>
    <t>010.001-17.53957834</t>
  </si>
  <si>
    <t>010.001-17.53957835</t>
  </si>
  <si>
    <t>17-001/BKU-004/I/214</t>
  </si>
  <si>
    <t>010.001-17.53957836</t>
  </si>
  <si>
    <t>OUTSTANDING INVOICE TH 2017</t>
  </si>
  <si>
    <t>17-001/BKU-004/I/196</t>
  </si>
  <si>
    <t>010.001-17.53957837</t>
  </si>
  <si>
    <t>17-002/BKU-004/I/196</t>
  </si>
  <si>
    <t>010.001-17.53957838</t>
  </si>
  <si>
    <t>010.001-17.53957839</t>
  </si>
  <si>
    <t>17-001/BKU-004/I/207</t>
  </si>
  <si>
    <t>010.001-17.53957840</t>
  </si>
  <si>
    <t>17-001/BKU-004/I/224</t>
  </si>
  <si>
    <t>010.001-17.53957833</t>
  </si>
  <si>
    <t>17-001/BKU-004/I/204</t>
  </si>
  <si>
    <t>17-002/BKU-004/I/204</t>
  </si>
  <si>
    <t>17-003/BKU-004/I/204</t>
  </si>
  <si>
    <t>17-004/BKU-004/I/204</t>
  </si>
  <si>
    <t>010.001-17.53957829</t>
  </si>
  <si>
    <t>010.001-17.53957830</t>
  </si>
  <si>
    <t>010.001-17.53957831</t>
  </si>
  <si>
    <t>010.001-17.53957832</t>
  </si>
  <si>
    <t>17-007</t>
  </si>
  <si>
    <t>17-008</t>
  </si>
  <si>
    <t>17-001/BKU-004/I/208</t>
  </si>
  <si>
    <t>010.001-17.53957841</t>
  </si>
  <si>
    <t>17-001/BKU-004/I/225</t>
  </si>
  <si>
    <t>010.001-17.53957843</t>
  </si>
  <si>
    <t>17-001/BKU-004/I/149</t>
  </si>
  <si>
    <t>010.001-17.53957842</t>
  </si>
  <si>
    <t>17-001/BKU-004/I/227</t>
  </si>
  <si>
    <t>010.001-17.53957844</t>
  </si>
  <si>
    <t>17-009</t>
  </si>
  <si>
    <t>MTN</t>
  </si>
  <si>
    <t>17-010</t>
  </si>
  <si>
    <t>17-011</t>
  </si>
  <si>
    <t>17-012</t>
  </si>
  <si>
    <t>17-001/BKU-004/I/057</t>
  </si>
  <si>
    <t>17-002/BKU-004/I/057</t>
  </si>
  <si>
    <t>17-003/BKU-004/I/057</t>
  </si>
  <si>
    <t>17-004/BKU-004/I/057</t>
  </si>
  <si>
    <t>17-005/BKU-004/I/057</t>
  </si>
  <si>
    <t>17-006/BKU-004/I/057</t>
  </si>
  <si>
    <t>17-007/BKU-004/I/057</t>
  </si>
  <si>
    <t>17-008/BKU-004/I/057</t>
  </si>
  <si>
    <t>17-009/BKU-004/I/057</t>
  </si>
  <si>
    <t>17-010/BKU-004/I/057</t>
  </si>
  <si>
    <t>17-011/BKU-004/I/057</t>
  </si>
  <si>
    <t>17-012/BKU-004/I/057</t>
  </si>
  <si>
    <t>17-007/BKU-004/I/159</t>
  </si>
  <si>
    <t>17-008/BKU-004/I/159</t>
  </si>
  <si>
    <t>010.001-17.53957845</t>
  </si>
  <si>
    <t>17-001/BKU-004/I/239</t>
  </si>
  <si>
    <t>17-002/BKU-004/I/239</t>
  </si>
  <si>
    <t>010.001-17.53957846</t>
  </si>
  <si>
    <t>010.001-17.53957847</t>
  </si>
  <si>
    <t>010.001-17.53957848</t>
  </si>
  <si>
    <t>010.001-17.53957849</t>
  </si>
  <si>
    <t>010.001-17.53957850</t>
  </si>
  <si>
    <t>010.001-17.53957851</t>
  </si>
  <si>
    <t>010.001-17.53957852</t>
  </si>
  <si>
    <t>010.001-17.53957853</t>
  </si>
  <si>
    <t>010.001-17.53957854</t>
  </si>
  <si>
    <t>010.001-17.53957855</t>
  </si>
  <si>
    <t>010.001-17.53957856</t>
  </si>
  <si>
    <t>010.001-17.53957857</t>
  </si>
  <si>
    <t>010.001-17.53957858</t>
  </si>
  <si>
    <t>010.001-17.53957859</t>
  </si>
  <si>
    <t>W, G</t>
  </si>
  <si>
    <t>Denny</t>
  </si>
  <si>
    <t>Lia</t>
  </si>
  <si>
    <t>Lili. S</t>
  </si>
  <si>
    <t>Deni</t>
  </si>
  <si>
    <t>Syahrul R</t>
  </si>
  <si>
    <t>JNE</t>
  </si>
  <si>
    <t>POS</t>
  </si>
  <si>
    <t>16-046/BKU-004/XII/009</t>
  </si>
  <si>
    <t>010.034-16.79209015</t>
  </si>
  <si>
    <t>17-001/BKU-004/I/009</t>
  </si>
  <si>
    <t>17-002/BKU-004/I/009</t>
  </si>
  <si>
    <t>17-003/BKU-004/I/009</t>
  </si>
  <si>
    <t>010.001-17.53957860</t>
  </si>
  <si>
    <t>PLA</t>
  </si>
  <si>
    <t>Yudi. S</t>
  </si>
  <si>
    <t>000123/PPH23/DTR-NNK/XII/2016</t>
  </si>
  <si>
    <t>002/PPH23/ELGA/DES/2016</t>
  </si>
  <si>
    <t>17-001/BKU-004/I/230</t>
  </si>
  <si>
    <t>Anton</t>
  </si>
  <si>
    <t>KMO</t>
  </si>
  <si>
    <t>17-007&amp;008</t>
  </si>
  <si>
    <t>17-007&amp;10</t>
  </si>
  <si>
    <t>BSI</t>
  </si>
  <si>
    <t>17-011&amp;12</t>
  </si>
  <si>
    <t>16-046&amp;17-003</t>
  </si>
  <si>
    <t>17-001&amp;002</t>
  </si>
  <si>
    <t>012/23/IPT/XI/2016</t>
  </si>
  <si>
    <t>023/HO/23/XII/2016</t>
  </si>
  <si>
    <t>KONTRAK PKS-PS-EXT/001/BKU-MIP/VII/2014 ADENDUM 001/BKU-MIP/ADD/I/IV/16</t>
  </si>
  <si>
    <t>KONTRAK 007/PKS-LGL/MKP/VIII/2015 ADENDUM 001/BKU-MKP/ADD/I/VI/16</t>
  </si>
  <si>
    <t>BUMA/PRC/2015/IV/217</t>
  </si>
  <si>
    <t>A3-059/II-15/SP</t>
  </si>
  <si>
    <t>14-008/BKU-002/VIII/119</t>
  </si>
  <si>
    <t>KONTRAK HPMU/MM/PSW/2015/IX/0030 ADENDUM HPMU/MM/AMD-ADD/2016/VIII/0028</t>
  </si>
  <si>
    <t>C2016/0087</t>
  </si>
  <si>
    <t>PK-PS-EXT/01/SST-BKU/IV/2016</t>
  </si>
  <si>
    <t>M. JTG IDR</t>
  </si>
  <si>
    <t>004616/JIEP/16/KPP-PPH23</t>
  </si>
  <si>
    <t>004617/JIEP/16/KPP-PPH23</t>
  </si>
  <si>
    <t>012/XII/2016/PPH23-MTN</t>
  </si>
  <si>
    <t>16-031</t>
  </si>
  <si>
    <t>Dismantle</t>
  </si>
  <si>
    <t>17-013</t>
  </si>
  <si>
    <t>17-014</t>
  </si>
  <si>
    <t>17-015</t>
  </si>
  <si>
    <t>17-016</t>
  </si>
  <si>
    <t>17-017</t>
  </si>
  <si>
    <t>17-018</t>
  </si>
  <si>
    <t>17-019</t>
  </si>
  <si>
    <t>17-020</t>
  </si>
  <si>
    <t>17-021</t>
  </si>
  <si>
    <t>17-022</t>
  </si>
  <si>
    <t>Pengadaan</t>
  </si>
  <si>
    <t>17-001/BKU-004/I/211</t>
  </si>
  <si>
    <t>010.001-17.53957861</t>
  </si>
  <si>
    <t>17-002/BKU-004/I/211</t>
  </si>
  <si>
    <t>17-003/BKU-004/I/211</t>
  </si>
  <si>
    <t>010.001-17.53957862</t>
  </si>
  <si>
    <t>010.001-17.53957863</t>
  </si>
  <si>
    <t>17-002/BKU-004/II/097</t>
  </si>
  <si>
    <t>010.001-17.53957865</t>
  </si>
  <si>
    <t>17-003/BKU-004/II/198</t>
  </si>
  <si>
    <t>010.001-17.53957864</t>
  </si>
  <si>
    <t>17-002/BKU-004/II/145</t>
  </si>
  <si>
    <t>010.001-17.53957866</t>
  </si>
  <si>
    <t>17-003/BKU-004/II/189</t>
  </si>
  <si>
    <t>17-004/BKU-004/II/189</t>
  </si>
  <si>
    <t>010.001-17.53957869</t>
  </si>
  <si>
    <t>010.001-17.53957870</t>
  </si>
  <si>
    <t>17-002/BKU-004/II/214</t>
  </si>
  <si>
    <t>010.001-17.53957871</t>
  </si>
  <si>
    <t>17-003/BKU-004/II/196</t>
  </si>
  <si>
    <t>17-004/BKU-004/II/196</t>
  </si>
  <si>
    <t>010.001-17.53957872</t>
  </si>
  <si>
    <t>010.001-17.53957873</t>
  </si>
  <si>
    <t>17-002/BKU-004/II/220</t>
  </si>
  <si>
    <t>010.001-17.53957867</t>
  </si>
  <si>
    <t>17-002/BKU-004/II/149</t>
  </si>
  <si>
    <t>010.001-17.53957874</t>
  </si>
  <si>
    <t>17-003/BKU-004/II/239</t>
  </si>
  <si>
    <t>010.001-17.53957875</t>
  </si>
  <si>
    <t>17-013/BKU-004/II/057</t>
  </si>
  <si>
    <t>010.001-17.53957876</t>
  </si>
  <si>
    <t>17-014/BKU-004/II/057</t>
  </si>
  <si>
    <t>010.001-17.53957877</t>
  </si>
  <si>
    <t>010.001-17.53957878</t>
  </si>
  <si>
    <t>010.001-17.53957879</t>
  </si>
  <si>
    <t>010.001-17.53957880</t>
  </si>
  <si>
    <t>010.001-17.53957881</t>
  </si>
  <si>
    <t>010.001-17.53957882</t>
  </si>
  <si>
    <t>010.001-17.53957883</t>
  </si>
  <si>
    <t>010.001-17.53957884</t>
  </si>
  <si>
    <t>010.001-17.53957885</t>
  </si>
  <si>
    <t>17-015/BKU-004/II/057</t>
  </si>
  <si>
    <t>17-016/BKU-004/II/057</t>
  </si>
  <si>
    <t>17-017/BKU-004/II/057</t>
  </si>
  <si>
    <t>17-018/BKU-004/II/057</t>
  </si>
  <si>
    <t>17-019/BKU-004/II/057</t>
  </si>
  <si>
    <t>17-020/BKU-004/II/057</t>
  </si>
  <si>
    <t>17-021/BKU-004/II/057</t>
  </si>
  <si>
    <t>17-022/BKU-004/II/057</t>
  </si>
  <si>
    <t>17-002/BKU-004/II/007</t>
  </si>
  <si>
    <t>17-005/BKU-004/II/179</t>
  </si>
  <si>
    <t>010.001-17.53957887</t>
  </si>
  <si>
    <t>17-006/BKU-004/II/179</t>
  </si>
  <si>
    <t>010.001-17.53957888</t>
  </si>
  <si>
    <t>010.001-17.53957889</t>
  </si>
  <si>
    <t>010.001-17.53957890</t>
  </si>
  <si>
    <t>17-007/BKU-004/II/179</t>
  </si>
  <si>
    <t>17-008/BKU-004/II/179</t>
  </si>
  <si>
    <t>17-009/BKU-004/II/159</t>
  </si>
  <si>
    <t>010.001-17.53957891</t>
  </si>
  <si>
    <t>17-010/BKU-004/II/159</t>
  </si>
  <si>
    <t>010.001-17.53957892</t>
  </si>
  <si>
    <t>010.001-17.53957893</t>
  </si>
  <si>
    <t>010.001-17.53957894</t>
  </si>
  <si>
    <t>010.001-17.53957896</t>
  </si>
  <si>
    <t>010.001-17.53957897</t>
  </si>
  <si>
    <t>17-011/BKU-004/II/159</t>
  </si>
  <si>
    <t>17-012/BKU-004/II/159</t>
  </si>
  <si>
    <t>17-013/BKU-004/II/159</t>
  </si>
  <si>
    <t>17-014/BKU-004/II/159</t>
  </si>
  <si>
    <t>17-015/BKU-004/II/159</t>
  </si>
  <si>
    <t>17-002/BKU-004/II/166</t>
  </si>
  <si>
    <t>TBM BENHIL RHD</t>
  </si>
  <si>
    <t>17-005/BKU-004/II/204</t>
  </si>
  <si>
    <t>010.001-17.53957898</t>
  </si>
  <si>
    <t>17-006/BKU-004/II/204</t>
  </si>
  <si>
    <t>17-007/BKU-004/II/204</t>
  </si>
  <si>
    <t>17-008/BKU-004/II/204</t>
  </si>
  <si>
    <t>010.001-17.53957899</t>
  </si>
  <si>
    <t>010.001-17.53957900</t>
  </si>
  <si>
    <t>010.001-17.53957901</t>
  </si>
  <si>
    <t>17-002/BKU-004/II/224</t>
  </si>
  <si>
    <t>010.001-17.53957902</t>
  </si>
  <si>
    <t>17-003/BKU-004/II/210</t>
  </si>
  <si>
    <t>17-004/BKU-004/II/210</t>
  </si>
  <si>
    <t>010.001-17.53957903</t>
  </si>
  <si>
    <t>010.001-17.53957904</t>
  </si>
  <si>
    <t>17-002/BKU-004/II/207</t>
  </si>
  <si>
    <t>010.001-17.53957905</t>
  </si>
  <si>
    <t>17-002/BKU-004/II/227</t>
  </si>
  <si>
    <t>010.001-17.53957906</t>
  </si>
  <si>
    <t>17-002&amp;3</t>
  </si>
  <si>
    <t>17-003/BKU-004/II/007</t>
  </si>
  <si>
    <t>010.001-17.53957886</t>
  </si>
  <si>
    <t>17-001/BKU-004/I/172</t>
  </si>
  <si>
    <t>17-002/BKU-004/I/172</t>
  </si>
  <si>
    <t>010.001-17.53957909</t>
  </si>
  <si>
    <t>010.001-17.53957907</t>
  </si>
  <si>
    <t>17-002/BKU-004/II/226</t>
  </si>
  <si>
    <t>Kuatman</t>
  </si>
  <si>
    <t>Fahri</t>
  </si>
  <si>
    <t>000342/PPH23/XII/2016</t>
  </si>
  <si>
    <t>000340/PPH23/XII/2016</t>
  </si>
  <si>
    <t>000341/PPH23/XII/2016</t>
  </si>
  <si>
    <t>Lina</t>
  </si>
  <si>
    <t>Restu</t>
  </si>
  <si>
    <t>Maryono</t>
  </si>
  <si>
    <t>Yayan</t>
  </si>
  <si>
    <t>Dicky</t>
  </si>
  <si>
    <t>Amir</t>
  </si>
  <si>
    <t>000558/23/PLA/2016</t>
  </si>
  <si>
    <t>000559/23/PLA/2016</t>
  </si>
  <si>
    <t>Lucky. S</t>
  </si>
  <si>
    <t>17-002/BKU-004/II/208</t>
  </si>
  <si>
    <t>17-003/BKU-004/II/208</t>
  </si>
  <si>
    <t>010.001-17.53957911</t>
  </si>
  <si>
    <t>010.001-17.53957912</t>
  </si>
  <si>
    <t>17-002/BKU-004/II/225</t>
  </si>
  <si>
    <t>010.001-17.53957913</t>
  </si>
  <si>
    <t>searah</t>
  </si>
  <si>
    <t>TRILOGI</t>
  </si>
  <si>
    <t xml:space="preserve">MHA </t>
  </si>
  <si>
    <t>17-004/BKU-004/II/009</t>
  </si>
  <si>
    <t>010.001-17.53957910</t>
  </si>
  <si>
    <t>17-005/BKU-004/II/009</t>
  </si>
  <si>
    <t>010.001-17.53957915</t>
  </si>
  <si>
    <t>17-006/BKU-004/II/009</t>
  </si>
  <si>
    <t>010.001-17.53957916</t>
  </si>
  <si>
    <t>17-002/BKU-004/II/230</t>
  </si>
  <si>
    <t>010.001-17.53957914</t>
  </si>
  <si>
    <t>PPH23</t>
  </si>
  <si>
    <t>Desti .S</t>
  </si>
  <si>
    <t>Kistoro</t>
  </si>
  <si>
    <t>Nova Yusti</t>
  </si>
  <si>
    <t>Sahroji</t>
  </si>
  <si>
    <t>NUSANTARA SARANA ALAM, PT</t>
  </si>
  <si>
    <t>17-001/BKU-004/II/245</t>
  </si>
  <si>
    <t>17-002/BKU-004/II/245</t>
  </si>
  <si>
    <t>17-003/BKU-004/II/245</t>
  </si>
  <si>
    <t>010.001-17.53957918</t>
  </si>
  <si>
    <t>010.001-17.53957919</t>
  </si>
  <si>
    <t>CENTRALINK, PT</t>
  </si>
  <si>
    <t>TBM BENHIL BKU</t>
  </si>
  <si>
    <t>17-001/BKU-004/II/244</t>
  </si>
  <si>
    <t>010.001-17.53957917</t>
  </si>
  <si>
    <t>PKS/01/PKLD-BKU/X/2016</t>
  </si>
  <si>
    <t>009/PKS-LGL/MHA/X/2015, ADEMDUM 002/BKU-MHA/ADD/X/16</t>
  </si>
  <si>
    <t>AMANDEMEN I KBL-WDL-BKU/009/Elganet-Jkt/II/2014, BKU no 003/PKS-WDL-BKU/II/2014</t>
  </si>
  <si>
    <t>022/HO/23/I/2017</t>
  </si>
  <si>
    <t>000026/PPH23/HPU/I/2017</t>
  </si>
  <si>
    <t>PERKEBUNAN NUSANTARA, PT</t>
  </si>
  <si>
    <t>17-001 &amp; 17-002</t>
  </si>
  <si>
    <t>VSAT Communication MCPC Consist of Voice, Fax &amp; Internet Data Port 512 Kbps</t>
  </si>
  <si>
    <t>Sandai - Kalimantan Barat</t>
  </si>
  <si>
    <t>17-001, 002, 004</t>
  </si>
  <si>
    <t>RELOKASI KE PT NSA</t>
  </si>
  <si>
    <t>17-002 (CANCEL)</t>
  </si>
  <si>
    <t>17-003/BKU-004/III/166</t>
  </si>
  <si>
    <t>17-004/BKU-004/II/211</t>
  </si>
  <si>
    <t>17-005/BKU-004/II/211</t>
  </si>
  <si>
    <t>17-006/BKU-004/II/211</t>
  </si>
  <si>
    <t>010.001-17.53957921</t>
  </si>
  <si>
    <t>010.001-17.53957922</t>
  </si>
  <si>
    <t>010.001-17.53957923</t>
  </si>
  <si>
    <t>17-001/BKU-004/II/090</t>
  </si>
  <si>
    <t>010.001-17.53957920</t>
  </si>
  <si>
    <t>Heru</t>
  </si>
  <si>
    <t>17-003/BKU-004/III/097</t>
  </si>
  <si>
    <t>010.001-17.53957926</t>
  </si>
  <si>
    <t>17-004/BKU-004/III/198</t>
  </si>
  <si>
    <t>010.001-17.53957927</t>
  </si>
  <si>
    <t>17-005/BKU-004/III/189</t>
  </si>
  <si>
    <t>010.001-17.53957928</t>
  </si>
  <si>
    <t>17-006/BKU-004/III/189</t>
  </si>
  <si>
    <t>010.001-17.53957929</t>
  </si>
  <si>
    <t>17-003/BKU-004/III/145</t>
  </si>
  <si>
    <t>010.001-17.53957930</t>
  </si>
  <si>
    <t>17-003/BKU-004/III/226</t>
  </si>
  <si>
    <t>030.001-17.53957931</t>
  </si>
  <si>
    <t>030.001-17.53957868</t>
  </si>
  <si>
    <t>17-003/BKU-004/III/220</t>
  </si>
  <si>
    <t>010.001-17.53957932</t>
  </si>
  <si>
    <t>17-004/BKU-004/III/208</t>
  </si>
  <si>
    <t>010.001-17.53957933</t>
  </si>
  <si>
    <t>17-004/BKU-004/III/239</t>
  </si>
  <si>
    <t>010.001-17.53937934</t>
  </si>
  <si>
    <t>17-003/BKU-004/III/149</t>
  </si>
  <si>
    <t>010.001-17.53957935</t>
  </si>
  <si>
    <t>17-005/BKU-004/III/196</t>
  </si>
  <si>
    <t>010.001-17.53957937</t>
  </si>
  <si>
    <t>17-006/BKU-004/III/196</t>
  </si>
  <si>
    <t>010.001-17.53957936</t>
  </si>
  <si>
    <t>17-003/BKU-004/III/214</t>
  </si>
  <si>
    <t>010.001-17.53957938</t>
  </si>
  <si>
    <t>17-009/BKU-004/III/204</t>
  </si>
  <si>
    <t>17-010/BKU-004/III/204</t>
  </si>
  <si>
    <t>17-011/BKU-004/III/204</t>
  </si>
  <si>
    <t>17-012/BKU-004/III/204</t>
  </si>
  <si>
    <t>010.001-17.53957941</t>
  </si>
  <si>
    <t>010.001-17.53957942</t>
  </si>
  <si>
    <t>010.001-17.53957943</t>
  </si>
  <si>
    <t>010.001-17.53957944</t>
  </si>
  <si>
    <t>17-005/BKU-004/III/210</t>
  </si>
  <si>
    <t>010.001-17.53957939</t>
  </si>
  <si>
    <t>17-006/BKU-004/III/210</t>
  </si>
  <si>
    <t>010.001-17.53957940</t>
  </si>
  <si>
    <t>17-003/BKU-004/III/224</t>
  </si>
  <si>
    <t>010.001-17.53957945</t>
  </si>
  <si>
    <t>17-003/BKU-004/III/207</t>
  </si>
  <si>
    <t>010.001-17.53957946</t>
  </si>
  <si>
    <t>17-003/BKU-004/III/227</t>
  </si>
  <si>
    <t>010.001-17.53957947</t>
  </si>
  <si>
    <t>17-004/BKU-004/III/245</t>
  </si>
  <si>
    <t>010.001-17.53957948</t>
  </si>
  <si>
    <t>17-005/BKU-004/III/245</t>
  </si>
  <si>
    <t>010.001-17.53957949</t>
  </si>
  <si>
    <t>17-004/BKU-004/III/007</t>
  </si>
  <si>
    <t>010.001-17.53957954</t>
  </si>
  <si>
    <t>011.001-17.53957895</t>
  </si>
  <si>
    <t>17-016/BKU-004/III/159</t>
  </si>
  <si>
    <t>010.001-15.53957955</t>
  </si>
  <si>
    <t>17-017/BKU-004/III/159</t>
  </si>
  <si>
    <t>17-018/BKU-004/III/159</t>
  </si>
  <si>
    <t>17-019/BKU-004/III/159</t>
  </si>
  <si>
    <t>17-020/BKU-004/III/159</t>
  </si>
  <si>
    <t>17-021/BKU-004/III/159</t>
  </si>
  <si>
    <t>17-022/BKU-004/III/159</t>
  </si>
  <si>
    <t>010.001-15.53957956</t>
  </si>
  <si>
    <t>010.001-15.53957957</t>
  </si>
  <si>
    <t>010.001-15.53957958</t>
  </si>
  <si>
    <t>010.001-15.53957959</t>
  </si>
  <si>
    <t>010.001-15.53957960</t>
  </si>
  <si>
    <t>010.001-15.53957961</t>
  </si>
  <si>
    <t>17-009/BKU-004/III/179</t>
  </si>
  <si>
    <t>011.001-17.53957950</t>
  </si>
  <si>
    <t>17-010/BKU-004/III/179</t>
  </si>
  <si>
    <t>17-011/BKU-004/III/179</t>
  </si>
  <si>
    <t>17-012/BKU-004/III/179</t>
  </si>
  <si>
    <t>010.001-17.53957951</t>
  </si>
  <si>
    <t>010.001-17.53957952</t>
  </si>
  <si>
    <t>010.001-17.53957953</t>
  </si>
  <si>
    <t>Nena</t>
  </si>
  <si>
    <t>Miftahul. M</t>
  </si>
  <si>
    <t>Marhaen</t>
  </si>
  <si>
    <t>Marchella</t>
  </si>
  <si>
    <t>17-001-003</t>
  </si>
  <si>
    <t>17-003/BKU-004/II/172</t>
  </si>
  <si>
    <t>17-004/BKU-004/II/172</t>
  </si>
  <si>
    <t>010.001-17.53957924</t>
  </si>
  <si>
    <t>010.001-17.53957925</t>
  </si>
  <si>
    <t>17-001/BKU-004/III/008</t>
  </si>
  <si>
    <t>17-002/BKU-004/III/008</t>
  </si>
  <si>
    <t>17-003/BKU-004/III/008</t>
  </si>
  <si>
    <t>010.001-17.53957966</t>
  </si>
  <si>
    <t>010.001-17.53957967</t>
  </si>
  <si>
    <t>17-007/BKU-004/III/009</t>
  </si>
  <si>
    <t>17-008/BKU-004/III/009</t>
  </si>
  <si>
    <t>17-009/BKU-004/III/009</t>
  </si>
  <si>
    <t>010.001-17.53957962</t>
  </si>
  <si>
    <t>010.001-17.53957963</t>
  </si>
  <si>
    <t>010.001-17.53957964</t>
  </si>
  <si>
    <t>116</t>
  </si>
  <si>
    <t>241</t>
  </si>
  <si>
    <t>244</t>
  </si>
  <si>
    <t>245</t>
  </si>
  <si>
    <t>PERKEBUNAN NUSANTARA XIII, PT</t>
  </si>
  <si>
    <t>090</t>
  </si>
  <si>
    <t>CANCEL</t>
  </si>
  <si>
    <t>Rahma S</t>
  </si>
  <si>
    <t>66</t>
  </si>
  <si>
    <t>004/PPH-23/CS/I/2017</t>
  </si>
  <si>
    <t>003/PPH-23/CS/I/2017</t>
  </si>
  <si>
    <t>000039/PPH23/HKI/2017</t>
  </si>
  <si>
    <t>000040/PPH23/HKI/2017</t>
  </si>
  <si>
    <t>000041/PPH23/HKI/2017</t>
  </si>
  <si>
    <t>000042/PPH23/HKI/2017</t>
  </si>
  <si>
    <t>00003/PPH23</t>
  </si>
  <si>
    <t>000007/23/TTT/2017</t>
  </si>
  <si>
    <t>000001/23/PAS-JKT/2017</t>
  </si>
  <si>
    <t>OUTSTANDING INVOICE TH 2016</t>
  </si>
  <si>
    <t>RINCIAN OUTSTANDING INVOICE Per 31 Januari 2017</t>
  </si>
  <si>
    <t>RINCIAN OUTSTANDING INVOICE Per 28 Februari 2017</t>
  </si>
  <si>
    <t>Pak Kis</t>
  </si>
  <si>
    <t>Pak Arif</t>
  </si>
  <si>
    <t>17-005/BKU-004/III/208</t>
  </si>
  <si>
    <t>Dian</t>
  </si>
  <si>
    <t>000005/PPH23</t>
  </si>
  <si>
    <t>000020/23/TTT/2017</t>
  </si>
  <si>
    <t>000016/23/PAS-JKT/2017</t>
  </si>
  <si>
    <t>001/RBU-012/2016 SHARP LED TV 32 Inch + Bracket &amp; Mini PC Include OS License Windows 10</t>
  </si>
  <si>
    <t>010.001-17.53957968</t>
  </si>
  <si>
    <t>17-006/BKU-004/III/208</t>
  </si>
  <si>
    <t>010.001-17.53957969</t>
  </si>
  <si>
    <t>011.001-17.53957965</t>
  </si>
  <si>
    <t>020/HO/23/II/2017</t>
  </si>
  <si>
    <t>000011/PPH23/HPMU/II/2017</t>
  </si>
  <si>
    <t>000012/PPH23/HPMU/II/2017</t>
  </si>
  <si>
    <t>000013/PPH23/HPMU/II/2017</t>
  </si>
  <si>
    <t>000014/PPH23/HPMU/II/2017</t>
  </si>
  <si>
    <t>000035/PPH23</t>
  </si>
  <si>
    <t>17-004/BKU-004/IV/166</t>
  </si>
  <si>
    <t>010.001-17.53957972</t>
  </si>
  <si>
    <t>010.001-17.53957973</t>
  </si>
  <si>
    <t>17-005/BKU-004/III/172</t>
  </si>
  <si>
    <t>17-006/BKU-004/III/172</t>
  </si>
  <si>
    <t>17-007/BKU-004/III/211</t>
  </si>
  <si>
    <t>010.001-17.53957974</t>
  </si>
  <si>
    <t>17-008/BKU-004/III/211</t>
  </si>
  <si>
    <t>17-009/BKU-004/III/211</t>
  </si>
  <si>
    <t>010.001-17.53957975</t>
  </si>
  <si>
    <t>010.001-17.53957976</t>
  </si>
  <si>
    <t>17-005/BKU-004/IV/198</t>
  </si>
  <si>
    <t>010.001-17.53957977</t>
  </si>
  <si>
    <t>17-004/BKU-004/IV/097</t>
  </si>
  <si>
    <t>010.001-17.53957978</t>
  </si>
  <si>
    <t>17-005/BKU-004/IV/007</t>
  </si>
  <si>
    <t>010.001-17.53957979</t>
  </si>
  <si>
    <t>17-007/BKU-004/IV/208</t>
  </si>
  <si>
    <t>17-004/BKU-004/IV/220</t>
  </si>
  <si>
    <t>010.001-17.53957981</t>
  </si>
  <si>
    <t>17-004/BKU-004/IV/149</t>
  </si>
  <si>
    <t>010.001-17.53957982</t>
  </si>
  <si>
    <t>17-005/BKU-004/IV/239</t>
  </si>
  <si>
    <t>010.001-17.53957983</t>
  </si>
  <si>
    <t>17-003/BKU-004/IV/225</t>
  </si>
  <si>
    <t>010.001-17.53957984</t>
  </si>
  <si>
    <t>17-007/BKU-004/IV/196</t>
  </si>
  <si>
    <t>010.001-17.53957985</t>
  </si>
  <si>
    <t>17-008/BKU-004/IV/196</t>
  </si>
  <si>
    <t>010.001-17.53957986</t>
  </si>
  <si>
    <t>17-004/BKU-004/IV/214</t>
  </si>
  <si>
    <t>010.001-17.53957987</t>
  </si>
  <si>
    <t>17-004/BKU-004/IV/145</t>
  </si>
  <si>
    <t>010.001-17.53957988</t>
  </si>
  <si>
    <t>17-004/BKU-004/IV/226</t>
  </si>
  <si>
    <t>030.001-17.53957989</t>
  </si>
  <si>
    <t>17-013/BKU-004/IV/204</t>
  </si>
  <si>
    <t>010.001-17.53957993</t>
  </si>
  <si>
    <t>17-014/BKU-004/IV/204</t>
  </si>
  <si>
    <t>010.001-17.53957992</t>
  </si>
  <si>
    <t>010.001-17.53957991</t>
  </si>
  <si>
    <t>17-015/BKU-004/IV/204</t>
  </si>
  <si>
    <t>17-016/BKU-004/IV/204</t>
  </si>
  <si>
    <t>010.001-17.53957990</t>
  </si>
  <si>
    <t>17-004/BKU-004/IV/224</t>
  </si>
  <si>
    <t>010.001-17.53957994</t>
  </si>
  <si>
    <t>17-007/BKU-004/IV/210</t>
  </si>
  <si>
    <t>17-008/BKU-004/IV/210</t>
  </si>
  <si>
    <t>010.001-17.53957995</t>
  </si>
  <si>
    <t>010.001-17.53957996</t>
  </si>
  <si>
    <t>17-006/BKU-004/IV/245</t>
  </si>
  <si>
    <t>010.001-17.53957997</t>
  </si>
  <si>
    <t>17-004/BKU-004/IV/207</t>
  </si>
  <si>
    <t>010.001-17.53957998</t>
  </si>
  <si>
    <t>17-004/BKU-004/IV/227</t>
  </si>
  <si>
    <t>010.001-17.53957999</t>
  </si>
  <si>
    <t>WAN Internet 5 Mbps + Radio</t>
  </si>
  <si>
    <t>KPP Sput Sungai Putting Kalsel</t>
  </si>
  <si>
    <t>WAN Internet 5 Mbps &amp; Internasional 1 Mbps</t>
  </si>
  <si>
    <t>KPP Loa Janan Tenggarong Kaltim</t>
  </si>
  <si>
    <t>WAN Internet 5 Mpbs IIX + 1 IX &amp; Radio</t>
  </si>
  <si>
    <t>17-023</t>
  </si>
  <si>
    <t>17-024</t>
  </si>
  <si>
    <t>17-025</t>
  </si>
  <si>
    <t>17-026</t>
  </si>
  <si>
    <t>17-027</t>
  </si>
  <si>
    <t>17-028</t>
  </si>
  <si>
    <t>17-013/BKU-004/IV/179</t>
  </si>
  <si>
    <t>010.001-17.53958000</t>
  </si>
  <si>
    <t>17-014/BKU-004/IV/179</t>
  </si>
  <si>
    <t>17-015/BKU-004/IV/179</t>
  </si>
  <si>
    <t>17-016/BKU-004/IV/179</t>
  </si>
  <si>
    <t>010.001-17.53958001</t>
  </si>
  <si>
    <t>010.001-17.53958002</t>
  </si>
  <si>
    <t>010.001-17.53958003</t>
  </si>
  <si>
    <t>17-023/BKU-004/IV/159</t>
  </si>
  <si>
    <t>010.001-15.53958006</t>
  </si>
  <si>
    <t>17-024/BKU-004/IV/159</t>
  </si>
  <si>
    <t>010.001-15.53958007</t>
  </si>
  <si>
    <t>17-025/BKU-004/IV/159</t>
  </si>
  <si>
    <t>010.001-15.53958008</t>
  </si>
  <si>
    <t>010.001-15.53958009</t>
  </si>
  <si>
    <t>010.001-15.53958010</t>
  </si>
  <si>
    <t>010.001-15.53958011</t>
  </si>
  <si>
    <t>010.001-15.53958012</t>
  </si>
  <si>
    <t>17-026/BKU-004/IV/159</t>
  </si>
  <si>
    <t>17-027/BKU-004/IV/159</t>
  </si>
  <si>
    <t>17-028/BKU-004/IV/159</t>
  </si>
  <si>
    <t>17-029/BKU-004/IV/159</t>
  </si>
  <si>
    <t>17-010/BKU-004/III/009</t>
  </si>
  <si>
    <t>010.001-17.53957971</t>
  </si>
  <si>
    <t>17-011/BKU-004/IV/009</t>
  </si>
  <si>
    <t>010.001-17.04159559</t>
  </si>
  <si>
    <t>17-012/BKU-004/IV/009</t>
  </si>
  <si>
    <t>010.001-17.04159560</t>
  </si>
  <si>
    <t>010.001-17.04159561</t>
  </si>
  <si>
    <t>17-013/BKU-004/IV/009</t>
  </si>
  <si>
    <t>17-030</t>
  </si>
  <si>
    <t>17-031</t>
  </si>
  <si>
    <t>17-032</t>
  </si>
  <si>
    <t>17-033</t>
  </si>
  <si>
    <t>17-034</t>
  </si>
  <si>
    <t>17-035</t>
  </si>
  <si>
    <t>Iwan</t>
  </si>
  <si>
    <t>Riska</t>
  </si>
  <si>
    <t>Sutono</t>
  </si>
  <si>
    <t>Galuh</t>
  </si>
  <si>
    <t>Wahyu</t>
  </si>
  <si>
    <t>17-023/BKU-004/IV/057</t>
  </si>
  <si>
    <t>17-024/BKU-004/IV/057</t>
  </si>
  <si>
    <t>17-025/BKU-004/IV/057</t>
  </si>
  <si>
    <t>17-026/BKU-004/IV/057</t>
  </si>
  <si>
    <t>17-027/BKU-004/IV/057</t>
  </si>
  <si>
    <t>17-028/BKU-004/IV/057</t>
  </si>
  <si>
    <t>17-029/BKU-004/IV/057</t>
  </si>
  <si>
    <t>17-030/BKU-004/IV/057</t>
  </si>
  <si>
    <t>17-031/BKU-004/IV/057</t>
  </si>
  <si>
    <t>17-032/BKU-004/IV/057</t>
  </si>
  <si>
    <t>17-033/BKU-004/IV/057</t>
  </si>
  <si>
    <t>17-034/BKU-004/IV/057</t>
  </si>
  <si>
    <t>17-035/BKU-004/IV/057</t>
  </si>
  <si>
    <t>010.018-17.04159562</t>
  </si>
  <si>
    <t>010.018-17.04159563</t>
  </si>
  <si>
    <t>010.018-17.04159564</t>
  </si>
  <si>
    <t>010.018-17.04159565</t>
  </si>
  <si>
    <t>010.018-17.04159566</t>
  </si>
  <si>
    <t>010.018-17.04159567</t>
  </si>
  <si>
    <t>010.018-17.04159568</t>
  </si>
  <si>
    <t>010.018-17.04159569</t>
  </si>
  <si>
    <t>010.018-17.04159570</t>
  </si>
  <si>
    <t>010.018-17.04159571</t>
  </si>
  <si>
    <t>010.018-17.04159572</t>
  </si>
  <si>
    <t>BKU-ZTE17001</t>
  </si>
  <si>
    <t>BKU-ZTE17002</t>
  </si>
  <si>
    <t>010.001-17.53958004</t>
  </si>
  <si>
    <t>010.001-17.53958005</t>
  </si>
  <si>
    <t>Hisa</t>
  </si>
  <si>
    <t>008/PPH-23/CS/II/2017</t>
  </si>
  <si>
    <t>013/PPH-23/CS/III/2017</t>
  </si>
  <si>
    <t>000029/PPH23/II/17</t>
  </si>
  <si>
    <t>000028/PPH23/II/17</t>
  </si>
  <si>
    <t>000063/23/LAB/2017</t>
  </si>
  <si>
    <t>000064/23/LAB/2017</t>
  </si>
  <si>
    <t>000098/23/LAB/2017</t>
  </si>
  <si>
    <t>000099/23/LAB/2017</t>
  </si>
  <si>
    <t>000031/23/PAS-JKT/2017</t>
  </si>
  <si>
    <t>17-036</t>
  </si>
  <si>
    <t>011.001-17.53957980</t>
  </si>
  <si>
    <t>17-036/BKU-004/IV/057</t>
  </si>
  <si>
    <t>010.018-17.04159574</t>
  </si>
  <si>
    <t>000029/PPH23/III/2017</t>
  </si>
  <si>
    <t>000030/PPH23/III/2017</t>
  </si>
  <si>
    <t>000031/PPH23/III/2017</t>
  </si>
  <si>
    <t>000032/PPH23/III/2017</t>
  </si>
  <si>
    <t>000033/PPH23/III/2017</t>
  </si>
  <si>
    <t>000034/PPH23/III/2017</t>
  </si>
  <si>
    <t>000006/PPH23</t>
  </si>
  <si>
    <t>000014/23/NSA/2017</t>
  </si>
  <si>
    <t>000013/23/NSA/2017</t>
  </si>
  <si>
    <t>000024/23/TTT/2017</t>
  </si>
  <si>
    <t>017/HO/23/III/2017</t>
  </si>
  <si>
    <t>4 &amp; 21 Apr 2017</t>
  </si>
  <si>
    <t>000048/PPH23/HKI/2017</t>
  </si>
  <si>
    <t>000049/PPH23/HKI/2017</t>
  </si>
  <si>
    <t>000050/PPH23/HKI/2017</t>
  </si>
  <si>
    <t>000051/PPH23/HKI/2017</t>
  </si>
  <si>
    <t>000098/PPH23/HKI/2017</t>
  </si>
  <si>
    <t>000099/PPH23/HKI/2017</t>
  </si>
  <si>
    <t>000100/PPH23/HKI/2017</t>
  </si>
  <si>
    <t>000101/PPH23/HKI/2017</t>
  </si>
  <si>
    <t>SUMMARY</t>
  </si>
  <si>
    <t>PERUSAHAAN</t>
  </si>
  <si>
    <t>NOTE :</t>
  </si>
  <si>
    <t>Outstanding lama (belum pasti dibayarkan)</t>
  </si>
  <si>
    <t>Outstanding berjalan</t>
  </si>
  <si>
    <t>NOTE : RATA-RATA TAGIHAN PER BULAN</t>
  </si>
  <si>
    <t>HUTCHISON 3 INDONESIA, PT</t>
  </si>
  <si>
    <t>17-001/BKU-004/IV/249</t>
  </si>
  <si>
    <t>Rahmanto</t>
  </si>
  <si>
    <t>Muji</t>
  </si>
  <si>
    <t>17-029, 17-033</t>
  </si>
  <si>
    <t>17-026,17-034 &amp; 17-035</t>
  </si>
  <si>
    <t>17-007/BKU-004/IV/172</t>
  </si>
  <si>
    <t>010.018-17.04159575</t>
  </si>
  <si>
    <t>17-008/BKU-004/IV/172</t>
  </si>
  <si>
    <t>010.018-17.04159576</t>
  </si>
  <si>
    <t>17-005/BKU-004/V/097</t>
  </si>
  <si>
    <t>010.018-17.04159581</t>
  </si>
  <si>
    <t>17-006/BKU-004/V/198</t>
  </si>
  <si>
    <t>010.018-17.04159580</t>
  </si>
  <si>
    <t>17-010/BKU-004/IV/211</t>
  </si>
  <si>
    <t>010.018-17.04159577</t>
  </si>
  <si>
    <t>17-011/BKU-004/IV/211</t>
  </si>
  <si>
    <t>17-012/BKU-004/IV/211</t>
  </si>
  <si>
    <t>010.018-17.04159578</t>
  </si>
  <si>
    <t>010.018-17.04159579</t>
  </si>
  <si>
    <t>17-005/BKU-004/V/145</t>
  </si>
  <si>
    <t>010.018-17.04159584</t>
  </si>
  <si>
    <t>17-005/BKU-004/V/220</t>
  </si>
  <si>
    <t>010.018-17.04159585</t>
  </si>
  <si>
    <t>17-005/BKU-004/V/226</t>
  </si>
  <si>
    <t>030.018-17.04159588</t>
  </si>
  <si>
    <t>17-009/BKU-004/V/196</t>
  </si>
  <si>
    <t>010.018-17.04159582</t>
  </si>
  <si>
    <t>17-010/BKU-004/V/196</t>
  </si>
  <si>
    <t>010.018-17.04159583</t>
  </si>
  <si>
    <t>17-004/BKU-004/V/225</t>
  </si>
  <si>
    <t>010.018-17.04159589</t>
  </si>
  <si>
    <t>17-005/BKU-004/V/149</t>
  </si>
  <si>
    <t>010.018-17.04159586</t>
  </si>
  <si>
    <t>17-006/BKU-004/V/239</t>
  </si>
  <si>
    <t>010.018-17.04159587</t>
  </si>
  <si>
    <t>17-005/BKU-004/V/166</t>
  </si>
  <si>
    <t>17-005/BKU-004/V/214</t>
  </si>
  <si>
    <t>010.018-17.041595990</t>
  </si>
  <si>
    <t>17-017/BKU-004/V/204</t>
  </si>
  <si>
    <t>010.018-17.04159592</t>
  </si>
  <si>
    <t>17-018/BKU-004/V/204</t>
  </si>
  <si>
    <t>010.018-17.04159593</t>
  </si>
  <si>
    <t>010.018-17.04159594</t>
  </si>
  <si>
    <t>010.018-17.04159595</t>
  </si>
  <si>
    <t>17-019/BKU-004/V/204</t>
  </si>
  <si>
    <t>17-020/BKU-004/V/204</t>
  </si>
  <si>
    <t>Layanan</t>
  </si>
  <si>
    <t>Harga Sewa</t>
  </si>
  <si>
    <t>Sewa koneksi internet</t>
  </si>
  <si>
    <t>Sewa perangkat V-SAT</t>
  </si>
  <si>
    <t>Sewa Repeater GSM</t>
  </si>
  <si>
    <t>Sewa WDL</t>
  </si>
  <si>
    <t>HO MTN Jakarta</t>
  </si>
  <si>
    <t>Berau Coal</t>
  </si>
  <si>
    <t>KPUC-Kaltim</t>
  </si>
  <si>
    <t>Jkt-Wira</t>
  </si>
  <si>
    <t>Jkt-Loa Kulu</t>
  </si>
  <si>
    <t>Jkt-Wetar</t>
  </si>
  <si>
    <t>MTN BJA Loa Kulu</t>
  </si>
  <si>
    <t>Jkt-Berau Coal</t>
  </si>
  <si>
    <t>Jkt-IPC</t>
  </si>
  <si>
    <t>MTN KEL</t>
  </si>
  <si>
    <t>Pengurang (5%)</t>
  </si>
  <si>
    <t>Pengurang (7,5% &amp; 10%)</t>
  </si>
  <si>
    <t>Asam-asam</t>
  </si>
  <si>
    <t>Harga setelah dikurangi (Mulai Ags 2015)</t>
  </si>
  <si>
    <t xml:space="preserve">Harga setelah dikurangi (Mulai Jan 2015) </t>
  </si>
  <si>
    <t>Sewa VSAT to WDL</t>
  </si>
  <si>
    <t>DAFTAR HARGA</t>
  </si>
  <si>
    <t>PT. MADHANI TALATAH NUSANTARA</t>
  </si>
  <si>
    <t xml:space="preserve">Site OFF </t>
  </si>
  <si>
    <t>Site Online</t>
  </si>
  <si>
    <t>17-001/BKU-004/V/243</t>
  </si>
  <si>
    <t>010.018-17.04159603</t>
  </si>
  <si>
    <t>17-006/BKU-004/V/007</t>
  </si>
  <si>
    <t>010.018-17.04159602</t>
  </si>
  <si>
    <t>17-005/BKU-004/V/224</t>
  </si>
  <si>
    <t>010.018-17.04159596</t>
  </si>
  <si>
    <t>17-009/BKU-004/V/210</t>
  </si>
  <si>
    <t>17-010/BKU-004/V/210</t>
  </si>
  <si>
    <t>17-005/BKU-004/V/227</t>
  </si>
  <si>
    <t>010.018-17.04159601</t>
  </si>
  <si>
    <t>17-005/BKU-004/V/207</t>
  </si>
  <si>
    <t>010.018-17.04159600</t>
  </si>
  <si>
    <t>17-007/BKU-004/V/245</t>
  </si>
  <si>
    <t>010.018-17.04159599</t>
  </si>
  <si>
    <t>010.018-17.04159598</t>
  </si>
  <si>
    <t>010.018-17.04159597</t>
  </si>
  <si>
    <t>011.018-17.04159573</t>
  </si>
  <si>
    <t>17-017/BKU-004/V/179</t>
  </si>
  <si>
    <t>010.018-17.04159604</t>
  </si>
  <si>
    <t>17-018/BKU-004/V/179</t>
  </si>
  <si>
    <t>010.018-17.04159605</t>
  </si>
  <si>
    <t>010.018-17.04159606</t>
  </si>
  <si>
    <t>17-019/BKU-004/V/179</t>
  </si>
  <si>
    <t>17-030/BKU-004/V/159</t>
  </si>
  <si>
    <t>010.018-17.04159607</t>
  </si>
  <si>
    <t>17-031/BKU-004/V/159</t>
  </si>
  <si>
    <t>010.018-17.04159608</t>
  </si>
  <si>
    <t>010.018-17.04159609</t>
  </si>
  <si>
    <t>010.018-17.04159610</t>
  </si>
  <si>
    <t>010.018-17.04159611</t>
  </si>
  <si>
    <t>010.018-17.04159612</t>
  </si>
  <si>
    <t>17-032/BKU-004/V/159</t>
  </si>
  <si>
    <t>17-033/BKU-004/V/159</t>
  </si>
  <si>
    <t>17-034/BKU-004/V/159</t>
  </si>
  <si>
    <t>17-035/BKU-004/V/159</t>
  </si>
  <si>
    <t>Inay</t>
  </si>
  <si>
    <t>249</t>
  </si>
  <si>
    <t>Triyono</t>
  </si>
  <si>
    <t>17-014/BKU-004/V/009</t>
  </si>
  <si>
    <t>010.018-17.04159613</t>
  </si>
  <si>
    <t>17-015/BKU-004/V/009</t>
  </si>
  <si>
    <t>010.018-17.04159614</t>
  </si>
  <si>
    <t>17-002/BKU-004/V/244</t>
  </si>
  <si>
    <t>010.018-17.04159616</t>
  </si>
  <si>
    <t>17-021/BKU-004/V/204</t>
  </si>
  <si>
    <t>010.018-17.04159615</t>
  </si>
  <si>
    <t>17-022/BKU-004/V/204</t>
  </si>
  <si>
    <t>Junaidi</t>
  </si>
  <si>
    <t>Budi</t>
  </si>
  <si>
    <t>17-037</t>
  </si>
  <si>
    <t>17-038</t>
  </si>
  <si>
    <t>17-039</t>
  </si>
  <si>
    <t>17-001/BKU-004/I/184</t>
  </si>
  <si>
    <t>17-002/BKU-004/II/184</t>
  </si>
  <si>
    <t>17-003/BKU-004/III/184</t>
  </si>
  <si>
    <t>17-004/BKU-004/IV/184</t>
  </si>
  <si>
    <t>(Istri Ambar)</t>
  </si>
  <si>
    <t>Mia</t>
  </si>
  <si>
    <t>8 &amp; rev 15 Mei 17</t>
  </si>
  <si>
    <t>10 &amp; 21 Apr '17, rev 15 Mei '17</t>
  </si>
  <si>
    <t>MINGGU KE 3</t>
  </si>
  <si>
    <t>MINGGU KE 4</t>
  </si>
  <si>
    <t>RINCIAN OUTSTANDING INVOICE Per 31 Maret 2017</t>
  </si>
  <si>
    <t>RINCIAN OUTSTANDING INVOICE Per 30 April 2017</t>
  </si>
  <si>
    <t>001/BKU-004/V/184</t>
  </si>
  <si>
    <t>002/BKU-004/V/184</t>
  </si>
  <si>
    <t>003/BKU-004/V/184</t>
  </si>
  <si>
    <t>020.018-17.04159622</t>
  </si>
  <si>
    <t>020.018-17.04159623</t>
  </si>
  <si>
    <t>020.018-17.04159624</t>
  </si>
  <si>
    <t>Safriansyah</t>
  </si>
  <si>
    <t>M. JATINEGARA</t>
  </si>
  <si>
    <t>HUTAN KETAPANG INDUSTRI, PT (SA GROUP)</t>
  </si>
  <si>
    <t>KUSUMA MENTARI MAKMUR, PT (SA GROUP)</t>
  </si>
  <si>
    <t>LANANG AGRO BERSATU, PT (SA GROUP)</t>
  </si>
  <si>
    <t>NUSANTARA SARANA ALAM, PT (SA GROUP)</t>
  </si>
  <si>
    <t>PERTIWI AGRO SEJAHTERA, PT (SA GROUP)</t>
  </si>
  <si>
    <t>TEBAR TANDAN TENERA, PT (SA GROUP)</t>
  </si>
  <si>
    <t>KAPASITAS</t>
  </si>
  <si>
    <t>Sebakis (Nunukan)</t>
  </si>
  <si>
    <t>WDL 1 Mbps</t>
  </si>
  <si>
    <t>MPLS 5 Mbps</t>
  </si>
  <si>
    <t>VSAT SCPC 512/256 Kbps</t>
  </si>
  <si>
    <t>17-010&amp;17-014</t>
  </si>
  <si>
    <t>Malinau (AMO)</t>
  </si>
  <si>
    <t>Kendawangan (KDA)</t>
  </si>
  <si>
    <t>LAB 1 - Ketapang Kalbar BSE</t>
  </si>
  <si>
    <t>LAB 2 - Ketapang Kalbar BME</t>
  </si>
  <si>
    <t>MTU</t>
  </si>
  <si>
    <t>PEMERINTAH KABUPATEN SIGI (DISKOMINFO)</t>
  </si>
  <si>
    <t>PEMERINTAH KABUPATEN SIGI (SEKRETARIAT)</t>
  </si>
  <si>
    <t>17-037/BKU-004/V/057</t>
  </si>
  <si>
    <t>17-038/BKU-004/V/057</t>
  </si>
  <si>
    <t>010.018-17.04159625</t>
  </si>
  <si>
    <t>17-039/BKU-004/V/057</t>
  </si>
  <si>
    <t>001/PKLD/II/17</t>
  </si>
  <si>
    <t>001/PKLD/III/2017</t>
  </si>
  <si>
    <t>019/HO/23/IV/2017</t>
  </si>
  <si>
    <t>000091/PPH23/IV/2017</t>
  </si>
  <si>
    <t>000092/PPH23/IV/2017</t>
  </si>
  <si>
    <t>000093/PPH23/IV/2017</t>
  </si>
  <si>
    <t>000028/PPH23/XII/2016</t>
  </si>
  <si>
    <t>000038/PPH23/I/2017</t>
  </si>
  <si>
    <t>000025/PPH23/II/2017</t>
  </si>
  <si>
    <t>000038/PPH23/III/2017</t>
  </si>
  <si>
    <t>016/PPH-23/CS/IV/2017</t>
  </si>
  <si>
    <t>000113/PPH23/III/17</t>
  </si>
  <si>
    <t>000112/PPH23/III/17</t>
  </si>
  <si>
    <t>000075/PPH23/III/17</t>
  </si>
  <si>
    <t>000074/PPH23/III/17</t>
  </si>
  <si>
    <t>000013/PPH23/HPMU/III/2017</t>
  </si>
  <si>
    <t>000011/PPH23/HPMU/III/2017</t>
  </si>
  <si>
    <t>000012/PPH23/HPMU/III/2017</t>
  </si>
  <si>
    <t>000010/PPH23/HPMU/III/2017</t>
  </si>
  <si>
    <t>000014/PPH23/HPMU/III/2017</t>
  </si>
  <si>
    <t>000015/PPH23/HPMU/III/2017</t>
  </si>
  <si>
    <t>000016/PPH23/HPMU/III/2017</t>
  </si>
  <si>
    <t>17-040</t>
  </si>
  <si>
    <t>17-041</t>
  </si>
  <si>
    <t>17-042</t>
  </si>
  <si>
    <t>17-010/BKU-004/VI/208</t>
  </si>
  <si>
    <t>17-006/BKU-004/VI/097</t>
  </si>
  <si>
    <t>17-006/BKU-004/VI/220</t>
  </si>
  <si>
    <t>17-006/BKU-004/VI/226</t>
  </si>
  <si>
    <t>17-013/BKU-004/V/211</t>
  </si>
  <si>
    <t>17-014/BKU-004/V/211</t>
  </si>
  <si>
    <t>17-015/BKU-004/V/211</t>
  </si>
  <si>
    <t>17-007/BKU-004/VI/198</t>
  </si>
  <si>
    <t>17-011/BKU-004/VI/196</t>
  </si>
  <si>
    <t>17-012/BKU-004/VI/196</t>
  </si>
  <si>
    <t>17-006/BKU-004/VI/214</t>
  </si>
  <si>
    <t>17-006/BKU-004/VI/149</t>
  </si>
  <si>
    <t>17-007/BKU-004/VI/239</t>
  </si>
  <si>
    <t>17-005/BKU-004/VI/225</t>
  </si>
  <si>
    <t>17-006/BKU-004/VI/145</t>
  </si>
  <si>
    <t>17-023/BKU-004/VI/204</t>
  </si>
  <si>
    <t>17-024/BKU-004/VI/204</t>
  </si>
  <si>
    <t>17-025/BKU-004/VI/204</t>
  </si>
  <si>
    <t>17-026/BKU-004/VI/204</t>
  </si>
  <si>
    <t>17-006/BKU-004/VI/224</t>
  </si>
  <si>
    <t>17-011/BKU-004/VI/210</t>
  </si>
  <si>
    <t>17-012/BKU-004/VI/210</t>
  </si>
  <si>
    <t>17-008/BKU-004/VI/245</t>
  </si>
  <si>
    <t>17-006/BKU-004/VI/207</t>
  </si>
  <si>
    <t>17-006/BKU-004/VI/227</t>
  </si>
  <si>
    <t>17-007/BKU-004/VI/007</t>
  </si>
  <si>
    <t>17-020/BKU-004/VI/179</t>
  </si>
  <si>
    <t>17-021/BKU-004/VI/179</t>
  </si>
  <si>
    <t>17-022/BKU-004/VI/179</t>
  </si>
  <si>
    <t>17-016/BKU-004/VI/009</t>
  </si>
  <si>
    <t>17-017/BKU-004/VI/009</t>
  </si>
  <si>
    <t>17-023/BKU-004/VI/179</t>
  </si>
  <si>
    <t>17-043</t>
  </si>
  <si>
    <t>17-036/BKU-004/VI/159</t>
  </si>
  <si>
    <t>17-037/BKU-004/VI/159</t>
  </si>
  <si>
    <t>17-038/BKU-004/VI/159</t>
  </si>
  <si>
    <t>17-039/BKU-004/VI/159</t>
  </si>
  <si>
    <t>17-040/BKU-004/VI/159</t>
  </si>
  <si>
    <t>17-041/BKU-004/VI/159</t>
  </si>
  <si>
    <t>17-042/BKU-004/VI/159</t>
  </si>
  <si>
    <t>17-043/BKU-004/VI/159</t>
  </si>
  <si>
    <t>011.018-17.04159591</t>
  </si>
  <si>
    <t>010.018-17.04159626</t>
  </si>
  <si>
    <t>010.018-17.04159627</t>
  </si>
  <si>
    <t>010.018-17.04159628</t>
  </si>
  <si>
    <t>010.018-17.04159632</t>
  </si>
  <si>
    <t>010.018-17.04159630</t>
  </si>
  <si>
    <t>030.018-17.04159631</t>
  </si>
  <si>
    <t>010.018-17.04159634</t>
  </si>
  <si>
    <t>010.018-17.04159633</t>
  </si>
  <si>
    <t>010.018-17.04159635</t>
  </si>
  <si>
    <t>010.018-17.04159640</t>
  </si>
  <si>
    <t>010.018-17.04159639</t>
  </si>
  <si>
    <t>010.018-17.04159638</t>
  </si>
  <si>
    <t>010.018-17.04159636</t>
  </si>
  <si>
    <t>010.018-17.04159637</t>
  </si>
  <si>
    <t>010.018-17.04159642</t>
  </si>
  <si>
    <t>010.018-17.04159643</t>
  </si>
  <si>
    <t>010.018-17.04159644</t>
  </si>
  <si>
    <t>010.018-17.04159645</t>
  </si>
  <si>
    <t>010.018-17.04159651</t>
  </si>
  <si>
    <t>010.018-17.04159650</t>
  </si>
  <si>
    <t>010.018-17.04159647</t>
  </si>
  <si>
    <t>010.018-17.04159648</t>
  </si>
  <si>
    <t>010.018-17.04159649</t>
  </si>
  <si>
    <t>010.018-17.04159646</t>
  </si>
  <si>
    <t>010.018-17.04159652</t>
  </si>
  <si>
    <t>010.018-17.04159653</t>
  </si>
  <si>
    <t>010.018-17.04159654</t>
  </si>
  <si>
    <t>010.018-17.04159655</t>
  </si>
  <si>
    <t>010.018-17.04159656</t>
  </si>
  <si>
    <t>010.018-17.04159659</t>
  </si>
  <si>
    <t>010.018-17.04159660</t>
  </si>
  <si>
    <t>010.018-17.04159661</t>
  </si>
  <si>
    <t>010.018-17.04159662</t>
  </si>
  <si>
    <t>010.018-17.04159663</t>
  </si>
  <si>
    <t>010.018-17.04159664</t>
  </si>
  <si>
    <t>010.018-17.04159665</t>
  </si>
  <si>
    <t>010.018-17.04159666</t>
  </si>
  <si>
    <t>010.018-17.04159657</t>
  </si>
  <si>
    <t>010.018-17.04159658</t>
  </si>
  <si>
    <t>17-009/BKU-004/V/172</t>
  </si>
  <si>
    <t>010.018-17.04159667</t>
  </si>
  <si>
    <t>17-010/BKU-004/V/172</t>
  </si>
  <si>
    <t>Andi</t>
  </si>
  <si>
    <t>Df</t>
  </si>
  <si>
    <t>17-008/BKU-004/V/208 (rev)</t>
  </si>
  <si>
    <t>17-009/BKU-004/V/208 (rev)</t>
  </si>
  <si>
    <t>SELARAS INTI SEMESTA, PT</t>
  </si>
  <si>
    <t>17-001/BKU-004/VI/250</t>
  </si>
  <si>
    <t>17-002/BKU-004/VI/250</t>
  </si>
  <si>
    <t>010.018-17.04159669</t>
  </si>
  <si>
    <t>Internet FO Down Link 1024 Kbps / 5mbps?</t>
  </si>
  <si>
    <t>17-005 s/d 17-007</t>
  </si>
  <si>
    <t>021.018-17.04159617</t>
  </si>
  <si>
    <t>021.018-17.04159618</t>
  </si>
  <si>
    <t>011.018-17.04159641</t>
  </si>
  <si>
    <t>021.018-17.04159619</t>
  </si>
  <si>
    <t>021.018-17.04159620</t>
  </si>
  <si>
    <t>17-005/BKU-004/V/184</t>
  </si>
  <si>
    <t>020.018-17.04159621</t>
  </si>
  <si>
    <t>Sewa VSAT Internet Broadband 256/512 Kbps</t>
  </si>
  <si>
    <t>Tamulik (Papua)</t>
  </si>
  <si>
    <t>17-001 &amp; 002</t>
  </si>
  <si>
    <t>MTU (Kalteng)</t>
  </si>
  <si>
    <t>VSAT 1Mbps backup link</t>
  </si>
  <si>
    <t>17-009&amp;010</t>
  </si>
  <si>
    <t>DISMANTLE</t>
  </si>
  <si>
    <t>WDL &amp; Internet 2048 Kbps</t>
  </si>
  <si>
    <t>LAB 1 - Ketapang Kalbar (BSE)</t>
  </si>
  <si>
    <t>LAB 2 - Ketapang Kalbar (BME)</t>
  </si>
  <si>
    <t>17-011&amp;015</t>
  </si>
  <si>
    <t>17-012&amp;016</t>
  </si>
  <si>
    <t>VSAT 256/128 Kbps</t>
  </si>
  <si>
    <t>KMO (Port)</t>
  </si>
  <si>
    <t>17-001&amp;2</t>
  </si>
  <si>
    <t>Dishubkmnfo (2mbps), Kulawi, Palolo, Lindu, Pipikoro (512 Kbps)</t>
  </si>
  <si>
    <t>6 &amp; 8 Jun 17</t>
  </si>
  <si>
    <t>15 May &amp; 7 Jun</t>
  </si>
  <si>
    <t>Bengalon (BCP)</t>
  </si>
  <si>
    <t>Asam2 (ACP)</t>
  </si>
  <si>
    <t>17-045</t>
  </si>
  <si>
    <t>17-046</t>
  </si>
  <si>
    <t>17-047</t>
  </si>
  <si>
    <t>17-048</t>
  </si>
  <si>
    <t>17-049</t>
  </si>
  <si>
    <t>17-050</t>
  </si>
  <si>
    <t>10 Mei&amp;16 Jun</t>
  </si>
  <si>
    <t xml:space="preserve">Rohadi </t>
  </si>
  <si>
    <t>Internet 10 Mbps IIX / 2 Mbps IX</t>
  </si>
  <si>
    <t>17-040/BKU-004/VI/057</t>
  </si>
  <si>
    <t>010.018-17.04159670</t>
  </si>
  <si>
    <t>17-041/BKU-004/VI/057</t>
  </si>
  <si>
    <t>010.018-17.04159680</t>
  </si>
  <si>
    <t>17-042/BKU-004/VI/057</t>
  </si>
  <si>
    <t>010.018-17.04159672</t>
  </si>
  <si>
    <t>17-043/BKU-004/VI/057</t>
  </si>
  <si>
    <t>010.018-17.04159673</t>
  </si>
  <si>
    <t>17-044/BKU-004/VI/057</t>
  </si>
  <si>
    <t>010.018-17.04159674</t>
  </si>
  <si>
    <t>17-045/BKU-004/VI/057</t>
  </si>
  <si>
    <t>010.018-17.04159675</t>
  </si>
  <si>
    <t>17-046/BKU-004/VI/057</t>
  </si>
  <si>
    <t>010.018-17.04159676</t>
  </si>
  <si>
    <t>17-047/BKU-004/VI/057</t>
  </si>
  <si>
    <t>010.018-17.04159677</t>
  </si>
  <si>
    <t>17-048/BKU-004/VI/057</t>
  </si>
  <si>
    <t>010.018-17.04159678</t>
  </si>
  <si>
    <t>17-049/BKU-004/VI/057</t>
  </si>
  <si>
    <t>010.018-17.04159679</t>
  </si>
  <si>
    <t>010.018-17.04159681</t>
  </si>
  <si>
    <t>Mandi</t>
  </si>
  <si>
    <t>17-037 &amp; 17-042</t>
  </si>
  <si>
    <t>17-038, 039, 17-044</t>
  </si>
  <si>
    <t>011.018-17.04159668</t>
  </si>
  <si>
    <t>STOP - LAYANAN PINDAH KE DTR</t>
  </si>
  <si>
    <t>17-027/BKU-004/VII/204</t>
  </si>
  <si>
    <t>17-028/BKU-004/VII/204</t>
  </si>
  <si>
    <t>17-029/BKU-004/VII/204</t>
  </si>
  <si>
    <t>17-030/BKU-004/VII/204</t>
  </si>
  <si>
    <t>17-007/BKU-004/VII/224</t>
  </si>
  <si>
    <t>17-013/BKU-004/VII/210</t>
  </si>
  <si>
    <t>17-014/BKU-004/VII/210</t>
  </si>
  <si>
    <t>17-009/BKU-004/VII/245</t>
  </si>
  <si>
    <t>17-007/BKU-004/VII/207</t>
  </si>
  <si>
    <t>17-007/BKU-004/VII/227</t>
  </si>
  <si>
    <t>17-008/BKU-004/VII/198</t>
  </si>
  <si>
    <t>17-007/BKU-004/VII/097</t>
  </si>
  <si>
    <t>17-016/BKU-004/VII/211</t>
  </si>
  <si>
    <t>17-017/BKU-004/VII/211</t>
  </si>
  <si>
    <t>17-018/BKU-004/VII/211</t>
  </si>
  <si>
    <t>17-013/BKU-004/VII/196</t>
  </si>
  <si>
    <t>17-014/BKU-004/VII/196</t>
  </si>
  <si>
    <t>17-007/BKU-004/VII/149</t>
  </si>
  <si>
    <t>17-007/BKU-004/VII/220</t>
  </si>
  <si>
    <t>17-007/BKU-004/VII/226</t>
  </si>
  <si>
    <t>17-006/BKU-004/VII/225</t>
  </si>
  <si>
    <t>17-008/BKU-004/VII/239</t>
  </si>
  <si>
    <t>17-007/BKU-004/VII/145</t>
  </si>
  <si>
    <t>17-003/BKU-004/VII/250</t>
  </si>
  <si>
    <t>17-044/BKU-004/VII/159</t>
  </si>
  <si>
    <t>17-045/BKU-004/VII/159</t>
  </si>
  <si>
    <t>17-046/BKU-004/VII/159</t>
  </si>
  <si>
    <t>17-047/BKU-004/VII/159</t>
  </si>
  <si>
    <t>17-048/BKU-004/VII/159</t>
  </si>
  <si>
    <t>17-049/BKU-004/VII/159</t>
  </si>
  <si>
    <t>17-050/BKU-004/VII/159</t>
  </si>
  <si>
    <t>17-024/BKU-004/VII/179</t>
  </si>
  <si>
    <t>17-025/BKU-004/VII/179</t>
  </si>
  <si>
    <t>17-026/BKU-004/VII/179</t>
  </si>
  <si>
    <t>17-007/BKU-004/VII/214</t>
  </si>
  <si>
    <t>010.018-17.04159687</t>
  </si>
  <si>
    <t>010.018-17.04159689</t>
  </si>
  <si>
    <t>030.018-17.04159690</t>
  </si>
  <si>
    <t>010.018-17.04159691</t>
  </si>
  <si>
    <t>010.018-17.04159692</t>
  </si>
  <si>
    <t>010.018-17.04159693</t>
  </si>
  <si>
    <t>010.018-17.04159694</t>
  </si>
  <si>
    <t>010.018-17.04159695</t>
  </si>
  <si>
    <t>010.018-17.04159688</t>
  </si>
  <si>
    <t>010.018-17.04159682</t>
  </si>
  <si>
    <t>010.018-17.04159683</t>
  </si>
  <si>
    <t>010.018-17.04159684</t>
  </si>
  <si>
    <t>010.018-17.04159685</t>
  </si>
  <si>
    <t>010.018-17.04159686</t>
  </si>
  <si>
    <t>Tamulik</t>
  </si>
  <si>
    <t>010.018-17.04159696</t>
  </si>
  <si>
    <t>010.018-17.04159697</t>
  </si>
  <si>
    <t>010.018-17.04159698</t>
  </si>
  <si>
    <t>010.018-17.04159699</t>
  </si>
  <si>
    <t>010.018-17.04159700</t>
  </si>
  <si>
    <t>KONTRAK HPU/MM/PSW/2015/IV/0026, ADENDUM HPU/MM/AMD-ADD/2017/IV/0118</t>
  </si>
  <si>
    <t>KONTRAK 113/001D/III/2012/MTN-BKU, ADENDUM 004/BKU/MTN/ADD/IV/V/17</t>
  </si>
  <si>
    <t>010.018-17.04159703</t>
  </si>
  <si>
    <t>010.018-17.04159701</t>
  </si>
  <si>
    <t>010.018-17.04159702</t>
  </si>
  <si>
    <t>010.018-17.04159704</t>
  </si>
  <si>
    <t>010.018-17.04159705</t>
  </si>
  <si>
    <t>010.018-17.04159706</t>
  </si>
  <si>
    <t>010.018-17.04159707</t>
  </si>
  <si>
    <t>010.018-17.04159708</t>
  </si>
  <si>
    <t>010.018-17.04159709</t>
  </si>
  <si>
    <t>010.018-17.04159710</t>
  </si>
  <si>
    <t>010.018-17.04159711</t>
  </si>
  <si>
    <t>010.018-17.04159712</t>
  </si>
  <si>
    <t>010.018-17.04159713</t>
  </si>
  <si>
    <t>010.018-17.04159714</t>
  </si>
  <si>
    <t xml:space="preserve"> Invoice sedang dikirim dengan surat pengantar No. 17-165/BKU-007/VII/159</t>
  </si>
  <si>
    <t>010.018-17.04159715</t>
  </si>
  <si>
    <t>010.018-17.04159716</t>
  </si>
  <si>
    <t>010.018-17.04159717</t>
  </si>
  <si>
    <t>17-051/BKU-004/VII/159</t>
  </si>
  <si>
    <t>Ojahan</t>
  </si>
  <si>
    <t>Risma</t>
  </si>
  <si>
    <t>Agung</t>
  </si>
  <si>
    <t>Harga per Mei 2017</t>
  </si>
  <si>
    <t>MUTU</t>
  </si>
  <si>
    <t>RINCIAN OUTSTANDING INVOICE Per 30 Juni 2017</t>
  </si>
  <si>
    <t>250</t>
  </si>
  <si>
    <t>RINCIAN OUTSTANDING INVOICE Per 31 Mei 2017</t>
  </si>
  <si>
    <t>VSAT SCPC 512/768 Kbps</t>
  </si>
  <si>
    <t>MINGGU KE 1</t>
  </si>
  <si>
    <t>MINGGU KE 2</t>
  </si>
  <si>
    <t>Selisih / Outstanding (INC PPN)</t>
  </si>
  <si>
    <t>Lampiran A-3 : SUMMARY PENERBITAN INVOICE TH 2017</t>
  </si>
  <si>
    <t>17-011/BKU-004/VII/208</t>
  </si>
  <si>
    <t>010.018-17-04159720</t>
  </si>
  <si>
    <t>17-011/BKU-004/VII/172</t>
  </si>
  <si>
    <t>010.018-17.04159722</t>
  </si>
  <si>
    <t>17-012/BKU-004/VII/172</t>
  </si>
  <si>
    <t>010.018-17.04159721</t>
  </si>
  <si>
    <t>17-018/BKU-004/VII/009</t>
  </si>
  <si>
    <t>17-019/BKU-004/VII/009</t>
  </si>
  <si>
    <t>010.018-17.04159718</t>
  </si>
  <si>
    <t>010.018-17.04159719</t>
  </si>
  <si>
    <t>Sutopo</t>
  </si>
  <si>
    <t>KEMENTRIAN KOORDINATOR BIDANG KEMARITIMAN RI</t>
  </si>
  <si>
    <t>001/RBU-I/2017 (FUJITSU IMAGE SCANNER FI-7280 &amp; FUJITSU SCANSNAP IX500</t>
  </si>
  <si>
    <t>002/RBU-II/2017 (RFID MIFARE 1K IDCARD PRINTING DUA SISI &amp; BY REMASTERING DESIGN)</t>
  </si>
  <si>
    <t>003/RBU-II/2017 (CIVIL WORK, FLAP BARRIER, CCTV SECURITY MONITORING)</t>
  </si>
  <si>
    <t>17-050/BKU-004/VI/057</t>
  </si>
  <si>
    <t>17-051/BKU-004/VII/057</t>
  </si>
  <si>
    <t>010.018-17.04159723</t>
  </si>
  <si>
    <t>023/HO/23/V/2017</t>
  </si>
  <si>
    <t>000013/PPH23/HPMU/V/2017</t>
  </si>
  <si>
    <t>000014/PPH23/HPMU/V/2017</t>
  </si>
  <si>
    <t>000015/PPH23/HPMU/V/2017</t>
  </si>
  <si>
    <t>000016/PPH23HPMU/V/2017</t>
  </si>
  <si>
    <t>000012/PPH23/HPMU/V/2017</t>
  </si>
  <si>
    <t>000120/PPH23/V/2017</t>
  </si>
  <si>
    <t>000121/PPH23/V/2017</t>
  </si>
  <si>
    <t>000122/PPH23/V/2017</t>
  </si>
  <si>
    <t>000034/PPH23/I/2017</t>
  </si>
  <si>
    <t>000004/PPH23/II/2017</t>
  </si>
  <si>
    <t>000006/PPH23/III/2017</t>
  </si>
  <si>
    <t>0125/H3I/PPH23/VI/2017</t>
  </si>
  <si>
    <t>000115/PPH23/HKI/2017</t>
  </si>
  <si>
    <t>000116/PPH23/HKI/2017</t>
  </si>
  <si>
    <t>000117/PPH23/HKI/2017</t>
  </si>
  <si>
    <t>000118/PPH23/HKI/2017</t>
  </si>
  <si>
    <t>000154/PPH23/HKI/2017</t>
  </si>
  <si>
    <t>000155/PPH23/HKI/2017</t>
  </si>
  <si>
    <t>000156/PPH23/HKI/2017</t>
  </si>
  <si>
    <t>000157/PPH23/HKI/2017</t>
  </si>
  <si>
    <t>000026/PPH23</t>
  </si>
  <si>
    <t>000027/PPH23</t>
  </si>
  <si>
    <t>000175/23/LAB/2017</t>
  </si>
  <si>
    <t>000176/23/LAB/2017</t>
  </si>
  <si>
    <t>000048/23/PAS-JKT/2017</t>
  </si>
  <si>
    <t>000033/23/PAS-JKT/2017</t>
  </si>
  <si>
    <t>000031/23/TTT/2017</t>
  </si>
  <si>
    <t>000023/23/NSA/2017</t>
  </si>
  <si>
    <t>000062/23/NSA/2017</t>
  </si>
  <si>
    <t>000182/23/LAB/2017</t>
  </si>
  <si>
    <t>000186/23/LAB/2017</t>
  </si>
  <si>
    <t>000003/PPH23/TTT-landak/2017</t>
  </si>
  <si>
    <t>PAMA PERSADA NUSANTARA, PT</t>
  </si>
  <si>
    <t>17-001/BKU-004/VII/246</t>
  </si>
  <si>
    <t>010.018-17.04159724</t>
  </si>
  <si>
    <t>KMO PORT</t>
  </si>
  <si>
    <t>004/BKU-004/VII/184</t>
  </si>
  <si>
    <t>005/BKU-004/VII/184</t>
  </si>
  <si>
    <t>006/BKU-004/VII/184</t>
  </si>
  <si>
    <t>020.018-17.04159725</t>
  </si>
  <si>
    <t>020.018-17.04159726</t>
  </si>
  <si>
    <t>020.018-17.04159727</t>
  </si>
  <si>
    <t>001/PKS-WDL-DTR/V/17</t>
  </si>
  <si>
    <t>17-027/BKU-004/VIII/179</t>
  </si>
  <si>
    <t>17-028/BKU-004/VIII/179</t>
  </si>
  <si>
    <t>17-029/BKU-004/VIII/179</t>
  </si>
  <si>
    <t>17-007/BKU-004/VIII/225</t>
  </si>
  <si>
    <t>17-008/BKU-004/VIII/220</t>
  </si>
  <si>
    <t>17-008/BKU-004/VIII/226</t>
  </si>
  <si>
    <t>17-008/BKU-004/VIII/145</t>
  </si>
  <si>
    <t>17-004/BKU-004/VIII/250</t>
  </si>
  <si>
    <t>17-019/BKU-004/VIII/211</t>
  </si>
  <si>
    <t>17-020/BKU-004/VIII/211</t>
  </si>
  <si>
    <t>17-021/BKU-004/VIII/211</t>
  </si>
  <si>
    <t>17-008/BKU-004/VIII/214</t>
  </si>
  <si>
    <t>17-015/BKU-004/VIII/196</t>
  </si>
  <si>
    <t>17-016/BKU-004/VIII/196</t>
  </si>
  <si>
    <t>17-008/BKU-004/VIII/149</t>
  </si>
  <si>
    <t>17-031/BKU-004/VIII/204</t>
  </si>
  <si>
    <t>17-032/BKU-004/VIII/204</t>
  </si>
  <si>
    <t>17-033/BKU-004/VIII/204</t>
  </si>
  <si>
    <t>17-034/BKU-004/VIII/204</t>
  </si>
  <si>
    <t>17-008/BKU-004/VIII/224</t>
  </si>
  <si>
    <t>17-015/BKU-004/VIII/210</t>
  </si>
  <si>
    <t>17-016/BKU-004/VIII/210</t>
  </si>
  <si>
    <t>17-010/BKU-004/VIII/245</t>
  </si>
  <si>
    <t>17-008/BKU-004/VIII/207</t>
  </si>
  <si>
    <t>17-008/BKU-004/VIII/227</t>
  </si>
  <si>
    <t>17-006/BKU-004/VIII/184</t>
  </si>
  <si>
    <t>17-007/BKU-004/VIII/184</t>
  </si>
  <si>
    <t>17-013/BKU-004/VIII/172</t>
  </si>
  <si>
    <t>17-052/BKU-004/VIII/159</t>
  </si>
  <si>
    <t>17-053/BKU-004/VIII/159</t>
  </si>
  <si>
    <t>17-054/BKU-004/VIII/159</t>
  </si>
  <si>
    <t>17-055/BKU-004/VIII/159</t>
  </si>
  <si>
    <t>17-056/BKU-004/VIII/159</t>
  </si>
  <si>
    <t>17-057/BKU-004/VIII/159</t>
  </si>
  <si>
    <t>17-058/BKU-004/VIII/159</t>
  </si>
  <si>
    <t>17-059/BKU-004/VIII/159</t>
  </si>
  <si>
    <t>010.018-17.04159729</t>
  </si>
  <si>
    <t>010.018-17.04159730</t>
  </si>
  <si>
    <t>010.018-17.04159731</t>
  </si>
  <si>
    <t>010.018-17.04159732</t>
  </si>
  <si>
    <t>010.018-17.04159733</t>
  </si>
  <si>
    <t>010.018-17.04159734</t>
  </si>
  <si>
    <t>010.018-17.04159735</t>
  </si>
  <si>
    <t>010.018-17.04159738</t>
  </si>
  <si>
    <t>030.018-17.04159739</t>
  </si>
  <si>
    <t>010.018-17.04159736</t>
  </si>
  <si>
    <t>010.018-17.04159737</t>
  </si>
  <si>
    <t>010.018-17.04159740</t>
  </si>
  <si>
    <t>010.018-17.04159743</t>
  </si>
  <si>
    <t>010.018-17.04159744</t>
  </si>
  <si>
    <t>010.018-17.04159745</t>
  </si>
  <si>
    <t>010.018-17.04159746</t>
  </si>
  <si>
    <t>17-002/BKU-004/VIII/243</t>
  </si>
  <si>
    <t>010.018-17.04159728</t>
  </si>
  <si>
    <t>17-003/BKU-004/VIII/243</t>
  </si>
  <si>
    <t>010.018-17.04159747</t>
  </si>
  <si>
    <t>WDL 4 Mbps</t>
  </si>
  <si>
    <t>010.018-17.04159748</t>
  </si>
  <si>
    <t>010.018-17.04159749</t>
  </si>
  <si>
    <t>010.018-17.04159750</t>
  </si>
  <si>
    <t>010.018-17.04159752</t>
  </si>
  <si>
    <t>010.018-17.04159753</t>
  </si>
  <si>
    <t>010.018-17.04159754</t>
  </si>
  <si>
    <t>010.018-17.04159755</t>
  </si>
  <si>
    <t>010.018-17.04159756</t>
  </si>
  <si>
    <t>010.019-17.53122128</t>
  </si>
  <si>
    <t>020.018-17.04159741</t>
  </si>
  <si>
    <t>020.018-17.04159742</t>
  </si>
  <si>
    <t>010.019-17.53122129</t>
  </si>
  <si>
    <t>010.019-17.53122130</t>
  </si>
  <si>
    <t>010.019-17.53122131</t>
  </si>
  <si>
    <t>010.019-17.53122132</t>
  </si>
  <si>
    <t>010.019-17.53122133</t>
  </si>
  <si>
    <t>010.019-17.53122134</t>
  </si>
  <si>
    <t>010.019-17.53122135</t>
  </si>
  <si>
    <t>010.019-17.53122136</t>
  </si>
  <si>
    <t>RINCIAN OUTSTANDING INVOICE Per 31 Juli 2017</t>
  </si>
  <si>
    <t>17-002/BKU-004/VIII/249</t>
  </si>
  <si>
    <t>246</t>
  </si>
  <si>
    <t>PROYEKSI AGUSTUS</t>
  </si>
  <si>
    <t>17-012/BKU-004/VIII/208</t>
  </si>
  <si>
    <t>17-020/BKU-004/VIII/009</t>
  </si>
  <si>
    <t>17-021/BKU-004/VIII/009</t>
  </si>
  <si>
    <t>17-022/BKU-004/VIII/009</t>
  </si>
  <si>
    <t>17-023/BKU-004/VIII/009</t>
  </si>
  <si>
    <t>Lampiran B-1 s/d B-9 : RINCIAN LAPORAN PENERIMAAN PEMBAYARAN TH 2017</t>
  </si>
  <si>
    <t>Lampiran A-3 : LAPORAN PENERBITAN INVOICE &amp; FAKTUR PAJAK TH 2017</t>
  </si>
  <si>
    <t>Lampiran B-1 s/d B-9 : SUMMARY LAPORAN PENERIMAAN PEMBAYARAN TH 2017</t>
  </si>
  <si>
    <t>Outstanding lama (Masih di Proses)</t>
  </si>
  <si>
    <t>SUDAH DI BAYARKAN DI BULAN JUNI</t>
  </si>
  <si>
    <t>MINGGU KE 5</t>
  </si>
  <si>
    <t>OUTSTANDING INVOICE</t>
  </si>
  <si>
    <t>PROYEKSI PENDAPATAN AGUSTUS</t>
  </si>
  <si>
    <t>PEMERINTAH KABUPATEN SIGI KOMINFO</t>
  </si>
  <si>
    <t>PEMERINTAH KABUPATEN SIGI SEKRETARIAT</t>
  </si>
  <si>
    <t>Rahmat</t>
  </si>
  <si>
    <t>Sutaimin</t>
  </si>
  <si>
    <t>Minda</t>
  </si>
  <si>
    <t>Arief Y</t>
  </si>
  <si>
    <t>tidak dikirim</t>
  </si>
  <si>
    <t>PROYEKSI &amp; RINCIAN INVOICE Per 31 Jul 2017 + CURRENT</t>
  </si>
  <si>
    <t>Pembayaran inticom</t>
  </si>
  <si>
    <t>+</t>
  </si>
  <si>
    <t>010.019-17.53122137</t>
  </si>
  <si>
    <t>010.019-17.53122140</t>
  </si>
  <si>
    <t>010.019-17.53122138</t>
  </si>
  <si>
    <t>010.019-17.53122139</t>
  </si>
  <si>
    <t xml:space="preserve">VSAT MCPC Consist Voice, Fax &amp; Internet Data Port 256/256 (512Kbps) </t>
  </si>
  <si>
    <t>POSB Sorong</t>
  </si>
  <si>
    <t>Muara Tuhup</t>
  </si>
  <si>
    <t>VSAT WAN 1 Mbps</t>
  </si>
  <si>
    <t>VSAT Internet 1 Mbps</t>
  </si>
  <si>
    <t xml:space="preserve">VSAT …….. </t>
  </si>
  <si>
    <t>VSAT SCPC 256/256 Kbps</t>
  </si>
  <si>
    <t>Tabang</t>
  </si>
  <si>
    <t>MANDIRI THAMRIN</t>
  </si>
  <si>
    <t>003/PKLD/V/2017</t>
  </si>
  <si>
    <t>000003/PPH23/HPMU/VI/2017</t>
  </si>
  <si>
    <t>000002/PPH23/HPMU/VI/2017</t>
  </si>
  <si>
    <t>000004/PPH23/HPMU/VI/2017</t>
  </si>
  <si>
    <t>000035/PPH23/HPU/IV/2017</t>
  </si>
  <si>
    <t>000030/PPH23/HPU/V/2017</t>
  </si>
  <si>
    <t>000014/PPH23/HPU/VI/2017</t>
  </si>
  <si>
    <t>000185/PPH23/VI/2017</t>
  </si>
  <si>
    <t>000184/PPH23/VI/2017</t>
  </si>
  <si>
    <t>000183/PPH23/VI/2017</t>
  </si>
  <si>
    <t>000254/PPH23/VI/17</t>
  </si>
  <si>
    <t>000255/PPH23/VI/17</t>
  </si>
  <si>
    <t>000284/PPH23/VI/17</t>
  </si>
  <si>
    <t>000283/PPH23/VI/17</t>
  </si>
  <si>
    <t>000028/PPH23</t>
  </si>
  <si>
    <t>000195/23/LAB/2017</t>
  </si>
  <si>
    <t>000194/23/LAB/2017</t>
  </si>
  <si>
    <t>000064/23/NSA/2017</t>
  </si>
  <si>
    <t>000006/PPH23/PAS/2017</t>
  </si>
  <si>
    <t>000007/PPH23/TTT-landak/2017</t>
  </si>
  <si>
    <t>17-008/BKU-004/VIII/225</t>
  </si>
  <si>
    <t>010.019-17.53122149</t>
  </si>
  <si>
    <t>Description</t>
  </si>
  <si>
    <t>MPLS 512 Kbps Site Krassi Sesayap</t>
  </si>
  <si>
    <t>Internet Broadband 128/512 Kbps Site Kab. Waropen</t>
  </si>
  <si>
    <t>Sewa VSAT Site Landak - Kalbar</t>
  </si>
  <si>
    <t>Sewa VSAT Site BSE Ketapang - Kalbar</t>
  </si>
  <si>
    <t>Sewa VSAT Site BME Ketapang - Kalbar</t>
  </si>
  <si>
    <t>Sewa VSAT 256/512 Kbps Site Tamulik</t>
  </si>
  <si>
    <t>WAN 5 Mbps Site Mass, Asto, SPUT, Loa Jana</t>
  </si>
  <si>
    <t>Sewa VSAT Site HKI 1</t>
  </si>
  <si>
    <t>Sewa VSAT Site HKI 2</t>
  </si>
  <si>
    <t>Sewa VSAT Site HKI 5</t>
  </si>
  <si>
    <t>Sewa VSAT Site HKI 6</t>
  </si>
  <si>
    <t>Sewa VSAT Site KMM</t>
  </si>
  <si>
    <t>WDL Site SIMS Batu Kajang - Kaltim</t>
  </si>
  <si>
    <t>WDL &amp; Internet Access 2048 Kbps Site Krassi Sesayap</t>
  </si>
  <si>
    <t>VPN IP Site Office Belleza</t>
  </si>
  <si>
    <t>WDL &amp; Internet Access 1024 Kbps Site Krassi Sebakung</t>
  </si>
  <si>
    <t>Internet Bandwith 5 Mbps Site HO Pro Mandiri Building Latumenten</t>
  </si>
  <si>
    <t>Sewa VSAT 256/512 Kbps Site Wapeko Merauke - Papua</t>
  </si>
  <si>
    <t>Internet Access Site Sebuku</t>
  </si>
  <si>
    <t>Internet 1024/256 Kbps Site Lolak</t>
  </si>
  <si>
    <t>Sewa Akses Internet Simetric 4/4 Mbps &amp; Sewa Tower 60 M Site Nunukan</t>
  </si>
  <si>
    <t>10 Juni-10 Juli</t>
  </si>
  <si>
    <t>Sewa VSAT 512 Kbps Site TTT</t>
  </si>
  <si>
    <t>VSAT SCPC Bandwith 1024 Kbps C-Band Site Malinau</t>
  </si>
  <si>
    <t>Monthly Site PT. Gema Reksa Mekar Sari Pangkalan Bun - Kalteng</t>
  </si>
  <si>
    <t>Pengadaan Soundwin 2 Port Fxs VoIP Gateway 1 Pcs</t>
  </si>
  <si>
    <t>Sewa VSAT SCPC 512/256 Kbps Site OBI Halmahera - Maluku</t>
  </si>
  <si>
    <t xml:space="preserve">Sewa VSAT SCPC 512/256 Kbps Site AMO Malinau </t>
  </si>
  <si>
    <t>Sewa VSAT SCPC 512/256 Kbps Site KDA Kalbar</t>
  </si>
  <si>
    <t>MPLS 5 Mbps Site Head Office</t>
  </si>
  <si>
    <t>MPLS 512 Kbps Site PDU</t>
  </si>
  <si>
    <t>MPLS 1 Mbps Site DMI</t>
  </si>
  <si>
    <t>MPLS 512 Kbps Site Sekayan</t>
  </si>
  <si>
    <t>Sewa VSAT SCPC 512/768 Kbps Site MGA Office</t>
  </si>
  <si>
    <t>Sewa VSAT 128/256 Kbps Site RUB Ex PPA</t>
  </si>
  <si>
    <t>Sewa VSAT SCPC 512/256 Kbps Site KMO</t>
  </si>
  <si>
    <t xml:space="preserve">Sewa VSAT 256/128 Kbps Site KMO (PORT) Kelubir </t>
  </si>
  <si>
    <t>Sewa VSAT 512 Kbps Site NSA Sandai - Kalbar</t>
  </si>
  <si>
    <t>VSAT dan MPLS Site Head Office</t>
  </si>
  <si>
    <t>Hardware Manage Services Riverbed</t>
  </si>
  <si>
    <t>Jasa Instalasi VPN 30 Mbps Site EPN, ABB, KPP, TTA, PAMA</t>
  </si>
  <si>
    <t>15 JUNI</t>
  </si>
  <si>
    <t>Sewa VSAT Site IAC Kintap</t>
  </si>
  <si>
    <t xml:space="preserve">Sewa VSAT Site Timika </t>
  </si>
  <si>
    <t>Installation Charges &amp; Monthly Charges POSB Sorong ( 14 - 31 Juli 2017 )</t>
  </si>
  <si>
    <t>010.019-17.53122150</t>
  </si>
  <si>
    <t>Monthly Charges ( Proporsional ) POSB Sorong ( 14 - 31 Juli 2017 )</t>
  </si>
  <si>
    <t>Site IAC KINTAP JULI</t>
  </si>
  <si>
    <t>SITE TIMIKA JULI</t>
  </si>
  <si>
    <t>17-009/BKU-004/IX/145</t>
  </si>
  <si>
    <t>010.019-17.53122152</t>
  </si>
  <si>
    <t>Rental VSAT Medco Wapeko</t>
  </si>
  <si>
    <t>17-035/BKU-004/IX/204</t>
  </si>
  <si>
    <t>17-036/BKU-004/IX/204</t>
  </si>
  <si>
    <t>17-037/BKU-004/IX/204</t>
  </si>
  <si>
    <t>17-038/BKU-004/IX/204</t>
  </si>
  <si>
    <t>010.019-17.53122153</t>
  </si>
  <si>
    <t>010.019-17.53122154</t>
  </si>
  <si>
    <t>010.019-17.53122155</t>
  </si>
  <si>
    <t>010.019-17.53122156</t>
  </si>
  <si>
    <t>Site HKI 1</t>
  </si>
  <si>
    <t>Site HKI 2</t>
  </si>
  <si>
    <t>Site HKI 5</t>
  </si>
  <si>
    <t>Site HKI 6</t>
  </si>
  <si>
    <t>17-017/BKU-004/IX/210</t>
  </si>
  <si>
    <t>17-018/BKU-004/IX/210</t>
  </si>
  <si>
    <t>010.019-17.53122158</t>
  </si>
  <si>
    <t>Monthly Charges VSAT</t>
  </si>
  <si>
    <t>17-009/BKU-004/IX/207</t>
  </si>
  <si>
    <t>010.019-17.53122159</t>
  </si>
  <si>
    <t>Monthly Charges VSAT LAB BSE</t>
  </si>
  <si>
    <t>Monthly Charges VSAT LAB BME</t>
  </si>
  <si>
    <t>17-009/BKU-004/IX/149</t>
  </si>
  <si>
    <t>Rental VSAT Site KMM</t>
  </si>
  <si>
    <t>Rental VSAT Site NSA Sandai</t>
  </si>
  <si>
    <t>Rental VSAT Site TTT</t>
  </si>
  <si>
    <t>17-009/BKU-004/IX/227</t>
  </si>
  <si>
    <t>010.019-17.53122163</t>
  </si>
  <si>
    <t>17-011/BKU-004/IX/245</t>
  </si>
  <si>
    <t>010.019-17.53122161</t>
  </si>
  <si>
    <t>17-009/BKU-004/IX/224</t>
  </si>
  <si>
    <t>010.019-17.53122162</t>
  </si>
  <si>
    <t>17-022/BKU-004/IX/211</t>
  </si>
  <si>
    <t>010.019-17.53122164</t>
  </si>
  <si>
    <t>17-024/BKU-004/IX/211</t>
  </si>
  <si>
    <t>17-023/BKU-004/IX/211</t>
  </si>
  <si>
    <t>17-025/BKU-004/IX/211</t>
  </si>
  <si>
    <t>17-026/BKU-004/IX/211</t>
  </si>
  <si>
    <t>010.019-17.53122165</t>
  </si>
  <si>
    <t>010.019-17.53122166</t>
  </si>
  <si>
    <t>010.019-17.53122167</t>
  </si>
  <si>
    <t>010.019-17.53122168</t>
  </si>
  <si>
    <t>Jasa Instalasi VSAT Weekly Charges Bandwidth Site Tabang</t>
  </si>
  <si>
    <t>V,I</t>
  </si>
  <si>
    <t>Jasa Instalasi Radio Link</t>
  </si>
  <si>
    <t>17-017/BKU-004/IX/196</t>
  </si>
  <si>
    <t>17-018/BKU-004/IX/196</t>
  </si>
  <si>
    <t>010.019-17.53122169</t>
  </si>
  <si>
    <t>010.019-17.53122170</t>
  </si>
  <si>
    <t>17-009/BKU-004/IX/214</t>
  </si>
  <si>
    <t>010.019-17.53122171</t>
  </si>
  <si>
    <t xml:space="preserve">Asam asam Project </t>
  </si>
  <si>
    <t>17-052/BKU-004/IX/057</t>
  </si>
  <si>
    <t>17-053/BKU-004/IX/057</t>
  </si>
  <si>
    <t>17-054/BKU-004/IX/057</t>
  </si>
  <si>
    <t>17-055/BKU-004/IX/057</t>
  </si>
  <si>
    <t>17-056/BKU-004/IX/057</t>
  </si>
  <si>
    <t>17-057/BKU-004/IX/057</t>
  </si>
  <si>
    <t>17-058/BKU-004/IX/057</t>
  </si>
  <si>
    <t>17-059/BKU-004/IX/057</t>
  </si>
  <si>
    <t>17-060/BKU-004/IX/057</t>
  </si>
  <si>
    <t>17-061/BKU-004/IX/057</t>
  </si>
  <si>
    <t>17-062/BKU-004/IX/057</t>
  </si>
  <si>
    <t>17-064/BKU-004/IX/057</t>
  </si>
  <si>
    <t>17-063/BKU-004/IX/057</t>
  </si>
  <si>
    <t>17-065/BKU-004/IX/057</t>
  </si>
  <si>
    <t>17-066/BKU-004/IX/057</t>
  </si>
  <si>
    <t>17-067/BKU-004/IX/057</t>
  </si>
  <si>
    <t>17-068/BKU-004/IX/057</t>
  </si>
  <si>
    <t>17-069/BKU-004/IX/057</t>
  </si>
  <si>
    <t>17-070/BKU-004/IX/057</t>
  </si>
  <si>
    <t>17-071/BKU-004/IX/057</t>
  </si>
  <si>
    <t>17-072/BKU-004/IX/057</t>
  </si>
  <si>
    <t>17-073/BKU-004/IX/057</t>
  </si>
  <si>
    <t>010.019-17.53122178</t>
  </si>
  <si>
    <t>010.019-17.53122179</t>
  </si>
  <si>
    <t>010.019-17.53122180</t>
  </si>
  <si>
    <t>010.019-17.53122181</t>
  </si>
  <si>
    <t>010.019-17.53122182</t>
  </si>
  <si>
    <t>010.019-17.53122183</t>
  </si>
  <si>
    <t>010.019-17.53122184</t>
  </si>
  <si>
    <t>010.019-17.53122185</t>
  </si>
  <si>
    <t>010.019-17.53122186</t>
  </si>
  <si>
    <t>010.019-17.53122187</t>
  </si>
  <si>
    <t>010.019-17.53122188</t>
  </si>
  <si>
    <t>010.019-17.53122189</t>
  </si>
  <si>
    <t>010.019-17.53122190</t>
  </si>
  <si>
    <t>010.019-17.53122191</t>
  </si>
  <si>
    <t>010.019-17.53122192</t>
  </si>
  <si>
    <t>010.019-17.53122193</t>
  </si>
  <si>
    <t>010.019-17.53122194</t>
  </si>
  <si>
    <t>010.019-17.53122195</t>
  </si>
  <si>
    <t>010.019-17.53122196</t>
  </si>
  <si>
    <t>010.019-17.53122197</t>
  </si>
  <si>
    <t>010.019-17.53122198</t>
  </si>
  <si>
    <t>010.019-17.53122199</t>
  </si>
  <si>
    <t>Site Bengalon</t>
  </si>
  <si>
    <t>W,R</t>
  </si>
  <si>
    <t>P. Wetar</t>
  </si>
  <si>
    <t>West Pit</t>
  </si>
  <si>
    <t>17-004/BKU-004/IX/243</t>
  </si>
  <si>
    <t>010.019-17.53122200</t>
  </si>
  <si>
    <t>17-009/BKU-004/IX/220</t>
  </si>
  <si>
    <t>010.019-17.53122201</t>
  </si>
  <si>
    <t>007/BKU-004/IX/184</t>
  </si>
  <si>
    <t>008/BKU-004/IX/184</t>
  </si>
  <si>
    <t>009/BKU-004/XI/184</t>
  </si>
  <si>
    <t>020.019-17.53122174</t>
  </si>
  <si>
    <t>Akses Internet di Sekretariat Kab. Sigi</t>
  </si>
  <si>
    <t>020.019-17.53122173</t>
  </si>
  <si>
    <t>020.019-17.53122172</t>
  </si>
  <si>
    <t>17-005/BKU-004/IX/250</t>
  </si>
  <si>
    <t>010.019-17.53122202</t>
  </si>
  <si>
    <t>AQ</t>
  </si>
  <si>
    <t>17-030/BKU-004/IX/179</t>
  </si>
  <si>
    <t>010.019-17.53122204</t>
  </si>
  <si>
    <t>17-031/BKU-004/IX/179</t>
  </si>
  <si>
    <t>010.019-17.53122205</t>
  </si>
  <si>
    <t>17-032/BKU-004/IX/179</t>
  </si>
  <si>
    <t>010.019-17.53122206</t>
  </si>
  <si>
    <t>17-060/BKU-004/IX/159</t>
  </si>
  <si>
    <t>17-061/BKU-004/IX/159</t>
  </si>
  <si>
    <t>17-062/BKU-004/IX/159</t>
  </si>
  <si>
    <t>17-063/BKU-004/IX/159</t>
  </si>
  <si>
    <t>17-064/BKU-004/IX/159</t>
  </si>
  <si>
    <t>17-065/BKU-004/IX/159</t>
  </si>
  <si>
    <t>17-066/BKU-004/IX/159</t>
  </si>
  <si>
    <t>17-067/BKU-004/IX/159</t>
  </si>
  <si>
    <t>010.019-17.53122207</t>
  </si>
  <si>
    <t>010.019-17.53122208</t>
  </si>
  <si>
    <t>010.019-17.53122209</t>
  </si>
  <si>
    <t>010.019-17.53122210</t>
  </si>
  <si>
    <t>010.019-17.53122211</t>
  </si>
  <si>
    <t>010.019-17.53122212</t>
  </si>
  <si>
    <t>010.019-17.53122213</t>
  </si>
  <si>
    <t>010.019-17.53122214</t>
  </si>
  <si>
    <t>WAN 5 Mbps Site Mass, SPUT, Loa Jana</t>
  </si>
  <si>
    <t>17-013/BKU-004/IX/208</t>
  </si>
  <si>
    <t>010.019-17.53122215</t>
  </si>
  <si>
    <t>WAN 5 Mbps Site KPP ASTO Muara Teweh-Kalteng</t>
  </si>
  <si>
    <t>WAN 5 Mbps Site Mass, SPUT, Loa Janan</t>
  </si>
  <si>
    <t>17-014/BKU-004/IX/208</t>
  </si>
  <si>
    <t>010.019-17.53122216</t>
  </si>
  <si>
    <t>011.019-17.53122201</t>
  </si>
  <si>
    <t>Reimbursement Maintenance WDL Madhani Tembang</t>
  </si>
  <si>
    <t>15-21 Maret</t>
  </si>
  <si>
    <t>17-074/BKU-004/IX/057</t>
  </si>
  <si>
    <t>Reimbursement Maintenance WDL Madhani KPUC</t>
  </si>
  <si>
    <t>23-25 Mei</t>
  </si>
  <si>
    <t>17-075/BKU-004/IX/057</t>
  </si>
  <si>
    <t>VCON</t>
  </si>
  <si>
    <t>Reimbursement Test VCON</t>
  </si>
  <si>
    <t>12-15 Juni</t>
  </si>
  <si>
    <t>17-076/BKU-004/IX/057</t>
  </si>
  <si>
    <t>1-8 Juli</t>
  </si>
  <si>
    <t>17-077/BKU-004/IX/057</t>
  </si>
  <si>
    <t>Reimbursement Maintenance Madhani KEL</t>
  </si>
  <si>
    <t>25-30 Juli</t>
  </si>
  <si>
    <t>17-078/BKU-004/IX/057</t>
  </si>
  <si>
    <t>Reimbursement Maintenance Madhani Batutua Wetar</t>
  </si>
  <si>
    <t>24 Jul-4 Aug</t>
  </si>
  <si>
    <t>17-079/BKU-004/IX/057</t>
  </si>
  <si>
    <t>17-009/BKU-004/VIII/226</t>
  </si>
  <si>
    <t>030.019-17.53122148</t>
  </si>
  <si>
    <t>030.019-17.53122218</t>
  </si>
  <si>
    <t xml:space="preserve">SEP </t>
  </si>
  <si>
    <t>WAN 5 Mbps Site KPP Asto Muara Teweh-Kalteng</t>
  </si>
  <si>
    <t>010.019-17.53122151</t>
  </si>
  <si>
    <t>Monthly VSAT Internet Link 2 Mbps Site POSB Sorong Papua Barat</t>
  </si>
  <si>
    <t>Metro E (Main &amp; Backup) HO; MPLS VSAT</t>
  </si>
  <si>
    <t>010.018-17.04159751</t>
  </si>
  <si>
    <t>14-31 JULI</t>
  </si>
  <si>
    <t>1-31 AGUSTUS</t>
  </si>
  <si>
    <t>17-024/BKU-004/IX/009</t>
  </si>
  <si>
    <t>010.019-17.53122175</t>
  </si>
  <si>
    <t>Monthly VSAT Internet Link 1 Mbps Site POSB Sorong Papua Barat</t>
  </si>
  <si>
    <t>17-025/BKU-004/IX/009</t>
  </si>
  <si>
    <t>010.019-17.53122176</t>
  </si>
  <si>
    <t>17-026/BKU-004/IX/009</t>
  </si>
  <si>
    <t>010.019-17.53122177</t>
  </si>
  <si>
    <t>17-027/BKU-004/IX/009</t>
  </si>
  <si>
    <t>010.019-17.53122203</t>
  </si>
  <si>
    <t>19-31 AGUSTUS</t>
  </si>
  <si>
    <t>17-028/BKU-004/IX/009</t>
  </si>
  <si>
    <t>010.019-17.53122217</t>
  </si>
  <si>
    <t>V, W</t>
  </si>
  <si>
    <t>MPLS dan VSAT</t>
  </si>
  <si>
    <t>17-014/BKU-004/IX/172</t>
  </si>
  <si>
    <t>010.019-17.53122219</t>
  </si>
  <si>
    <t>BANDARA WASIOR PAPUA BARAT, PT</t>
  </si>
  <si>
    <t>Layanan Akses Internet 1 Mbps pada Bandara Wasior Papua Barat</t>
  </si>
  <si>
    <t>27 Mar-27 Apr</t>
  </si>
  <si>
    <t>17-001/BKU-004/III/248</t>
  </si>
  <si>
    <t>020.019-17.53122142</t>
  </si>
  <si>
    <t>27 Apr-27 Mei</t>
  </si>
  <si>
    <t>17-002/BKU-004/IV/248</t>
  </si>
  <si>
    <t>020.019-17.53122143</t>
  </si>
  <si>
    <t>27 Mei-27 Juni</t>
  </si>
  <si>
    <t>17-003/BKU-004/V/248</t>
  </si>
  <si>
    <t>020.019-17.53122144</t>
  </si>
  <si>
    <t>27 Jun-27 Jul</t>
  </si>
  <si>
    <t>17-004/BKU-004/VI/248</t>
  </si>
  <si>
    <t>020.019-17.53122145</t>
  </si>
  <si>
    <t>27 Jul-27 Aug</t>
  </si>
  <si>
    <t>17-005/BKU-004/VII/248</t>
  </si>
  <si>
    <t>020.019-17.53122146</t>
  </si>
  <si>
    <t>AUG</t>
  </si>
  <si>
    <t>27 Aug-27 Sep</t>
  </si>
  <si>
    <t>17-006/BKU-004/VIII/248</t>
  </si>
  <si>
    <t>020.019-17.53122147</t>
  </si>
  <si>
    <t>27 Sep-27 Oct</t>
  </si>
  <si>
    <t>17-007/BKU-004/IX/248</t>
  </si>
  <si>
    <t>020.019-17.53122220</t>
  </si>
  <si>
    <t>27 Oct-27 Nov</t>
  </si>
  <si>
    <t>17-008/BKU-004/X/248</t>
  </si>
  <si>
    <t>27 Nov-27 Des</t>
  </si>
  <si>
    <t>17-009/BKU-004/XI/248</t>
  </si>
  <si>
    <t>27 Des-27 Jan</t>
  </si>
  <si>
    <t>17-010/BKU-004/X/224</t>
  </si>
  <si>
    <t>010.019-17.53122241</t>
  </si>
  <si>
    <t>Note :</t>
  </si>
  <si>
    <t>17-039/BKU-004/X/204</t>
  </si>
  <si>
    <t>010.019-17.53122237</t>
  </si>
  <si>
    <t>17-040/BKU-004/X/204</t>
  </si>
  <si>
    <t>010.019-17.53122238</t>
  </si>
  <si>
    <t>17-041/BKU-004/X/204</t>
  </si>
  <si>
    <t>010.019-17.53122239</t>
  </si>
  <si>
    <t>17-042/BKU-004/X/204</t>
  </si>
  <si>
    <t>010.019-17.53122240</t>
  </si>
  <si>
    <t>17-019/BKU-004/X/210</t>
  </si>
  <si>
    <t>17-020/BKU-004/X/210</t>
  </si>
  <si>
    <t>010.019-17.53122235</t>
  </si>
  <si>
    <t>010.019-17.53122236</t>
  </si>
  <si>
    <t>010.019-17.53122157</t>
  </si>
  <si>
    <t>17-010/BKU-004/X/207</t>
  </si>
  <si>
    <t>010.019-17.53122234</t>
  </si>
  <si>
    <t>17-010/BKU-004/X/227</t>
  </si>
  <si>
    <t>010.019-17.53122233</t>
  </si>
  <si>
    <t>17-012/BKU-004/X/245</t>
  </si>
  <si>
    <t>010.019-17.53122232</t>
  </si>
  <si>
    <t>15 Mar-21 Mar</t>
  </si>
  <si>
    <t>Reimbursement Transport Site Tembang</t>
  </si>
  <si>
    <t>Reimbursement Transport Site KPUC</t>
  </si>
  <si>
    <t>23 Mei-25Mei</t>
  </si>
  <si>
    <t>Reimbursement Transport Site Wira</t>
  </si>
  <si>
    <t>12 Jun-15 Jun</t>
  </si>
  <si>
    <t>4 Jul-8 Jul</t>
  </si>
  <si>
    <t>Reimbursement Transport Site MTN KEL</t>
  </si>
  <si>
    <t>25 Jul-30 Jul</t>
  </si>
  <si>
    <t>Reimbursement Transport Site Batutua Wetar</t>
  </si>
  <si>
    <t>17-080/BKU-004/X/057</t>
  </si>
  <si>
    <t>010.019-17.53122221</t>
  </si>
  <si>
    <t>17-081/BKU-004/X/057</t>
  </si>
  <si>
    <t>010.019-17.53122222</t>
  </si>
  <si>
    <t>17-082/BKU-004/X/057</t>
  </si>
  <si>
    <t>010.019-17.53122223</t>
  </si>
  <si>
    <t>MUTU Ampah - Kalteng Project</t>
  </si>
  <si>
    <t>17-083/BKU-004/X/057</t>
  </si>
  <si>
    <t>010.019-17.53122224</t>
  </si>
  <si>
    <t>17-084/BKU-004/X/057</t>
  </si>
  <si>
    <t>010.019-17.53122225</t>
  </si>
  <si>
    <t>17-085/BKU-004/X/057</t>
  </si>
  <si>
    <t>010.019-17.53122226</t>
  </si>
  <si>
    <t>17-086/BKU-004/X/057</t>
  </si>
  <si>
    <t>010.019-17.53122227</t>
  </si>
  <si>
    <t>17-087/BKU-004/X/057</t>
  </si>
  <si>
    <t>010.019-17.53122228</t>
  </si>
  <si>
    <t>17-088/BKU-004/X/057</t>
  </si>
  <si>
    <t>010.019-17.53122229</t>
  </si>
  <si>
    <t>BSI Pulau Merah - Kab. Banyuwangi</t>
  </si>
  <si>
    <t>17-089/BKU-004/X/057</t>
  </si>
  <si>
    <t>010.019-17.53122230</t>
  </si>
  <si>
    <t>17-090/BKU-004/X/057</t>
  </si>
  <si>
    <t>010.019-17.53122231</t>
  </si>
  <si>
    <t>17-068/BKU-004/X/159</t>
  </si>
  <si>
    <t>010.019-17.53122242</t>
  </si>
  <si>
    <t>17-069/BKU-004/X/159</t>
  </si>
  <si>
    <t>010.019-17.53122243</t>
  </si>
  <si>
    <t>17-070/BKU-004/X/159</t>
  </si>
  <si>
    <t>010.019-17.53122244</t>
  </si>
  <si>
    <t>17-071/BKU-004/X/159</t>
  </si>
  <si>
    <t>010.019-17.53122245</t>
  </si>
  <si>
    <t>17-072/BKU-004/X/159</t>
  </si>
  <si>
    <t>010.019-17.53122246</t>
  </si>
  <si>
    <t>17-073/BKU-004/X/159</t>
  </si>
  <si>
    <t>010.019-17.53122247</t>
  </si>
  <si>
    <t>17-074/BKU-004/X/159</t>
  </si>
  <si>
    <t>010.019-17.53122248</t>
  </si>
  <si>
    <t>17-075/BKU-004/X/159</t>
  </si>
  <si>
    <t>010.019-17.53122249</t>
  </si>
  <si>
    <t>Sewa VSAT SCPC 512/256 up 896/384 Kbps Site OBI Halmahera</t>
  </si>
  <si>
    <t>17-033/BKU-004/X/179</t>
  </si>
  <si>
    <t>010.019-17.53122250</t>
  </si>
  <si>
    <t>17-034/BKU-004/X/179</t>
  </si>
  <si>
    <t>010.019-17.53122251</t>
  </si>
  <si>
    <t>17-035/BKU-004/X/179</t>
  </si>
  <si>
    <t>010.019-17.53122252</t>
  </si>
  <si>
    <t>RTI INFOKOM, PT</t>
  </si>
  <si>
    <t>Repair Power Supply System AnaSat SSPA 40 Watt S/N 055266</t>
  </si>
  <si>
    <t>BKU-RTI17001</t>
  </si>
  <si>
    <t>010.019-17.53122253</t>
  </si>
  <si>
    <t>Monthly Charges Site Krassi Sesayap</t>
  </si>
  <si>
    <t>17-010/BKU-004/X/149</t>
  </si>
  <si>
    <t>17-010/BKU-004/X/214</t>
  </si>
  <si>
    <t>010.019-17.53122260</t>
  </si>
  <si>
    <t>17-027/BKU-004/X/211</t>
  </si>
  <si>
    <t>010.019-17.53122261</t>
  </si>
  <si>
    <t>17-028/BKU-004/X/211</t>
  </si>
  <si>
    <t>010.019-17.53122262</t>
  </si>
  <si>
    <t>17-029/BKU-004/X/211</t>
  </si>
  <si>
    <t>010.019-17.53122263</t>
  </si>
  <si>
    <t>Sewa VSAT Bandwith 256/256 Kbps Site Tabang</t>
  </si>
  <si>
    <t>17-030/BKU-004/X/211</t>
  </si>
  <si>
    <t>010.019-17.53122264</t>
  </si>
  <si>
    <t>W,I</t>
  </si>
  <si>
    <t>17-019/BKU-004/X/196</t>
  </si>
  <si>
    <t>WDL &amp; Internet Access 2048 Kbps Site Krassi Sebakung</t>
  </si>
  <si>
    <t>010.019-17.53122265</t>
  </si>
  <si>
    <t>17-020/BKU-004/X/196</t>
  </si>
  <si>
    <t>010.019-17.53122266</t>
  </si>
  <si>
    <t>WAN 5 Mbps Site ASTO Muara Teweh - Kalteng</t>
  </si>
  <si>
    <t>17-015/BKU-004/X/208</t>
  </si>
  <si>
    <t>17-005/BKU-004/X/243</t>
  </si>
  <si>
    <t>010.019-17.53122267</t>
  </si>
  <si>
    <t>17-010/BKU-004/X/220</t>
  </si>
  <si>
    <t>010.019-17.53122270</t>
  </si>
  <si>
    <t>17-010/BKU-004/X/145</t>
  </si>
  <si>
    <t>010.019-17.53122272</t>
  </si>
  <si>
    <t>17-006/BKU-004/X/250</t>
  </si>
  <si>
    <t>010.019-17.53122271</t>
  </si>
  <si>
    <t>010.019-17.53122269</t>
  </si>
  <si>
    <t>17-016/BKU-004/X/208</t>
  </si>
  <si>
    <t>010.019-17.53122268</t>
  </si>
  <si>
    <t>Invoice sedang dikirim dengan surat pengantar No. 17-230/BKU-007/X/208</t>
  </si>
  <si>
    <t>17-031/BKU-004/X/009</t>
  </si>
  <si>
    <t>010.019-17.53122256</t>
  </si>
  <si>
    <t>17-032/BKU-004/X/009</t>
  </si>
  <si>
    <t>010.019-17.53122257</t>
  </si>
  <si>
    <t>Instalasi VSAT, Monthly Proposional WAN; Internet; Sewa Voip Gateway Site Muara Tuhup</t>
  </si>
  <si>
    <t>5-13 Sep</t>
  </si>
  <si>
    <t>17-091/BKU-004/X/057</t>
  </si>
  <si>
    <t xml:space="preserve">Reimbursement Survey MPLS </t>
  </si>
  <si>
    <t>19-29 Sep</t>
  </si>
  <si>
    <t>17-009/BKU-004/X/225</t>
  </si>
  <si>
    <t>17-029/BKU-004/X/009</t>
  </si>
  <si>
    <t>010.019-17.53122254</t>
  </si>
  <si>
    <t>17-033/BKU-004/X/009</t>
  </si>
  <si>
    <t>010.019-17.53122258</t>
  </si>
  <si>
    <t>17-030/BKU-004/X/009</t>
  </si>
  <si>
    <t>010.019-17.53122255</t>
  </si>
  <si>
    <t>22 Sep-3 Okt</t>
  </si>
  <si>
    <t>17-092/BKU-004/X/057</t>
  </si>
  <si>
    <t>21 Sep-6 Okt</t>
  </si>
  <si>
    <t>17-093/BKU-004/X/057</t>
  </si>
  <si>
    <t>Reimbursement Transport Site MTN SBS</t>
  </si>
  <si>
    <t>Jasa Instalasi VSAT Site Madhani SBS</t>
  </si>
  <si>
    <t>17-094/BKU-004/X/057</t>
  </si>
  <si>
    <t>010.019-17.53122273</t>
  </si>
  <si>
    <t>2 Okt</t>
  </si>
  <si>
    <t>Harga Internet Abonemen VSAT SCPC C-Band Bandwith 2048/2048 Kbps</t>
  </si>
  <si>
    <t>17-011/BKU-004/X/226</t>
  </si>
  <si>
    <t>17-010/BKU-004/IX/226</t>
  </si>
  <si>
    <t>030.019-17.53122275</t>
  </si>
  <si>
    <t>BKU-ZTE17003</t>
  </si>
  <si>
    <t>010.019-17.53122276</t>
  </si>
  <si>
    <t>BKU-ZTE17004</t>
  </si>
  <si>
    <t>BKU-ZTE17005</t>
  </si>
  <si>
    <t>010.019-17.53122278</t>
  </si>
  <si>
    <t>BKU-ZTE17006</t>
  </si>
  <si>
    <t>010.019-17.53122279</t>
  </si>
  <si>
    <t>RFT Codan C-Band dan SPA 70 Watt HPAC 2075 BM</t>
  </si>
  <si>
    <t>17-002/BKU-004/X/090</t>
  </si>
  <si>
    <t>010.019-17.53122280</t>
  </si>
  <si>
    <t>Reimbursement Maintenance Site HKI</t>
  </si>
  <si>
    <t>05-12 Oktober</t>
  </si>
  <si>
    <t>17-043/BKU-004/X/204</t>
  </si>
  <si>
    <t>Jasa Instalasi VSAT</t>
  </si>
  <si>
    <t>15 Oktober' 17</t>
  </si>
  <si>
    <t>17-007/BKU-004/X/189</t>
  </si>
  <si>
    <t>010.019-17.53122281</t>
  </si>
  <si>
    <t>Jasa Instalasi VSAT &amp; Monthly Proposional Site Tabang</t>
  </si>
  <si>
    <t>22-30 Sep</t>
  </si>
  <si>
    <t>17-034/BKU-004/X/009</t>
  </si>
  <si>
    <t>010.019-17.53122282</t>
  </si>
  <si>
    <t>BP3TI, PT</t>
  </si>
  <si>
    <t>T</t>
  </si>
  <si>
    <t>Uang Muka 17% Pekerjaan Penyediaan Base Transceiver Station Daerah Blankspot Layanan Telekomunikasi</t>
  </si>
  <si>
    <t>17-001/BKU-BP3TI/X/2017</t>
  </si>
  <si>
    <t>020.019-17.53122283</t>
  </si>
  <si>
    <t>17-021/BKU-004/XI/210</t>
  </si>
  <si>
    <t>010.019-17.53122284</t>
  </si>
  <si>
    <t>17-022/BKU-004/XI/210</t>
  </si>
  <si>
    <t>010.019-17.53122285</t>
  </si>
  <si>
    <t>17-044/BKU-004/XI/204</t>
  </si>
  <si>
    <t>010.019-17.53122286</t>
  </si>
  <si>
    <t>17-045/BKU-004/XI/204</t>
  </si>
  <si>
    <t>010.019-17.53122287</t>
  </si>
  <si>
    <t>17-046/BKU-004/XI/204</t>
  </si>
  <si>
    <t>010.019-17.53122288</t>
  </si>
  <si>
    <t>17-047/BKU-004/XI/204</t>
  </si>
  <si>
    <t>010.019-17.53122289</t>
  </si>
  <si>
    <t>17-011/BKU-004/XI/224</t>
  </si>
  <si>
    <t>010.019-17.53122290</t>
  </si>
  <si>
    <t>17-011/BKU-004/XI/227</t>
  </si>
  <si>
    <t>010.019-17.53122291</t>
  </si>
  <si>
    <t>17-013/BKU-004/XI/245</t>
  </si>
  <si>
    <t>010.019-17.53122292</t>
  </si>
  <si>
    <t>17-011/BKU-004/XI/207</t>
  </si>
  <si>
    <t>010.019-17.52122293</t>
  </si>
  <si>
    <t>VPN Internet 30 Mbps &amp; VSAT Backup 128/128 Kbps Site EPN, ABB, KPP, TTA, PAMA</t>
  </si>
  <si>
    <t>17-002/BKU-004/XI/246</t>
  </si>
  <si>
    <t>010.019-17.53122298</t>
  </si>
  <si>
    <t>17-003/BKU-004/XI/246</t>
  </si>
  <si>
    <t>010.019-17.53122299</t>
  </si>
  <si>
    <t>Monthly Charges VSAT Site Tabang</t>
  </si>
  <si>
    <t>1-31 Okt</t>
  </si>
  <si>
    <t>17-035/BKU-004/XI/009</t>
  </si>
  <si>
    <t>010.019-17.53122294</t>
  </si>
  <si>
    <t>17-036/BKU-004/XI/009</t>
  </si>
  <si>
    <t>010.019-17.53122295</t>
  </si>
  <si>
    <t>17-037/BKU-004/XI/009</t>
  </si>
  <si>
    <t>010.019-17.53122296</t>
  </si>
  <si>
    <t>17-038/BKU-004/XI/009</t>
  </si>
  <si>
    <t>010.019-17.53122297</t>
  </si>
  <si>
    <t>`</t>
  </si>
  <si>
    <t>17-007/BKU-004/XI/250</t>
  </si>
  <si>
    <t>010.019-17.53122301</t>
  </si>
  <si>
    <t>WDL 4 Mbps Site Sebakis Nunukan</t>
  </si>
  <si>
    <t>17-006/BKU-004/XI/243</t>
  </si>
  <si>
    <t>010.019-17.53122300</t>
  </si>
  <si>
    <t>17-011/BKU-004/XI/149</t>
  </si>
  <si>
    <t>011.019-17.53122259</t>
  </si>
  <si>
    <t>010.019-17.53122302</t>
  </si>
  <si>
    <t>17-017/BKU-004/XI/208</t>
  </si>
  <si>
    <t>010.019-17.53122303</t>
  </si>
  <si>
    <t>17-018/BKU-004/XI/208</t>
  </si>
  <si>
    <t>010.019-17.53122304</t>
  </si>
  <si>
    <t>17-021/BKU-004/XI/196</t>
  </si>
  <si>
    <t>010.019-17.53122305</t>
  </si>
  <si>
    <t>17-022/BKU-004/XI/196</t>
  </si>
  <si>
    <t>010.019-17.53122306</t>
  </si>
  <si>
    <t>17-011/BKU-004/XI/214</t>
  </si>
  <si>
    <t>010.019-17.53122307</t>
  </si>
  <si>
    <t>17-031/BKU-004/XI/211</t>
  </si>
  <si>
    <t>010.019-17.53122308</t>
  </si>
  <si>
    <t>17-032/BKU-004/XI/211</t>
  </si>
  <si>
    <t>010.019-17.53122309</t>
  </si>
  <si>
    <t>17-033/BKU-004/XI/211</t>
  </si>
  <si>
    <t>010.019-17.53122310</t>
  </si>
  <si>
    <t>17-034/BKU-004/XI/211</t>
  </si>
  <si>
    <t>010.019-17.53122311</t>
  </si>
  <si>
    <t>Repair 15HP-RFU-8; 15HPS-1R-RFU-8; RFU-HP-1R-8; 32T-155-IF; 15HPS-1R-RFU-11</t>
  </si>
  <si>
    <t>17-001/BKU-004/XI/254</t>
  </si>
  <si>
    <t>22 Unit</t>
  </si>
  <si>
    <t>010.019-17.53122312</t>
  </si>
  <si>
    <t>17-015/BKU-004/X/172</t>
  </si>
  <si>
    <t>010.019-17.53122274</t>
  </si>
  <si>
    <t>17-076/BKU-004/XI/159</t>
  </si>
  <si>
    <t>010.019-17.53122315</t>
  </si>
  <si>
    <t>17-077/BKU-004/XI/159</t>
  </si>
  <si>
    <t>010.019-17.53122316</t>
  </si>
  <si>
    <t>010.019-17.53122317</t>
  </si>
  <si>
    <t>17-078/BKU-004/XI/159</t>
  </si>
  <si>
    <t>17-079/BKU-004/XI/159</t>
  </si>
  <si>
    <t>010.019-17.53122318</t>
  </si>
  <si>
    <t>17-080/BKU-004/XI/159</t>
  </si>
  <si>
    <t>010.019-17.53122319</t>
  </si>
  <si>
    <t>17-081/BKU-004/XI/159</t>
  </si>
  <si>
    <t>010.019-17.53122320</t>
  </si>
  <si>
    <t>17-082/BKU-004/XI/159</t>
  </si>
  <si>
    <t>010.019-17.53122321</t>
  </si>
  <si>
    <t>17-083/BKU-004/XI/159</t>
  </si>
  <si>
    <t>010.019-17.53122322</t>
  </si>
  <si>
    <t>17-010/BKU-004/XII/248</t>
  </si>
  <si>
    <t>17-036/BKU-004/XI/179</t>
  </si>
  <si>
    <t>010.019-17.53122323</t>
  </si>
  <si>
    <t>17-037/BKU-004/XI/179</t>
  </si>
  <si>
    <t>010.019-17.53122324</t>
  </si>
  <si>
    <t>17-038/BKU-004/XI/179</t>
  </si>
  <si>
    <t>010.019-17.53122325</t>
  </si>
  <si>
    <t>17-011/BKU-004/XI/145</t>
  </si>
  <si>
    <t>010.019-17.53122326</t>
  </si>
  <si>
    <t>17-011/BKU-004/XI/220</t>
  </si>
  <si>
    <t>010.019-17.53122327</t>
  </si>
  <si>
    <t>011.019-17.53122277</t>
  </si>
  <si>
    <t>SMART TELECOM, PT</t>
  </si>
  <si>
    <t>Monthly WDL Site Asam Asam Project</t>
  </si>
  <si>
    <t>17-093/BKU-004/XI/ 057</t>
  </si>
  <si>
    <t>010.020-17.90411024</t>
  </si>
  <si>
    <t>17-094/BKU-004/XI/057</t>
  </si>
  <si>
    <t>010.020-17.90411025</t>
  </si>
  <si>
    <t>Monthly WDL Site Madhani KEL</t>
  </si>
  <si>
    <t>17-095/BKU-004/XI/057</t>
  </si>
  <si>
    <t>010.020-17.90411026</t>
  </si>
  <si>
    <t>Sewa VSAT Bandwith 256/512 Kbps Site MUTU Ampah - Kalteng</t>
  </si>
  <si>
    <t>17-096/BKU-004/XI/057</t>
  </si>
  <si>
    <t>010.020-17.90411027</t>
  </si>
  <si>
    <t>Sewa VSAT Site Bengalon</t>
  </si>
  <si>
    <t>17-097/BKU-004/XI/057</t>
  </si>
  <si>
    <t>010.020-17.90411028</t>
  </si>
  <si>
    <t>Monthly WDL Site Madhani KPUC</t>
  </si>
  <si>
    <t>17-098/BKU-004/XI/057</t>
  </si>
  <si>
    <t>010.020-17.90411029</t>
  </si>
  <si>
    <t>Sewa VSAT Site P. Wetar</t>
  </si>
  <si>
    <t>17-099/BKU-004/XI/057</t>
  </si>
  <si>
    <t>010.020-17.90411030</t>
  </si>
  <si>
    <t>Monthly WDL Site Tembang</t>
  </si>
  <si>
    <t>17-100/BKU-004/XI/057</t>
  </si>
  <si>
    <t>010.020-17.90411031</t>
  </si>
  <si>
    <t>Monthly WDL Site IPC</t>
  </si>
  <si>
    <t>17-101/BKU-004/XI/057</t>
  </si>
  <si>
    <t>010.020-17.90411032</t>
  </si>
  <si>
    <t>Sewa VSAT Site BSI Pulau Merah - Kab. Banyuwangi</t>
  </si>
  <si>
    <t>17-102/BKU-004/XI/057</t>
  </si>
  <si>
    <t>010.020-17.90411033</t>
  </si>
  <si>
    <t>Sewa VSAT Site West Pit Project</t>
  </si>
  <si>
    <t>17-103/BKU-004/XI/057</t>
  </si>
  <si>
    <t>010.020-17.90411034</t>
  </si>
  <si>
    <t>Sewa VSAT Site Madhani SBS</t>
  </si>
  <si>
    <t>17-104/BKU-004/XI/057</t>
  </si>
  <si>
    <t>010.020-17.90411035</t>
  </si>
  <si>
    <t>17-012/BKU-004/XI/226</t>
  </si>
  <si>
    <t>030.020-17.90411036</t>
  </si>
  <si>
    <t>Remote Site (10 Remote)</t>
  </si>
  <si>
    <t>17-016/BKU-004/XI/172</t>
  </si>
  <si>
    <t>010.019-17.53122314</t>
  </si>
  <si>
    <t>IDU 35 unit &amp; ODU 77 unit</t>
  </si>
  <si>
    <t>IDU 35 unit &amp; ODU 56 unit</t>
  </si>
  <si>
    <t>IDU 22 unit &amp; ODU 41 unit</t>
  </si>
  <si>
    <t>ODU 6 unit</t>
  </si>
  <si>
    <t>17-048/BKU-004/XII/204</t>
  </si>
  <si>
    <t>010.020-17.90411037</t>
  </si>
  <si>
    <t>17-049/BKU-004/XII/204</t>
  </si>
  <si>
    <t>010.020-17.90411038</t>
  </si>
  <si>
    <t>17-050/BKU-004/XII/204</t>
  </si>
  <si>
    <t>010.020-17.90411039</t>
  </si>
  <si>
    <t>17-051/BKU-004/XII/204</t>
  </si>
  <si>
    <t>010.020-17.90411040</t>
  </si>
  <si>
    <t>17-012/BKU-004/XII/207</t>
  </si>
  <si>
    <t>010.020-17.90411043</t>
  </si>
  <si>
    <t>17-023/BKU-004/XII/210</t>
  </si>
  <si>
    <t>010.020-17.90411041</t>
  </si>
  <si>
    <t>17-024/BKU-004/XII/210</t>
  </si>
  <si>
    <t>010.020-17.90411042</t>
  </si>
  <si>
    <t>17-014/BKU-004/XII/245</t>
  </si>
  <si>
    <t>010.020-17.90411044</t>
  </si>
  <si>
    <t>17-012/BKU-004/XII/227</t>
  </si>
  <si>
    <t>010.020-17.90411045</t>
  </si>
  <si>
    <t>17-012/BKU-004/XII/224</t>
  </si>
  <si>
    <t>010.020-17.90411046</t>
  </si>
  <si>
    <t>17-105/BKU-004/XII/057</t>
  </si>
  <si>
    <t>010.020-17.90411047</t>
  </si>
  <si>
    <t>17-106/BKU-004/XII/057</t>
  </si>
  <si>
    <t>010.020-17.90411048</t>
  </si>
  <si>
    <t>17-107/BKU-004/XII/057</t>
  </si>
  <si>
    <t>010.020-17.90411049</t>
  </si>
  <si>
    <t>17-108/BKU-004/XII/057</t>
  </si>
  <si>
    <t>010.020-17.90411050</t>
  </si>
  <si>
    <t>17-109/BKU-004/XII/057</t>
  </si>
  <si>
    <t>010.020-17.90411051</t>
  </si>
  <si>
    <t>17-110/BKU-004/XII/057</t>
  </si>
  <si>
    <t>010.020-17.90411052</t>
  </si>
  <si>
    <t>17-111/BKU-004/XII/057</t>
  </si>
  <si>
    <t>010.020-17.90411053</t>
  </si>
  <si>
    <t>17-112/BKU-004/XII/057</t>
  </si>
  <si>
    <t>010.020-17.90411054</t>
  </si>
  <si>
    <t>17-113/BKU-004/XII/057</t>
  </si>
  <si>
    <t>010.020-17.90411055</t>
  </si>
  <si>
    <t>17-114/BKU-004/XII/057</t>
  </si>
  <si>
    <t>010.020-17.90411056</t>
  </si>
  <si>
    <t>17-115/BKU-004/XII/057</t>
  </si>
  <si>
    <t>010.020-17.90411057</t>
  </si>
  <si>
    <t>17-116/BKU-004/XII/057</t>
  </si>
  <si>
    <t>010.020-17.90411058</t>
  </si>
  <si>
    <t>Pengadaan Soundwin 4 Port Fxs VoIP Gateway</t>
  </si>
  <si>
    <t>2 Unit</t>
  </si>
  <si>
    <t>17-117/BKU-004/XII/057</t>
  </si>
  <si>
    <t>010.020-17.90411059</t>
  </si>
  <si>
    <t>MULTIMEDIA NUSANTARA, PT</t>
  </si>
  <si>
    <t>Biaya Penggantian Repointing HUB untuk Recovery Telkom-1 ke Satelit Pengganti</t>
  </si>
  <si>
    <t>17-001/BKU-004/XII/128</t>
  </si>
  <si>
    <t>010.020-17.90411061</t>
  </si>
  <si>
    <t>17-012/BKU-004/XII/214</t>
  </si>
  <si>
    <t>010.020-17.90411062</t>
  </si>
  <si>
    <t>17-023/BKU-004/XII/196</t>
  </si>
  <si>
    <t>010.020-17.90411067</t>
  </si>
  <si>
    <t>17-024/BKU-004/XII/196</t>
  </si>
  <si>
    <t>010.020-17.90411068</t>
  </si>
  <si>
    <t>17-035/BKU-004/XII/211</t>
  </si>
  <si>
    <t>010.020-17.90411063</t>
  </si>
  <si>
    <t>17-036/BKU-004/XII/211</t>
  </si>
  <si>
    <t>010.020-17.90411064</t>
  </si>
  <si>
    <t>MPLS 1 Mbps Site Krassi Sesayap</t>
  </si>
  <si>
    <t>17-037/BKU-004/XII/211</t>
  </si>
  <si>
    <t>010.020-17.90411065</t>
  </si>
  <si>
    <t>17-038/BKU-004/XII/211</t>
  </si>
  <si>
    <t>010.020-17.90411066</t>
  </si>
  <si>
    <t>17-012/BKU-004/XII/149</t>
  </si>
  <si>
    <t>010.020-17.90411060</t>
  </si>
  <si>
    <t>Sewa Perangkat VSAT Site Rig 9 Drilling</t>
  </si>
  <si>
    <t>15 okt-15 Nov</t>
  </si>
  <si>
    <t>17-008/BKU-004/XII/189</t>
  </si>
  <si>
    <t>010.020-17.90411069</t>
  </si>
  <si>
    <t>17-007/BKU-004/XII/243</t>
  </si>
  <si>
    <t>010.020-17.90411070</t>
  </si>
  <si>
    <t>17-019/BKU-004/XII/208</t>
  </si>
  <si>
    <t>010.020-17.90411071</t>
  </si>
  <si>
    <t>17-020/BKU-004/XII/208</t>
  </si>
  <si>
    <t>010.020-17.90411073</t>
  </si>
  <si>
    <t>26 Okt-26 Nov</t>
  </si>
  <si>
    <t>17-021/BKU-004/XII/208</t>
  </si>
  <si>
    <t>010.020-17.90411074</t>
  </si>
  <si>
    <t>17-022/BKU-004/XII/208</t>
  </si>
  <si>
    <t>010.020-17.90411072</t>
  </si>
  <si>
    <t>17-012/BKU-004/XII/145</t>
  </si>
  <si>
    <t>010.020-17.90411076</t>
  </si>
  <si>
    <t>17-008/BKU-004/XII/250</t>
  </si>
  <si>
    <t>010.020-17.90411075</t>
  </si>
  <si>
    <t>17-011/BKU-004/XII/220</t>
  </si>
  <si>
    <t>010.020-17.90411077</t>
  </si>
  <si>
    <t>PERIODE</t>
  </si>
  <si>
    <t>17-017/BKU-004/XII/172</t>
  </si>
  <si>
    <t>010.020-17.90411087</t>
  </si>
  <si>
    <t>Sewa VSAT SCPC 896/384 Kbps Site OBI Halmahera</t>
  </si>
  <si>
    <t>17-039/BKU-004/XII/179</t>
  </si>
  <si>
    <t>010.020-17.90411088</t>
  </si>
  <si>
    <t>17-040/BKU-004/XII/179</t>
  </si>
  <si>
    <t>010.020-17.90411089</t>
  </si>
  <si>
    <t>Sewa VSAT SCPC 896/384 Kbps Site KDA Kalbar</t>
  </si>
  <si>
    <t>Okt &amp; Nov</t>
  </si>
  <si>
    <t>17-041/BKU-004/XII/179</t>
  </si>
  <si>
    <t>010.020-17.90411090</t>
  </si>
  <si>
    <t>17-084/BKU-004/XII/159</t>
  </si>
  <si>
    <t>010.020-17.90411093</t>
  </si>
  <si>
    <t>17-085/BKU-004/XII/159</t>
  </si>
  <si>
    <t>010.020-17.90411094</t>
  </si>
  <si>
    <t>17-086/BKU-004/XII/159</t>
  </si>
  <si>
    <t>010.020-17.90411095</t>
  </si>
  <si>
    <t>17-087/BKU-004/XII/159</t>
  </si>
  <si>
    <t>010.020-17.90411096</t>
  </si>
  <si>
    <t>17-088/BKU-004/XII/159</t>
  </si>
  <si>
    <t>010.020-17.90411097</t>
  </si>
  <si>
    <t>17-089/BKU-004/XII/159</t>
  </si>
  <si>
    <t>010.020-17.90411098</t>
  </si>
  <si>
    <t>17-090/BKU-004/XII/159</t>
  </si>
  <si>
    <t>010.020-17.90411099</t>
  </si>
  <si>
    <t>17-091/BKU-004/XII/159</t>
  </si>
  <si>
    <t>010.020-17.90411100</t>
  </si>
  <si>
    <t>Jasa Instalasi VSAT 512/256 Site KUP</t>
  </si>
  <si>
    <t>4 Des 2017</t>
  </si>
  <si>
    <t>17-092/BKU-004/XII/159</t>
  </si>
  <si>
    <t>010.020-17.90411101</t>
  </si>
  <si>
    <t>Reimbursement Instalasi VSAT Site KUP</t>
  </si>
  <si>
    <t>29 Nov-6 Des</t>
  </si>
  <si>
    <t>17-093/BKU-004/XII/159</t>
  </si>
  <si>
    <t>Invoice sedang dikirim dengan surat pengantar No. 17-274/BKU-007/XII/159</t>
  </si>
  <si>
    <t>Pelunasan Pembayaran Biaya Pengiriman dan Instalasi</t>
  </si>
  <si>
    <t>17-002/BKU-BP3TI/XII/2017</t>
  </si>
  <si>
    <t>020.020-17.90411092</t>
  </si>
  <si>
    <t>Jasa Instalasi WAN Internet 5/5 Mbps &amp; Monthly Charges Site KPP Indexim</t>
  </si>
  <si>
    <t>TELEKOMUNIKASI INDONESIA, PT</t>
  </si>
  <si>
    <t>Biaya Kompensasi Gangguan Satelit Telkom 1</t>
  </si>
  <si>
    <t>17-001/BKU-004/XII/081</t>
  </si>
  <si>
    <t>Jasa Relokasi Site KMM</t>
  </si>
  <si>
    <t>11 Des 2017</t>
  </si>
  <si>
    <t>17-013/BKU-004/XII/224</t>
  </si>
  <si>
    <t>010.020-17.90411103</t>
  </si>
  <si>
    <t>Reimbursement Maintenance Site KMM</t>
  </si>
  <si>
    <t>5-12 Des'17</t>
  </si>
  <si>
    <t>17-014/BKU-004/XII/224</t>
  </si>
  <si>
    <t>17-013/BKU-004/XII/226</t>
  </si>
  <si>
    <t>030.020-17.90411091</t>
  </si>
  <si>
    <t>17-039/BKU-004/XI/009</t>
  </si>
  <si>
    <t>010.020-17.90411080</t>
  </si>
  <si>
    <t>Monthly WAN 1 Mbps; VSAT Internet 2 Mbps; Sewa Voice Gateway Site Muara Tuhup</t>
  </si>
  <si>
    <t>Monthly Charges VSAT WAN 1 Mbps &amp; VSAT SCPC Internet 2 Mbps Site POSB Sorong</t>
  </si>
  <si>
    <t>17-040/BKU-004/XII/009</t>
  </si>
  <si>
    <t>010.020-17.90411084</t>
  </si>
  <si>
    <t>17-041/BKU-004/XII/009</t>
  </si>
  <si>
    <t>010.020-17.90411081</t>
  </si>
  <si>
    <t>17-042/BKU-004/XII/009</t>
  </si>
  <si>
    <t>010.020-17.90411082</t>
  </si>
  <si>
    <t>17-043/BKU-004/XII/009</t>
  </si>
  <si>
    <t>010.020-17.90411083</t>
  </si>
  <si>
    <t>Layanan VSAT Internet 4 Mbps Site POSB Sorong</t>
  </si>
  <si>
    <t>17-045/BKU-004/XII/009</t>
  </si>
  <si>
    <t>010.020-17.90411085</t>
  </si>
  <si>
    <t>Jasa Instalasi VSAT Site Binuang</t>
  </si>
  <si>
    <t>17-046/BKU-004/XII/009</t>
  </si>
  <si>
    <t>010.020-17.90411086</t>
  </si>
  <si>
    <t>031.020-17.90411102</t>
  </si>
  <si>
    <t>OUTSTANDING INVOICE TH 2018</t>
  </si>
  <si>
    <t>18-001</t>
  </si>
  <si>
    <t>18-002</t>
  </si>
  <si>
    <t>18-003</t>
  </si>
  <si>
    <t>18-004</t>
  </si>
  <si>
    <t>Polda Kalsel</t>
  </si>
  <si>
    <t>18-005</t>
  </si>
  <si>
    <t>18-006</t>
  </si>
  <si>
    <t>18-007</t>
  </si>
  <si>
    <t>18-008</t>
  </si>
  <si>
    <t>17-018/BKU-004/XII/172</t>
  </si>
  <si>
    <t>010.020-17.90411104</t>
  </si>
  <si>
    <t>18-009</t>
  </si>
  <si>
    <t>18-010</t>
  </si>
  <si>
    <t>18-011</t>
  </si>
  <si>
    <t>18-012</t>
  </si>
  <si>
    <t>18-013</t>
  </si>
  <si>
    <t>18-014</t>
  </si>
  <si>
    <t>18-015</t>
  </si>
  <si>
    <t>18-016</t>
  </si>
  <si>
    <t>18-017</t>
  </si>
  <si>
    <t>HKI</t>
  </si>
  <si>
    <t>LAB</t>
  </si>
  <si>
    <t>NSA</t>
  </si>
  <si>
    <t>PAS</t>
  </si>
  <si>
    <t>HMPU</t>
  </si>
  <si>
    <t>HPMU</t>
  </si>
  <si>
    <t>DTR</t>
  </si>
  <si>
    <t>BBM</t>
  </si>
  <si>
    <t>MPIL</t>
  </si>
  <si>
    <t>HPU</t>
  </si>
  <si>
    <t>EPI</t>
  </si>
  <si>
    <t>SIS</t>
  </si>
  <si>
    <t>KPP</t>
  </si>
  <si>
    <t>MBR</t>
  </si>
  <si>
    <t>MIP</t>
  </si>
  <si>
    <t>Jasa Instalasi WDL Site MTN Mutu #048C</t>
  </si>
  <si>
    <t>24 Nov'17</t>
  </si>
  <si>
    <t>18-002/BKU-004/I/057</t>
  </si>
  <si>
    <t>010.002-18.51878924</t>
  </si>
  <si>
    <t>Jasa Relokasi VSAT Site MTN Mutu #048C</t>
  </si>
  <si>
    <t>18-003/BKU-004/I/057</t>
  </si>
  <si>
    <t>010.002-18.51878925</t>
  </si>
  <si>
    <t>Reimbursement Relokasi MTN Mutu #048C</t>
  </si>
  <si>
    <t>11-25 Nov</t>
  </si>
  <si>
    <t>18-004/BKU-004/I/057</t>
  </si>
  <si>
    <t>18-005/BKU-004/I/057</t>
  </si>
  <si>
    <t>010.002-18.51878930</t>
  </si>
  <si>
    <t>Sewa Internet HO Madhani Jakarta</t>
  </si>
  <si>
    <t>18-006/BKU-004/I/057</t>
  </si>
  <si>
    <t>010.002-18.51878926</t>
  </si>
  <si>
    <t>18-007/BKU-004/I/057</t>
  </si>
  <si>
    <t>010.002-18.51878927</t>
  </si>
  <si>
    <t>Sewa VSAT Bandwith 256/512 Kbps Site Mutu Ampah-Kalteng</t>
  </si>
  <si>
    <t>18-008/BKU-004/I/057</t>
  </si>
  <si>
    <t>010.002-18.51878928</t>
  </si>
  <si>
    <t xml:space="preserve">Sewa VSAT Site Bengalon </t>
  </si>
  <si>
    <t>18-009/BKU-004/I/057</t>
  </si>
  <si>
    <t>010.002-18.51878929</t>
  </si>
  <si>
    <t>18-010/BKU-004/I/057</t>
  </si>
  <si>
    <t>010.002-18.51878931</t>
  </si>
  <si>
    <t>Sewa VSAT Site Pulau Wetar</t>
  </si>
  <si>
    <t>18-011/BKU-004/I/057</t>
  </si>
  <si>
    <t>010.002-18.51878932</t>
  </si>
  <si>
    <t>18-012/BKU-004/I/057</t>
  </si>
  <si>
    <t>010.002-18.51878933</t>
  </si>
  <si>
    <t>Monthly WDL Site Jkt-IPC</t>
  </si>
  <si>
    <t>18-013/BKU-004/I/057</t>
  </si>
  <si>
    <t>010.002-18.51878934</t>
  </si>
  <si>
    <t>Sewa VSAT Site BSI Pulau Merah-Kab. Banyuwangi</t>
  </si>
  <si>
    <t>18-014/BKU-004/I/057</t>
  </si>
  <si>
    <t>010.002-18.51878935</t>
  </si>
  <si>
    <t>18-015/BKU-004/I/057</t>
  </si>
  <si>
    <t>010.002-18.51878936</t>
  </si>
  <si>
    <t>18-016/BKU-004/I/057</t>
  </si>
  <si>
    <t>010.002-18.51878937</t>
  </si>
  <si>
    <t>Reimbursement Maintenance MPLS MTN Asam Asam</t>
  </si>
  <si>
    <t>21-24 Des'17</t>
  </si>
  <si>
    <t>18-017/BKU-004/I/057</t>
  </si>
  <si>
    <t>EXSPAN PETROGAS INTRANUSA, PT</t>
  </si>
  <si>
    <t>Monthly VSAT Site Rig 9 Drilling</t>
  </si>
  <si>
    <t>15 Nov-15 Des'17</t>
  </si>
  <si>
    <t>18-001/BKU-004/I/189</t>
  </si>
  <si>
    <t>010.002-18.51878921</t>
  </si>
  <si>
    <t>15 Des'17-15 Jan'18</t>
  </si>
  <si>
    <t>18-002/BKU-004/I/189</t>
  </si>
  <si>
    <t>010.002-18.51878922</t>
  </si>
  <si>
    <t>Pengadaan dan Instalasi Tower Triangle</t>
  </si>
  <si>
    <t>Madhani SBS</t>
  </si>
  <si>
    <t>18-001/BKU-004/I/057</t>
  </si>
  <si>
    <t>010.002-18.51878923</t>
  </si>
  <si>
    <t>Monthly VSAT Site HKI 1</t>
  </si>
  <si>
    <t>18-001/BKU-004/I/204</t>
  </si>
  <si>
    <t>010.002-18.51878938</t>
  </si>
  <si>
    <t>Monthly VSAT Site HKI 2</t>
  </si>
  <si>
    <t>18-002/BKU-004/I/204</t>
  </si>
  <si>
    <t>010.002-18.51878939</t>
  </si>
  <si>
    <t>Monthly VSAT Site HKI 5</t>
  </si>
  <si>
    <t>18-003/BKU-004/I/204</t>
  </si>
  <si>
    <t>010.002-18.51878940</t>
  </si>
  <si>
    <t>Monthly VSAT Site HKI 6</t>
  </si>
  <si>
    <t>18-004/BKU-004/I/204</t>
  </si>
  <si>
    <t>010.002-18.51878941</t>
  </si>
  <si>
    <t>18-001/BKU-004/I/210</t>
  </si>
  <si>
    <t>010.002-18.51878943</t>
  </si>
  <si>
    <t>18-002/BKU-004/I/210</t>
  </si>
  <si>
    <t>010.002-18.51878944</t>
  </si>
  <si>
    <t xml:space="preserve">Monthly VSAT Site KMM </t>
  </si>
  <si>
    <t>18-001/BKU-004/I/224</t>
  </si>
  <si>
    <t>010.002-18.51878942</t>
  </si>
  <si>
    <t>18-001/BKU-004/I/245</t>
  </si>
  <si>
    <t>010.002-18.51878945</t>
  </si>
  <si>
    <t>Rental VSAT Site PAS Landak Kalbar</t>
  </si>
  <si>
    <t>18-001/BKU-004/I/207</t>
  </si>
  <si>
    <t>010.002-18.51878946</t>
  </si>
  <si>
    <t>18-001/BKU-004/I/227</t>
  </si>
  <si>
    <t>010.002-18.51878947</t>
  </si>
  <si>
    <t>PP</t>
  </si>
  <si>
    <t>RML</t>
  </si>
  <si>
    <t>18-001/BKU-004/I/226</t>
  </si>
  <si>
    <t>030.002-18.51878952</t>
  </si>
  <si>
    <t>18-001/BKU-004/I/208</t>
  </si>
  <si>
    <t>010.002-18.51878949</t>
  </si>
  <si>
    <t>WAN 5/5 Mbps Site KPP Indexim</t>
  </si>
  <si>
    <t>26 Nov-26 Des'17</t>
  </si>
  <si>
    <t>18-002/BKU-004/I/208</t>
  </si>
  <si>
    <t>010.002-18.51878950</t>
  </si>
  <si>
    <t>18-003/BKU-004/I/208</t>
  </si>
  <si>
    <t>010.002-18.51878951</t>
  </si>
  <si>
    <t>Monthly WDL 4 Mbps Site Sebakis Nunukan-Kalimantan Utara</t>
  </si>
  <si>
    <t>18-001/BKU-004/I/243</t>
  </si>
  <si>
    <t>010.002-18.51878948</t>
  </si>
  <si>
    <t>010.002-18.51878956</t>
  </si>
  <si>
    <t>18-001/BKU-004/I/149</t>
  </si>
  <si>
    <t>18-001/BKU-004/I/196</t>
  </si>
  <si>
    <t>010.002-18.51878954</t>
  </si>
  <si>
    <t>18-002/BKU-004/I/196</t>
  </si>
  <si>
    <t>010.002-18.51878955</t>
  </si>
  <si>
    <t>18-001/BKU-004/I/214</t>
  </si>
  <si>
    <t>010.002-18.51878953</t>
  </si>
  <si>
    <t>BUKIT BERINGIN MAKMUR, PT</t>
  </si>
  <si>
    <t>Jasa Pemasangan Tower</t>
  </si>
  <si>
    <t>23 Des'17</t>
  </si>
  <si>
    <t>18-001/BKU-004/I/225</t>
  </si>
  <si>
    <t>010.002-18.51878957</t>
  </si>
  <si>
    <t>Periode</t>
  </si>
  <si>
    <t>Jasa Instalasi Relokasi VSAT Site OBI Halmahera-Maluku</t>
  </si>
  <si>
    <t>18-001/BKU-004/I/179</t>
  </si>
  <si>
    <t>010.002-18.51878958</t>
  </si>
  <si>
    <t>18-002/BKU-004/I/179</t>
  </si>
  <si>
    <t>010.002-18.51878962</t>
  </si>
  <si>
    <t>18-003/BKU-004/I/179</t>
  </si>
  <si>
    <t>010.002-18.51878961</t>
  </si>
  <si>
    <t>18-004/BKU-004/I/179</t>
  </si>
  <si>
    <t>010.002-18.51878960</t>
  </si>
  <si>
    <t>Jasa Relokasi VSAT Site OBI Halmahera-Maluku</t>
  </si>
  <si>
    <t>18-005/BKU-004/I/179</t>
  </si>
  <si>
    <t>010.002-18.51878959</t>
  </si>
  <si>
    <t xml:space="preserve">Reimbursement Relokasi VSAT OBI </t>
  </si>
  <si>
    <t>29 0kt'17-5 Nov'17</t>
  </si>
  <si>
    <t>18-006/BKU-004/I/179</t>
  </si>
  <si>
    <t>10 Jan'18-16 Jan'18</t>
  </si>
  <si>
    <t>18-007/BKU-004/I/179</t>
  </si>
  <si>
    <t>18-001/BKU-004/I/159</t>
  </si>
  <si>
    <t>010.002-18.51878963</t>
  </si>
  <si>
    <t>18-002/BKU-004/I/159</t>
  </si>
  <si>
    <t>010.002-18.51878964</t>
  </si>
  <si>
    <t>18-003/BKU-004/I/159</t>
  </si>
  <si>
    <t>010.002-18.51878965</t>
  </si>
  <si>
    <t>18-004/BKU-004/I/159</t>
  </si>
  <si>
    <t>010.002-18.51878966</t>
  </si>
  <si>
    <t>Sewa VSAT SCPC 1024/768 Kbps Site MGA Office</t>
  </si>
  <si>
    <t>14 Des'17-14 Jan'18</t>
  </si>
  <si>
    <t>18-005/BKU-004/I/159</t>
  </si>
  <si>
    <t>010.002-18.51878967</t>
  </si>
  <si>
    <t>18-006/BKU-004/I/159</t>
  </si>
  <si>
    <t>010.002-18.51878968</t>
  </si>
  <si>
    <t>18-007/BKU-004/I/159</t>
  </si>
  <si>
    <t>010.002-18.51878969</t>
  </si>
  <si>
    <t>18-008/BKU-004/I/159</t>
  </si>
  <si>
    <t>010.002-18.51878970</t>
  </si>
  <si>
    <t>Monthly Charges VSAT 512/256 Site KUP</t>
  </si>
  <si>
    <t>4 Des'17-4 Jan'18</t>
  </si>
  <si>
    <t>18-009/BKU-004/I/159</t>
  </si>
  <si>
    <t>010.002-18.51878971</t>
  </si>
  <si>
    <t>Monthly Charges (Proporsional) VSAT 512/768 Kbps MGA</t>
  </si>
  <si>
    <t>1-13 Des 2017</t>
  </si>
  <si>
    <t>010.002-18.51878972</t>
  </si>
  <si>
    <t>18-018</t>
  </si>
  <si>
    <t>18-001/BKU-004/I/250</t>
  </si>
  <si>
    <t>010.002-18.51878974</t>
  </si>
  <si>
    <t>18-001/BKU-004/I/145</t>
  </si>
  <si>
    <t>010.002-18.51878973</t>
  </si>
  <si>
    <t>BUMA</t>
  </si>
  <si>
    <t>18-001/BKU-004/I/009</t>
  </si>
  <si>
    <t>010.002-18.51878976</t>
  </si>
  <si>
    <t>Monthly Charges VSAT 1 Mbps Site IAC Kintap</t>
  </si>
  <si>
    <t>18-002/BKU-004/I/009</t>
  </si>
  <si>
    <t>010.002-18.51878977</t>
  </si>
  <si>
    <t>Monthly Charges VSAT Site Timika</t>
  </si>
  <si>
    <t>18-003/BKU-004/I/009</t>
  </si>
  <si>
    <t>010.002-18.51878978</t>
  </si>
  <si>
    <t>WAN 1 Mbps, Internet 2 Mbps, Sewa Voice Gateway Site Muara Tuhup</t>
  </si>
  <si>
    <t>18-004/BKU-004/I/009</t>
  </si>
  <si>
    <t>010.002-18.51878979</t>
  </si>
  <si>
    <t>Layanan VSAT Internet 4 Mbps Site POSB Sorong Papua Barat</t>
  </si>
  <si>
    <t>18-005/BKU-004/I/009</t>
  </si>
  <si>
    <t>010.002-18.51878980</t>
  </si>
  <si>
    <t>18-001/BKU-004/I/220</t>
  </si>
  <si>
    <t>010.002-18.51878975</t>
  </si>
  <si>
    <t>MHA</t>
  </si>
  <si>
    <t>DMP</t>
  </si>
  <si>
    <t>Telkom</t>
  </si>
  <si>
    <t>18-001/BKU-004/I/081</t>
  </si>
  <si>
    <t>17-039/BKU-004/XII/211</t>
  </si>
  <si>
    <t>010.020-17.90411116</t>
  </si>
  <si>
    <t>17-040/BKU-004/XII/211</t>
  </si>
  <si>
    <t>010.020-17.90411118</t>
  </si>
  <si>
    <t>17-041/BKU-004/XII/211</t>
  </si>
  <si>
    <t>010.020-17.90411119</t>
  </si>
  <si>
    <t>17-042/BKU-004/XII/211</t>
  </si>
  <si>
    <t>010.020-17.90411117</t>
  </si>
  <si>
    <t>WDL 1,5 Mbps Site SIMS Batu Kajang - Kaltim</t>
  </si>
  <si>
    <t>MPLS 1,5 Mbps Site Krassi Sesayap</t>
  </si>
  <si>
    <t>18-001/BKU-004/II/211</t>
  </si>
  <si>
    <t>011.002-18.51878982</t>
  </si>
  <si>
    <t>18-002/BKU-004/I/211</t>
  </si>
  <si>
    <t>010.002-18.51878983</t>
  </si>
  <si>
    <t>18-003/BKU-004/II/211</t>
  </si>
  <si>
    <t>011.002-18.51878984</t>
  </si>
  <si>
    <t>18-004/BKU-004/I/211</t>
  </si>
  <si>
    <t>010.002-18.51878985</t>
  </si>
  <si>
    <t>PAMA</t>
  </si>
  <si>
    <t>EPN</t>
  </si>
  <si>
    <t>ABB</t>
  </si>
  <si>
    <t>DWIMAKMUR PRIMATAMAS, PT</t>
  </si>
  <si>
    <t>Instalasi Wireless Internet Dedicated 2 Mbps Site DMP MUTU</t>
  </si>
  <si>
    <t>18-001/BKU-004/I/265</t>
  </si>
  <si>
    <t>010.002-18.51878981</t>
  </si>
  <si>
    <t>031.002-18.51878986</t>
  </si>
  <si>
    <t>18-001/BKU-004/I/172</t>
  </si>
  <si>
    <t>010.002-18.51878987</t>
  </si>
  <si>
    <t>TOP</t>
  </si>
  <si>
    <t>15 Jan-15 Feb 2018</t>
  </si>
  <si>
    <t>18-003/BKU-004/II/189</t>
  </si>
  <si>
    <t>010.002-18.51878988</t>
  </si>
  <si>
    <t>Bohai</t>
  </si>
  <si>
    <t>BOHAI DRILLING SERVICE INDONESIA, PT</t>
  </si>
  <si>
    <t>Jasa Instalasi VSAT 2,4 meter Site Belani</t>
  </si>
  <si>
    <t>18-001/BKU-004/II/262</t>
  </si>
  <si>
    <t>010.002-18.51878989</t>
  </si>
  <si>
    <t>I,V</t>
  </si>
  <si>
    <t>Juni'17-Januari'18</t>
  </si>
  <si>
    <t>Monthly VPN Internet &amp; VSAT Bandwith 8 Mbps; 4 Mbps Site PAMA</t>
  </si>
  <si>
    <t>Monthly VPN Internet &amp; VSAT Bandwith 2 Mbps; 1 Mbps Site EPN</t>
  </si>
  <si>
    <t>ASMIN BARA BRONANG, PT</t>
  </si>
  <si>
    <t>Monthly VPN Internet &amp; VSAT Bandwith 4 Mbps; 2 Mbps Site ABB</t>
  </si>
  <si>
    <t>TELEN ORBIT PRIMA, PT</t>
  </si>
  <si>
    <t>Monthly VPN Internet &amp; VSAT Bandwith 2 Mbps; 1 Mbps Site TOP</t>
  </si>
  <si>
    <t>18-005/BKU-004/II/204</t>
  </si>
  <si>
    <t>010.002-18.51878990</t>
  </si>
  <si>
    <t>18-006/BKU-004/II/204</t>
  </si>
  <si>
    <t>010.002-18.51878991</t>
  </si>
  <si>
    <t>18-007/BKU-004/II/204</t>
  </si>
  <si>
    <t>010.002-18.51878992</t>
  </si>
  <si>
    <t>18-008/BKU-004/II/204</t>
  </si>
  <si>
    <t>010.002-18.51878993</t>
  </si>
  <si>
    <t>18-003/BKU-004/II/210</t>
  </si>
  <si>
    <t>010.002-18.51878994</t>
  </si>
  <si>
    <t>18-004/BKU-004/II/210</t>
  </si>
  <si>
    <t>010.002-18.51878995</t>
  </si>
  <si>
    <t>18-002/BKU-004/II/227</t>
  </si>
  <si>
    <t>010.002-18.51878998</t>
  </si>
  <si>
    <t>18-002/BKU-004/II/207</t>
  </si>
  <si>
    <t>010.002-18.51878997</t>
  </si>
  <si>
    <t>18-002/BKU-004/II/224</t>
  </si>
  <si>
    <t>010.002-18.51878999</t>
  </si>
  <si>
    <t>18-002/BKU-004/II/245</t>
  </si>
  <si>
    <t>010.002-18.51878996</t>
  </si>
  <si>
    <t>nbc</t>
  </si>
  <si>
    <t>18-018/BKU-004/II/057</t>
  </si>
  <si>
    <t>010.002-18.51879000</t>
  </si>
  <si>
    <t>18-019/BKU-004/II/057</t>
  </si>
  <si>
    <t>010.002-18.51879001</t>
  </si>
  <si>
    <t>18-020/BKU-004/II/057</t>
  </si>
  <si>
    <t>010.002-18.51879002</t>
  </si>
  <si>
    <t>18-021/BKU-004/II/057</t>
  </si>
  <si>
    <t>010.002-18.51879003</t>
  </si>
  <si>
    <t>18-022/BKU-004/II/057</t>
  </si>
  <si>
    <t>010.002-18.51879004</t>
  </si>
  <si>
    <t>18-023/BKU-004/II/057</t>
  </si>
  <si>
    <t>010.002-18.51879005</t>
  </si>
  <si>
    <t>Layanan ISP BKU VSAT &amp; Sewa WDL Site MTN MUTU</t>
  </si>
  <si>
    <t>18-024/BKU-004/II/057</t>
  </si>
  <si>
    <t>010.002-18.51879006</t>
  </si>
  <si>
    <t>18-025/BKU-004/II/057</t>
  </si>
  <si>
    <t>010.002-18.51879007</t>
  </si>
  <si>
    <t>18-026/BKU-004/II/057</t>
  </si>
  <si>
    <t>010.002-18.51879008</t>
  </si>
  <si>
    <t>18-027/BKU-004/II/057</t>
  </si>
  <si>
    <t>010.002-18.51879009</t>
  </si>
  <si>
    <t>18-028/BKU-004/II/057</t>
  </si>
  <si>
    <t>010.002-18.51879010</t>
  </si>
  <si>
    <t>18-029/BKU-004/II/057</t>
  </si>
  <si>
    <t>010.002-18.51879011</t>
  </si>
  <si>
    <t>Reimbursement Maintenance Site MTN KPUC</t>
  </si>
  <si>
    <t>24-28 Jan 2018</t>
  </si>
  <si>
    <t>18-030/BKU-004/II/057</t>
  </si>
  <si>
    <t>18-008/BKU-004/II/179</t>
  </si>
  <si>
    <t>010.002-18.51879013</t>
  </si>
  <si>
    <t>18-009/BKU-004/II/179</t>
  </si>
  <si>
    <t>010.002-18.51879014</t>
  </si>
  <si>
    <t>18-010/BKU-004/II/179</t>
  </si>
  <si>
    <t>010.002-18.51879015</t>
  </si>
  <si>
    <t>OKTN</t>
  </si>
  <si>
    <t>18-010/BKU-004/I/159</t>
  </si>
  <si>
    <t>010.002-18.51879016</t>
  </si>
  <si>
    <t>18-011/BKU-004/II/159</t>
  </si>
  <si>
    <t>18-012/BKU-004/II/159</t>
  </si>
  <si>
    <t>MPLS 1 Mbps Site DAMAI</t>
  </si>
  <si>
    <t>18-013/BKU-004/II/159</t>
  </si>
  <si>
    <t>010.002-18.51879018</t>
  </si>
  <si>
    <t>18-014/BKU-004/II/159</t>
  </si>
  <si>
    <t>010.002-18.51879019</t>
  </si>
  <si>
    <t>18-015/BKU-004/II/159</t>
  </si>
  <si>
    <t>010.002-18.51879020</t>
  </si>
  <si>
    <t>18-016/BKU-004/II/159</t>
  </si>
  <si>
    <t>010.002-18.76954263</t>
  </si>
  <si>
    <t>18-017/BKU-004/II/159</t>
  </si>
  <si>
    <t>010.002-18.76954264</t>
  </si>
  <si>
    <t>14 Jan-14 Feb'18</t>
  </si>
  <si>
    <t>18-018/BKU-004/II/159</t>
  </si>
  <si>
    <t>010.002-18.76954265</t>
  </si>
  <si>
    <t>4 Jan-4 Feb'18</t>
  </si>
  <si>
    <t>18-019/BKU-004/II/159</t>
  </si>
  <si>
    <t>010.002-18.76954266</t>
  </si>
  <si>
    <t>OVERSEEAS KOREAN TELEVISION NETWORK, PT</t>
  </si>
  <si>
    <t>M,P</t>
  </si>
  <si>
    <t>Jasa Maintenance dan Perbaikan Perangkat BUC 40 Watt 1 Set</t>
  </si>
  <si>
    <t>18-001/BKU-004/II/062</t>
  </si>
  <si>
    <t>010.002-18.76954267</t>
  </si>
  <si>
    <t>Monthly Charges MPLS 512 Kbps Site Krassi Sesayap</t>
  </si>
  <si>
    <t>18-002/BKU-004/II/149</t>
  </si>
  <si>
    <t>010.002-18.76954269</t>
  </si>
  <si>
    <t>18-003/BKU-004/II/196</t>
  </si>
  <si>
    <t>010.002-18.76954272</t>
  </si>
  <si>
    <t>18-004/BKU-004/II/196</t>
  </si>
  <si>
    <t>010.002-18.76954273</t>
  </si>
  <si>
    <t>18-005/BKU-004/II/211</t>
  </si>
  <si>
    <t>010.002-18.76954275</t>
  </si>
  <si>
    <t>18-006/BKU-004/II/211</t>
  </si>
  <si>
    <t>010.002-18.76954276</t>
  </si>
  <si>
    <t>18-007/BKU-004/II/211</t>
  </si>
  <si>
    <t>010.002-18.76954277</t>
  </si>
  <si>
    <t>18-008/BKU-004/II/211</t>
  </si>
  <si>
    <t>010.002-18.76954278</t>
  </si>
  <si>
    <t xml:space="preserve"> Wireless Internet Dedicated 2 Mbps Site DMP MUTU</t>
  </si>
  <si>
    <t>18 Jan-18 Feb'18</t>
  </si>
  <si>
    <t>18-002/BKU-004/II/265</t>
  </si>
  <si>
    <t>18-002/BKU-004/II/250</t>
  </si>
  <si>
    <t>010.002-18.76954271</t>
  </si>
  <si>
    <t>Rental VSAT 256/512 Kbps Medco Wapeko</t>
  </si>
  <si>
    <t>18-002/BKU-004/II/145</t>
  </si>
  <si>
    <t>010.002-18.76954270</t>
  </si>
  <si>
    <t>010.002-18.76954274</t>
  </si>
  <si>
    <t>010.002-18.76954268</t>
  </si>
  <si>
    <t>Smart Telecom</t>
  </si>
  <si>
    <t>Jasa Perbaikan 15HP-RFU-8, 15HPS-1R-RFU-8, RFU-HP-1R-8, 32T-155-1F, 15HPS-1R-RFU-11</t>
  </si>
  <si>
    <t>18-001/BKU-004/II/254</t>
  </si>
  <si>
    <t>011.019-17.53122312</t>
  </si>
  <si>
    <t>Monthly Charges Site Binuang</t>
  </si>
  <si>
    <t>10 Nov-10 Des'17</t>
  </si>
  <si>
    <t>18-006/BKU-004/II/009</t>
  </si>
  <si>
    <t>010.002-18.76954280</t>
  </si>
  <si>
    <t>18-007/BKU-004/II/009</t>
  </si>
  <si>
    <t>010.002-18.76954282</t>
  </si>
  <si>
    <t>18-008/BKU-004/II/009</t>
  </si>
  <si>
    <t>010.002-18.76954283</t>
  </si>
  <si>
    <t>18-009/BKU-004/II/009</t>
  </si>
  <si>
    <t>010.002-18.76954284</t>
  </si>
  <si>
    <t>18-010/BKU-004/II/009</t>
  </si>
  <si>
    <t>010.002-18.76954285</t>
  </si>
  <si>
    <t>18-011/BKU-004/II/009</t>
  </si>
  <si>
    <t>010.002-18.76954286</t>
  </si>
  <si>
    <t>10 Des'17-10 Jan'18</t>
  </si>
  <si>
    <t>18-012/BKU-004/II/009</t>
  </si>
  <si>
    <t>010.002-18.76954281</t>
  </si>
  <si>
    <t>Jasa Relokasi VSAT Site Timika</t>
  </si>
  <si>
    <t>23-28 Jan'18</t>
  </si>
  <si>
    <t>18-013/BKU-004/II/009</t>
  </si>
  <si>
    <t>010.002-18.76954287</t>
  </si>
  <si>
    <t>WAN Internet 5 Mbps &amp; Backup VSAT 256/256 Kbps Site MASS</t>
  </si>
  <si>
    <t>18-004/BKU-004/II/208</t>
  </si>
  <si>
    <t>010.002-18.76954288</t>
  </si>
  <si>
    <t>WAN Internet 5 Mbps, Internasional 1 Mbps Site KPP SPUT</t>
  </si>
  <si>
    <t>18-005/BKU-004/II/208</t>
  </si>
  <si>
    <t>010.002-18.76954289</t>
  </si>
  <si>
    <t>WAN 5 Mbps Backhaul Indosat, WAN 5 Mbps Site Loa Janan</t>
  </si>
  <si>
    <t>18-006/BKU-004/II/208</t>
  </si>
  <si>
    <t>010.002-18.76954290</t>
  </si>
  <si>
    <t>26 Des'17-26 Jan'18</t>
  </si>
  <si>
    <t>18-007/BKU-004/II/208</t>
  </si>
  <si>
    <t>010.002-18.76954291</t>
  </si>
  <si>
    <t>18-008/BKU-004/II/208</t>
  </si>
  <si>
    <t>010.002-18.76954292</t>
  </si>
  <si>
    <t>18-002/BKU-004/II/220</t>
  </si>
  <si>
    <t>010.002-18.76954293</t>
  </si>
  <si>
    <t>Remote Site (MPLS, Bandwith VSAT, Equipment VSAT)</t>
  </si>
  <si>
    <t>18-002/BKU-004/II/172</t>
  </si>
  <si>
    <t>18-031/BKU-004/III/057</t>
  </si>
  <si>
    <t>010.002-18.76954295</t>
  </si>
  <si>
    <t>18-032/BKU-004/III/057</t>
  </si>
  <si>
    <t>010.002-18.76954296</t>
  </si>
  <si>
    <t>18-033/BKU-004/III/057</t>
  </si>
  <si>
    <t>010.002-18.76954297</t>
  </si>
  <si>
    <t>18-034/BKU-004/III/057</t>
  </si>
  <si>
    <t>010.002-18.76954298</t>
  </si>
  <si>
    <t>18-035/BKU-004/III/057</t>
  </si>
  <si>
    <t>010.002-18.76954299</t>
  </si>
  <si>
    <t>18-036/BKU-004/III/057</t>
  </si>
  <si>
    <t>010.002-18.76954300</t>
  </si>
  <si>
    <t>18-037/BKU-004/III/057</t>
  </si>
  <si>
    <t>010.002-18.76954301</t>
  </si>
  <si>
    <t>18-038/BKU-004/III/057</t>
  </si>
  <si>
    <t>010.002-18.76954302</t>
  </si>
  <si>
    <t>18-039/BKU-004/III/057</t>
  </si>
  <si>
    <t>010.002-18.76954303</t>
  </si>
  <si>
    <t>18-040/BKU-004/III/057</t>
  </si>
  <si>
    <t>010.002-18.76954304</t>
  </si>
  <si>
    <t>18-041/BKU-004/III/057</t>
  </si>
  <si>
    <t>010.002-18.76954305</t>
  </si>
  <si>
    <t>18-042/BKU-004/III/057</t>
  </si>
  <si>
    <t>010.002-18.76954306</t>
  </si>
  <si>
    <t>15 Feb-15 Mar'18</t>
  </si>
  <si>
    <t>18-004/BKU-004/III/189</t>
  </si>
  <si>
    <t>010.002-18.76954294</t>
  </si>
  <si>
    <t>18-003/BKU-004/III/224</t>
  </si>
  <si>
    <t>010.002-18.76954312</t>
  </si>
  <si>
    <t>18-009/BKU-004/III/204</t>
  </si>
  <si>
    <t>18-010/BKU-004/III/204</t>
  </si>
  <si>
    <t>18-011/BKU-004/III/204</t>
  </si>
  <si>
    <t>18-012/BKU-004/III/204</t>
  </si>
  <si>
    <t>010.002-18.76954308</t>
  </si>
  <si>
    <t>010.002-18.76954309</t>
  </si>
  <si>
    <t>010.002-18.76954310</t>
  </si>
  <si>
    <t>010.002-18.76954311</t>
  </si>
  <si>
    <t>18-005/BKU-004/III/210</t>
  </si>
  <si>
    <t>010.002-18.76954313</t>
  </si>
  <si>
    <t>18-006/BKU-004/III/210</t>
  </si>
  <si>
    <t>010.002-18.76954314</t>
  </si>
  <si>
    <t>18-003/BKU-004/III/245</t>
  </si>
  <si>
    <t>010.002-18.76954315</t>
  </si>
  <si>
    <t>18-003/BKU-004/III/207</t>
  </si>
  <si>
    <t>010.002-18.76954316</t>
  </si>
  <si>
    <t>18-003/BKU-004/III/227</t>
  </si>
  <si>
    <t>010.002-18.76954317</t>
  </si>
  <si>
    <t>18-003/BKU-004/III/243</t>
  </si>
  <si>
    <t>18-002/BKU-004/II/243</t>
  </si>
  <si>
    <t>010.002-18.76954318</t>
  </si>
  <si>
    <t>18-001/BKU-004/III/259</t>
  </si>
  <si>
    <t>010.002-18.76954319</t>
  </si>
  <si>
    <t>Layanan VSAT 2,4 meter Site Belani</t>
  </si>
  <si>
    <t>2 Feb-2 Mar 2018</t>
  </si>
  <si>
    <t>18-002/BKU-004/III/262</t>
  </si>
  <si>
    <t>010.002-18.76954320</t>
  </si>
  <si>
    <t xml:space="preserve">MAR </t>
  </si>
  <si>
    <t>18-009/BKU-004/III/211</t>
  </si>
  <si>
    <t>010.002-18.76954321</t>
  </si>
  <si>
    <t>18-010/BKU-004/III/211</t>
  </si>
  <si>
    <t>010.002-18.76954322</t>
  </si>
  <si>
    <t>18-011/BKU-004/III/211</t>
  </si>
  <si>
    <t>010.002-18.76954323</t>
  </si>
  <si>
    <t>18-012/BKU-004/III/211</t>
  </si>
  <si>
    <t>010.002-18.76954324</t>
  </si>
  <si>
    <t>18-011/BKU-004/III/179</t>
  </si>
  <si>
    <t>010.002-18.76954325</t>
  </si>
  <si>
    <t>18-012/BKU-004/III/179</t>
  </si>
  <si>
    <t>010.002-18.76954326</t>
  </si>
  <si>
    <t>18-013/BKU-004/III/179</t>
  </si>
  <si>
    <t>010.002-18.76954327</t>
  </si>
  <si>
    <t>18-001/BKU-004/III/260</t>
  </si>
  <si>
    <t>010.002-18.76954339</t>
  </si>
  <si>
    <t>18-020/BKU-004/III/159</t>
  </si>
  <si>
    <t>010.002-18.76954328</t>
  </si>
  <si>
    <t>18-021/BKU-004/III/159</t>
  </si>
  <si>
    <t>010.002-18.76954329</t>
  </si>
  <si>
    <t>18-022/BKU-004/III/159</t>
  </si>
  <si>
    <t>010.002-18.76954330</t>
  </si>
  <si>
    <t>18-023/BKU-004/III/159</t>
  </si>
  <si>
    <t>010.002-18.76954331</t>
  </si>
  <si>
    <t>14 Feb-14 Mar'18</t>
  </si>
  <si>
    <t>18-024/BKU-004/III/159</t>
  </si>
  <si>
    <t>010.002-18.76954332</t>
  </si>
  <si>
    <t>18-025/BKU-004/III/159</t>
  </si>
  <si>
    <t>010.002-18.76954333</t>
  </si>
  <si>
    <t>18-026/BKU-004/III/159</t>
  </si>
  <si>
    <t>010.002-18.76954334</t>
  </si>
  <si>
    <t>18-027/BKU-004/III/159</t>
  </si>
  <si>
    <t>010.002-18.76954335</t>
  </si>
  <si>
    <t>4 Feb-4 Mar'18</t>
  </si>
  <si>
    <t>18-028/BKU-004/III/159</t>
  </si>
  <si>
    <t>010.002-18.76954336</t>
  </si>
  <si>
    <t>18-009/BKU-004/III/208</t>
  </si>
  <si>
    <t>010.002-18.76954340</t>
  </si>
  <si>
    <t>18-010/BKU-004/III/208</t>
  </si>
  <si>
    <t>010.002-18.76954341</t>
  </si>
  <si>
    <t>18-011/BKU-004/III/208</t>
  </si>
  <si>
    <t>010.002-18.76954342</t>
  </si>
  <si>
    <t>26 Jan-26 Feb'18</t>
  </si>
  <si>
    <t>18-012/BKU-004/III/208</t>
  </si>
  <si>
    <t>010.002-18.76954343</t>
  </si>
  <si>
    <t>18-013/BKU-004/III/208</t>
  </si>
  <si>
    <t>010.002-18.76954344</t>
  </si>
  <si>
    <t>011.002-18.51879017</t>
  </si>
  <si>
    <t>18-003/BKU-004/III/214</t>
  </si>
  <si>
    <t>18-002/BKU-004/II/214</t>
  </si>
  <si>
    <t>010.002-18.76954345</t>
  </si>
  <si>
    <t>18 Feb-18 Mar'18</t>
  </si>
  <si>
    <t>18-003/BKU-004/III/265</t>
  </si>
  <si>
    <t>18-003/BKU-004/III/149</t>
  </si>
  <si>
    <t>010.002-18.76954348</t>
  </si>
  <si>
    <t>18-003/BKU-004/III/145</t>
  </si>
  <si>
    <t>010.002-18.76954347</t>
  </si>
  <si>
    <t>18-005/BKU-004/III/196</t>
  </si>
  <si>
    <t>010.002-18.76954337</t>
  </si>
  <si>
    <t>18-006/BKU-004/III/196</t>
  </si>
  <si>
    <t>010.002-18.76954338</t>
  </si>
  <si>
    <t>18-001/BKU-004/III/246</t>
  </si>
  <si>
    <t>010.002-18.76954350</t>
  </si>
  <si>
    <t>18-002/BKU-004/III/261</t>
  </si>
  <si>
    <t>010.002-18.76954349</t>
  </si>
  <si>
    <t>18-019</t>
  </si>
  <si>
    <t>18-003/BKU-004/III/250</t>
  </si>
  <si>
    <t>010.002-18.76954351</t>
  </si>
  <si>
    <t>18-003/BKU-004/III/220</t>
  </si>
  <si>
    <t>010.002-18.76954352</t>
  </si>
  <si>
    <t>18-003/BKU-004/III/261</t>
  </si>
  <si>
    <t>010.002-18.76954353</t>
  </si>
  <si>
    <t>Monthly VPN Internet &amp; VSAT Bandwith 8 Mbps; 4 Mbps Site EPN</t>
  </si>
  <si>
    <t>18-004/BKU-004/III/261</t>
  </si>
  <si>
    <t>010.002-18.76954360</t>
  </si>
  <si>
    <t>Monthly Charges VSAT 1 Mbps Site Tabang</t>
  </si>
  <si>
    <t>18-014/BKU-004/III/009</t>
  </si>
  <si>
    <t>010.002-18.76954354</t>
  </si>
  <si>
    <t>18-015/BKU-004/III/009</t>
  </si>
  <si>
    <t>010.002-18.76954355</t>
  </si>
  <si>
    <t>Monthly Charges VSAT 1024/1024 Kbps Site Timika</t>
  </si>
  <si>
    <t>18-016/BKU-004/III/009</t>
  </si>
  <si>
    <t>010.002-18.76954356</t>
  </si>
  <si>
    <t>18-017/BKU-004/III/009</t>
  </si>
  <si>
    <t>010.002-18.76954357</t>
  </si>
  <si>
    <t>18-018/BKU-004/III/009</t>
  </si>
  <si>
    <t>010.002-18.76954358</t>
  </si>
  <si>
    <t>Monthly Charges  VSAT 512 Kbps Site Binuang</t>
  </si>
  <si>
    <t>10 Jan'18-10 Feb'18</t>
  </si>
  <si>
    <t>18-019/BKU-004/III/009</t>
  </si>
  <si>
    <t>010.002-18.76954359</t>
  </si>
  <si>
    <t>Pengadaan Tower Triangle Site MTN SBS</t>
  </si>
  <si>
    <t>18-043/BKU-004/III/057</t>
  </si>
  <si>
    <t>Jasa Instalasi Radio</t>
  </si>
  <si>
    <t>18-044/BKU-004/III/057</t>
  </si>
  <si>
    <t>010.002-18.76954362</t>
  </si>
  <si>
    <t>Reimbursement Instalasi Tower &amp; Radio Site SBS</t>
  </si>
  <si>
    <t>01-08 Feb'18</t>
  </si>
  <si>
    <t>18-045/BKU-004/III/057</t>
  </si>
  <si>
    <t>Pengadaan Radio Cambium Epmp Force 180 (2 Unit); Surge Protector Ubnt Eth-Sp (2 Unit)</t>
  </si>
  <si>
    <t>07 Feb'18</t>
  </si>
  <si>
    <t>18-046/BKU-004/III/057</t>
  </si>
  <si>
    <t>010.002-18.76954363</t>
  </si>
  <si>
    <t xml:space="preserve">Reimbursement Maintenance VSAT Tembang </t>
  </si>
  <si>
    <t>30-31 Jan'18</t>
  </si>
  <si>
    <t>18-047/BKU-004/III/057</t>
  </si>
  <si>
    <t>AIRNAV INDONESIA</t>
  </si>
  <si>
    <t xml:space="preserve">Jasa Berlangganan jaringan Komunikasi Domestik </t>
  </si>
  <si>
    <t>Desember 2017</t>
  </si>
  <si>
    <t>18-001/BKU-004/II/218</t>
  </si>
  <si>
    <t>031.002-18.51879012</t>
  </si>
  <si>
    <t>011.002-18.76954279</t>
  </si>
  <si>
    <t>011.002-18.76954346</t>
  </si>
  <si>
    <t>18-020</t>
  </si>
  <si>
    <t>18-021</t>
  </si>
  <si>
    <t>15 Mar-15 Apr'18</t>
  </si>
  <si>
    <t>18-005/BKU-004/IV/189</t>
  </si>
  <si>
    <t>010.002-18.76954364</t>
  </si>
  <si>
    <t>Wamena</t>
  </si>
  <si>
    <t>18 Mar-18 Apr'18</t>
  </si>
  <si>
    <t>18-004/BKU-004/IV/265</t>
  </si>
  <si>
    <t>010.002-18.76954365</t>
  </si>
  <si>
    <t>18-022</t>
  </si>
  <si>
    <t>18-023</t>
  </si>
  <si>
    <t>18-024</t>
  </si>
  <si>
    <t>18-025</t>
  </si>
  <si>
    <t>18-029/BKU-004/IV/159</t>
  </si>
  <si>
    <t>010.002-18.76954366</t>
  </si>
  <si>
    <t>18-030/BKU-004/IV/159</t>
  </si>
  <si>
    <t>010.002-18.76954367</t>
  </si>
  <si>
    <t>18-031/BKU-004/IV/159</t>
  </si>
  <si>
    <t>010.002-18.76954368</t>
  </si>
  <si>
    <t>18-032/BKU-004/IV/159</t>
  </si>
  <si>
    <t>010.002-18.76954369</t>
  </si>
  <si>
    <t>14 Mar-14 Apr'18</t>
  </si>
  <si>
    <t>18-033/BKU-004/IV/159</t>
  </si>
  <si>
    <t>010.002-18.76954370</t>
  </si>
  <si>
    <t>18-034/BKU-004/IV/159</t>
  </si>
  <si>
    <t>010.002-18.76954371</t>
  </si>
  <si>
    <t>18-035/BKU-004/IV/159</t>
  </si>
  <si>
    <t>010.002-18.76954372</t>
  </si>
  <si>
    <t>18-036/BKU-004/IV/159</t>
  </si>
  <si>
    <t>010.002-18.76954373</t>
  </si>
  <si>
    <t>4 Mar-4 Apr'18</t>
  </si>
  <si>
    <t>18-037/BKU-004/IV/159</t>
  </si>
  <si>
    <t>010.002-18.76954374</t>
  </si>
  <si>
    <t>18-014/BKU-004/IV/179</t>
  </si>
  <si>
    <t>18-015/BKU-004/IV/179</t>
  </si>
  <si>
    <t>18-016/BKU-004/IV/179</t>
  </si>
  <si>
    <t>010.002-18.76954375</t>
  </si>
  <si>
    <t>010.002-18.76954376</t>
  </si>
  <si>
    <t>010.002-18.76954377</t>
  </si>
  <si>
    <t>18-004/BKU-004/IV/243</t>
  </si>
  <si>
    <t>010.002-18.76954378</t>
  </si>
  <si>
    <t>Remote Site (Bandwith VSAT, Equipment VSAT)</t>
  </si>
  <si>
    <t>18-003/BKU-004/IV/172</t>
  </si>
  <si>
    <t>010.002-18.76954380</t>
  </si>
  <si>
    <t>Jasa Relokasi VSAT Site KMO</t>
  </si>
  <si>
    <t>6 Februari 2018</t>
  </si>
  <si>
    <t>18-038/BKU-004/IV/159</t>
  </si>
  <si>
    <t>010.002-18.76954379</t>
  </si>
  <si>
    <t>Reimbursement Relokasi VSAT KMO</t>
  </si>
  <si>
    <t>7-13 Feb 2018</t>
  </si>
  <si>
    <t>18-039/BKU-004/IV/159</t>
  </si>
  <si>
    <t>2 Mar-2 Apr 2018</t>
  </si>
  <si>
    <t>18-003/BKU-004/IV/262</t>
  </si>
  <si>
    <t>010.002-18.76954394</t>
  </si>
  <si>
    <t>18-048/BKU-004/IV/057</t>
  </si>
  <si>
    <t>010.002-18.76954381</t>
  </si>
  <si>
    <t>18-049/BKU-004/IV/057</t>
  </si>
  <si>
    <t>010.002-18.76954382</t>
  </si>
  <si>
    <t>18-050/BKU-004/IV/057</t>
  </si>
  <si>
    <t>010.002-18.76954383</t>
  </si>
  <si>
    <t>18-051/BKU-004/IV/057</t>
  </si>
  <si>
    <t>010.002-18.76954384</t>
  </si>
  <si>
    <t>18-052/BKU-004/IV/057</t>
  </si>
  <si>
    <t>010.002-18.76954385</t>
  </si>
  <si>
    <t>18-053/BKU-004/IV/057</t>
  </si>
  <si>
    <t>010.002-18.76954386</t>
  </si>
  <si>
    <t>18-054/BKU-004/IV/057</t>
  </si>
  <si>
    <t>010.002-18.76954387</t>
  </si>
  <si>
    <t>18-055/BKU-004/IV/057</t>
  </si>
  <si>
    <t>010.002-18.76954388</t>
  </si>
  <si>
    <t>18-056/BKU-004/IV/057</t>
  </si>
  <si>
    <t>010.002-18.76954389</t>
  </si>
  <si>
    <t>18-057/BKU-004/IV/057</t>
  </si>
  <si>
    <t>010.002-18.76954390</t>
  </si>
  <si>
    <t>18-058/BKU-004/IV/057</t>
  </si>
  <si>
    <t>010.002-18.76954391</t>
  </si>
  <si>
    <t>18-059/BKU-004/IV/057</t>
  </si>
  <si>
    <t>010.002-18.76954392</t>
  </si>
  <si>
    <t>Instalas VSAT SCPC 1 Mbps Site Natarang</t>
  </si>
  <si>
    <t>20 Maret 2018</t>
  </si>
  <si>
    <t>18-060/BKU-004/IV/057</t>
  </si>
  <si>
    <t>010.002-18.769454393</t>
  </si>
  <si>
    <t>Reimbursement Instalasi VSAT Natarang</t>
  </si>
  <si>
    <t>12-22 Maret 2018</t>
  </si>
  <si>
    <t>18-061/BKU-004/IV/057</t>
  </si>
  <si>
    <t>Reimbursement Maintenance Radio MTN KPUC</t>
  </si>
  <si>
    <t>20-22 Maret 2018</t>
  </si>
  <si>
    <t>18-062/BKU-004/IV/057</t>
  </si>
  <si>
    <t>Reimbursement Pemeliharaan Rutin VSAT MTN West Pit</t>
  </si>
  <si>
    <t>28 Feb-02 Mar'18</t>
  </si>
  <si>
    <t>18-063/BKU-004/IV/057</t>
  </si>
  <si>
    <t>Reimbursement Maintenance VSAT Asam Asam</t>
  </si>
  <si>
    <t>09 Maret 2018</t>
  </si>
  <si>
    <t>18-064/BKU-004/IV/057</t>
  </si>
  <si>
    <t>18-013/BKU-004/IV/204</t>
  </si>
  <si>
    <t>010.002-18.76954395</t>
  </si>
  <si>
    <t>18-014/BKU-004/IV/204</t>
  </si>
  <si>
    <t>010.002-18.76954396</t>
  </si>
  <si>
    <t>18-015/BKU-004/IV/204</t>
  </si>
  <si>
    <t>010.002-18.76954397</t>
  </si>
  <si>
    <t>18-016/BKU-004/IV/204</t>
  </si>
  <si>
    <t>010.002-18.76954398</t>
  </si>
  <si>
    <t>18-004/BKU-004/IV/227</t>
  </si>
  <si>
    <t>010.002-18.76954404</t>
  </si>
  <si>
    <t>18-007/BKU-004/IV/210</t>
  </si>
  <si>
    <t>010.002-18.76954400</t>
  </si>
  <si>
    <t>18-008/BKU-004/IV/210</t>
  </si>
  <si>
    <t>010.002-18.76954401</t>
  </si>
  <si>
    <t>18-004/BKU-004/IV/207</t>
  </si>
  <si>
    <t>010.002-18.76954403</t>
  </si>
  <si>
    <t>18-004/BKU-004/IV/245</t>
  </si>
  <si>
    <t>010.002-18.76954402</t>
  </si>
  <si>
    <t>18-004/BKU-004/IV/224</t>
  </si>
  <si>
    <t>010.002-18.76954399</t>
  </si>
  <si>
    <t>18-007/BKU-004/IV/196</t>
  </si>
  <si>
    <t>KANTOR UPBU KELAS 1 WAMENA</t>
  </si>
  <si>
    <t>Rental VSAT Internet (Antenna 1.8 M ODU,IDU Bandwith 512/1024 Kbps 1:1)</t>
  </si>
  <si>
    <t>JANUARI-MARET</t>
  </si>
  <si>
    <t>18-001/BKU-004/IV/264</t>
  </si>
  <si>
    <t>020.002-18.76954405</t>
  </si>
  <si>
    <t>18-004/BKU-004/IV/214</t>
  </si>
  <si>
    <t>010.002-18.76954407</t>
  </si>
  <si>
    <t>010.002-18.76954406</t>
  </si>
  <si>
    <t>18-013/BKU-004/IV/211</t>
  </si>
  <si>
    <t>010.002-18.76954408</t>
  </si>
  <si>
    <t>18-014/BKU-004/IV/211</t>
  </si>
  <si>
    <t>010.002-18.76954409</t>
  </si>
  <si>
    <t>18-015/BKU-004/IV/211</t>
  </si>
  <si>
    <t>010.002-18.76954410</t>
  </si>
  <si>
    <t>18-016/BKU-004/IV/211</t>
  </si>
  <si>
    <t>010.002-18.76954411</t>
  </si>
  <si>
    <t>18-061</t>
  </si>
  <si>
    <t>18-004/BKU-004/IV/149</t>
  </si>
  <si>
    <t>010.002-18.76954418</t>
  </si>
  <si>
    <t>18-020/BKU-004/IV/009</t>
  </si>
  <si>
    <t>010.002-18.76954412</t>
  </si>
  <si>
    <t>18-021/BKU-004/IV/009</t>
  </si>
  <si>
    <t>010.002-18.76954413</t>
  </si>
  <si>
    <t>18-022/BKU-004/IV/009</t>
  </si>
  <si>
    <t>010.002-18.76954414</t>
  </si>
  <si>
    <t>18-023/BKU-004/IV/009</t>
  </si>
  <si>
    <t>010.002-18.76954415</t>
  </si>
  <si>
    <t>18-024/BKU-004/IV/009</t>
  </si>
  <si>
    <t>010.002-18.76954416</t>
  </si>
  <si>
    <t>10 Feb'18-10 Mar'18</t>
  </si>
  <si>
    <t>18-025/BKU-004/IV/009</t>
  </si>
  <si>
    <t>010.002-18.76954417</t>
  </si>
  <si>
    <t>18-014/BKU-004/IV/208</t>
  </si>
  <si>
    <t>010.002-18.76954419</t>
  </si>
  <si>
    <t>18-015/BKU-004/IV/208</t>
  </si>
  <si>
    <t>010.002-18.76954420</t>
  </si>
  <si>
    <t>18-016/BKU-004/IV/208</t>
  </si>
  <si>
    <t>010.002-18.76954421</t>
  </si>
  <si>
    <t>18-017/BKU-004/IV/208</t>
  </si>
  <si>
    <t>010.002-18.76954422</t>
  </si>
  <si>
    <t>18-018/BKU-004/IV/208</t>
  </si>
  <si>
    <t>010.002-18.76954423</t>
  </si>
  <si>
    <t>18-005/BKU-004/IV/261</t>
  </si>
  <si>
    <t>010.002-18.76954424</t>
  </si>
  <si>
    <t>18-006/BKU-004/IV/261</t>
  </si>
  <si>
    <t>010.002-18.76954425</t>
  </si>
  <si>
    <t>18-002/BKU-004/IV/259</t>
  </si>
  <si>
    <t>18-002/BKU-004/IV/260</t>
  </si>
  <si>
    <t>010.002-18.76954427</t>
  </si>
  <si>
    <t>011.002-18.76954361</t>
  </si>
  <si>
    <t>Pengadaan Tower Triangle Site MTN MUTU</t>
  </si>
  <si>
    <t>18-065/BKU-004/IV/057</t>
  </si>
  <si>
    <t>010.002-18.76954431</t>
  </si>
  <si>
    <t>18-004/BKU-004/IV/145</t>
  </si>
  <si>
    <t>010.002-18.76954432</t>
  </si>
  <si>
    <t>18-004/BKU-004/IV/220</t>
  </si>
  <si>
    <t>010.002-18.76954430</t>
  </si>
  <si>
    <t>18-004/BKU-004/IV/250</t>
  </si>
  <si>
    <t>010.002-18.76954428</t>
  </si>
  <si>
    <t>18-005/BKU-004/V/243</t>
  </si>
  <si>
    <t>010.002-18.76954434</t>
  </si>
  <si>
    <t>15 Apr-15 Mei'18</t>
  </si>
  <si>
    <t>18-006/BKU-004/V/189</t>
  </si>
  <si>
    <t>010.002-18.76954433</t>
  </si>
  <si>
    <t>18-017/BKU-004/V/211</t>
  </si>
  <si>
    <t>010.002-18.76954437</t>
  </si>
  <si>
    <t>18-018/BKU-004/V/211</t>
  </si>
  <si>
    <t>010.002-18.76954438</t>
  </si>
  <si>
    <t>18-019/BKU-004/V/211</t>
  </si>
  <si>
    <t>010.002-18.76954439</t>
  </si>
  <si>
    <t>18-020/BKU-004/V/211</t>
  </si>
  <si>
    <t>010.002-18.76954440</t>
  </si>
  <si>
    <t>18-021/BKU-004/V/211</t>
  </si>
  <si>
    <t>010.002-18.76954441</t>
  </si>
  <si>
    <t>April</t>
  </si>
  <si>
    <t>18-022/BKU-004/V/211</t>
  </si>
  <si>
    <t>010.002-18.76954442</t>
  </si>
  <si>
    <t>P,M</t>
  </si>
  <si>
    <t>Biaya Pengiriman Cargo; Jasa Penggantian Radio Km 6 &amp; 9 Site Tabang</t>
  </si>
  <si>
    <t>Pengadaan Rocket M5 Dish30 dBi &amp; Mounting Z Site Tabang</t>
  </si>
  <si>
    <t>Pengadaan Kabel Utp Cat 6 Outdoor, Maintenance Radio Site Tabang</t>
  </si>
  <si>
    <t>18-023/BKU-004/V/211</t>
  </si>
  <si>
    <t>010.002-18.76954443</t>
  </si>
  <si>
    <t>18-026</t>
  </si>
  <si>
    <t>18-040/BKU-004/V/159</t>
  </si>
  <si>
    <t>010.002-18.76954444</t>
  </si>
  <si>
    <t>18-041/BKU-004/V/159</t>
  </si>
  <si>
    <t>010.002-18.76954445</t>
  </si>
  <si>
    <t>18-042/BKU-004/V/159</t>
  </si>
  <si>
    <t>010.002-18.76954446</t>
  </si>
  <si>
    <t>18-043/BKU-004/V/159</t>
  </si>
  <si>
    <t>010.002-18.76954447</t>
  </si>
  <si>
    <t>14 Apr-14 Mei'18</t>
  </si>
  <si>
    <t>18-044/BKU-004/V/159</t>
  </si>
  <si>
    <t>010.002-18.76954448</t>
  </si>
  <si>
    <t>18-045/BKU-004/V/159</t>
  </si>
  <si>
    <t>010.002-18.76954449</t>
  </si>
  <si>
    <t>18-046/BKU-004/V/159</t>
  </si>
  <si>
    <t>010.002-18.76954450</t>
  </si>
  <si>
    <t>18-047/BKU-004/V/159</t>
  </si>
  <si>
    <t>010.002-18.76954451</t>
  </si>
  <si>
    <t>4 Apr-4 Mei'18</t>
  </si>
  <si>
    <t>18-048/BKU-004/V/159</t>
  </si>
  <si>
    <t>010.002-18.76954452</t>
  </si>
  <si>
    <t>18-017/BKU-004/V/179</t>
  </si>
  <si>
    <t>010.002-18.76954453</t>
  </si>
  <si>
    <t>18-018/BKU-004/V/179</t>
  </si>
  <si>
    <t>010.002-18.76954454</t>
  </si>
  <si>
    <t>18-019/BKU-004/V/179</t>
  </si>
  <si>
    <t>010.002-18.76954455</t>
  </si>
  <si>
    <t>18-003/BKU-004/V/259</t>
  </si>
  <si>
    <t>18-003/BKU-004/V/260</t>
  </si>
  <si>
    <t>010.002-18.76954457</t>
  </si>
  <si>
    <t>18-007/BKU-004/V/261</t>
  </si>
  <si>
    <t>010.002-18.76954459</t>
  </si>
  <si>
    <t>18-008/BKU-004/V/261</t>
  </si>
  <si>
    <t>010.002-18.76954460</t>
  </si>
  <si>
    <t>Jasa Instalasi VSAT Site MTN Berau Coal</t>
  </si>
  <si>
    <t>02 Mei'18</t>
  </si>
  <si>
    <t>18-066/BKU-004/V/057</t>
  </si>
  <si>
    <t>010.002-18.76954461</t>
  </si>
  <si>
    <t>VC</t>
  </si>
  <si>
    <t>Jasa Video Conference Aver Evc 150 Site Bengalon</t>
  </si>
  <si>
    <t>31 Mar'18</t>
  </si>
  <si>
    <t>18-067/BKU-004/V/057</t>
  </si>
  <si>
    <t>010.002-18.76954462</t>
  </si>
  <si>
    <t>Jasa Video Conference Aver Evc 350 Site MTN HO</t>
  </si>
  <si>
    <t>03 Apr'18</t>
  </si>
  <si>
    <t>18-068/BKU-004/V/057</t>
  </si>
  <si>
    <t>010.002-18.76954463</t>
  </si>
  <si>
    <t>Reimbursement Maintenance Site IPC</t>
  </si>
  <si>
    <t>08-11 Mar'18</t>
  </si>
  <si>
    <t>18-069/BKU-004/V/057</t>
  </si>
  <si>
    <t>Reimbursement Maintenance Site IPC #031C Sanga Sanga</t>
  </si>
  <si>
    <t>02-06 Apr'18</t>
  </si>
  <si>
    <t>18-070/BKU-004/V/057</t>
  </si>
  <si>
    <t>Reimbursement Instalasi Vcon &amp; PM VSAT Site Bcp Bengalon</t>
  </si>
  <si>
    <t>25-30 Mar'18</t>
  </si>
  <si>
    <t>18-071/BKU-004/V/057</t>
  </si>
  <si>
    <t>Reimbursement Instalasi VSAT Berau Coal</t>
  </si>
  <si>
    <t>20 Apr-02 Mei'18</t>
  </si>
  <si>
    <t>18-072/BKU-004/V/057</t>
  </si>
  <si>
    <t>18-027</t>
  </si>
  <si>
    <t>18-028</t>
  </si>
  <si>
    <t>18-029</t>
  </si>
  <si>
    <t>18-030</t>
  </si>
  <si>
    <t>18-031</t>
  </si>
  <si>
    <t>18-032</t>
  </si>
  <si>
    <t>18-017/BKU-004/V/204</t>
  </si>
  <si>
    <t>010.002-18.76954474</t>
  </si>
  <si>
    <t>18-018/BKU-004/V/204</t>
  </si>
  <si>
    <t>010.002-18.76954473</t>
  </si>
  <si>
    <t>18-019/BKU-004/V/204</t>
  </si>
  <si>
    <t>010.002-18.76954472</t>
  </si>
  <si>
    <t>18-020/BKU-004/V/204</t>
  </si>
  <si>
    <t>010.002-18.76954471</t>
  </si>
  <si>
    <t>18-009/BKU-004/V/210</t>
  </si>
  <si>
    <t>010.002-18.76954469</t>
  </si>
  <si>
    <t>010.002-18.76954468</t>
  </si>
  <si>
    <t>18-010/BKU-004/V/210</t>
  </si>
  <si>
    <t>18-005/BKU-004/V/224</t>
  </si>
  <si>
    <t>010.002-18.76954470</t>
  </si>
  <si>
    <t>18-005/BKU-004/V/227</t>
  </si>
  <si>
    <t>010.002-18.76954465</t>
  </si>
  <si>
    <t>18-005/BKU-004/V/207</t>
  </si>
  <si>
    <t>010.002-18.76954466</t>
  </si>
  <si>
    <t>18-005/BKU-004/V/245</t>
  </si>
  <si>
    <t>010.002-18.76954467</t>
  </si>
  <si>
    <t>18-004/BKU-004/V/262</t>
  </si>
  <si>
    <t>010.002-18.76954475</t>
  </si>
  <si>
    <t>2 Apr-2 Mei 2018</t>
  </si>
  <si>
    <t>011.002-18.76954307</t>
  </si>
  <si>
    <t>Monthly Charges VSAT Internet Link, WAN Link 512 Kbps Site CHPP</t>
  </si>
  <si>
    <t>18-026/BKU-004/V/009</t>
  </si>
  <si>
    <t>010.002-18.76954476</t>
  </si>
  <si>
    <t>18-008/BKU-004/V/196</t>
  </si>
  <si>
    <t>010.002-18.76954478</t>
  </si>
  <si>
    <t>KANTOR UPBU KELAS 11 TIMIKA</t>
  </si>
  <si>
    <t>One Time Charges Instalasi VSAT</t>
  </si>
  <si>
    <t>19 Mar'18</t>
  </si>
  <si>
    <t>18-001/BKU-004/V/271</t>
  </si>
  <si>
    <t>020.002-18.76954477</t>
  </si>
  <si>
    <t>APR, MEI</t>
  </si>
  <si>
    <t>18-002/BKU-004/V/264</t>
  </si>
  <si>
    <t>020.002-18.76954479</t>
  </si>
  <si>
    <t>18-019/BKU-004/V/208</t>
  </si>
  <si>
    <t>010.002-18.76954480</t>
  </si>
  <si>
    <t>18-020/BKU-004/V/208</t>
  </si>
  <si>
    <t>010.002-18.76954481</t>
  </si>
  <si>
    <t>18-021/BKU-004/V/208</t>
  </si>
  <si>
    <t>18-022/BKU-004/V/208</t>
  </si>
  <si>
    <t>010.002-18.76954482</t>
  </si>
  <si>
    <t>18-023/BKU-004/V/208</t>
  </si>
  <si>
    <t>010.002-18.76954483</t>
  </si>
  <si>
    <t>18-005/BKU-004/V/220</t>
  </si>
  <si>
    <t>010.002-18.76954486</t>
  </si>
  <si>
    <t>18 Apr-18 Mei'18</t>
  </si>
  <si>
    <t>18-005/BKU-004/V/265</t>
  </si>
  <si>
    <t>010.002-18.76954485</t>
  </si>
  <si>
    <t>18-005/BKU-004/V/250</t>
  </si>
  <si>
    <t>010.002-18.76954487</t>
  </si>
  <si>
    <t>18-005/BKU-004/V/149</t>
  </si>
  <si>
    <t>010.002-18.76954488</t>
  </si>
  <si>
    <t>18-005/BKU-004/V/145</t>
  </si>
  <si>
    <t>010.002-18.76954489</t>
  </si>
  <si>
    <t>18-005/BKU-004/V/214</t>
  </si>
  <si>
    <t>010.002-18.76954490</t>
  </si>
  <si>
    <t>Airnav</t>
  </si>
  <si>
    <t>10 Mar-10 Apr'18</t>
  </si>
  <si>
    <t>10 Apr-10 Mei'18</t>
  </si>
  <si>
    <t>18-027/BKU-004/V/009</t>
  </si>
  <si>
    <t>18-028/BKU-004/V/009</t>
  </si>
  <si>
    <t>18-029/BKU-004/V/009</t>
  </si>
  <si>
    <t>18-030/BKU-004/V/009</t>
  </si>
  <si>
    <t>18-031/BKU-004/V/009</t>
  </si>
  <si>
    <t>18-032/BKU-004/V/009</t>
  </si>
  <si>
    <t>18-033/BKU-004/V/009</t>
  </si>
  <si>
    <t>010.002-18.76954491</t>
  </si>
  <si>
    <t>010.002-18.76954492</t>
  </si>
  <si>
    <t>010.002-18.76954493</t>
  </si>
  <si>
    <t>010.002-18.76954494</t>
  </si>
  <si>
    <t>010.002-18.76954495</t>
  </si>
  <si>
    <t>010.002-18.76954496</t>
  </si>
  <si>
    <t>010.002-18.76954497</t>
  </si>
  <si>
    <t>Remote Site (Bandwith VSAT, Equipment VSAT) Site PWK &amp; Suaran</t>
  </si>
  <si>
    <t>18-004/BKU-004/V/172</t>
  </si>
  <si>
    <t>010.002-18.76954498</t>
  </si>
  <si>
    <t>Monthly Charges WDL Site KPUC</t>
  </si>
  <si>
    <t>18-073/BKU-004/VI/057</t>
  </si>
  <si>
    <t>18-020/BKU-004/VI/179</t>
  </si>
  <si>
    <t>010.002-18.76954517</t>
  </si>
  <si>
    <t>18-021/BKU-004/VI/179</t>
  </si>
  <si>
    <t>010.002-18.76954518</t>
  </si>
  <si>
    <t>18-022/BKU-004/VI/179</t>
  </si>
  <si>
    <t>010.002-18.76954519</t>
  </si>
  <si>
    <t>18-049/BKU-004/VI/159</t>
  </si>
  <si>
    <t>010.002-18.76954520</t>
  </si>
  <si>
    <t>18-050/BKU-004/VI/159</t>
  </si>
  <si>
    <t>010.002-18.76954521</t>
  </si>
  <si>
    <t>18-051/BKU-004/VI/159</t>
  </si>
  <si>
    <t>010.002-18.76954522</t>
  </si>
  <si>
    <t>18-052/BKU-004/VI/159</t>
  </si>
  <si>
    <t>010.002-18.76954523</t>
  </si>
  <si>
    <t>14 Mei-14 Jun'18</t>
  </si>
  <si>
    <t>18-053/BKU-004/VI/159</t>
  </si>
  <si>
    <t>010.002-18.76954524</t>
  </si>
  <si>
    <t>18-054/BKU-004/VI/159</t>
  </si>
  <si>
    <t>010.002-18.76954525</t>
  </si>
  <si>
    <t>18-055/BKU-004/VI/159</t>
  </si>
  <si>
    <t>010.002-18.76954526</t>
  </si>
  <si>
    <t>18-056/BKU-004/VI/159</t>
  </si>
  <si>
    <t>010.002-18.76954527</t>
  </si>
  <si>
    <t>4 Mei-4 Juni'18</t>
  </si>
  <si>
    <t>18-057/BKU-004/VI/159</t>
  </si>
  <si>
    <t>010.002-18.76954528</t>
  </si>
  <si>
    <t>Invoice sedang dikirim dengan surat pengantar No. 18-093/BKU-007/VI/159</t>
  </si>
  <si>
    <t>Januari'18</t>
  </si>
  <si>
    <t>18-002/BKU-004/VI/218</t>
  </si>
  <si>
    <t>010.002-18.76954501</t>
  </si>
  <si>
    <t>Februari'18</t>
  </si>
  <si>
    <t>18-003/BKU-004/VI/218</t>
  </si>
  <si>
    <t>Maret'18</t>
  </si>
  <si>
    <t>18-004/BKU-004/VI/218</t>
  </si>
  <si>
    <t>18-074/BKU-004/VI/057</t>
  </si>
  <si>
    <t>010.002-18.76954502</t>
  </si>
  <si>
    <t>18-075/BKU-004/VI/057</t>
  </si>
  <si>
    <t>010.002-18.76954503</t>
  </si>
  <si>
    <t>18-076/BKU-004/VI/057</t>
  </si>
  <si>
    <t>010.002-18.76954504</t>
  </si>
  <si>
    <t>18-077/BKU-004/VI/057</t>
  </si>
  <si>
    <t>010.002-18.76954505</t>
  </si>
  <si>
    <t>18-078/BKU-004/VI/057</t>
  </si>
  <si>
    <t>010.002-18.76954506</t>
  </si>
  <si>
    <t>18-079/BKU-004/VI/057</t>
  </si>
  <si>
    <t>010.002-18.76954507</t>
  </si>
  <si>
    <t>18-080/BKU-004/VI/057</t>
  </si>
  <si>
    <t>010.002-18.76954508</t>
  </si>
  <si>
    <t>18-081/BKU-004/VI/057</t>
  </si>
  <si>
    <t>010.002-18.76954509</t>
  </si>
  <si>
    <t>18-082/BKU-004/VI/057</t>
  </si>
  <si>
    <t>010.002-18.76954510</t>
  </si>
  <si>
    <t>18-083/BKU-004/VI/057</t>
  </si>
  <si>
    <t>010.002-18.76954511</t>
  </si>
  <si>
    <t>18-084/BKU-004/VI/057</t>
  </si>
  <si>
    <t>010.002-18.76954512</t>
  </si>
  <si>
    <t>Sewa VSAT Site Natarang</t>
  </si>
  <si>
    <t>18-085/BKU-004/VI/057</t>
  </si>
  <si>
    <t>010.002-18.76954513</t>
  </si>
  <si>
    <t>Sewa VSAT Site Berau Coral</t>
  </si>
  <si>
    <t>18-086/BKU-004/VI/057</t>
  </si>
  <si>
    <t>010.002-18.76954514</t>
  </si>
  <si>
    <t>Jasa Instalasi VSAT MTN MHU</t>
  </si>
  <si>
    <t>25 Mei 2018</t>
  </si>
  <si>
    <t>18-087/BKU-004/VI/057</t>
  </si>
  <si>
    <t>010.002-18.76954529</t>
  </si>
  <si>
    <t>Reimbursement Jasa Instalasi VSAT MTN MHU</t>
  </si>
  <si>
    <t>19-28 Mei'18</t>
  </si>
  <si>
    <t>18-088/BKU-004/VI/057</t>
  </si>
  <si>
    <t>18-004/BKU-004/VI/259</t>
  </si>
  <si>
    <t>010.002-18.76954534</t>
  </si>
  <si>
    <t>18-004/BKU-004/VI/260</t>
  </si>
  <si>
    <t>010.002-18.76954533</t>
  </si>
  <si>
    <t>18-009/BKU-004/VI/261</t>
  </si>
  <si>
    <t>010.002-18.76954531</t>
  </si>
  <si>
    <t>010.002-18.76954535</t>
  </si>
  <si>
    <t>18-006/BKU-004/VI/243</t>
  </si>
  <si>
    <t>010.002-18.76954530</t>
  </si>
  <si>
    <t>18-034</t>
  </si>
  <si>
    <t>18-035</t>
  </si>
  <si>
    <t>18-036</t>
  </si>
  <si>
    <t>18-037</t>
  </si>
  <si>
    <t>18-038</t>
  </si>
  <si>
    <t>18-039</t>
  </si>
  <si>
    <t>18-040</t>
  </si>
  <si>
    <t>Nov'17-Apr'18</t>
  </si>
  <si>
    <t>011.002-18.76954426</t>
  </si>
  <si>
    <t>011.002-18.76954458</t>
  </si>
  <si>
    <t>18-021/BKU-004/VI/204</t>
  </si>
  <si>
    <t>010.002-18.76954538</t>
  </si>
  <si>
    <t>18-022/BKU-004/VI/204</t>
  </si>
  <si>
    <t>010.002-18.76954539</t>
  </si>
  <si>
    <t>18-023/BKU-004/VI/204</t>
  </si>
  <si>
    <t>010.002-18.76954540</t>
  </si>
  <si>
    <t>18-024/BKU-004/VI/204</t>
  </si>
  <si>
    <t>010.002-18.76954541</t>
  </si>
  <si>
    <t>18 Mei-18 Jun'18</t>
  </si>
  <si>
    <t>18-006/BKU-004/VI/265</t>
  </si>
  <si>
    <t>010.002-18.76954537</t>
  </si>
  <si>
    <t>18-011/BKU-004/VI/210</t>
  </si>
  <si>
    <t>010.002-18.76954543</t>
  </si>
  <si>
    <t>18-012/BKU-004/VI/210</t>
  </si>
  <si>
    <t>010.002-18.76954544</t>
  </si>
  <si>
    <t>18-006/BKU-004/VI/224</t>
  </si>
  <si>
    <t>010.002-18.76954542</t>
  </si>
  <si>
    <t>18-006/BKU-004/VI/245</t>
  </si>
  <si>
    <t>010.002-18.76954547</t>
  </si>
  <si>
    <t>18-006/BKU-004/VI/207</t>
  </si>
  <si>
    <t>010.002-18.76954548</t>
  </si>
  <si>
    <t>18-006/BKU-004/VI/227</t>
  </si>
  <si>
    <t>010.002-18.76954549</t>
  </si>
  <si>
    <t xml:space="preserve">8uhb </t>
  </si>
</sst>
</file>

<file path=xl/styles.xml><?xml version="1.0" encoding="utf-8"?>
<styleSheet xmlns="http://schemas.openxmlformats.org/spreadsheetml/2006/main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_([$Rp-421]* #,##0.00_);_([$Rp-421]* \(#,##0.00\);_([$Rp-421]* &quot;-&quot;??_);_(@_)"/>
    <numFmt numFmtId="166" formatCode="_(&quot;Rp&quot;* #,##0.00_);_(&quot;Rp&quot;* \(#,##0.00\);_(&quot;Rp&quot;* &quot;-&quot;??_);_(@_)"/>
    <numFmt numFmtId="167" formatCode="[$-421]dd\ mmmm\ yyyy;@"/>
    <numFmt numFmtId="168" formatCode="_-&quot;Rp&quot;* #,##0.00_-;\-&quot;Rp&quot;* #,##0.00_-;_-&quot;Rp&quot;* &quot;-&quot;??_-;_-@_-"/>
  </numFmts>
  <fonts count="5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7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</font>
    <font>
      <b/>
      <sz val="10"/>
      <color rgb="FFFFFF00"/>
      <name val="Calibri"/>
      <family val="2"/>
      <scheme val="minor"/>
    </font>
    <font>
      <sz val="10"/>
      <color rgb="FFFFFF00"/>
      <name val="Calibri"/>
      <family val="2"/>
      <scheme val="minor"/>
    </font>
    <font>
      <sz val="10"/>
      <color theme="0"/>
      <name val="Calibri"/>
      <family val="2"/>
      <scheme val="minor"/>
    </font>
    <font>
      <sz val="7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5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7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</font>
    <font>
      <i/>
      <sz val="11"/>
      <name val="Arial"/>
      <family val="2"/>
    </font>
    <font>
      <sz val="10"/>
      <name val="Verdana"/>
      <family val="2"/>
    </font>
    <font>
      <sz val="11"/>
      <name val="Arial"/>
      <family val="2"/>
    </font>
    <font>
      <sz val="11"/>
      <name val="Calibri"/>
      <family val="2"/>
    </font>
    <font>
      <i/>
      <u/>
      <sz val="10"/>
      <name val="Arial"/>
      <family val="2"/>
    </font>
    <font>
      <b/>
      <sz val="15"/>
      <color theme="1"/>
      <name val="Calibri"/>
      <family val="2"/>
      <scheme val="minor"/>
    </font>
    <font>
      <i/>
      <sz val="10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name val="Calibri"/>
      <family val="2"/>
      <scheme val="minor"/>
    </font>
    <font>
      <i/>
      <sz val="12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name val="Calibri"/>
      <family val="2"/>
    </font>
    <font>
      <b/>
      <u/>
      <sz val="15"/>
      <name val="Calibri"/>
      <family val="2"/>
      <scheme val="minor"/>
    </font>
    <font>
      <sz val="6"/>
      <name val="Calibri"/>
      <family val="2"/>
      <scheme val="minor"/>
    </font>
    <font>
      <b/>
      <u/>
      <sz val="10"/>
      <name val="Verdana"/>
      <family val="2"/>
    </font>
    <font>
      <b/>
      <i/>
      <sz val="10"/>
      <name val="Arial"/>
      <family val="2"/>
    </font>
    <font>
      <sz val="12"/>
      <color theme="1"/>
      <name val="Verdana"/>
      <family val="2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lightTrellis"/>
    </fill>
    <fill>
      <patternFill patternType="solid">
        <fgColor theme="0"/>
        <bgColor indexed="64"/>
      </patternFill>
    </fill>
    <fill>
      <patternFill patternType="solid">
        <fgColor rgb="FF9CC3E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lightGray"/>
    </fill>
    <fill>
      <patternFill patternType="solid">
        <fgColor rgb="FFFF0000"/>
        <bgColor indexed="64"/>
      </patternFill>
    </fill>
    <fill>
      <patternFill patternType="solid">
        <fgColor rgb="FFF8CBA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lightTrellis">
        <bgColor theme="0" tint="-0.34998626667073579"/>
      </patternFill>
    </fill>
    <fill>
      <patternFill patternType="solid">
        <fgColor theme="0" tint="-4.9989318521683403E-2"/>
        <bgColor indexed="64"/>
      </patternFill>
    </fill>
  </fills>
  <borders count="9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double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double">
        <color indexed="64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double">
        <color indexed="64"/>
      </right>
      <top style="thin">
        <color auto="1"/>
      </top>
      <bottom style="thin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ck">
        <color rgb="FFFF0000"/>
      </bottom>
      <diagonal/>
    </border>
    <border>
      <left style="double">
        <color auto="1"/>
      </left>
      <right/>
      <top style="hair">
        <color auto="1"/>
      </top>
      <bottom style="hair">
        <color auto="1"/>
      </bottom>
      <diagonal/>
    </border>
    <border>
      <left style="double">
        <color auto="1"/>
      </left>
      <right/>
      <top style="hair">
        <color auto="1"/>
      </top>
      <bottom style="thin">
        <color auto="1"/>
      </bottom>
      <diagonal/>
    </border>
    <border>
      <left style="thin">
        <color indexed="64"/>
      </left>
      <right style="double">
        <color indexed="64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ck">
        <color rgb="FFFF0000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auto="1"/>
      </left>
      <right style="double">
        <color indexed="64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 style="double">
        <color indexed="64"/>
      </right>
      <top style="thin">
        <color auto="1"/>
      </top>
      <bottom/>
      <diagonal/>
    </border>
    <border>
      <left style="double">
        <color indexed="64"/>
      </left>
      <right style="thin">
        <color indexed="64"/>
      </right>
      <top style="thin">
        <color auto="1"/>
      </top>
      <bottom style="hair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rgb="FFFF000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/>
      <top style="thin">
        <color auto="1"/>
      </top>
      <bottom/>
      <diagonal/>
    </border>
    <border>
      <left style="thick">
        <color rgb="FFFF0000"/>
      </left>
      <right/>
      <top/>
      <bottom/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/>
      <top style="medium">
        <color theme="4" tint="-0.24994659260841701"/>
      </top>
      <bottom style="medium">
        <color theme="4" tint="-0.24994659260841701"/>
      </bottom>
      <diagonal/>
    </border>
    <border>
      <left/>
      <right/>
      <top style="medium">
        <color theme="4" tint="-0.24994659260841701"/>
      </top>
      <bottom style="medium">
        <color theme="4" tint="-0.24994659260841701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/>
      <top/>
      <bottom/>
      <diagonal/>
    </border>
    <border>
      <left/>
      <right style="medium">
        <color theme="4" tint="-0.2499465926084170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double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double">
        <color indexed="64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1" fontId="20" fillId="0" borderId="0"/>
  </cellStyleXfs>
  <cellXfs count="1912">
    <xf numFmtId="0" fontId="0" fillId="0" borderId="0" xfId="0"/>
    <xf numFmtId="0" fontId="2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4" fontId="3" fillId="0" borderId="0" xfId="0" applyNumberFormat="1" applyFont="1"/>
    <xf numFmtId="49" fontId="3" fillId="0" borderId="0" xfId="0" applyNumberFormat="1" applyFont="1"/>
    <xf numFmtId="0" fontId="2" fillId="0" borderId="0" xfId="0" applyFont="1" applyAlignment="1">
      <alignment horizontal="center" vertical="center"/>
    </xf>
    <xf numFmtId="0" fontId="4" fillId="0" borderId="5" xfId="0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center" vertical="center"/>
    </xf>
    <xf numFmtId="164" fontId="4" fillId="0" borderId="5" xfId="0" applyNumberFormat="1" applyFont="1" applyFill="1" applyBorder="1" applyAlignment="1">
      <alignment horizontal="center" vertical="center"/>
    </xf>
    <xf numFmtId="4" fontId="4" fillId="0" borderId="5" xfId="0" applyNumberFormat="1" applyFont="1" applyFill="1" applyBorder="1" applyAlignment="1">
      <alignment horizontal="left" vertical="center"/>
    </xf>
    <xf numFmtId="44" fontId="2" fillId="0" borderId="1" xfId="1" applyFont="1" applyBorder="1" applyAlignment="1">
      <alignment vertical="center"/>
    </xf>
    <xf numFmtId="165" fontId="2" fillId="0" borderId="1" xfId="0" applyNumberFormat="1" applyFont="1" applyBorder="1" applyAlignment="1">
      <alignment vertical="center"/>
    </xf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6" xfId="0" applyFont="1" applyFill="1" applyBorder="1" applyAlignment="1">
      <alignment horizontal="left" vertical="center"/>
    </xf>
    <xf numFmtId="0" fontId="0" fillId="0" borderId="0" xfId="0" applyFont="1"/>
    <xf numFmtId="4" fontId="3" fillId="0" borderId="0" xfId="0" applyNumberFormat="1" applyFont="1" applyAlignment="1">
      <alignment horizontal="center"/>
    </xf>
    <xf numFmtId="0" fontId="3" fillId="0" borderId="0" xfId="0" applyFont="1" applyAlignment="1">
      <alignment vertical="center"/>
    </xf>
    <xf numFmtId="0" fontId="3" fillId="0" borderId="4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4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" fontId="3" fillId="0" borderId="6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5" xfId="0" applyNumberFormat="1" applyFont="1" applyFill="1" applyBorder="1" applyAlignment="1">
      <alignment vertical="center"/>
    </xf>
    <xf numFmtId="4" fontId="3" fillId="0" borderId="15" xfId="0" applyNumberFormat="1" applyFont="1" applyFill="1" applyBorder="1" applyAlignment="1">
      <alignment vertical="center"/>
    </xf>
    <xf numFmtId="4" fontId="3" fillId="0" borderId="5" xfId="0" applyNumberFormat="1" applyFont="1" applyFill="1" applyBorder="1" applyAlignment="1">
      <alignment horizontal="center" vertical="center"/>
    </xf>
    <xf numFmtId="0" fontId="5" fillId="0" borderId="0" xfId="0" applyFont="1"/>
    <xf numFmtId="0" fontId="4" fillId="0" borderId="0" xfId="0" applyFont="1"/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43" fontId="4" fillId="0" borderId="4" xfId="2" applyFont="1" applyFill="1" applyBorder="1" applyAlignment="1">
      <alignment horizontal="center" vertical="center"/>
    </xf>
    <xf numFmtId="43" fontId="4" fillId="0" borderId="5" xfId="2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3" fontId="4" fillId="0" borderId="6" xfId="2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43" fontId="4" fillId="0" borderId="0" xfId="2" applyFont="1" applyAlignment="1">
      <alignment horizontal="center"/>
    </xf>
    <xf numFmtId="43" fontId="3" fillId="0" borderId="5" xfId="2" applyFont="1" applyFill="1" applyBorder="1" applyAlignment="1">
      <alignment vertical="center"/>
    </xf>
    <xf numFmtId="43" fontId="4" fillId="0" borderId="25" xfId="2" applyFont="1" applyFill="1" applyBorder="1" applyAlignment="1">
      <alignment horizontal="center" vertical="center"/>
    </xf>
    <xf numFmtId="43" fontId="4" fillId="0" borderId="35" xfId="2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43" fontId="13" fillId="0" borderId="1" xfId="2" applyFont="1" applyBorder="1" applyAlignment="1">
      <alignment horizontal="center" vertical="center"/>
    </xf>
    <xf numFmtId="43" fontId="14" fillId="0" borderId="1" xfId="2" applyFont="1" applyBorder="1" applyAlignment="1">
      <alignment horizontal="center" vertical="center"/>
    </xf>
    <xf numFmtId="49" fontId="3" fillId="0" borderId="29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" fontId="3" fillId="0" borderId="19" xfId="0" applyNumberFormat="1" applyFont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4" fontId="3" fillId="0" borderId="6" xfId="0" applyNumberFormat="1" applyFont="1" applyFill="1" applyBorder="1" applyAlignment="1">
      <alignment vertical="center"/>
    </xf>
    <xf numFmtId="43" fontId="3" fillId="0" borderId="6" xfId="2" applyFont="1" applyFill="1" applyBorder="1" applyAlignment="1">
      <alignment vertical="center"/>
    </xf>
    <xf numFmtId="4" fontId="3" fillId="0" borderId="6" xfId="0" applyNumberFormat="1" applyFont="1" applyFill="1" applyBorder="1" applyAlignment="1">
      <alignment horizontal="center" vertical="center"/>
    </xf>
    <xf numFmtId="43" fontId="4" fillId="0" borderId="26" xfId="2" applyFont="1" applyFill="1" applyBorder="1" applyAlignment="1">
      <alignment horizontal="center" vertical="center"/>
    </xf>
    <xf numFmtId="0" fontId="3" fillId="0" borderId="0" xfId="0" applyFont="1" applyFill="1"/>
    <xf numFmtId="4" fontId="3" fillId="0" borderId="16" xfId="0" applyNumberFormat="1" applyFont="1" applyFill="1" applyBorder="1" applyAlignment="1">
      <alignment vertical="center"/>
    </xf>
    <xf numFmtId="49" fontId="3" fillId="0" borderId="38" xfId="0" applyNumberFormat="1" applyFont="1" applyFill="1" applyBorder="1" applyAlignment="1">
      <alignment horizontal="center" vertical="center"/>
    </xf>
    <xf numFmtId="4" fontId="3" fillId="0" borderId="0" xfId="0" applyNumberFormat="1" applyFont="1" applyFill="1" applyBorder="1" applyAlignment="1">
      <alignment horizontal="center" vertical="center"/>
    </xf>
    <xf numFmtId="4" fontId="3" fillId="0" borderId="3" xfId="0" applyNumberFormat="1" applyFont="1" applyFill="1" applyBorder="1" applyAlignment="1">
      <alignment vertical="center"/>
    </xf>
    <xf numFmtId="49" fontId="3" fillId="0" borderId="0" xfId="0" applyNumberFormat="1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/>
    </xf>
    <xf numFmtId="4" fontId="3" fillId="0" borderId="0" xfId="0" applyNumberFormat="1" applyFont="1" applyFill="1" applyAlignment="1">
      <alignment horizontal="center"/>
    </xf>
    <xf numFmtId="49" fontId="3" fillId="0" borderId="0" xfId="0" applyNumberFormat="1" applyFont="1" applyFill="1"/>
    <xf numFmtId="0" fontId="3" fillId="0" borderId="4" xfId="0" applyFont="1" applyFill="1" applyBorder="1" applyAlignment="1">
      <alignment horizontal="center" vertical="center"/>
    </xf>
    <xf numFmtId="43" fontId="4" fillId="0" borderId="23" xfId="2" applyFont="1" applyFill="1" applyBorder="1" applyAlignment="1">
      <alignment horizontal="center" vertical="center"/>
    </xf>
    <xf numFmtId="0" fontId="4" fillId="0" borderId="0" xfId="0" applyFont="1" applyFill="1"/>
    <xf numFmtId="4" fontId="2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4" fontId="3" fillId="0" borderId="33" xfId="0" applyNumberFormat="1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43" fontId="14" fillId="0" borderId="1" xfId="2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3" fontId="10" fillId="0" borderId="1" xfId="2" applyFont="1" applyFill="1" applyBorder="1" applyAlignment="1">
      <alignment horizontal="center" vertical="center"/>
    </xf>
    <xf numFmtId="43" fontId="13" fillId="0" borderId="1" xfId="2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49" fontId="3" fillId="0" borderId="11" xfId="0" applyNumberFormat="1" applyFont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 wrapText="1"/>
    </xf>
    <xf numFmtId="49" fontId="3" fillId="0" borderId="4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4" fontId="3" fillId="0" borderId="41" xfId="0" applyNumberFormat="1" applyFont="1" applyFill="1" applyBorder="1" applyAlignment="1">
      <alignment vertical="center"/>
    </xf>
    <xf numFmtId="0" fontId="3" fillId="0" borderId="11" xfId="0" applyFont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43" fontId="9" fillId="0" borderId="46" xfId="2" applyFont="1" applyFill="1" applyBorder="1" applyAlignment="1">
      <alignment horizontal="center" vertical="center"/>
    </xf>
    <xf numFmtId="43" fontId="9" fillId="0" borderId="15" xfId="2" applyFont="1" applyFill="1" applyBorder="1" applyAlignment="1">
      <alignment horizontal="center" vertical="center"/>
    </xf>
    <xf numFmtId="43" fontId="9" fillId="0" borderId="2" xfId="2" applyFont="1" applyFill="1" applyBorder="1" applyAlignment="1">
      <alignment horizontal="center" vertical="center"/>
    </xf>
    <xf numFmtId="43" fontId="9" fillId="0" borderId="47" xfId="2" applyFont="1" applyFill="1" applyBorder="1" applyAlignment="1">
      <alignment horizontal="center" vertical="center"/>
    </xf>
    <xf numFmtId="43" fontId="4" fillId="0" borderId="31" xfId="2" applyFont="1" applyFill="1" applyBorder="1" applyAlignment="1">
      <alignment horizontal="center" vertical="center"/>
    </xf>
    <xf numFmtId="43" fontId="4" fillId="0" borderId="49" xfId="2" applyFont="1" applyFill="1" applyBorder="1" applyAlignment="1">
      <alignment horizontal="center" vertical="center"/>
    </xf>
    <xf numFmtId="43" fontId="4" fillId="0" borderId="3" xfId="2" applyFont="1" applyFill="1" applyBorder="1" applyAlignment="1">
      <alignment horizontal="center" vertical="center"/>
    </xf>
    <xf numFmtId="43" fontId="4" fillId="0" borderId="16" xfId="2" applyFont="1" applyFill="1" applyBorder="1" applyAlignment="1">
      <alignment horizontal="center" vertical="center"/>
    </xf>
    <xf numFmtId="43" fontId="4" fillId="0" borderId="17" xfId="2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4" fillId="0" borderId="14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left" vertical="center"/>
    </xf>
    <xf numFmtId="43" fontId="3" fillId="0" borderId="11" xfId="2" applyFont="1" applyBorder="1" applyAlignment="1">
      <alignment vertical="center"/>
    </xf>
    <xf numFmtId="43" fontId="3" fillId="0" borderId="6" xfId="2" applyFont="1" applyBorder="1" applyAlignment="1">
      <alignment vertical="center"/>
    </xf>
    <xf numFmtId="43" fontId="0" fillId="0" borderId="1" xfId="2" applyFont="1" applyBorder="1" applyAlignment="1">
      <alignment vertical="center"/>
    </xf>
    <xf numFmtId="4" fontId="3" fillId="0" borderId="39" xfId="0" applyNumberFormat="1" applyFont="1" applyFill="1" applyBorder="1" applyAlignment="1">
      <alignment vertical="center"/>
    </xf>
    <xf numFmtId="43" fontId="4" fillId="0" borderId="36" xfId="2" applyFont="1" applyFill="1" applyBorder="1" applyAlignment="1">
      <alignment horizontal="center" vertical="center"/>
    </xf>
    <xf numFmtId="16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4" fillId="0" borderId="4" xfId="0" applyNumberFormat="1" applyFont="1" applyFill="1" applyBorder="1" applyAlignment="1">
      <alignment horizontal="center" vertical="center"/>
    </xf>
    <xf numFmtId="0" fontId="9" fillId="0" borderId="0" xfId="0" applyFont="1" applyFill="1" applyAlignment="1">
      <alignment vertical="center"/>
    </xf>
    <xf numFmtId="166" fontId="4" fillId="0" borderId="5" xfId="3" applyFont="1" applyFill="1" applyBorder="1" applyAlignment="1">
      <alignment horizontal="right" vertical="center"/>
    </xf>
    <xf numFmtId="166" fontId="4" fillId="0" borderId="5" xfId="3" applyFont="1" applyFill="1" applyBorder="1" applyAlignment="1">
      <alignment horizontal="left" vertical="center"/>
    </xf>
    <xf numFmtId="165" fontId="4" fillId="0" borderId="5" xfId="3" applyNumberFormat="1" applyFont="1" applyFill="1" applyBorder="1" applyAlignment="1">
      <alignment horizontal="left" vertical="center"/>
    </xf>
    <xf numFmtId="165" fontId="4" fillId="0" borderId="5" xfId="0" applyNumberFormat="1" applyFont="1" applyFill="1" applyBorder="1" applyAlignment="1">
      <alignment horizontal="left" vertical="center"/>
    </xf>
    <xf numFmtId="165" fontId="4" fillId="0" borderId="5" xfId="0" applyNumberFormat="1" applyFont="1" applyFill="1" applyBorder="1" applyAlignment="1">
      <alignment horizontal="center" vertical="center"/>
    </xf>
    <xf numFmtId="165" fontId="4" fillId="0" borderId="5" xfId="2" applyNumberFormat="1" applyFont="1" applyFill="1" applyBorder="1" applyAlignment="1">
      <alignment horizontal="left" vertical="center"/>
    </xf>
    <xf numFmtId="166" fontId="4" fillId="0" borderId="5" xfId="4" applyFont="1" applyFill="1" applyBorder="1" applyAlignment="1">
      <alignment horizontal="left" vertical="center"/>
    </xf>
    <xf numFmtId="0" fontId="9" fillId="0" borderId="0" xfId="0" applyFont="1" applyFill="1"/>
    <xf numFmtId="0" fontId="4" fillId="0" borderId="4" xfId="0" applyFont="1" applyFill="1" applyBorder="1" applyAlignment="1">
      <alignment horizontal="left" vertical="center"/>
    </xf>
    <xf numFmtId="0" fontId="9" fillId="0" borderId="0" xfId="0" applyFont="1" applyAlignment="1"/>
    <xf numFmtId="166" fontId="4" fillId="0" borderId="4" xfId="3" applyFont="1" applyFill="1" applyBorder="1" applyAlignment="1">
      <alignment horizontal="left" vertical="center"/>
    </xf>
    <xf numFmtId="44" fontId="4" fillId="0" borderId="5" xfId="0" applyNumberFormat="1" applyFont="1" applyFill="1" applyBorder="1" applyAlignment="1">
      <alignment horizontal="left" vertical="center"/>
    </xf>
    <xf numFmtId="1" fontId="4" fillId="0" borderId="5" xfId="0" applyNumberFormat="1" applyFont="1" applyFill="1" applyBorder="1" applyAlignment="1">
      <alignment horizontal="center" vertical="center"/>
    </xf>
    <xf numFmtId="44" fontId="4" fillId="0" borderId="5" xfId="1" applyFont="1" applyFill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4" fontId="2" fillId="0" borderId="1" xfId="0" applyNumberFormat="1" applyFont="1" applyFill="1" applyBorder="1" applyAlignment="1">
      <alignment horizontal="center" vertical="center"/>
    </xf>
    <xf numFmtId="49" fontId="2" fillId="0" borderId="33" xfId="0" applyNumberFormat="1" applyFont="1" applyFill="1" applyBorder="1" applyAlignment="1">
      <alignment horizontal="center" vertical="center"/>
    </xf>
    <xf numFmtId="43" fontId="0" fillId="0" borderId="0" xfId="2" applyFont="1"/>
    <xf numFmtId="0" fontId="3" fillId="0" borderId="4" xfId="0" applyFont="1" applyBorder="1" applyAlignment="1">
      <alignment horizontal="right" vertical="center"/>
    </xf>
    <xf numFmtId="0" fontId="2" fillId="0" borderId="19" xfId="0" applyFont="1" applyBorder="1" applyAlignment="1">
      <alignment vertical="center" wrapText="1"/>
    </xf>
    <xf numFmtId="0" fontId="3" fillId="0" borderId="5" xfId="0" applyFont="1" applyBorder="1" applyAlignment="1">
      <alignment horizontal="right" vertical="center"/>
    </xf>
    <xf numFmtId="44" fontId="3" fillId="0" borderId="5" xfId="1" applyFont="1" applyBorder="1" applyAlignment="1">
      <alignment horizontal="right" vertical="center"/>
    </xf>
    <xf numFmtId="0" fontId="3" fillId="0" borderId="6" xfId="0" applyFont="1" applyBorder="1" applyAlignment="1">
      <alignment horizontal="left" vertical="center"/>
    </xf>
    <xf numFmtId="165" fontId="3" fillId="0" borderId="4" xfId="2" applyNumberFormat="1" applyFont="1" applyBorder="1" applyAlignment="1">
      <alignment horizontal="left" vertical="center"/>
    </xf>
    <xf numFmtId="165" fontId="3" fillId="0" borderId="5" xfId="2" applyNumberFormat="1" applyFont="1" applyBorder="1" applyAlignment="1">
      <alignment horizontal="left" vertical="center"/>
    </xf>
    <xf numFmtId="165" fontId="3" fillId="0" borderId="6" xfId="2" applyNumberFormat="1" applyFont="1" applyBorder="1" applyAlignment="1">
      <alignment horizontal="left" vertical="center"/>
    </xf>
    <xf numFmtId="165" fontId="2" fillId="0" borderId="1" xfId="0" applyNumberFormat="1" applyFont="1" applyBorder="1" applyAlignment="1">
      <alignment horizontal="left" vertical="center"/>
    </xf>
    <xf numFmtId="165" fontId="3" fillId="0" borderId="4" xfId="0" applyNumberFormat="1" applyFont="1" applyBorder="1" applyAlignment="1">
      <alignment horizontal="left" vertical="center"/>
    </xf>
    <xf numFmtId="165" fontId="3" fillId="0" borderId="5" xfId="0" applyNumberFormat="1" applyFont="1" applyBorder="1" applyAlignment="1">
      <alignment horizontal="left" vertical="center"/>
    </xf>
    <xf numFmtId="0" fontId="4" fillId="0" borderId="50" xfId="0" applyFont="1" applyFill="1" applyBorder="1" applyAlignment="1">
      <alignment horizontal="center" vertical="center"/>
    </xf>
    <xf numFmtId="0" fontId="4" fillId="0" borderId="50" xfId="0" applyFont="1" applyFill="1" applyBorder="1" applyAlignment="1">
      <alignment horizontal="left" vertical="center"/>
    </xf>
    <xf numFmtId="164" fontId="4" fillId="0" borderId="50" xfId="0" applyNumberFormat="1" applyFont="1" applyFill="1" applyBorder="1" applyAlignment="1">
      <alignment horizontal="center" vertical="center"/>
    </xf>
    <xf numFmtId="166" fontId="4" fillId="0" borderId="50" xfId="3" applyFont="1" applyFill="1" applyBorder="1" applyAlignment="1">
      <alignment horizontal="left" vertical="center"/>
    </xf>
    <xf numFmtId="44" fontId="3" fillId="0" borderId="5" xfId="1" applyFont="1" applyFill="1" applyBorder="1" applyAlignment="1">
      <alignment vertical="center"/>
    </xf>
    <xf numFmtId="0" fontId="2" fillId="0" borderId="19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43" fontId="0" fillId="0" borderId="1" xfId="0" applyNumberFormat="1" applyFont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10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49" fontId="3" fillId="0" borderId="51" xfId="0" applyNumberFormat="1" applyFont="1" applyFill="1" applyBorder="1" applyAlignment="1">
      <alignment horizontal="center" vertical="center"/>
    </xf>
    <xf numFmtId="4" fontId="3" fillId="0" borderId="21" xfId="0" applyNumberFormat="1" applyFont="1" applyFill="1" applyBorder="1" applyAlignment="1">
      <alignment vertical="center"/>
    </xf>
    <xf numFmtId="49" fontId="3" fillId="0" borderId="52" xfId="0" applyNumberFormat="1" applyFont="1" applyFill="1" applyBorder="1" applyAlignment="1">
      <alignment horizontal="center" vertical="center"/>
    </xf>
    <xf numFmtId="0" fontId="19" fillId="0" borderId="5" xfId="0" applyFont="1" applyBorder="1" applyAlignment="1">
      <alignment horizontal="left" vertical="center"/>
    </xf>
    <xf numFmtId="43" fontId="4" fillId="0" borderId="0" xfId="2" applyFont="1"/>
    <xf numFmtId="4" fontId="4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164" fontId="4" fillId="0" borderId="0" xfId="0" applyNumberFormat="1" applyFont="1" applyFill="1" applyBorder="1"/>
    <xf numFmtId="0" fontId="4" fillId="0" borderId="0" xfId="0" applyFont="1" applyFill="1" applyBorder="1" applyAlignment="1">
      <alignment horizontal="center"/>
    </xf>
    <xf numFmtId="4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/>
    <xf numFmtId="0" fontId="22" fillId="3" borderId="0" xfId="0" applyFont="1" applyFill="1" applyAlignment="1">
      <alignment horizontal="center" vertical="center"/>
    </xf>
    <xf numFmtId="0" fontId="23" fillId="3" borderId="0" xfId="0" applyFont="1" applyFill="1" applyAlignment="1">
      <alignment horizontal="left" vertical="center"/>
    </xf>
    <xf numFmtId="43" fontId="0" fillId="0" borderId="3" xfId="0" applyNumberFormat="1" applyFont="1" applyBorder="1" applyAlignment="1">
      <alignment vertical="center"/>
    </xf>
    <xf numFmtId="0" fontId="3" fillId="0" borderId="4" xfId="0" applyFont="1" applyFill="1" applyBorder="1" applyAlignment="1">
      <alignment horizontal="center" vertical="center" wrapText="1"/>
    </xf>
    <xf numFmtId="4" fontId="3" fillId="0" borderId="53" xfId="0" applyNumberFormat="1" applyFont="1" applyFill="1" applyBorder="1" applyAlignment="1">
      <alignment vertical="center"/>
    </xf>
    <xf numFmtId="43" fontId="4" fillId="0" borderId="24" xfId="2" applyFont="1" applyFill="1" applyBorder="1" applyAlignment="1">
      <alignment horizontal="center" vertical="center"/>
    </xf>
    <xf numFmtId="49" fontId="4" fillId="0" borderId="4" xfId="3" applyNumberFormat="1" applyFont="1" applyFill="1" applyBorder="1" applyAlignment="1">
      <alignment horizontal="left" vertical="center"/>
    </xf>
    <xf numFmtId="49" fontId="4" fillId="0" borderId="5" xfId="3" applyNumberFormat="1" applyFont="1" applyFill="1" applyBorder="1" applyAlignment="1">
      <alignment horizontal="left" vertical="center"/>
    </xf>
    <xf numFmtId="49" fontId="4" fillId="0" borderId="5" xfId="0" applyNumberFormat="1" applyFont="1" applyFill="1" applyBorder="1" applyAlignment="1">
      <alignment horizontal="left" vertical="center"/>
    </xf>
    <xf numFmtId="49" fontId="4" fillId="0" borderId="5" xfId="4" applyNumberFormat="1" applyFont="1" applyFill="1" applyBorder="1" applyAlignment="1">
      <alignment horizontal="left" vertical="center"/>
    </xf>
    <xf numFmtId="49" fontId="4" fillId="0" borderId="50" xfId="3" applyNumberFormat="1" applyFont="1" applyFill="1" applyBorder="1" applyAlignment="1">
      <alignment horizontal="left" vertical="center"/>
    </xf>
    <xf numFmtId="0" fontId="9" fillId="0" borderId="0" xfId="0" applyFont="1" applyAlignment="1">
      <alignment horizontal="center"/>
    </xf>
    <xf numFmtId="166" fontId="4" fillId="0" borderId="4" xfId="3" applyFont="1" applyFill="1" applyBorder="1" applyAlignment="1">
      <alignment horizontal="center" vertical="center"/>
    </xf>
    <xf numFmtId="166" fontId="4" fillId="0" borderId="5" xfId="3" applyFont="1" applyFill="1" applyBorder="1" applyAlignment="1">
      <alignment horizontal="center" vertical="center"/>
    </xf>
    <xf numFmtId="44" fontId="4" fillId="0" borderId="5" xfId="0" applyNumberFormat="1" applyFont="1" applyFill="1" applyBorder="1" applyAlignment="1">
      <alignment horizontal="center" vertical="center"/>
    </xf>
    <xf numFmtId="165" fontId="4" fillId="0" borderId="5" xfId="3" applyNumberFormat="1" applyFont="1" applyFill="1" applyBorder="1" applyAlignment="1">
      <alignment horizontal="center" vertical="center"/>
    </xf>
    <xf numFmtId="0" fontId="9" fillId="0" borderId="4" xfId="0" applyFont="1" applyFill="1" applyBorder="1" applyAlignment="1">
      <alignment vertical="center"/>
    </xf>
    <xf numFmtId="0" fontId="9" fillId="0" borderId="5" xfId="0" applyFont="1" applyFill="1" applyBorder="1" applyAlignment="1">
      <alignment vertical="center"/>
    </xf>
    <xf numFmtId="0" fontId="4" fillId="0" borderId="5" xfId="0" applyFont="1" applyFill="1" applyBorder="1" applyAlignment="1">
      <alignment vertical="center"/>
    </xf>
    <xf numFmtId="0" fontId="4" fillId="0" borderId="50" xfId="0" applyFont="1" applyFill="1" applyBorder="1" applyAlignment="1">
      <alignment vertical="center"/>
    </xf>
    <xf numFmtId="165" fontId="4" fillId="0" borderId="4" xfId="2" applyNumberFormat="1" applyFont="1" applyFill="1" applyBorder="1" applyAlignment="1">
      <alignment horizontal="center" vertical="center"/>
    </xf>
    <xf numFmtId="165" fontId="4" fillId="0" borderId="5" xfId="2" applyNumberFormat="1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0" fontId="2" fillId="0" borderId="43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left" vertical="center"/>
    </xf>
    <xf numFmtId="166" fontId="4" fillId="0" borderId="11" xfId="3" applyFont="1" applyFill="1" applyBorder="1" applyAlignment="1">
      <alignment horizontal="right" vertical="center"/>
    </xf>
    <xf numFmtId="166" fontId="4" fillId="0" borderId="5" xfId="3" applyNumberFormat="1" applyFont="1" applyFill="1" applyBorder="1" applyAlignment="1">
      <alignment horizontal="left" vertical="center"/>
    </xf>
    <xf numFmtId="49" fontId="4" fillId="0" borderId="4" xfId="3" applyNumberFormat="1" applyFont="1" applyFill="1" applyBorder="1" applyAlignment="1">
      <alignment horizontal="center" vertical="center"/>
    </xf>
    <xf numFmtId="49" fontId="4" fillId="0" borderId="5" xfId="3" applyNumberFormat="1" applyFont="1" applyFill="1" applyBorder="1" applyAlignment="1">
      <alignment horizontal="center" vertical="center"/>
    </xf>
    <xf numFmtId="49" fontId="4" fillId="0" borderId="5" xfId="4" applyNumberFormat="1" applyFont="1" applyFill="1" applyBorder="1" applyAlignment="1">
      <alignment horizontal="center" vertical="center"/>
    </xf>
    <xf numFmtId="49" fontId="4" fillId="0" borderId="50" xfId="3" applyNumberFormat="1" applyFont="1" applyFill="1" applyBorder="1" applyAlignment="1">
      <alignment horizontal="center" vertical="center"/>
    </xf>
    <xf numFmtId="166" fontId="4" fillId="0" borderId="50" xfId="3" applyFont="1" applyFill="1" applyBorder="1" applyAlignment="1">
      <alignment horizontal="right" vertical="center"/>
    </xf>
    <xf numFmtId="43" fontId="4" fillId="0" borderId="34" xfId="2" applyFont="1" applyFill="1" applyBorder="1" applyAlignment="1">
      <alignment horizontal="center" vertical="center"/>
    </xf>
    <xf numFmtId="165" fontId="4" fillId="0" borderId="50" xfId="2" applyNumberFormat="1" applyFont="1" applyFill="1" applyBorder="1" applyAlignment="1">
      <alignment horizontal="center" vertical="center"/>
    </xf>
    <xf numFmtId="43" fontId="3" fillId="0" borderId="0" xfId="2" applyFont="1" applyFill="1"/>
    <xf numFmtId="0" fontId="9" fillId="0" borderId="0" xfId="0" applyFont="1" applyFill="1" applyAlignment="1"/>
    <xf numFmtId="0" fontId="9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4" fontId="4" fillId="0" borderId="0" xfId="0" applyNumberFormat="1" applyFont="1" applyFill="1"/>
    <xf numFmtId="4" fontId="4" fillId="0" borderId="0" xfId="0" applyNumberFormat="1" applyFont="1" applyFill="1" applyAlignment="1">
      <alignment horizontal="left"/>
    </xf>
    <xf numFmtId="4" fontId="4" fillId="0" borderId="0" xfId="0" applyNumberFormat="1" applyFont="1" applyFill="1" applyAlignment="1">
      <alignment horizontal="center"/>
    </xf>
    <xf numFmtId="44" fontId="4" fillId="0" borderId="5" xfId="0" applyNumberFormat="1" applyFont="1" applyFill="1" applyBorder="1" applyAlignment="1"/>
    <xf numFmtId="0" fontId="4" fillId="0" borderId="5" xfId="0" applyFont="1" applyFill="1" applyBorder="1" applyAlignment="1">
      <alignment horizontal="center"/>
    </xf>
    <xf numFmtId="44" fontId="4" fillId="0" borderId="50" xfId="0" applyNumberFormat="1" applyFont="1" applyFill="1" applyBorder="1" applyAlignment="1"/>
    <xf numFmtId="0" fontId="26" fillId="0" borderId="0" xfId="0" applyFont="1" applyAlignment="1"/>
    <xf numFmtId="0" fontId="4" fillId="0" borderId="4" xfId="0" applyFont="1" applyFill="1" applyBorder="1" applyAlignment="1">
      <alignment horizontal="center"/>
    </xf>
    <xf numFmtId="0" fontId="4" fillId="0" borderId="4" xfId="0" applyFont="1" applyFill="1" applyBorder="1" applyAlignment="1"/>
    <xf numFmtId="44" fontId="4" fillId="0" borderId="4" xfId="0" applyNumberFormat="1" applyFont="1" applyFill="1" applyBorder="1" applyAlignment="1"/>
    <xf numFmtId="0" fontId="4" fillId="0" borderId="5" xfId="0" applyFont="1" applyFill="1" applyBorder="1" applyAlignment="1"/>
    <xf numFmtId="0" fontId="9" fillId="0" borderId="5" xfId="0" applyFont="1" applyFill="1" applyBorder="1" applyAlignment="1"/>
    <xf numFmtId="0" fontId="4" fillId="0" borderId="5" xfId="0" applyFont="1" applyFill="1" applyBorder="1" applyAlignment="1">
      <alignment horizontal="left"/>
    </xf>
    <xf numFmtId="166" fontId="4" fillId="0" borderId="4" xfId="3" applyFont="1" applyFill="1" applyBorder="1" applyAlignment="1">
      <alignment horizontal="right" vertical="center"/>
    </xf>
    <xf numFmtId="0" fontId="4" fillId="0" borderId="50" xfId="0" applyFont="1" applyFill="1" applyBorder="1" applyAlignment="1">
      <alignment horizontal="center"/>
    </xf>
    <xf numFmtId="44" fontId="9" fillId="0" borderId="56" xfId="1" applyFont="1" applyFill="1" applyBorder="1" applyAlignment="1">
      <alignment horizontal="right" vertical="center"/>
    </xf>
    <xf numFmtId="165" fontId="9" fillId="0" borderId="56" xfId="0" applyNumberFormat="1" applyFont="1" applyFill="1" applyBorder="1" applyAlignment="1">
      <alignment vertical="center"/>
    </xf>
    <xf numFmtId="0" fontId="4" fillId="0" borderId="5" xfId="0" applyFont="1" applyFill="1" applyBorder="1"/>
    <xf numFmtId="4" fontId="3" fillId="0" borderId="3" xfId="0" applyNumberFormat="1" applyFont="1" applyFill="1" applyBorder="1" applyAlignment="1">
      <alignment horizontal="center" vertical="center"/>
    </xf>
    <xf numFmtId="4" fontId="7" fillId="0" borderId="39" xfId="0" applyNumberFormat="1" applyFont="1" applyBorder="1" applyAlignment="1">
      <alignment horizontal="center" vertical="center"/>
    </xf>
    <xf numFmtId="4" fontId="19" fillId="0" borderId="19" xfId="0" applyNumberFormat="1" applyFont="1" applyBorder="1" applyAlignment="1">
      <alignment horizontal="center" vertical="center"/>
    </xf>
    <xf numFmtId="4" fontId="3" fillId="0" borderId="19" xfId="0" quotePrefix="1" applyNumberFormat="1" applyFont="1" applyBorder="1" applyAlignment="1">
      <alignment horizontal="center" vertical="center"/>
    </xf>
    <xf numFmtId="4" fontId="19" fillId="0" borderId="5" xfId="0" applyNumberFormat="1" applyFont="1" applyBorder="1" applyAlignment="1">
      <alignment horizontal="center" vertical="center"/>
    </xf>
    <xf numFmtId="4" fontId="3" fillId="0" borderId="5" xfId="0" applyNumberFormat="1" applyFont="1" applyFill="1" applyBorder="1" applyAlignment="1">
      <alignment horizontal="right" vertical="center"/>
    </xf>
    <xf numFmtId="4" fontId="3" fillId="0" borderId="6" xfId="0" applyNumberFormat="1" applyFont="1" applyFill="1" applyBorder="1" applyAlignment="1">
      <alignment horizontal="right" vertical="center"/>
    </xf>
    <xf numFmtId="0" fontId="19" fillId="0" borderId="5" xfId="0" applyFont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43" fontId="14" fillId="0" borderId="3" xfId="2" applyFont="1" applyBorder="1" applyAlignment="1">
      <alignment horizontal="center" vertical="center"/>
    </xf>
    <xf numFmtId="0" fontId="4" fillId="3" borderId="45" xfId="0" applyFont="1" applyFill="1" applyBorder="1" applyAlignment="1">
      <alignment horizontal="left" vertical="center"/>
    </xf>
    <xf numFmtId="0" fontId="4" fillId="3" borderId="42" xfId="0" applyFont="1" applyFill="1" applyBorder="1" applyAlignment="1">
      <alignment horizontal="left" vertical="center"/>
    </xf>
    <xf numFmtId="4" fontId="7" fillId="0" borderId="19" xfId="0" applyNumberFormat="1" applyFont="1" applyFill="1" applyBorder="1" applyAlignment="1">
      <alignment horizontal="center" vertical="center"/>
    </xf>
    <xf numFmtId="4" fontId="3" fillId="0" borderId="19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horizontal="center" vertical="center"/>
    </xf>
    <xf numFmtId="49" fontId="2" fillId="0" borderId="29" xfId="0" applyNumberFormat="1" applyFont="1" applyFill="1" applyBorder="1" applyAlignment="1">
      <alignment horizontal="center" vertical="center"/>
    </xf>
    <xf numFmtId="4" fontId="2" fillId="0" borderId="5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9" fillId="0" borderId="0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left" vertical="center"/>
    </xf>
    <xf numFmtId="0" fontId="4" fillId="2" borderId="12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center"/>
    </xf>
    <xf numFmtId="0" fontId="4" fillId="2" borderId="13" xfId="0" applyFont="1" applyFill="1" applyBorder="1"/>
    <xf numFmtId="0" fontId="4" fillId="2" borderId="14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57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4" fillId="2" borderId="57" xfId="0" applyFont="1" applyFill="1" applyBorder="1" applyAlignment="1">
      <alignment vertical="center"/>
    </xf>
    <xf numFmtId="0" fontId="4" fillId="2" borderId="43" xfId="0" applyFont="1" applyFill="1" applyBorder="1" applyAlignment="1">
      <alignment vertical="center"/>
    </xf>
    <xf numFmtId="0" fontId="4" fillId="2" borderId="43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4" fontId="3" fillId="0" borderId="19" xfId="0" applyNumberFormat="1" applyFont="1" applyFill="1" applyBorder="1" applyAlignment="1">
      <alignment horizontal="center" vertical="center"/>
    </xf>
    <xf numFmtId="4" fontId="3" fillId="0" borderId="39" xfId="0" applyNumberFormat="1" applyFont="1" applyFill="1" applyBorder="1" applyAlignment="1">
      <alignment horizontal="center" vertical="center"/>
    </xf>
    <xf numFmtId="4" fontId="3" fillId="0" borderId="19" xfId="0" quotePrefix="1" applyNumberFormat="1" applyFont="1" applyFill="1" applyBorder="1" applyAlignment="1">
      <alignment horizontal="center" vertical="center"/>
    </xf>
    <xf numFmtId="0" fontId="3" fillId="0" borderId="1" xfId="0" applyFont="1" applyBorder="1"/>
    <xf numFmtId="43" fontId="3" fillId="0" borderId="0" xfId="2" applyFont="1"/>
    <xf numFmtId="165" fontId="3" fillId="0" borderId="5" xfId="2" applyNumberFormat="1" applyFont="1" applyFill="1" applyBorder="1" applyAlignment="1">
      <alignment horizontal="left" vertical="center"/>
    </xf>
    <xf numFmtId="165" fontId="3" fillId="0" borderId="6" xfId="2" applyNumberFormat="1" applyFont="1" applyFill="1" applyBorder="1" applyAlignment="1">
      <alignment horizontal="left" vertical="center"/>
    </xf>
    <xf numFmtId="165" fontId="3" fillId="0" borderId="4" xfId="2" applyNumberFormat="1" applyFont="1" applyFill="1" applyBorder="1" applyAlignment="1">
      <alignment horizontal="left" vertical="center"/>
    </xf>
    <xf numFmtId="4" fontId="2" fillId="0" borderId="1" xfId="0" applyNumberFormat="1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165" fontId="3" fillId="0" borderId="4" xfId="0" applyNumberFormat="1" applyFont="1" applyFill="1" applyBorder="1" applyAlignment="1">
      <alignment horizontal="left" vertical="center"/>
    </xf>
    <xf numFmtId="4" fontId="3" fillId="0" borderId="59" xfId="0" applyNumberFormat="1" applyFont="1" applyFill="1" applyBorder="1" applyAlignment="1">
      <alignment vertical="center"/>
    </xf>
    <xf numFmtId="0" fontId="25" fillId="3" borderId="1" xfId="0" applyFont="1" applyFill="1" applyBorder="1" applyAlignment="1">
      <alignment horizontal="center" vertical="center"/>
    </xf>
    <xf numFmtId="43" fontId="4" fillId="0" borderId="34" xfId="2" applyFont="1" applyFill="1" applyBorder="1" applyAlignment="1">
      <alignment horizontal="right" vertical="center"/>
    </xf>
    <xf numFmtId="43" fontId="4" fillId="0" borderId="35" xfId="2" applyFont="1" applyFill="1" applyBorder="1" applyAlignment="1">
      <alignment horizontal="right" vertical="center"/>
    </xf>
    <xf numFmtId="43" fontId="4" fillId="0" borderId="36" xfId="2" applyFont="1" applyFill="1" applyBorder="1" applyAlignment="1">
      <alignment horizontal="right" vertical="center"/>
    </xf>
    <xf numFmtId="0" fontId="4" fillId="3" borderId="6" xfId="0" applyFont="1" applyFill="1" applyBorder="1" applyAlignment="1">
      <alignment horizontal="left" vertical="center"/>
    </xf>
    <xf numFmtId="0" fontId="2" fillId="0" borderId="57" xfId="0" applyFont="1" applyFill="1" applyBorder="1" applyAlignment="1">
      <alignment horizontal="center" vertical="center"/>
    </xf>
    <xf numFmtId="4" fontId="3" fillId="0" borderId="2" xfId="0" applyNumberFormat="1" applyFont="1" applyFill="1" applyBorder="1" applyAlignment="1">
      <alignment horizontal="center" vertical="center"/>
    </xf>
    <xf numFmtId="4" fontId="7" fillId="0" borderId="39" xfId="0" applyNumberFormat="1" applyFont="1" applyFill="1" applyBorder="1" applyAlignment="1">
      <alignment horizontal="center" vertical="center"/>
    </xf>
    <xf numFmtId="4" fontId="19" fillId="0" borderId="5" xfId="0" applyNumberFormat="1" applyFont="1" applyFill="1" applyBorder="1" applyAlignment="1">
      <alignment horizontal="center" vertical="center"/>
    </xf>
    <xf numFmtId="4" fontId="19" fillId="0" borderId="19" xfId="0" applyNumberFormat="1" applyFont="1" applyFill="1" applyBorder="1" applyAlignment="1">
      <alignment horizontal="center" vertical="center"/>
    </xf>
    <xf numFmtId="4" fontId="3" fillId="0" borderId="6" xfId="0" quotePrefix="1" applyNumberFormat="1" applyFont="1" applyFill="1" applyBorder="1" applyAlignment="1">
      <alignment horizontal="center" vertical="center"/>
    </xf>
    <xf numFmtId="4" fontId="3" fillId="0" borderId="0" xfId="0" applyNumberFormat="1" applyFont="1" applyFill="1"/>
    <xf numFmtId="4" fontId="3" fillId="0" borderId="0" xfId="0" quotePrefix="1" applyNumberFormat="1" applyFont="1" applyFill="1"/>
    <xf numFmtId="0" fontId="25" fillId="0" borderId="0" xfId="0" applyFont="1" applyFill="1" applyAlignment="1">
      <alignment horizontal="center" vertical="center"/>
    </xf>
    <xf numFmtId="44" fontId="9" fillId="0" borderId="54" xfId="1" applyFont="1" applyFill="1" applyBorder="1" applyAlignment="1">
      <alignment horizontal="right" vertical="center"/>
    </xf>
    <xf numFmtId="165" fontId="9" fillId="0" borderId="54" xfId="0" applyNumberFormat="1" applyFont="1" applyFill="1" applyBorder="1" applyAlignment="1">
      <alignment vertical="center"/>
    </xf>
    <xf numFmtId="4" fontId="2" fillId="0" borderId="1" xfId="0" applyNumberFormat="1" applyFont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0" fontId="3" fillId="0" borderId="5" xfId="1" applyNumberFormat="1" applyFont="1" applyFill="1" applyBorder="1" applyAlignment="1">
      <alignment vertical="center"/>
    </xf>
    <xf numFmtId="0" fontId="4" fillId="3" borderId="61" xfId="0" applyFont="1" applyFill="1" applyBorder="1" applyAlignment="1">
      <alignment horizontal="left" vertical="center"/>
    </xf>
    <xf numFmtId="43" fontId="4" fillId="0" borderId="5" xfId="2" applyFont="1" applyFill="1" applyBorder="1"/>
    <xf numFmtId="43" fontId="4" fillId="0" borderId="0" xfId="2" applyFont="1" applyFill="1"/>
    <xf numFmtId="43" fontId="4" fillId="0" borderId="5" xfId="2" applyFont="1" applyFill="1" applyBorder="1" applyAlignment="1">
      <alignment vertical="center"/>
    </xf>
    <xf numFmtId="43" fontId="4" fillId="0" borderId="50" xfId="2" applyFont="1" applyFill="1" applyBorder="1" applyAlignment="1">
      <alignment vertical="center"/>
    </xf>
    <xf numFmtId="4" fontId="2" fillId="0" borderId="1" xfId="0" applyNumberFormat="1" applyFont="1" applyBorder="1" applyAlignment="1">
      <alignment horizontal="center" vertical="center"/>
    </xf>
    <xf numFmtId="15" fontId="4" fillId="0" borderId="5" xfId="0" applyNumberFormat="1" applyFont="1" applyFill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43" fontId="0" fillId="0" borderId="0" xfId="0" applyNumberFormat="1" applyFont="1"/>
    <xf numFmtId="165" fontId="3" fillId="0" borderId="6" xfId="0" applyNumberFormat="1" applyFont="1" applyFill="1" applyBorder="1" applyAlignment="1">
      <alignment horizontal="left" vertical="center"/>
    </xf>
    <xf numFmtId="0" fontId="3" fillId="0" borderId="11" xfId="0" applyFont="1" applyFill="1" applyBorder="1" applyAlignment="1">
      <alignment horizontal="center" vertical="center" wrapText="1"/>
    </xf>
    <xf numFmtId="4" fontId="2" fillId="0" borderId="4" xfId="0" applyNumberFormat="1" applyFont="1" applyFill="1" applyBorder="1" applyAlignment="1">
      <alignment horizontal="center" vertical="center"/>
    </xf>
    <xf numFmtId="49" fontId="3" fillId="0" borderId="4" xfId="0" applyNumberFormat="1" applyFont="1" applyFill="1" applyBorder="1" applyAlignment="1">
      <alignment horizontal="center" vertical="center"/>
    </xf>
    <xf numFmtId="49" fontId="3" fillId="0" borderId="62" xfId="0" applyNumberFormat="1" applyFont="1" applyFill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right" vertical="center"/>
    </xf>
    <xf numFmtId="4" fontId="2" fillId="0" borderId="39" xfId="0" applyNumberFormat="1" applyFont="1" applyFill="1" applyBorder="1" applyAlignment="1">
      <alignment horizontal="center" vertical="center"/>
    </xf>
    <xf numFmtId="4" fontId="2" fillId="0" borderId="11" xfId="0" applyNumberFormat="1" applyFont="1" applyFill="1" applyBorder="1" applyAlignment="1">
      <alignment horizontal="center" vertical="center"/>
    </xf>
    <xf numFmtId="49" fontId="2" fillId="0" borderId="62" xfId="0" applyNumberFormat="1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49" fontId="2" fillId="0" borderId="63" xfId="0" applyNumberFormat="1" applyFont="1" applyFill="1" applyBorder="1" applyAlignment="1">
      <alignment horizontal="center" vertical="center"/>
    </xf>
    <xf numFmtId="4" fontId="2" fillId="0" borderId="18" xfId="0" applyNumberFormat="1" applyFont="1" applyFill="1" applyBorder="1" applyAlignment="1">
      <alignment horizontal="center" vertical="center"/>
    </xf>
    <xf numFmtId="49" fontId="2" fillId="0" borderId="64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4" fontId="3" fillId="0" borderId="4" xfId="0" applyNumberFormat="1" applyFont="1" applyFill="1" applyBorder="1" applyAlignment="1">
      <alignment horizontal="center" vertical="center"/>
    </xf>
    <xf numFmtId="0" fontId="4" fillId="0" borderId="66" xfId="0" applyFont="1" applyFill="1" applyBorder="1" applyAlignment="1">
      <alignment vertical="center"/>
    </xf>
    <xf numFmtId="49" fontId="3" fillId="0" borderId="5" xfId="0" applyNumberFormat="1" applyFont="1" applyFill="1" applyBorder="1" applyAlignment="1">
      <alignment horizontal="center" vertical="center" wrapText="1"/>
    </xf>
    <xf numFmtId="0" fontId="4" fillId="0" borderId="34" xfId="0" applyFont="1" applyFill="1" applyBorder="1" applyAlignment="1">
      <alignment horizontal="left" vertical="center"/>
    </xf>
    <xf numFmtId="0" fontId="4" fillId="0" borderId="35" xfId="0" applyFont="1" applyFill="1" applyBorder="1" applyAlignment="1">
      <alignment horizontal="left" vertical="center"/>
    </xf>
    <xf numFmtId="0" fontId="4" fillId="0" borderId="35" xfId="0" applyFont="1" applyFill="1" applyBorder="1" applyAlignment="1">
      <alignment vertical="center"/>
    </xf>
    <xf numFmtId="4" fontId="4" fillId="0" borderId="35" xfId="0" applyNumberFormat="1" applyFont="1" applyFill="1" applyBorder="1" applyAlignment="1">
      <alignment horizontal="left" vertical="center"/>
    </xf>
    <xf numFmtId="0" fontId="4" fillId="0" borderId="36" xfId="0" applyFont="1" applyFill="1" applyBorder="1" applyAlignment="1">
      <alignment horizontal="left" vertical="center"/>
    </xf>
    <xf numFmtId="0" fontId="4" fillId="3" borderId="40" xfId="0" applyFont="1" applyFill="1" applyBorder="1" applyAlignment="1">
      <alignment horizontal="left" vertical="center"/>
    </xf>
    <xf numFmtId="49" fontId="3" fillId="0" borderId="5" xfId="0" applyNumberFormat="1" applyFont="1" applyFill="1" applyBorder="1" applyAlignment="1">
      <alignment horizontal="center" vertical="center"/>
    </xf>
    <xf numFmtId="43" fontId="4" fillId="0" borderId="11" xfId="2" applyFont="1" applyFill="1" applyBorder="1" applyAlignment="1">
      <alignment vertical="center"/>
    </xf>
    <xf numFmtId="0" fontId="4" fillId="0" borderId="0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43" fontId="4" fillId="0" borderId="3" xfId="2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2" fillId="0" borderId="6" xfId="0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4" fillId="0" borderId="5" xfId="2" applyNumberFormat="1" applyFont="1" applyFill="1" applyBorder="1" applyAlignment="1">
      <alignment horizontal="center" vertical="center"/>
    </xf>
    <xf numFmtId="44" fontId="4" fillId="0" borderId="5" xfId="0" applyNumberFormat="1" applyFont="1" applyFill="1" applyBorder="1"/>
    <xf numFmtId="44" fontId="4" fillId="0" borderId="5" xfId="0" applyNumberFormat="1" applyFont="1" applyFill="1" applyBorder="1" applyAlignment="1">
      <alignment vertical="center"/>
    </xf>
    <xf numFmtId="166" fontId="4" fillId="0" borderId="5" xfId="0" applyNumberFormat="1" applyFont="1" applyFill="1" applyBorder="1"/>
    <xf numFmtId="166" fontId="4" fillId="0" borderId="5" xfId="0" applyNumberFormat="1" applyFont="1" applyFill="1" applyBorder="1" applyAlignment="1">
      <alignment vertical="center"/>
    </xf>
    <xf numFmtId="44" fontId="4" fillId="0" borderId="5" xfId="0" applyNumberFormat="1" applyFont="1" applyFill="1" applyBorder="1" applyAlignment="1">
      <alignment horizontal="center"/>
    </xf>
    <xf numFmtId="166" fontId="4" fillId="0" borderId="5" xfId="0" applyNumberFormat="1" applyFont="1" applyFill="1" applyBorder="1" applyAlignment="1">
      <alignment horizontal="center"/>
    </xf>
    <xf numFmtId="44" fontId="4" fillId="0" borderId="50" xfId="0" applyNumberFormat="1" applyFont="1" applyFill="1" applyBorder="1" applyAlignment="1">
      <alignment horizontal="center"/>
    </xf>
    <xf numFmtId="166" fontId="4" fillId="0" borderId="50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43" fontId="4" fillId="0" borderId="3" xfId="2" applyFont="1" applyFill="1" applyBorder="1" applyAlignment="1">
      <alignment horizontal="center" vertical="center"/>
    </xf>
    <xf numFmtId="164" fontId="4" fillId="0" borderId="5" xfId="0" applyNumberFormat="1" applyFont="1" applyFill="1" applyBorder="1" applyAlignment="1">
      <alignment horizontal="left" vertical="center"/>
    </xf>
    <xf numFmtId="49" fontId="3" fillId="0" borderId="64" xfId="0" applyNumberFormat="1" applyFont="1" applyFill="1" applyBorder="1" applyAlignment="1">
      <alignment horizontal="center" vertical="center"/>
    </xf>
    <xf numFmtId="0" fontId="4" fillId="3" borderId="4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165" fontId="4" fillId="0" borderId="5" xfId="3" applyNumberFormat="1" applyFont="1" applyFill="1" applyBorder="1" applyAlignment="1">
      <alignment horizontal="right" vertical="center"/>
    </xf>
    <xf numFmtId="165" fontId="4" fillId="0" borderId="5" xfId="0" applyNumberFormat="1" applyFont="1" applyFill="1" applyBorder="1"/>
    <xf numFmtId="44" fontId="4" fillId="0" borderId="5" xfId="0" applyNumberFormat="1" applyFont="1" applyBorder="1"/>
    <xf numFmtId="166" fontId="4" fillId="0" borderId="5" xfId="0" applyNumberFormat="1" applyFont="1" applyBorder="1"/>
    <xf numFmtId="44" fontId="4" fillId="0" borderId="5" xfId="0" applyNumberFormat="1" applyFont="1" applyBorder="1" applyAlignment="1">
      <alignment horizontal="center"/>
    </xf>
    <xf numFmtId="44" fontId="4" fillId="0" borderId="0" xfId="0" applyNumberFormat="1" applyFont="1" applyFill="1" applyBorder="1" applyAlignment="1"/>
    <xf numFmtId="166" fontId="4" fillId="0" borderId="0" xfId="3" applyFont="1" applyFill="1" applyBorder="1" applyAlignment="1">
      <alignment horizontal="right" vertical="center"/>
    </xf>
    <xf numFmtId="44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0" fontId="4" fillId="0" borderId="0" xfId="0" applyFont="1" applyBorder="1"/>
    <xf numFmtId="4" fontId="2" fillId="0" borderId="1" xfId="0" applyNumberFormat="1" applyFont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43" fontId="4" fillId="0" borderId="3" xfId="2" applyFont="1" applyFill="1" applyBorder="1" applyAlignment="1">
      <alignment horizontal="center" vertical="center"/>
    </xf>
    <xf numFmtId="164" fontId="4" fillId="0" borderId="0" xfId="0" applyNumberFormat="1" applyFont="1" applyFill="1" applyBorder="1" applyAlignment="1">
      <alignment horizontal="center" vertical="center"/>
    </xf>
    <xf numFmtId="165" fontId="4" fillId="0" borderId="5" xfId="0" applyNumberFormat="1" applyFont="1" applyFill="1" applyBorder="1" applyAlignment="1">
      <alignment vertical="center"/>
    </xf>
    <xf numFmtId="165" fontId="4" fillId="0" borderId="5" xfId="0" applyNumberFormat="1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43" fontId="4" fillId="0" borderId="3" xfId="2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43" fontId="4" fillId="0" borderId="0" xfId="0" applyNumberFormat="1" applyFont="1" applyAlignment="1">
      <alignment horizontal="center"/>
    </xf>
    <xf numFmtId="4" fontId="3" fillId="0" borderId="7" xfId="0" applyNumberFormat="1" applyFont="1" applyFill="1" applyBorder="1" applyAlignment="1">
      <alignment horizontal="center" vertical="center"/>
    </xf>
    <xf numFmtId="4" fontId="9" fillId="0" borderId="1" xfId="0" applyNumberFormat="1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4" fontId="4" fillId="0" borderId="39" xfId="0" applyNumberFormat="1" applyFont="1" applyFill="1" applyBorder="1" applyAlignment="1">
      <alignment horizontal="center" vertical="center"/>
    </xf>
    <xf numFmtId="4" fontId="4" fillId="0" borderId="19" xfId="0" applyNumberFormat="1" applyFont="1" applyFill="1" applyBorder="1" applyAlignment="1">
      <alignment horizontal="center" vertical="center"/>
    </xf>
    <xf numFmtId="4" fontId="30" fillId="0" borderId="19" xfId="0" applyNumberFormat="1" applyFont="1" applyFill="1" applyBorder="1" applyAlignment="1">
      <alignment horizontal="center" vertical="center"/>
    </xf>
    <xf numFmtId="4" fontId="4" fillId="0" borderId="5" xfId="0" applyNumberFormat="1" applyFont="1" applyFill="1" applyBorder="1" applyAlignment="1">
      <alignment horizontal="center" vertical="center"/>
    </xf>
    <xf numFmtId="4" fontId="31" fillId="0" borderId="5" xfId="0" applyNumberFormat="1" applyFont="1" applyFill="1" applyBorder="1" applyAlignment="1">
      <alignment horizontal="center" vertical="center"/>
    </xf>
    <xf numFmtId="4" fontId="4" fillId="0" borderId="6" xfId="0" applyNumberFormat="1" applyFont="1" applyFill="1" applyBorder="1" applyAlignment="1">
      <alignment horizontal="center" vertical="center"/>
    </xf>
    <xf numFmtId="4" fontId="4" fillId="0" borderId="19" xfId="0" quotePrefix="1" applyNumberFormat="1" applyFont="1" applyFill="1" applyBorder="1" applyAlignment="1">
      <alignment horizontal="center" vertical="center"/>
    </xf>
    <xf numFmtId="15" fontId="4" fillId="0" borderId="6" xfId="0" applyNumberFormat="1" applyFont="1" applyFill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4" fontId="9" fillId="0" borderId="1" xfId="0" applyNumberFormat="1" applyFont="1" applyFill="1" applyBorder="1" applyAlignment="1">
      <alignment horizontal="center" vertical="center"/>
    </xf>
    <xf numFmtId="43" fontId="4" fillId="0" borderId="3" xfId="2" applyFont="1" applyFill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4" fillId="0" borderId="4" xfId="0" applyFont="1" applyFill="1" applyBorder="1" applyAlignment="1">
      <alignment vertical="center"/>
    </xf>
    <xf numFmtId="4" fontId="2" fillId="0" borderId="1" xfId="0" applyNumberFormat="1" applyFont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43" fontId="4" fillId="0" borderId="3" xfId="2" applyFont="1" applyFill="1" applyBorder="1" applyAlignment="1">
      <alignment horizontal="center" vertical="center"/>
    </xf>
    <xf numFmtId="4" fontId="4" fillId="2" borderId="18" xfId="0" applyNumberFormat="1" applyFont="1" applyFill="1" applyBorder="1" applyAlignment="1">
      <alignment horizontal="center" vertical="center"/>
    </xf>
    <xf numFmtId="4" fontId="4" fillId="2" borderId="39" xfId="0" applyNumberFormat="1" applyFont="1" applyFill="1" applyBorder="1" applyAlignment="1">
      <alignment horizontal="center" vertical="center"/>
    </xf>
    <xf numFmtId="4" fontId="4" fillId="2" borderId="19" xfId="0" applyNumberFormat="1" applyFont="1" applyFill="1" applyBorder="1" applyAlignment="1">
      <alignment horizontal="center" vertical="center"/>
    </xf>
    <xf numFmtId="4" fontId="30" fillId="2" borderId="19" xfId="0" applyNumberFormat="1" applyFont="1" applyFill="1" applyBorder="1" applyAlignment="1">
      <alignment horizontal="center" vertical="center"/>
    </xf>
    <xf numFmtId="4" fontId="4" fillId="2" borderId="19" xfId="0" quotePrefix="1" applyNumberFormat="1" applyFont="1" applyFill="1" applyBorder="1" applyAlignment="1">
      <alignment horizontal="center" vertical="center"/>
    </xf>
    <xf numFmtId="4" fontId="4" fillId="2" borderId="5" xfId="0" applyNumberFormat="1" applyFont="1" applyFill="1" applyBorder="1" applyAlignment="1">
      <alignment horizontal="center" vertical="center"/>
    </xf>
    <xf numFmtId="0" fontId="32" fillId="2" borderId="5" xfId="0" applyFont="1" applyFill="1" applyBorder="1" applyAlignment="1">
      <alignment horizontal="center" vertical="center"/>
    </xf>
    <xf numFmtId="4" fontId="31" fillId="2" borderId="5" xfId="0" applyNumberFormat="1" applyFont="1" applyFill="1" applyBorder="1" applyAlignment="1">
      <alignment horizontal="center" vertical="center"/>
    </xf>
    <xf numFmtId="4" fontId="4" fillId="2" borderId="6" xfId="0" applyNumberFormat="1" applyFont="1" applyFill="1" applyBorder="1" applyAlignment="1">
      <alignment horizontal="center" vertical="center"/>
    </xf>
    <xf numFmtId="4" fontId="3" fillId="2" borderId="4" xfId="0" applyNumberFormat="1" applyFont="1" applyFill="1" applyBorder="1" applyAlignment="1">
      <alignment horizontal="center" vertical="center"/>
    </xf>
    <xf numFmtId="4" fontId="3" fillId="2" borderId="5" xfId="0" applyNumberFormat="1" applyFont="1" applyFill="1" applyBorder="1" applyAlignment="1">
      <alignment horizontal="center" vertical="center"/>
    </xf>
    <xf numFmtId="4" fontId="3" fillId="2" borderId="11" xfId="0" applyNumberFormat="1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4" fontId="3" fillId="2" borderId="6" xfId="0" applyNumberFormat="1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17" fontId="3" fillId="0" borderId="1" xfId="0" applyNumberFormat="1" applyFont="1" applyBorder="1" applyAlignment="1">
      <alignment horizontal="center"/>
    </xf>
    <xf numFmtId="17" fontId="3" fillId="0" borderId="1" xfId="0" quotePrefix="1" applyNumberFormat="1" applyFont="1" applyBorder="1" applyAlignment="1">
      <alignment horizontal="center"/>
    </xf>
    <xf numFmtId="1" fontId="4" fillId="0" borderId="1" xfId="0" applyNumberFormat="1" applyFont="1" applyFill="1" applyBorder="1" applyAlignment="1">
      <alignment horizontal="center" vertical="center"/>
    </xf>
    <xf numFmtId="4" fontId="4" fillId="0" borderId="1" xfId="0" applyNumberFormat="1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5" xfId="0" applyNumberFormat="1" applyFont="1" applyFill="1" applyBorder="1" applyAlignment="1">
      <alignment horizontal="center" vertical="center" wrapText="1"/>
    </xf>
    <xf numFmtId="4" fontId="9" fillId="0" borderId="1" xfId="0" applyNumberFormat="1" applyFont="1" applyFill="1" applyBorder="1" applyAlignment="1">
      <alignment horizontal="center" vertical="center"/>
    </xf>
    <xf numFmtId="0" fontId="34" fillId="0" borderId="1" xfId="0" applyFont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16" fillId="0" borderId="0" xfId="0" applyFont="1" applyAlignment="1">
      <alignment horizontal="left"/>
    </xf>
    <xf numFmtId="0" fontId="8" fillId="0" borderId="0" xfId="0" applyFont="1" applyAlignment="1">
      <alignment horizontal="center" vertical="center"/>
    </xf>
    <xf numFmtId="43" fontId="9" fillId="0" borderId="0" xfId="2" applyFont="1" applyFill="1" applyBorder="1" applyAlignment="1">
      <alignment horizontal="center" vertical="center"/>
    </xf>
    <xf numFmtId="0" fontId="9" fillId="0" borderId="0" xfId="0" applyFont="1" applyBorder="1" applyAlignment="1">
      <alignment horizontal="left"/>
    </xf>
    <xf numFmtId="44" fontId="4" fillId="0" borderId="0" xfId="1" applyFont="1" applyBorder="1" applyAlignment="1">
      <alignment horizontal="right"/>
    </xf>
    <xf numFmtId="165" fontId="4" fillId="0" borderId="0" xfId="0" applyNumberFormat="1" applyFont="1" applyBorder="1" applyAlignment="1">
      <alignment horizontal="right"/>
    </xf>
    <xf numFmtId="165" fontId="4" fillId="0" borderId="1" xfId="2" applyNumberFormat="1" applyFont="1" applyBorder="1" applyAlignment="1">
      <alignment vertical="center"/>
    </xf>
    <xf numFmtId="0" fontId="35" fillId="0" borderId="0" xfId="0" applyFont="1"/>
    <xf numFmtId="0" fontId="37" fillId="0" borderId="0" xfId="0" applyFont="1"/>
    <xf numFmtId="0" fontId="0" fillId="0" borderId="1" xfId="0" quotePrefix="1" applyBorder="1" applyAlignment="1">
      <alignment horizontal="center"/>
    </xf>
    <xf numFmtId="4" fontId="13" fillId="0" borderId="2" xfId="0" applyNumberFormat="1" applyFont="1" applyBorder="1" applyAlignment="1">
      <alignment horizontal="center"/>
    </xf>
    <xf numFmtId="4" fontId="13" fillId="0" borderId="1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quotePrefix="1" applyBorder="1" applyAlignment="1">
      <alignment horizontal="center"/>
    </xf>
    <xf numFmtId="4" fontId="13" fillId="0" borderId="1" xfId="7" applyNumberFormat="1" applyFont="1" applyBorder="1" applyAlignment="1">
      <alignment horizontal="center"/>
    </xf>
    <xf numFmtId="4" fontId="13" fillId="0" borderId="1" xfId="0" applyNumberFormat="1" applyFont="1" applyFill="1" applyBorder="1" applyAlignment="1">
      <alignment horizontal="center"/>
    </xf>
    <xf numFmtId="164" fontId="38" fillId="0" borderId="1" xfId="0" applyNumberFormat="1" applyFont="1" applyFill="1" applyBorder="1" applyAlignment="1">
      <alignment horizontal="center" vertical="center"/>
    </xf>
    <xf numFmtId="4" fontId="13" fillId="0" borderId="1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4" fontId="38" fillId="0" borderId="1" xfId="7" applyNumberFormat="1" applyFont="1" applyBorder="1" applyAlignment="1">
      <alignment horizontal="center"/>
    </xf>
    <xf numFmtId="0" fontId="0" fillId="0" borderId="10" xfId="0" applyFill="1" applyBorder="1" applyAlignment="1">
      <alignment horizontal="center"/>
    </xf>
    <xf numFmtId="4" fontId="38" fillId="0" borderId="1" xfId="0" applyNumberFormat="1" applyFont="1" applyBorder="1" applyAlignment="1">
      <alignment horizontal="center"/>
    </xf>
    <xf numFmtId="4" fontId="38" fillId="11" borderId="1" xfId="7" applyNumberFormat="1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Fill="1" applyBorder="1" applyAlignment="1">
      <alignment horizontal="center"/>
    </xf>
    <xf numFmtId="4" fontId="13" fillId="0" borderId="2" xfId="7" applyNumberFormat="1" applyFont="1" applyBorder="1" applyAlignment="1">
      <alignment horizontal="center"/>
    </xf>
    <xf numFmtId="0" fontId="0" fillId="0" borderId="0" xfId="0" applyBorder="1"/>
    <xf numFmtId="4" fontId="13" fillId="0" borderId="1" xfId="7" applyNumberFormat="1" applyFont="1" applyBorder="1" applyAlignment="1">
      <alignment horizontal="center" vertical="center"/>
    </xf>
    <xf numFmtId="43" fontId="9" fillId="0" borderId="1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1" xfId="0" applyFont="1" applyFill="1" applyBorder="1" applyAlignment="1">
      <alignment vertical="center"/>
    </xf>
    <xf numFmtId="0" fontId="4" fillId="0" borderId="0" xfId="0" applyFont="1" applyAlignment="1">
      <alignment horizontal="center"/>
    </xf>
    <xf numFmtId="0" fontId="9" fillId="0" borderId="4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66" fontId="4" fillId="2" borderId="5" xfId="3" applyFont="1" applyFill="1" applyBorder="1" applyAlignment="1">
      <alignment horizontal="right" vertical="center"/>
    </xf>
    <xf numFmtId="0" fontId="4" fillId="0" borderId="68" xfId="0" applyFont="1" applyFill="1" applyBorder="1" applyAlignment="1">
      <alignment horizontal="center" vertical="center"/>
    </xf>
    <xf numFmtId="0" fontId="4" fillId="0" borderId="68" xfId="0" applyFont="1" applyFill="1" applyBorder="1" applyAlignment="1">
      <alignment horizontal="left" vertical="center"/>
    </xf>
    <xf numFmtId="164" fontId="4" fillId="0" borderId="68" xfId="0" applyNumberFormat="1" applyFont="1" applyFill="1" applyBorder="1" applyAlignment="1">
      <alignment horizontal="center" vertical="center"/>
    </xf>
    <xf numFmtId="44" fontId="4" fillId="0" borderId="68" xfId="0" applyNumberFormat="1" applyFont="1" applyFill="1" applyBorder="1" applyAlignment="1">
      <alignment horizontal="center"/>
    </xf>
    <xf numFmtId="166" fontId="4" fillId="0" borderId="68" xfId="0" applyNumberFormat="1" applyFont="1" applyFill="1" applyBorder="1" applyAlignment="1">
      <alignment horizontal="center"/>
    </xf>
    <xf numFmtId="43" fontId="0" fillId="0" borderId="0" xfId="0" applyNumberFormat="1"/>
    <xf numFmtId="0" fontId="0" fillId="0" borderId="1" xfId="0" applyBorder="1"/>
    <xf numFmtId="43" fontId="0" fillId="0" borderId="1" xfId="0" applyNumberFormat="1" applyBorder="1" applyAlignment="1">
      <alignment vertical="center"/>
    </xf>
    <xf numFmtId="4" fontId="0" fillId="0" borderId="1" xfId="0" applyNumberFormat="1" applyBorder="1"/>
    <xf numFmtId="164" fontId="4" fillId="0" borderId="1" xfId="0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39" fillId="0" borderId="0" xfId="0" applyFont="1"/>
    <xf numFmtId="167" fontId="36" fillId="0" borderId="0" xfId="0" applyNumberFormat="1" applyFont="1"/>
    <xf numFmtId="0" fontId="36" fillId="12" borderId="1" xfId="0" applyFont="1" applyFill="1" applyBorder="1" applyAlignment="1">
      <alignment horizontal="center"/>
    </xf>
    <xf numFmtId="44" fontId="4" fillId="0" borderId="1" xfId="1" applyFont="1" applyBorder="1" applyAlignment="1">
      <alignment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21" fillId="0" borderId="1" xfId="6" applyFill="1" applyBorder="1" applyAlignment="1" applyProtection="1">
      <alignment horizontal="left" vertical="center"/>
    </xf>
    <xf numFmtId="43" fontId="9" fillId="0" borderId="2" xfId="2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43" fontId="4" fillId="0" borderId="3" xfId="2" applyFont="1" applyFill="1" applyBorder="1" applyAlignment="1">
      <alignment horizontal="center" vertical="center"/>
    </xf>
    <xf numFmtId="44" fontId="4" fillId="8" borderId="5" xfId="0" applyNumberFormat="1" applyFont="1" applyFill="1" applyBorder="1" applyAlignment="1"/>
    <xf numFmtId="166" fontId="4" fillId="8" borderId="5" xfId="3" applyFont="1" applyFill="1" applyBorder="1" applyAlignment="1">
      <alignment horizontal="right" vertical="center"/>
    </xf>
    <xf numFmtId="4" fontId="3" fillId="11" borderId="11" xfId="0" applyNumberFormat="1" applyFont="1" applyFill="1" applyBorder="1" applyAlignment="1">
      <alignment horizontal="right" vertical="center"/>
    </xf>
    <xf numFmtId="4" fontId="3" fillId="11" borderId="3" xfId="0" applyNumberFormat="1" applyFont="1" applyFill="1" applyBorder="1" applyAlignment="1">
      <alignment horizontal="right" vertical="center"/>
    </xf>
    <xf numFmtId="166" fontId="4" fillId="0" borderId="69" xfId="3" applyFont="1" applyFill="1" applyBorder="1" applyAlignment="1">
      <alignment horizontal="left" vertical="center"/>
    </xf>
    <xf numFmtId="166" fontId="4" fillId="0" borderId="50" xfId="3" applyFont="1" applyFill="1" applyBorder="1" applyAlignment="1">
      <alignment horizontal="center" vertical="center"/>
    </xf>
    <xf numFmtId="4" fontId="9" fillId="0" borderId="1" xfId="0" applyNumberFormat="1" applyFont="1" applyFill="1" applyBorder="1" applyAlignment="1">
      <alignment horizontal="center" vertical="center"/>
    </xf>
    <xf numFmtId="43" fontId="9" fillId="0" borderId="2" xfId="2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43" fontId="4" fillId="0" borderId="3" xfId="2" applyFont="1" applyFill="1" applyBorder="1" applyAlignment="1">
      <alignment horizontal="center" vertical="center"/>
    </xf>
    <xf numFmtId="4" fontId="9" fillId="0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1" fontId="4" fillId="0" borderId="5" xfId="0" applyNumberFormat="1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center" vertical="center"/>
    </xf>
    <xf numFmtId="43" fontId="9" fillId="0" borderId="3" xfId="2" applyFont="1" applyFill="1" applyBorder="1" applyAlignment="1">
      <alignment horizontal="center" vertical="center"/>
    </xf>
    <xf numFmtId="43" fontId="4" fillId="0" borderId="1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4" fontId="3" fillId="11" borderId="6" xfId="0" applyNumberFormat="1" applyFont="1" applyFill="1" applyBorder="1" applyAlignment="1">
      <alignment horizontal="right" vertical="center"/>
    </xf>
    <xf numFmtId="4" fontId="3" fillId="0" borderId="67" xfId="0" applyNumberFormat="1" applyFont="1" applyFill="1" applyBorder="1" applyAlignment="1">
      <alignment horizontal="right" vertical="center"/>
    </xf>
    <xf numFmtId="4" fontId="3" fillId="0" borderId="22" xfId="0" applyNumberFormat="1" applyFont="1" applyFill="1" applyBorder="1" applyAlignment="1">
      <alignment horizontal="right" vertical="center"/>
    </xf>
    <xf numFmtId="0" fontId="4" fillId="0" borderId="68" xfId="0" applyFont="1" applyFill="1" applyBorder="1" applyAlignment="1">
      <alignment horizontal="center"/>
    </xf>
    <xf numFmtId="166" fontId="4" fillId="9" borderId="5" xfId="3" applyFont="1" applyFill="1" applyBorder="1" applyAlignment="1">
      <alignment horizontal="right" vertical="center"/>
    </xf>
    <xf numFmtId="166" fontId="4" fillId="9" borderId="5" xfId="0" applyNumberFormat="1" applyFont="1" applyFill="1" applyBorder="1"/>
    <xf numFmtId="166" fontId="4" fillId="9" borderId="5" xfId="0" applyNumberFormat="1" applyFont="1" applyFill="1" applyBorder="1" applyAlignment="1">
      <alignment vertical="center"/>
    </xf>
    <xf numFmtId="166" fontId="4" fillId="9" borderId="5" xfId="2" applyNumberFormat="1" applyFont="1" applyFill="1" applyBorder="1" applyAlignment="1">
      <alignment horizontal="center" vertical="center"/>
    </xf>
    <xf numFmtId="166" fontId="4" fillId="9" borderId="5" xfId="0" applyNumberFormat="1" applyFont="1" applyFill="1" applyBorder="1" applyAlignment="1">
      <alignment horizontal="center"/>
    </xf>
    <xf numFmtId="43" fontId="4" fillId="9" borderId="5" xfId="2" applyFont="1" applyFill="1" applyBorder="1" applyAlignment="1">
      <alignment horizontal="center" vertical="center"/>
    </xf>
    <xf numFmtId="43" fontId="4" fillId="8" borderId="5" xfId="2" applyFont="1" applyFill="1" applyBorder="1" applyAlignment="1">
      <alignment horizontal="center" vertical="center"/>
    </xf>
    <xf numFmtId="43" fontId="4" fillId="9" borderId="11" xfId="2" applyFont="1" applyFill="1" applyBorder="1" applyAlignment="1">
      <alignment horizontal="center" vertical="center"/>
    </xf>
    <xf numFmtId="166" fontId="4" fillId="0" borderId="5" xfId="0" applyNumberFormat="1" applyFont="1" applyFill="1" applyBorder="1" applyAlignment="1"/>
    <xf numFmtId="44" fontId="4" fillId="14" borderId="0" xfId="0" applyNumberFormat="1" applyFont="1" applyFill="1"/>
    <xf numFmtId="166" fontId="4" fillId="14" borderId="0" xfId="0" applyNumberFormat="1" applyFont="1" applyFill="1"/>
    <xf numFmtId="44" fontId="9" fillId="0" borderId="55" xfId="1" applyFont="1" applyFill="1" applyBorder="1" applyAlignment="1">
      <alignment horizontal="right" vertical="center"/>
    </xf>
    <xf numFmtId="165" fontId="9" fillId="0" borderId="55" xfId="1" applyNumberFormat="1" applyFont="1" applyFill="1" applyBorder="1" applyAlignment="1">
      <alignment horizontal="right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43" fontId="4" fillId="9" borderId="4" xfId="2" applyFont="1" applyFill="1" applyBorder="1" applyAlignment="1">
      <alignment horizontal="center" vertical="center"/>
    </xf>
    <xf numFmtId="43" fontId="4" fillId="8" borderId="4" xfId="2" applyFont="1" applyFill="1" applyBorder="1" applyAlignment="1">
      <alignment horizontal="center" vertical="center"/>
    </xf>
    <xf numFmtId="0" fontId="3" fillId="9" borderId="39" xfId="0" applyFont="1" applyFill="1" applyBorder="1" applyAlignment="1">
      <alignment horizontal="left" vertical="center"/>
    </xf>
    <xf numFmtId="0" fontId="4" fillId="9" borderId="19" xfId="0" applyFont="1" applyFill="1" applyBorder="1" applyAlignment="1">
      <alignment horizontal="left" vertical="center"/>
    </xf>
    <xf numFmtId="0" fontId="4" fillId="0" borderId="19" xfId="0" applyFont="1" applyFill="1" applyBorder="1" applyAlignment="1">
      <alignment horizontal="left" vertical="center"/>
    </xf>
    <xf numFmtId="0" fontId="3" fillId="9" borderId="19" xfId="0" applyFont="1" applyFill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4" fillId="9" borderId="19" xfId="0" applyFont="1" applyFill="1" applyBorder="1" applyAlignment="1">
      <alignment vertical="center"/>
    </xf>
    <xf numFmtId="4" fontId="4" fillId="0" borderId="19" xfId="0" applyNumberFormat="1" applyFont="1" applyFill="1" applyBorder="1" applyAlignment="1">
      <alignment horizontal="left" vertical="center"/>
    </xf>
    <xf numFmtId="4" fontId="4" fillId="9" borderId="19" xfId="0" applyNumberFormat="1" applyFont="1" applyFill="1" applyBorder="1" applyAlignment="1">
      <alignment horizontal="left" vertical="center"/>
    </xf>
    <xf numFmtId="0" fontId="4" fillId="0" borderId="2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43" fontId="4" fillId="0" borderId="2" xfId="2" applyFont="1" applyBorder="1" applyAlignment="1">
      <alignment horizontal="center"/>
    </xf>
    <xf numFmtId="43" fontId="4" fillId="0" borderId="3" xfId="2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0" fillId="0" borderId="0" xfId="0" applyFont="1"/>
    <xf numFmtId="43" fontId="9" fillId="0" borderId="17" xfId="2" applyFont="1" applyFill="1" applyBorder="1" applyAlignment="1">
      <alignment horizontal="center" vertical="center"/>
    </xf>
    <xf numFmtId="43" fontId="9" fillId="0" borderId="1" xfId="2" applyFont="1" applyBorder="1" applyAlignment="1">
      <alignment horizontal="center" vertical="center"/>
    </xf>
    <xf numFmtId="0" fontId="41" fillId="0" borderId="0" xfId="0" applyFont="1" applyFill="1" applyAlignment="1">
      <alignment horizontal="left" vertical="center"/>
    </xf>
    <xf numFmtId="43" fontId="9" fillId="0" borderId="0" xfId="2" applyFont="1" applyFill="1" applyAlignment="1">
      <alignment vertical="center"/>
    </xf>
    <xf numFmtId="43" fontId="4" fillId="0" borderId="0" xfId="0" applyNumberFormat="1" applyFont="1" applyFill="1" applyAlignment="1">
      <alignment vertical="center"/>
    </xf>
    <xf numFmtId="44" fontId="4" fillId="0" borderId="0" xfId="0" applyNumberFormat="1" applyFont="1" applyFill="1" applyAlignment="1">
      <alignment vertical="center"/>
    </xf>
    <xf numFmtId="165" fontId="4" fillId="0" borderId="0" xfId="0" applyNumberFormat="1" applyFont="1" applyFill="1" applyAlignment="1">
      <alignment vertical="center"/>
    </xf>
    <xf numFmtId="44" fontId="4" fillId="0" borderId="0" xfId="1" applyFont="1" applyFill="1" applyAlignment="1">
      <alignment horizontal="right" vertical="center"/>
    </xf>
    <xf numFmtId="165" fontId="27" fillId="0" borderId="0" xfId="0" applyNumberFormat="1" applyFont="1" applyFill="1" applyBorder="1" applyAlignment="1">
      <alignment vertical="center"/>
    </xf>
    <xf numFmtId="44" fontId="4" fillId="0" borderId="0" xfId="0" applyNumberFormat="1" applyFont="1" applyFill="1" applyBorder="1" applyAlignment="1">
      <alignment vertical="center"/>
    </xf>
    <xf numFmtId="165" fontId="4" fillId="0" borderId="57" xfId="0" applyNumberFormat="1" applyFont="1" applyFill="1" applyBorder="1" applyAlignment="1">
      <alignment vertical="center"/>
    </xf>
    <xf numFmtId="44" fontId="4" fillId="0" borderId="0" xfId="1" applyFont="1" applyFill="1" applyBorder="1" applyAlignment="1">
      <alignment horizontal="right" vertical="center"/>
    </xf>
    <xf numFmtId="0" fontId="26" fillId="0" borderId="8" xfId="0" applyFont="1" applyFill="1" applyBorder="1" applyAlignment="1"/>
    <xf numFmtId="0" fontId="26" fillId="0" borderId="9" xfId="0" applyFont="1" applyFill="1" applyBorder="1" applyAlignment="1"/>
    <xf numFmtId="0" fontId="26" fillId="0" borderId="1" xfId="0" applyFont="1" applyFill="1" applyBorder="1" applyAlignment="1">
      <alignment horizontal="center" vertical="center"/>
    </xf>
    <xf numFmtId="44" fontId="4" fillId="0" borderId="2" xfId="1" applyFont="1" applyBorder="1" applyAlignment="1">
      <alignment horizontal="center"/>
    </xf>
    <xf numFmtId="44" fontId="4" fillId="0" borderId="3" xfId="1" applyFont="1" applyBorder="1" applyAlignment="1">
      <alignment horizontal="center"/>
    </xf>
    <xf numFmtId="44" fontId="9" fillId="0" borderId="1" xfId="1" applyFont="1" applyBorder="1" applyAlignment="1">
      <alignment horizontal="center" vertical="center"/>
    </xf>
    <xf numFmtId="43" fontId="4" fillId="0" borderId="5" xfId="0" applyNumberFormat="1" applyFont="1" applyFill="1" applyBorder="1" applyAlignment="1">
      <alignment vertical="center"/>
    </xf>
    <xf numFmtId="44" fontId="4" fillId="15" borderId="73" xfId="1" applyFont="1" applyFill="1" applyBorder="1" applyAlignment="1">
      <alignment horizontal="right" vertical="center"/>
    </xf>
    <xf numFmtId="165" fontId="4" fillId="13" borderId="73" xfId="0" applyNumberFormat="1" applyFont="1" applyFill="1" applyBorder="1" applyAlignment="1">
      <alignment horizontal="right" vertical="center"/>
    </xf>
    <xf numFmtId="4" fontId="4" fillId="0" borderId="43" xfId="0" applyNumberFormat="1" applyFont="1" applyBorder="1" applyAlignment="1">
      <alignment horizontal="center"/>
    </xf>
    <xf numFmtId="165" fontId="4" fillId="0" borderId="3" xfId="0" applyNumberFormat="1" applyFont="1" applyBorder="1" applyAlignment="1">
      <alignment horizontal="left" vertical="center"/>
    </xf>
    <xf numFmtId="165" fontId="4" fillId="0" borderId="1" xfId="0" applyNumberFormat="1" applyFont="1" applyBorder="1" applyAlignment="1">
      <alignment horizontal="left" vertical="center"/>
    </xf>
    <xf numFmtId="165" fontId="4" fillId="0" borderId="7" xfId="0" applyNumberFormat="1" applyFont="1" applyBorder="1" applyAlignment="1">
      <alignment vertical="center"/>
    </xf>
    <xf numFmtId="0" fontId="4" fillId="5" borderId="57" xfId="0" applyFont="1" applyFill="1" applyBorder="1" applyAlignment="1">
      <alignment vertical="center"/>
    </xf>
    <xf numFmtId="0" fontId="4" fillId="5" borderId="57" xfId="0" applyFont="1" applyFill="1" applyBorder="1" applyAlignment="1"/>
    <xf numFmtId="0" fontId="4" fillId="5" borderId="77" xfId="0" applyFont="1" applyFill="1" applyBorder="1" applyAlignment="1">
      <alignment vertical="center"/>
    </xf>
    <xf numFmtId="165" fontId="29" fillId="13" borderId="73" xfId="0" applyNumberFormat="1" applyFont="1" applyFill="1" applyBorder="1" applyAlignment="1">
      <alignment horizontal="right" vertical="center"/>
    </xf>
    <xf numFmtId="4" fontId="4" fillId="0" borderId="0" xfId="0" applyNumberFormat="1" applyFont="1" applyBorder="1" applyAlignment="1">
      <alignment horizontal="left"/>
    </xf>
    <xf numFmtId="4" fontId="9" fillId="0" borderId="0" xfId="0" applyNumberFormat="1" applyFont="1" applyBorder="1" applyAlignment="1">
      <alignment horizontal="left"/>
    </xf>
    <xf numFmtId="43" fontId="4" fillId="0" borderId="4" xfId="2" applyFont="1" applyFill="1" applyBorder="1" applyAlignment="1">
      <alignment vertical="center"/>
    </xf>
    <xf numFmtId="44" fontId="29" fillId="15" borderId="73" xfId="1" applyFont="1" applyFill="1" applyBorder="1" applyAlignment="1">
      <alignment horizontal="right" vertical="center"/>
    </xf>
    <xf numFmtId="0" fontId="4" fillId="0" borderId="78" xfId="0" applyFont="1" applyFill="1" applyBorder="1" applyAlignment="1">
      <alignment horizontal="center"/>
    </xf>
    <xf numFmtId="0" fontId="4" fillId="0" borderId="79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43" fontId="0" fillId="0" borderId="1" xfId="2" applyFont="1" applyBorder="1"/>
    <xf numFmtId="43" fontId="6" fillId="0" borderId="1" xfId="0" applyNumberFormat="1" applyFont="1" applyBorder="1"/>
    <xf numFmtId="0" fontId="3" fillId="0" borderId="35" xfId="0" applyFont="1" applyFill="1" applyBorder="1" applyAlignment="1">
      <alignment horizontal="left"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65" xfId="0" applyFont="1" applyFill="1" applyBorder="1" applyAlignment="1">
      <alignment horizontal="center" vertical="center"/>
    </xf>
    <xf numFmtId="43" fontId="0" fillId="0" borderId="1" xfId="0" applyNumberFormat="1" applyBorder="1"/>
    <xf numFmtId="4" fontId="0" fillId="0" borderId="1" xfId="0" applyNumberFormat="1" applyFont="1" applyBorder="1"/>
    <xf numFmtId="43" fontId="6" fillId="0" borderId="1" xfId="0" applyNumberFormat="1" applyFont="1" applyBorder="1" applyAlignment="1">
      <alignment horizontal="right"/>
    </xf>
    <xf numFmtId="0" fontId="6" fillId="0" borderId="0" xfId="0" applyFont="1"/>
    <xf numFmtId="44" fontId="0" fillId="0" borderId="0" xfId="0" applyNumberFormat="1"/>
    <xf numFmtId="0" fontId="6" fillId="0" borderId="8" xfId="0" applyFont="1" applyBorder="1" applyAlignment="1">
      <alignment horizontal="center"/>
    </xf>
    <xf numFmtId="4" fontId="4" fillId="0" borderId="0" xfId="0" applyNumberFormat="1" applyFont="1" applyBorder="1" applyAlignment="1">
      <alignment horizontal="center" vertical="center"/>
    </xf>
    <xf numFmtId="4" fontId="4" fillId="0" borderId="15" xfId="0" applyNumberFormat="1" applyFont="1" applyBorder="1" applyAlignment="1">
      <alignment horizontal="center" vertical="center"/>
    </xf>
    <xf numFmtId="165" fontId="4" fillId="0" borderId="15" xfId="0" applyNumberFormat="1" applyFont="1" applyBorder="1" applyAlignment="1">
      <alignment horizontal="left" vertical="center"/>
    </xf>
    <xf numFmtId="165" fontId="4" fillId="0" borderId="43" xfId="0" applyNumberFormat="1" applyFont="1" applyBorder="1" applyAlignment="1">
      <alignment horizontal="left"/>
    </xf>
    <xf numFmtId="44" fontId="4" fillId="14" borderId="80" xfId="1" applyFont="1" applyFill="1" applyBorder="1" applyAlignment="1">
      <alignment horizontal="right" vertical="center"/>
    </xf>
    <xf numFmtId="165" fontId="4" fillId="14" borderId="80" xfId="0" applyNumberFormat="1" applyFont="1" applyFill="1" applyBorder="1" applyAlignment="1">
      <alignment horizontal="right" vertical="center"/>
    </xf>
    <xf numFmtId="0" fontId="6" fillId="0" borderId="14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14" xfId="0" applyBorder="1"/>
    <xf numFmtId="0" fontId="0" fillId="0" borderId="13" xfId="0" applyBorder="1" applyAlignment="1">
      <alignment horizontal="center"/>
    </xf>
    <xf numFmtId="43" fontId="0" fillId="0" borderId="57" xfId="0" applyNumberFormat="1" applyBorder="1"/>
    <xf numFmtId="43" fontId="0" fillId="0" borderId="17" xfId="0" applyNumberFormat="1" applyBorder="1"/>
    <xf numFmtId="0" fontId="0" fillId="0" borderId="14" xfId="0" applyFill="1" applyBorder="1"/>
    <xf numFmtId="0" fontId="6" fillId="0" borderId="12" xfId="0" applyFont="1" applyBorder="1" applyAlignment="1"/>
    <xf numFmtId="0" fontId="6" fillId="0" borderId="15" xfId="0" applyFont="1" applyBorder="1" applyAlignment="1"/>
    <xf numFmtId="0" fontId="6" fillId="0" borderId="13" xfId="0" applyFont="1" applyBorder="1" applyAlignment="1"/>
    <xf numFmtId="43" fontId="0" fillId="0" borderId="57" xfId="2" applyFont="1" applyBorder="1"/>
    <xf numFmtId="4" fontId="0" fillId="0" borderId="3" xfId="0" applyNumberFormat="1" applyBorder="1"/>
    <xf numFmtId="0" fontId="40" fillId="0" borderId="0" xfId="0" applyFont="1" applyAlignment="1">
      <alignment vertical="top"/>
    </xf>
    <xf numFmtId="43" fontId="6" fillId="0" borderId="14" xfId="0" applyNumberFormat="1" applyFont="1" applyBorder="1"/>
    <xf numFmtId="0" fontId="8" fillId="0" borderId="0" xfId="0" applyFont="1" applyAlignment="1">
      <alignment horizontal="right" vertical="center"/>
    </xf>
    <xf numFmtId="0" fontId="45" fillId="0" borderId="0" xfId="0" applyFont="1" applyAlignment="1">
      <alignment horizontal="left"/>
    </xf>
    <xf numFmtId="0" fontId="46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0" fontId="49" fillId="0" borderId="0" xfId="0" applyFont="1" applyAlignment="1">
      <alignment horizontal="right" vertical="center"/>
    </xf>
    <xf numFmtId="0" fontId="2" fillId="0" borderId="7" xfId="0" applyFont="1" applyFill="1" applyBorder="1" applyAlignment="1">
      <alignment horizontal="center" vertical="center"/>
    </xf>
    <xf numFmtId="0" fontId="9" fillId="0" borderId="43" xfId="0" applyFont="1" applyFill="1" applyBorder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43" fontId="9" fillId="0" borderId="43" xfId="2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43" fontId="4" fillId="0" borderId="8" xfId="2" applyFont="1" applyFill="1" applyBorder="1" applyAlignment="1">
      <alignment horizontal="center" vertical="center"/>
    </xf>
    <xf numFmtId="43" fontId="4" fillId="0" borderId="10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44" fontId="4" fillId="0" borderId="5" xfId="1" applyFont="1" applyFill="1" applyBorder="1" applyAlignment="1">
      <alignment horizontal="left"/>
    </xf>
    <xf numFmtId="0" fontId="9" fillId="7" borderId="0" xfId="0" applyFont="1" applyFill="1" applyBorder="1" applyAlignment="1">
      <alignment horizontal="center" vertical="center"/>
    </xf>
    <xf numFmtId="4" fontId="9" fillId="0" borderId="2" xfId="0" applyNumberFormat="1" applyFont="1" applyFill="1" applyBorder="1" applyAlignment="1">
      <alignment horizontal="center" vertical="center"/>
    </xf>
    <xf numFmtId="44" fontId="4" fillId="0" borderId="4" xfId="1" applyFont="1" applyFill="1" applyBorder="1" applyAlignment="1">
      <alignment horizontal="left"/>
    </xf>
    <xf numFmtId="166" fontId="4" fillId="2" borderId="4" xfId="3" applyFont="1" applyFill="1" applyBorder="1" applyAlignment="1">
      <alignment horizontal="right" vertical="center"/>
    </xf>
    <xf numFmtId="43" fontId="4" fillId="0" borderId="4" xfId="0" applyNumberFormat="1" applyFont="1" applyFill="1" applyBorder="1" applyAlignment="1">
      <alignment vertical="center"/>
    </xf>
    <xf numFmtId="43" fontId="4" fillId="0" borderId="10" xfId="2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43" fontId="4" fillId="0" borderId="9" xfId="2" applyFont="1" applyFill="1" applyBorder="1" applyAlignment="1">
      <alignment vertical="center"/>
    </xf>
    <xf numFmtId="0" fontId="4" fillId="0" borderId="8" xfId="0" applyFont="1" applyFill="1" applyBorder="1" applyAlignment="1">
      <alignment vertical="center"/>
    </xf>
    <xf numFmtId="43" fontId="31" fillId="0" borderId="10" xfId="2" applyFont="1" applyFill="1" applyBorder="1" applyAlignment="1">
      <alignment horizontal="center" vertical="center"/>
    </xf>
    <xf numFmtId="0" fontId="4" fillId="17" borderId="8" xfId="0" applyFont="1" applyFill="1" applyBorder="1" applyAlignment="1">
      <alignment horizontal="center" vertical="center"/>
    </xf>
    <xf numFmtId="43" fontId="4" fillId="0" borderId="8" xfId="2" applyFont="1" applyFill="1" applyBorder="1" applyAlignment="1">
      <alignment vertical="center"/>
    </xf>
    <xf numFmtId="0" fontId="34" fillId="12" borderId="1" xfId="0" applyFont="1" applyFill="1" applyBorder="1" applyAlignment="1">
      <alignment horizontal="center"/>
    </xf>
    <xf numFmtId="164" fontId="4" fillId="0" borderId="11" xfId="0" applyNumberFormat="1" applyFont="1" applyFill="1" applyBorder="1" applyAlignment="1">
      <alignment horizontal="center" vertical="center"/>
    </xf>
    <xf numFmtId="44" fontId="4" fillId="0" borderId="11" xfId="1" applyFont="1" applyFill="1" applyBorder="1" applyAlignment="1">
      <alignment horizontal="left"/>
    </xf>
    <xf numFmtId="165" fontId="4" fillId="0" borderId="11" xfId="0" applyNumberFormat="1" applyFont="1" applyFill="1" applyBorder="1" applyAlignment="1">
      <alignment horizontal="left" vertical="center"/>
    </xf>
    <xf numFmtId="166" fontId="4" fillId="0" borderId="11" xfId="3" applyFont="1" applyFill="1" applyBorder="1" applyAlignment="1">
      <alignment horizontal="left" vertical="center"/>
    </xf>
    <xf numFmtId="165" fontId="4" fillId="0" borderId="11" xfId="2" applyNumberFormat="1" applyFont="1" applyFill="1" applyBorder="1" applyAlignment="1">
      <alignment horizontal="center" vertical="center"/>
    </xf>
    <xf numFmtId="49" fontId="4" fillId="0" borderId="11" xfId="3" applyNumberFormat="1" applyFont="1" applyFill="1" applyBorder="1" applyAlignment="1">
      <alignment horizontal="left" vertical="center"/>
    </xf>
    <xf numFmtId="49" fontId="4" fillId="0" borderId="11" xfId="3" applyNumberFormat="1" applyFont="1" applyFill="1" applyBorder="1" applyAlignment="1">
      <alignment horizontal="center" vertical="center"/>
    </xf>
    <xf numFmtId="166" fontId="4" fillId="0" borderId="11" xfId="3" applyFont="1" applyFill="1" applyBorder="1" applyAlignment="1">
      <alignment horizontal="center" vertical="center"/>
    </xf>
    <xf numFmtId="0" fontId="9" fillId="7" borderId="43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43" fontId="4" fillId="0" borderId="9" xfId="2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43" fontId="4" fillId="0" borderId="8" xfId="2" applyFont="1" applyFill="1" applyBorder="1" applyAlignment="1">
      <alignment horizontal="center" vertical="center"/>
    </xf>
    <xf numFmtId="43" fontId="4" fillId="0" borderId="10" xfId="2" applyFont="1" applyFill="1" applyBorder="1" applyAlignment="1">
      <alignment horizontal="center" vertical="center"/>
    </xf>
    <xf numFmtId="43" fontId="4" fillId="0" borderId="9" xfId="2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0" fillId="0" borderId="1" xfId="0" applyFont="1" applyFill="1" applyBorder="1" applyAlignment="1">
      <alignment horizontal="center" vertical="center" wrapText="1"/>
    </xf>
    <xf numFmtId="15" fontId="4" fillId="0" borderId="1" xfId="0" applyNumberFormat="1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 wrapText="1"/>
    </xf>
    <xf numFmtId="15" fontId="9" fillId="0" borderId="0" xfId="0" applyNumberFormat="1" applyFont="1" applyFill="1" applyAlignment="1"/>
    <xf numFmtId="4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43" fontId="9" fillId="0" borderId="1" xfId="2" applyFont="1" applyFill="1" applyBorder="1" applyAlignment="1">
      <alignment horizontal="center" vertical="center"/>
    </xf>
    <xf numFmtId="0" fontId="4" fillId="17" borderId="8" xfId="0" applyFont="1" applyFill="1" applyBorder="1" applyAlignment="1">
      <alignment horizontal="center" vertical="center"/>
    </xf>
    <xf numFmtId="43" fontId="9" fillId="0" borderId="5" xfId="2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43" fontId="4" fillId="0" borderId="8" xfId="2" applyFont="1" applyFill="1" applyBorder="1" applyAlignment="1">
      <alignment horizontal="center" vertical="center"/>
    </xf>
    <xf numFmtId="43" fontId="4" fillId="0" borderId="10" xfId="2" applyFont="1" applyFill="1" applyBorder="1" applyAlignment="1">
      <alignment horizontal="center" vertical="center"/>
    </xf>
    <xf numFmtId="0" fontId="4" fillId="17" borderId="8" xfId="0" applyFont="1" applyFill="1" applyBorder="1" applyAlignment="1">
      <alignment horizontal="center" vertical="center"/>
    </xf>
    <xf numFmtId="44" fontId="3" fillId="0" borderId="4" xfId="1" applyFont="1" applyBorder="1" applyAlignment="1">
      <alignment horizontal="right" vertical="center"/>
    </xf>
    <xf numFmtId="4" fontId="2" fillId="0" borderId="2" xfId="0" applyNumberFormat="1" applyFont="1" applyFill="1" applyBorder="1" applyAlignment="1">
      <alignment horizontal="center" vertical="center"/>
    </xf>
    <xf numFmtId="44" fontId="4" fillId="8" borderId="5" xfId="1" applyFont="1" applyFill="1" applyBorder="1" applyAlignment="1">
      <alignment horizontal="center" vertical="center"/>
    </xf>
    <xf numFmtId="165" fontId="4" fillId="8" borderId="5" xfId="2" applyNumberFormat="1" applyFont="1" applyFill="1" applyBorder="1" applyAlignment="1">
      <alignment horizontal="center" vertical="center"/>
    </xf>
    <xf numFmtId="44" fontId="4" fillId="8" borderId="5" xfId="1" applyFont="1" applyFill="1" applyBorder="1" applyAlignment="1">
      <alignment horizontal="left" vertical="center"/>
    </xf>
    <xf numFmtId="0" fontId="30" fillId="0" borderId="8" xfId="0" applyFont="1" applyFill="1" applyBorder="1" applyAlignment="1">
      <alignment vertical="center"/>
    </xf>
    <xf numFmtId="0" fontId="4" fillId="18" borderId="5" xfId="0" applyFont="1" applyFill="1" applyBorder="1" applyAlignment="1">
      <alignment horizontal="center" vertical="center"/>
    </xf>
    <xf numFmtId="0" fontId="4" fillId="18" borderId="5" xfId="0" applyFont="1" applyFill="1" applyBorder="1" applyAlignment="1">
      <alignment horizontal="left" vertical="center"/>
    </xf>
    <xf numFmtId="164" fontId="4" fillId="18" borderId="5" xfId="0" applyNumberFormat="1" applyFont="1" applyFill="1" applyBorder="1" applyAlignment="1">
      <alignment horizontal="center" vertical="center"/>
    </xf>
    <xf numFmtId="166" fontId="4" fillId="18" borderId="5" xfId="3" applyFont="1" applyFill="1" applyBorder="1" applyAlignment="1">
      <alignment horizontal="left" vertical="center"/>
    </xf>
    <xf numFmtId="165" fontId="4" fillId="18" borderId="5" xfId="2" applyNumberFormat="1" applyFont="1" applyFill="1" applyBorder="1" applyAlignment="1">
      <alignment horizontal="center" vertical="center"/>
    </xf>
    <xf numFmtId="49" fontId="4" fillId="18" borderId="5" xfId="3" applyNumberFormat="1" applyFont="1" applyFill="1" applyBorder="1" applyAlignment="1">
      <alignment horizontal="center" vertical="center"/>
    </xf>
    <xf numFmtId="49" fontId="4" fillId="18" borderId="5" xfId="3" applyNumberFormat="1" applyFont="1" applyFill="1" applyBorder="1" applyAlignment="1">
      <alignment horizontal="left" vertical="center"/>
    </xf>
    <xf numFmtId="44" fontId="4" fillId="18" borderId="5" xfId="0" applyNumberFormat="1" applyFont="1" applyFill="1" applyBorder="1" applyAlignment="1"/>
    <xf numFmtId="166" fontId="4" fillId="18" borderId="5" xfId="3" applyFont="1" applyFill="1" applyBorder="1" applyAlignment="1">
      <alignment horizontal="right" vertical="center"/>
    </xf>
    <xf numFmtId="166" fontId="4" fillId="18" borderId="5" xfId="3" applyFont="1" applyFill="1" applyBorder="1" applyAlignment="1">
      <alignment horizontal="center" vertical="center"/>
    </xf>
    <xf numFmtId="0" fontId="4" fillId="18" borderId="5" xfId="0" applyFont="1" applyFill="1" applyBorder="1" applyAlignment="1">
      <alignment vertical="center"/>
    </xf>
    <xf numFmtId="43" fontId="4" fillId="18" borderId="5" xfId="0" applyNumberFormat="1" applyFont="1" applyFill="1" applyBorder="1" applyAlignment="1">
      <alignment vertical="center"/>
    </xf>
    <xf numFmtId="43" fontId="4" fillId="18" borderId="5" xfId="2" applyFont="1" applyFill="1" applyBorder="1" applyAlignment="1">
      <alignment vertical="center"/>
    </xf>
    <xf numFmtId="15" fontId="4" fillId="18" borderId="5" xfId="0" applyNumberFormat="1" applyFont="1" applyFill="1" applyBorder="1" applyAlignment="1">
      <alignment horizontal="center" vertical="center"/>
    </xf>
    <xf numFmtId="0" fontId="4" fillId="18" borderId="0" xfId="0" applyFont="1" applyFill="1"/>
    <xf numFmtId="0" fontId="4" fillId="18" borderId="0" xfId="0" applyFont="1" applyFill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15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17" borderId="8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4" fillId="17" borderId="8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43" fontId="4" fillId="0" borderId="9" xfId="2" applyFont="1" applyFill="1" applyBorder="1" applyAlignment="1">
      <alignment horizontal="center" vertical="center"/>
    </xf>
    <xf numFmtId="15" fontId="4" fillId="0" borderId="1" xfId="0" applyNumberFormat="1" applyFont="1" applyFill="1" applyBorder="1" applyAlignment="1">
      <alignment horizontal="center" vertical="center"/>
    </xf>
    <xf numFmtId="0" fontId="4" fillId="17" borderId="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left" vertical="center"/>
    </xf>
    <xf numFmtId="164" fontId="4" fillId="0" borderId="2" xfId="0" applyNumberFormat="1" applyFont="1" applyFill="1" applyBorder="1" applyAlignment="1">
      <alignment horizontal="center" vertical="center"/>
    </xf>
    <xf numFmtId="0" fontId="4" fillId="17" borderId="1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" fontId="4" fillId="0" borderId="8" xfId="0" applyNumberFormat="1" applyFont="1" applyFill="1" applyBorder="1" applyAlignment="1">
      <alignment vertical="center"/>
    </xf>
    <xf numFmtId="0" fontId="4" fillId="12" borderId="11" xfId="0" applyFont="1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 vertical="center"/>
    </xf>
    <xf numFmtId="0" fontId="4" fillId="12" borderId="5" xfId="0" applyFont="1" applyFill="1" applyBorder="1" applyAlignment="1">
      <alignment horizontal="left" vertical="center"/>
    </xf>
    <xf numFmtId="164" fontId="4" fillId="12" borderId="5" xfId="0" applyNumberFormat="1" applyFont="1" applyFill="1" applyBorder="1" applyAlignment="1">
      <alignment horizontal="center" vertical="center"/>
    </xf>
    <xf numFmtId="166" fontId="4" fillId="12" borderId="5" xfId="3" applyFont="1" applyFill="1" applyBorder="1" applyAlignment="1">
      <alignment horizontal="left" vertical="center"/>
    </xf>
    <xf numFmtId="165" fontId="4" fillId="12" borderId="5" xfId="2" applyNumberFormat="1" applyFont="1" applyFill="1" applyBorder="1" applyAlignment="1">
      <alignment horizontal="center" vertical="center"/>
    </xf>
    <xf numFmtId="165" fontId="4" fillId="12" borderId="5" xfId="0" applyNumberFormat="1" applyFont="1" applyFill="1" applyBorder="1" applyAlignment="1">
      <alignment horizontal="left" vertical="center"/>
    </xf>
    <xf numFmtId="0" fontId="0" fillId="0" borderId="8" xfId="0" quotePrefix="1" applyFill="1" applyBorder="1" applyAlignment="1">
      <alignment horizontal="center"/>
    </xf>
    <xf numFmtId="4" fontId="9" fillId="0" borderId="1" xfId="0" applyNumberFormat="1" applyFont="1" applyFill="1" applyBorder="1" applyAlignment="1">
      <alignment horizontal="center" vertical="center"/>
    </xf>
    <xf numFmtId="4" fontId="2" fillId="0" borderId="8" xfId="0" applyNumberFormat="1" applyFont="1" applyFill="1" applyBorder="1" applyAlignment="1">
      <alignment horizontal="center" vertical="center"/>
    </xf>
    <xf numFmtId="4" fontId="2" fillId="0" borderId="9" xfId="0" applyNumberFormat="1" applyFont="1" applyFill="1" applyBorder="1" applyAlignment="1">
      <alignment horizontal="center" vertical="center"/>
    </xf>
    <xf numFmtId="4" fontId="2" fillId="0" borderId="10" xfId="0" applyNumberFormat="1" applyFont="1" applyFill="1" applyBorder="1" applyAlignment="1">
      <alignment horizontal="center" vertical="center"/>
    </xf>
    <xf numFmtId="49" fontId="2" fillId="0" borderId="8" xfId="0" applyNumberFormat="1" applyFont="1" applyFill="1" applyBorder="1" applyAlignment="1">
      <alignment horizontal="center" vertical="center"/>
    </xf>
    <xf numFmtId="49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49" fontId="2" fillId="0" borderId="44" xfId="0" applyNumberFormat="1" applyFont="1" applyFill="1" applyBorder="1" applyAlignment="1">
      <alignment horizontal="center" vertical="center"/>
    </xf>
    <xf numFmtId="49" fontId="2" fillId="0" borderId="32" xfId="0" applyNumberFormat="1" applyFont="1" applyFill="1" applyBorder="1" applyAlignment="1">
      <alignment horizontal="center" vertical="center"/>
    </xf>
    <xf numFmtId="4" fontId="2" fillId="0" borderId="8" xfId="0" applyNumberFormat="1" applyFont="1" applyFill="1" applyBorder="1" applyAlignment="1">
      <alignment horizontal="center" vertical="center" wrapText="1"/>
    </xf>
    <xf numFmtId="4" fontId="2" fillId="0" borderId="9" xfId="0" applyNumberFormat="1" applyFont="1" applyFill="1" applyBorder="1" applyAlignment="1">
      <alignment horizontal="center" vertical="center" wrapText="1"/>
    </xf>
    <xf numFmtId="4" fontId="2" fillId="0" borderId="10" xfId="0" applyNumberFormat="1" applyFont="1" applyFill="1" applyBorder="1" applyAlignment="1">
      <alignment horizontal="center" vertical="center" wrapText="1"/>
    </xf>
    <xf numFmtId="4" fontId="2" fillId="0" borderId="2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49" fontId="2" fillId="0" borderId="37" xfId="0" applyNumberFormat="1" applyFont="1" applyFill="1" applyBorder="1" applyAlignment="1">
      <alignment horizontal="center" vertical="center"/>
    </xf>
    <xf numFmtId="4" fontId="2" fillId="0" borderId="3" xfId="0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49" fontId="3" fillId="0" borderId="5" xfId="0" quotePrefix="1" applyNumberFormat="1" applyFont="1" applyBorder="1" applyAlignment="1">
      <alignment horizontal="center" vertical="center"/>
    </xf>
    <xf numFmtId="4" fontId="3" fillId="0" borderId="0" xfId="0" applyNumberFormat="1" applyFont="1" applyAlignment="1">
      <alignment vertical="center"/>
    </xf>
    <xf numFmtId="165" fontId="4" fillId="8" borderId="5" xfId="0" applyNumberFormat="1" applyFont="1" applyFill="1" applyBorder="1" applyAlignment="1">
      <alignment horizontal="left" vertical="center"/>
    </xf>
    <xf numFmtId="166" fontId="4" fillId="0" borderId="0" xfId="0" applyNumberFormat="1" applyFont="1" applyFill="1"/>
    <xf numFmtId="44" fontId="4" fillId="0" borderId="0" xfId="0" applyNumberFormat="1" applyFont="1" applyFill="1"/>
    <xf numFmtId="166" fontId="4" fillId="0" borderId="0" xfId="0" applyNumberFormat="1" applyFont="1" applyFill="1" applyBorder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vertical="center"/>
    </xf>
    <xf numFmtId="164" fontId="4" fillId="0" borderId="0" xfId="0" applyNumberFormat="1" applyFont="1" applyFill="1" applyBorder="1" applyAlignment="1">
      <alignment horizontal="left" vertical="center"/>
    </xf>
    <xf numFmtId="166" fontId="4" fillId="0" borderId="0" xfId="0" applyNumberFormat="1" applyFont="1" applyFill="1" applyBorder="1"/>
    <xf numFmtId="44" fontId="4" fillId="0" borderId="0" xfId="0" applyNumberFormat="1" applyFont="1" applyFill="1" applyBorder="1"/>
    <xf numFmtId="164" fontId="4" fillId="0" borderId="0" xfId="0" applyNumberFormat="1" applyFont="1" applyFill="1" applyBorder="1" applyAlignment="1">
      <alignment horizontal="center" vertical="center" wrapText="1"/>
    </xf>
    <xf numFmtId="166" fontId="4" fillId="9" borderId="0" xfId="3" applyFont="1" applyFill="1" applyBorder="1" applyAlignment="1">
      <alignment horizontal="right" vertical="center"/>
    </xf>
    <xf numFmtId="166" fontId="4" fillId="9" borderId="0" xfId="0" applyNumberFormat="1" applyFont="1" applyFill="1" applyBorder="1" applyAlignment="1">
      <alignment horizontal="center"/>
    </xf>
    <xf numFmtId="0" fontId="4" fillId="0" borderId="86" xfId="0" applyFont="1" applyFill="1" applyBorder="1" applyAlignment="1">
      <alignment horizontal="center"/>
    </xf>
    <xf numFmtId="0" fontId="4" fillId="0" borderId="86" xfId="0" applyFont="1" applyFill="1" applyBorder="1" applyAlignment="1">
      <alignment horizontal="center" vertical="center"/>
    </xf>
    <xf numFmtId="0" fontId="4" fillId="0" borderId="86" xfId="0" applyFont="1" applyFill="1" applyBorder="1" applyAlignment="1">
      <alignment horizontal="left" vertical="center"/>
    </xf>
    <xf numFmtId="164" fontId="4" fillId="0" borderId="86" xfId="0" applyNumberFormat="1" applyFont="1" applyFill="1" applyBorder="1" applyAlignment="1">
      <alignment horizontal="center" vertical="center"/>
    </xf>
    <xf numFmtId="44" fontId="4" fillId="0" borderId="86" xfId="0" applyNumberFormat="1" applyFont="1" applyFill="1" applyBorder="1" applyAlignment="1">
      <alignment horizontal="center"/>
    </xf>
    <xf numFmtId="166" fontId="4" fillId="0" borderId="86" xfId="0" applyNumberFormat="1" applyFont="1" applyFill="1" applyBorder="1" applyAlignment="1">
      <alignment horizontal="center"/>
    </xf>
    <xf numFmtId="44" fontId="4" fillId="0" borderId="68" xfId="0" applyNumberFormat="1" applyFont="1" applyFill="1" applyBorder="1" applyAlignment="1"/>
    <xf numFmtId="0" fontId="4" fillId="0" borderId="4" xfId="0" applyFont="1" applyBorder="1" applyAlignment="1">
      <alignment horizontal="center"/>
    </xf>
    <xf numFmtId="44" fontId="4" fillId="0" borderId="4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8" xfId="0" applyFont="1" applyBorder="1" applyAlignment="1">
      <alignment horizontal="center"/>
    </xf>
    <xf numFmtId="44" fontId="4" fillId="0" borderId="68" xfId="0" applyNumberFormat="1" applyFont="1" applyBorder="1" applyAlignment="1">
      <alignment horizontal="center"/>
    </xf>
    <xf numFmtId="0" fontId="26" fillId="0" borderId="0" xfId="0" applyFont="1" applyFill="1" applyBorder="1" applyAlignment="1">
      <alignment horizontal="left"/>
    </xf>
    <xf numFmtId="165" fontId="4" fillId="0" borderId="68" xfId="0" applyNumberFormat="1" applyFont="1" applyFill="1" applyBorder="1" applyAlignment="1">
      <alignment vertical="center"/>
    </xf>
    <xf numFmtId="166" fontId="4" fillId="0" borderId="4" xfId="0" applyNumberFormat="1" applyFont="1" applyFill="1" applyBorder="1" applyAlignment="1">
      <alignment horizontal="center"/>
    </xf>
    <xf numFmtId="49" fontId="3" fillId="0" borderId="5" xfId="0" quotePrefix="1" applyNumberFormat="1" applyFont="1" applyFill="1" applyBorder="1" applyAlignment="1">
      <alignment horizontal="center" vertical="center"/>
    </xf>
    <xf numFmtId="43" fontId="4" fillId="0" borderId="0" xfId="2" applyFont="1" applyFill="1" applyBorder="1" applyAlignment="1">
      <alignment vertical="center"/>
    </xf>
    <xf numFmtId="44" fontId="4" fillId="0" borderId="68" xfId="0" applyNumberFormat="1" applyFont="1" applyFill="1" applyBorder="1" applyAlignment="1">
      <alignment vertical="center"/>
    </xf>
    <xf numFmtId="166" fontId="4" fillId="0" borderId="68" xfId="3" applyFont="1" applyFill="1" applyBorder="1" applyAlignment="1">
      <alignment horizontal="right" vertical="center"/>
    </xf>
    <xf numFmtId="166" fontId="4" fillId="0" borderId="68" xfId="0" applyNumberFormat="1" applyFont="1" applyFill="1" applyBorder="1" applyAlignment="1">
      <alignment vertical="center"/>
    </xf>
    <xf numFmtId="49" fontId="4" fillId="15" borderId="73" xfId="1" applyNumberFormat="1" applyFont="1" applyFill="1" applyBorder="1" applyAlignment="1">
      <alignment horizontal="right" vertical="center"/>
    </xf>
    <xf numFmtId="165" fontId="50" fillId="0" borderId="5" xfId="0" applyNumberFormat="1" applyFont="1" applyFill="1" applyBorder="1" applyAlignment="1">
      <alignment horizontal="center" vertical="center"/>
    </xf>
    <xf numFmtId="165" fontId="4" fillId="19" borderId="5" xfId="0" applyNumberFormat="1" applyFont="1" applyFill="1" applyBorder="1" applyAlignment="1">
      <alignment horizontal="center" vertical="center"/>
    </xf>
    <xf numFmtId="166" fontId="4" fillId="19" borderId="5" xfId="3" applyFont="1" applyFill="1" applyBorder="1" applyAlignment="1">
      <alignment horizontal="left" vertical="center"/>
    </xf>
    <xf numFmtId="44" fontId="4" fillId="18" borderId="5" xfId="1" applyFont="1" applyFill="1" applyBorder="1" applyAlignment="1">
      <alignment horizontal="left"/>
    </xf>
    <xf numFmtId="43" fontId="4" fillId="0" borderId="0" xfId="2" applyFont="1" applyFill="1" applyBorder="1" applyAlignment="1">
      <alignment horizontal="center"/>
    </xf>
    <xf numFmtId="4" fontId="4" fillId="0" borderId="0" xfId="0" applyNumberFormat="1" applyFont="1" applyFill="1" applyBorder="1" applyAlignment="1">
      <alignment horizontal="center"/>
    </xf>
    <xf numFmtId="4" fontId="51" fillId="0" borderId="0" xfId="0" applyNumberFormat="1" applyFont="1" applyAlignment="1">
      <alignment horizontal="center"/>
    </xf>
    <xf numFmtId="43" fontId="4" fillId="0" borderId="0" xfId="2" applyFont="1" applyBorder="1" applyAlignment="1">
      <alignment horizontal="center"/>
    </xf>
    <xf numFmtId="4" fontId="51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15" fontId="4" fillId="0" borderId="5" xfId="0" applyNumberFormat="1" applyFont="1" applyFill="1" applyBorder="1" applyAlignment="1">
      <alignment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4" fillId="17" borderId="8" xfId="0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vertical="center"/>
    </xf>
    <xf numFmtId="15" fontId="4" fillId="0" borderId="5" xfId="0" applyNumberFormat="1" applyFont="1" applyFill="1" applyBorder="1" applyAlignment="1">
      <alignment horizontal="left" vertical="center"/>
    </xf>
    <xf numFmtId="44" fontId="4" fillId="5" borderId="5" xfId="0" applyNumberFormat="1" applyFont="1" applyFill="1" applyBorder="1" applyAlignment="1"/>
    <xf numFmtId="165" fontId="9" fillId="0" borderId="55" xfId="0" applyNumberFormat="1" applyFont="1" applyFill="1" applyBorder="1" applyAlignment="1">
      <alignment vertical="center"/>
    </xf>
    <xf numFmtId="0" fontId="27" fillId="0" borderId="0" xfId="0" applyFont="1" applyFill="1" applyAlignment="1">
      <alignment vertical="center"/>
    </xf>
    <xf numFmtId="4" fontId="9" fillId="12" borderId="1" xfId="0" applyNumberFormat="1" applyFont="1" applyFill="1" applyBorder="1" applyAlignment="1">
      <alignment horizontal="center" vertical="center"/>
    </xf>
    <xf numFmtId="4" fontId="9" fillId="12" borderId="8" xfId="0" applyNumberFormat="1" applyFont="1" applyFill="1" applyBorder="1" applyAlignment="1">
      <alignment horizontal="center" vertical="center"/>
    </xf>
    <xf numFmtId="165" fontId="9" fillId="0" borderId="87" xfId="0" applyNumberFormat="1" applyFont="1" applyFill="1" applyBorder="1" applyAlignment="1">
      <alignment vertical="center"/>
    </xf>
    <xf numFmtId="165" fontId="9" fillId="0" borderId="89" xfId="0" applyNumberFormat="1" applyFont="1" applyFill="1" applyBorder="1" applyAlignment="1">
      <alignment vertical="center"/>
    </xf>
    <xf numFmtId="0" fontId="4" fillId="0" borderId="0" xfId="0" applyFont="1" applyBorder="1" applyAlignment="1">
      <alignment horizontal="left"/>
    </xf>
    <xf numFmtId="166" fontId="4" fillId="0" borderId="0" xfId="0" applyNumberFormat="1" applyFont="1" applyFill="1" applyAlignment="1">
      <alignment vertical="center"/>
    </xf>
    <xf numFmtId="44" fontId="4" fillId="0" borderId="0" xfId="1" applyFont="1" applyFill="1" applyAlignment="1">
      <alignment vertical="center"/>
    </xf>
    <xf numFmtId="166" fontId="4" fillId="0" borderId="0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4" fillId="19" borderId="1" xfId="0" applyFont="1" applyFill="1" applyBorder="1" applyAlignment="1">
      <alignment horizontal="left" vertical="center"/>
    </xf>
    <xf numFmtId="0" fontId="4" fillId="19" borderId="1" xfId="0" applyFont="1" applyFill="1" applyBorder="1" applyAlignment="1">
      <alignment vertical="center"/>
    </xf>
    <xf numFmtId="166" fontId="4" fillId="19" borderId="1" xfId="0" applyNumberFormat="1" applyFont="1" applyFill="1" applyBorder="1" applyAlignment="1">
      <alignment vertical="center"/>
    </xf>
    <xf numFmtId="0" fontId="4" fillId="5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center" vertical="center"/>
    </xf>
    <xf numFmtId="44" fontId="4" fillId="5" borderId="1" xfId="1" applyFont="1" applyFill="1" applyBorder="1" applyAlignment="1">
      <alignment vertical="center"/>
    </xf>
    <xf numFmtId="44" fontId="4" fillId="0" borderId="1" xfId="1" applyFont="1" applyFill="1" applyBorder="1" applyAlignment="1">
      <alignment vertical="center"/>
    </xf>
    <xf numFmtId="0" fontId="4" fillId="0" borderId="1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44" fontId="4" fillId="19" borderId="1" xfId="1" applyFont="1" applyFill="1" applyBorder="1" applyAlignment="1">
      <alignment vertical="center"/>
    </xf>
    <xf numFmtId="0" fontId="4" fillId="0" borderId="1" xfId="0" applyFont="1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19" borderId="8" xfId="0" applyFont="1" applyFill="1" applyBorder="1" applyAlignment="1">
      <alignment vertical="center"/>
    </xf>
    <xf numFmtId="0" fontId="4" fillId="5" borderId="8" xfId="0" applyFont="1" applyFill="1" applyBorder="1" applyAlignment="1">
      <alignment horizontal="left" vertical="center"/>
    </xf>
    <xf numFmtId="0" fontId="4" fillId="0" borderId="8" xfId="0" applyFont="1" applyFill="1" applyBorder="1" applyAlignment="1">
      <alignment horizontal="left" vertical="center"/>
    </xf>
    <xf numFmtId="0" fontId="4" fillId="19" borderId="8" xfId="0" applyFont="1" applyFill="1" applyBorder="1" applyAlignment="1">
      <alignment horizontal="left" vertical="center"/>
    </xf>
    <xf numFmtId="0" fontId="4" fillId="19" borderId="10" xfId="0" applyFont="1" applyFill="1" applyBorder="1" applyAlignment="1">
      <alignment vertical="center"/>
    </xf>
    <xf numFmtId="164" fontId="4" fillId="5" borderId="10" xfId="0" applyNumberFormat="1" applyFont="1" applyFill="1" applyBorder="1" applyAlignment="1">
      <alignment horizontal="center" vertical="center"/>
    </xf>
    <xf numFmtId="0" fontId="4" fillId="19" borderId="1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164" fontId="4" fillId="19" borderId="10" xfId="0" applyNumberFormat="1" applyFont="1" applyFill="1" applyBorder="1" applyAlignment="1">
      <alignment horizontal="center" vertical="center"/>
    </xf>
    <xf numFmtId="44" fontId="9" fillId="0" borderId="1" xfId="1" applyFont="1" applyFill="1" applyBorder="1" applyAlignment="1">
      <alignment vertical="center"/>
    </xf>
    <xf numFmtId="166" fontId="9" fillId="0" borderId="1" xfId="0" applyNumberFormat="1" applyFont="1" applyFill="1" applyBorder="1" applyAlignment="1">
      <alignment vertical="center"/>
    </xf>
    <xf numFmtId="166" fontId="4" fillId="0" borderId="43" xfId="0" applyNumberFormat="1" applyFont="1" applyFill="1" applyBorder="1" applyAlignment="1">
      <alignment vertical="center"/>
    </xf>
    <xf numFmtId="165" fontId="4" fillId="0" borderId="43" xfId="0" applyNumberFormat="1" applyFont="1" applyBorder="1" applyAlignment="1">
      <alignment horizontal="center"/>
    </xf>
    <xf numFmtId="0" fontId="3" fillId="0" borderId="29" xfId="0" applyFont="1" applyBorder="1"/>
    <xf numFmtId="0" fontId="3" fillId="0" borderId="5" xfId="0" applyFont="1" applyBorder="1"/>
    <xf numFmtId="165" fontId="3" fillId="0" borderId="29" xfId="0" applyNumberFormat="1" applyFont="1" applyBorder="1"/>
    <xf numFmtId="165" fontId="3" fillId="0" borderId="5" xfId="0" applyNumberFormat="1" applyFont="1" applyBorder="1"/>
    <xf numFmtId="166" fontId="3" fillId="0" borderId="29" xfId="0" applyNumberFormat="1" applyFont="1" applyBorder="1"/>
    <xf numFmtId="166" fontId="3" fillId="0" borderId="5" xfId="0" applyNumberFormat="1" applyFont="1" applyBorder="1"/>
    <xf numFmtId="43" fontId="5" fillId="0" borderId="0" xfId="0" applyNumberFormat="1" applyFont="1"/>
    <xf numFmtId="0" fontId="0" fillId="0" borderId="7" xfId="0" applyFill="1" applyBorder="1" applyAlignment="1">
      <alignment horizontal="center"/>
    </xf>
    <xf numFmtId="4" fontId="13" fillId="0" borderId="7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12" borderId="1" xfId="0" applyFill="1" applyBorder="1"/>
    <xf numFmtId="43" fontId="10" fillId="0" borderId="1" xfId="2" applyFont="1" applyBorder="1"/>
    <xf numFmtId="0" fontId="0" fillId="20" borderId="1" xfId="0" applyFill="1" applyBorder="1"/>
    <xf numFmtId="43" fontId="0" fillId="20" borderId="1" xfId="0" applyNumberFormat="1" applyFill="1" applyBorder="1"/>
    <xf numFmtId="43" fontId="10" fillId="20" borderId="1" xfId="2" applyFont="1" applyFill="1" applyBorder="1"/>
    <xf numFmtId="43" fontId="0" fillId="20" borderId="1" xfId="2" applyFont="1" applyFill="1" applyBorder="1"/>
    <xf numFmtId="0" fontId="6" fillId="0" borderId="0" xfId="0" applyFont="1" applyAlignment="1">
      <alignment horizontal="left"/>
    </xf>
    <xf numFmtId="0" fontId="0" fillId="20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4" fillId="2" borderId="5" xfId="0" applyFont="1" applyFill="1" applyBorder="1" applyAlignment="1">
      <alignment horizontal="center" vertical="center"/>
    </xf>
    <xf numFmtId="15" fontId="4" fillId="2" borderId="5" xfId="0" applyNumberFormat="1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" fontId="9" fillId="0" borderId="1" xfId="0" applyNumberFormat="1" applyFont="1" applyFill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15" fontId="4" fillId="0" borderId="11" xfId="0" applyNumberFormat="1" applyFont="1" applyFill="1" applyBorder="1" applyAlignment="1">
      <alignment horizontal="center" vertical="center"/>
    </xf>
    <xf numFmtId="4" fontId="4" fillId="0" borderId="0" xfId="0" applyNumberFormat="1" applyFont="1" applyAlignment="1">
      <alignment horizontal="right"/>
    </xf>
    <xf numFmtId="43" fontId="4" fillId="0" borderId="0" xfId="2" applyFont="1" applyFill="1" applyBorder="1" applyAlignment="1">
      <alignment horizontal="right"/>
    </xf>
    <xf numFmtId="4" fontId="4" fillId="0" borderId="0" xfId="0" applyNumberFormat="1" applyFont="1" applyFill="1" applyBorder="1" applyAlignment="1">
      <alignment horizontal="right"/>
    </xf>
    <xf numFmtId="0" fontId="4" fillId="0" borderId="60" xfId="0" applyFont="1" applyFill="1" applyBorder="1" applyAlignment="1">
      <alignment horizontal="center"/>
    </xf>
    <xf numFmtId="0" fontId="4" fillId="0" borderId="90" xfId="0" applyFont="1" applyFill="1" applyBorder="1" applyAlignment="1">
      <alignment horizontal="center"/>
    </xf>
    <xf numFmtId="4" fontId="3" fillId="0" borderId="4" xfId="0" applyNumberFormat="1" applyFont="1" applyFill="1" applyBorder="1" applyAlignment="1">
      <alignment horizontal="right" vertical="center"/>
    </xf>
    <xf numFmtId="0" fontId="9" fillId="0" borderId="8" xfId="0" applyFont="1" applyBorder="1" applyAlignment="1">
      <alignment horizontal="center"/>
    </xf>
    <xf numFmtId="4" fontId="2" fillId="0" borderId="2" xfId="0" applyNumberFormat="1" applyFont="1" applyFill="1" applyBorder="1" applyAlignment="1">
      <alignment horizontal="center" vertical="center"/>
    </xf>
    <xf numFmtId="0" fontId="4" fillId="3" borderId="91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4" fillId="3" borderId="22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8" xfId="0" applyFont="1" applyBorder="1" applyAlignment="1">
      <alignment horizontal="center" vertical="center"/>
    </xf>
    <xf numFmtId="44" fontId="4" fillId="0" borderId="4" xfId="0" applyNumberFormat="1" applyFont="1" applyFill="1" applyBorder="1"/>
    <xf numFmtId="165" fontId="4" fillId="0" borderId="4" xfId="0" applyNumberFormat="1" applyFont="1" applyFill="1" applyBorder="1"/>
    <xf numFmtId="0" fontId="52" fillId="0" borderId="0" xfId="0" applyFont="1" applyFill="1" applyBorder="1" applyAlignment="1">
      <alignment horizontal="left"/>
    </xf>
    <xf numFmtId="165" fontId="4" fillId="19" borderId="8" xfId="0" applyNumberFormat="1" applyFont="1" applyFill="1" applyBorder="1" applyAlignment="1">
      <alignment vertical="center"/>
    </xf>
    <xf numFmtId="165" fontId="4" fillId="0" borderId="8" xfId="0" applyNumberFormat="1" applyFont="1" applyFill="1" applyBorder="1" applyAlignment="1">
      <alignment vertical="center"/>
    </xf>
    <xf numFmtId="166" fontId="9" fillId="0" borderId="8" xfId="0" applyNumberFormat="1" applyFont="1" applyFill="1" applyBorder="1" applyAlignment="1">
      <alignment vertical="center"/>
    </xf>
    <xf numFmtId="166" fontId="4" fillId="0" borderId="88" xfId="0" applyNumberFormat="1" applyFont="1" applyFill="1" applyBorder="1"/>
    <xf numFmtId="166" fontId="4" fillId="0" borderId="88" xfId="0" applyNumberFormat="1" applyFont="1" applyFill="1" applyBorder="1" applyAlignment="1">
      <alignment vertical="center"/>
    </xf>
    <xf numFmtId="166" fontId="4" fillId="0" borderId="88" xfId="0" applyNumberFormat="1" applyFont="1" applyFill="1" applyBorder="1" applyAlignment="1">
      <alignment horizontal="center"/>
    </xf>
    <xf numFmtId="166" fontId="4" fillId="0" borderId="88" xfId="3" applyFont="1" applyFill="1" applyBorder="1" applyAlignment="1">
      <alignment horizontal="right" vertical="center"/>
    </xf>
    <xf numFmtId="166" fontId="9" fillId="0" borderId="88" xfId="0" applyNumberFormat="1" applyFont="1" applyFill="1" applyBorder="1" applyAlignment="1">
      <alignment vertical="center"/>
    </xf>
    <xf numFmtId="15" fontId="9" fillId="0" borderId="0" xfId="0" applyNumberFormat="1" applyFont="1" applyFill="1" applyAlignment="1">
      <alignment vertical="center"/>
    </xf>
    <xf numFmtId="0" fontId="9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left" vertical="center"/>
    </xf>
    <xf numFmtId="0" fontId="9" fillId="0" borderId="0" xfId="0" applyFont="1" applyFill="1" applyBorder="1" applyAlignment="1"/>
    <xf numFmtId="0" fontId="4" fillId="0" borderId="0" xfId="0" applyFont="1" applyFill="1" applyBorder="1" applyAlignment="1"/>
    <xf numFmtId="0" fontId="4" fillId="0" borderId="1" xfId="0" applyFont="1" applyBorder="1" applyAlignment="1"/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164" fontId="53" fillId="0" borderId="1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horizontal="left" vertical="center"/>
    </xf>
    <xf numFmtId="164" fontId="4" fillId="4" borderId="1" xfId="0" applyNumberFormat="1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164" fontId="4" fillId="0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49" fontId="4" fillId="21" borderId="5" xfId="0" applyNumberFormat="1" applyFont="1" applyFill="1" applyBorder="1" applyAlignment="1">
      <alignment horizontal="center" vertical="center"/>
    </xf>
    <xf numFmtId="166" fontId="4" fillId="21" borderId="5" xfId="3" applyFont="1" applyFill="1" applyBorder="1" applyAlignment="1">
      <alignment horizontal="left" vertical="center"/>
    </xf>
    <xf numFmtId="166" fontId="4" fillId="21" borderId="5" xfId="3" applyFont="1" applyFill="1" applyBorder="1" applyAlignment="1">
      <alignment horizontal="right" vertical="center"/>
    </xf>
    <xf numFmtId="44" fontId="4" fillId="21" borderId="5" xfId="0" applyNumberFormat="1" applyFont="1" applyFill="1" applyBorder="1" applyAlignment="1"/>
    <xf numFmtId="166" fontId="4" fillId="21" borderId="5" xfId="3" applyFont="1" applyFill="1" applyBorder="1" applyAlignment="1">
      <alignment horizontal="center" vertical="center"/>
    </xf>
    <xf numFmtId="43" fontId="4" fillId="0" borderId="0" xfId="2" applyFont="1" applyAlignment="1">
      <alignment horizontal="right"/>
    </xf>
    <xf numFmtId="15" fontId="4" fillId="19" borderId="1" xfId="0" applyNumberFormat="1" applyFont="1" applyFill="1" applyBorder="1" applyAlignment="1">
      <alignment horizontal="center" vertical="center"/>
    </xf>
    <xf numFmtId="164" fontId="4" fillId="12" borderId="11" xfId="0" applyNumberFormat="1" applyFont="1" applyFill="1" applyBorder="1" applyAlignment="1">
      <alignment horizontal="center" vertical="center"/>
    </xf>
    <xf numFmtId="0" fontId="53" fillId="0" borderId="8" xfId="0" applyFont="1" applyFill="1" applyBorder="1" applyAlignment="1">
      <alignment vertical="center"/>
    </xf>
    <xf numFmtId="43" fontId="53" fillId="0" borderId="1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43" fontId="4" fillId="0" borderId="8" xfId="2" applyFont="1" applyFill="1" applyBorder="1" applyAlignment="1">
      <alignment horizontal="center" vertical="center"/>
    </xf>
    <xf numFmtId="43" fontId="4" fillId="0" borderId="10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17" borderId="8" xfId="0" applyFont="1" applyFill="1" applyBorder="1" applyAlignment="1">
      <alignment horizontal="center" vertical="center"/>
    </xf>
    <xf numFmtId="43" fontId="4" fillId="0" borderId="9" xfId="2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43" fontId="53" fillId="0" borderId="8" xfId="2" applyFont="1" applyFill="1" applyBorder="1" applyAlignment="1">
      <alignment vertical="center"/>
    </xf>
    <xf numFmtId="0" fontId="53" fillId="0" borderId="8" xfId="0" applyFont="1" applyFill="1" applyBorder="1" applyAlignment="1">
      <alignment horizontal="center" vertical="center"/>
    </xf>
    <xf numFmtId="0" fontId="53" fillId="0" borderId="1" xfId="0" applyFont="1" applyFill="1" applyBorder="1" applyAlignment="1">
      <alignment horizontal="center" vertical="center"/>
    </xf>
    <xf numFmtId="43" fontId="53" fillId="0" borderId="9" xfId="2" applyFont="1" applyFill="1" applyBorder="1" applyAlignment="1">
      <alignment horizontal="center" vertical="center"/>
    </xf>
    <xf numFmtId="164" fontId="4" fillId="0" borderId="8" xfId="0" applyNumberFormat="1" applyFont="1" applyFill="1" applyBorder="1" applyAlignment="1">
      <alignment vertical="center"/>
    </xf>
    <xf numFmtId="164" fontId="53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4" fontId="38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4" fontId="13" fillId="0" borderId="1" xfId="7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43" fontId="13" fillId="0" borderId="1" xfId="2" applyFont="1" applyFill="1" applyBorder="1"/>
    <xf numFmtId="43" fontId="0" fillId="2" borderId="1" xfId="0" applyNumberFormat="1" applyFill="1" applyBorder="1"/>
    <xf numFmtId="4" fontId="9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3" fontId="4" fillId="0" borderId="8" xfId="2" applyFont="1" applyFill="1" applyBorder="1" applyAlignment="1">
      <alignment vertical="center" wrapText="1"/>
    </xf>
    <xf numFmtId="0" fontId="9" fillId="0" borderId="1" xfId="0" applyFont="1" applyFill="1" applyBorder="1" applyAlignment="1">
      <alignment horizontal="center" vertical="center"/>
    </xf>
    <xf numFmtId="165" fontId="4" fillId="5" borderId="8" xfId="0" applyNumberFormat="1" applyFont="1" applyFill="1" applyBorder="1" applyAlignment="1">
      <alignment vertical="center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165" fontId="4" fillId="0" borderId="0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165" fontId="4" fillId="0" borderId="1" xfId="0" applyNumberFormat="1" applyFont="1" applyFill="1" applyBorder="1" applyAlignment="1">
      <alignment vertical="center"/>
    </xf>
    <xf numFmtId="0" fontId="4" fillId="0" borderId="88" xfId="0" applyFont="1" applyFill="1" applyBorder="1" applyAlignment="1">
      <alignment horizontal="center" vertical="center"/>
    </xf>
    <xf numFmtId="165" fontId="4" fillId="5" borderId="8" xfId="0" applyNumberFormat="1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3" fillId="3" borderId="60" xfId="0" applyFont="1" applyFill="1" applyBorder="1" applyAlignment="1">
      <alignment horizontal="center" vertical="center"/>
    </xf>
    <xf numFmtId="0" fontId="3" fillId="0" borderId="60" xfId="0" applyFont="1" applyFill="1" applyBorder="1" applyAlignment="1">
      <alignment horizontal="center" vertical="center"/>
    </xf>
    <xf numFmtId="0" fontId="3" fillId="0" borderId="60" xfId="0" applyFont="1" applyBorder="1" applyAlignment="1">
      <alignment horizontal="left" vertical="center"/>
    </xf>
    <xf numFmtId="0" fontId="3" fillId="0" borderId="60" xfId="0" applyFont="1" applyBorder="1" applyAlignment="1">
      <alignment horizontal="center" vertical="center"/>
    </xf>
    <xf numFmtId="44" fontId="3" fillId="0" borderId="60" xfId="1" applyFont="1" applyBorder="1" applyAlignment="1">
      <alignment horizontal="right" vertical="center"/>
    </xf>
    <xf numFmtId="165" fontId="3" fillId="0" borderId="60" xfId="2" applyNumberFormat="1" applyFont="1" applyBorder="1" applyAlignment="1">
      <alignment horizontal="left" vertical="center"/>
    </xf>
    <xf numFmtId="165" fontId="3" fillId="0" borderId="60" xfId="2" applyNumberFormat="1" applyFont="1" applyFill="1" applyBorder="1" applyAlignment="1">
      <alignment horizontal="left" vertical="center"/>
    </xf>
    <xf numFmtId="165" fontId="3" fillId="0" borderId="60" xfId="0" applyNumberFormat="1" applyFont="1" applyFill="1" applyBorder="1" applyAlignment="1">
      <alignment horizontal="left" vertical="center"/>
    </xf>
    <xf numFmtId="44" fontId="3" fillId="0" borderId="6" xfId="1" applyFont="1" applyBorder="1" applyAlignment="1">
      <alignment horizontal="right" vertical="center"/>
    </xf>
    <xf numFmtId="4" fontId="3" fillId="0" borderId="18" xfId="0" applyNumberFormat="1" applyFont="1" applyFill="1" applyBorder="1" applyAlignment="1">
      <alignment vertical="center"/>
    </xf>
    <xf numFmtId="0" fontId="4" fillId="3" borderId="91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44" fontId="4" fillId="0" borderId="4" xfId="0" applyNumberFormat="1" applyFont="1" applyFill="1" applyBorder="1" applyAlignment="1">
      <alignment horizontal="center"/>
    </xf>
    <xf numFmtId="43" fontId="3" fillId="0" borderId="4" xfId="2" applyFont="1" applyFill="1" applyBorder="1" applyAlignment="1">
      <alignment horizontal="right" vertical="center"/>
    </xf>
    <xf numFmtId="43" fontId="3" fillId="0" borderId="5" xfId="2" applyFont="1" applyFill="1" applyBorder="1" applyAlignment="1">
      <alignment horizontal="right" vertical="center"/>
    </xf>
    <xf numFmtId="43" fontId="3" fillId="0" borderId="6" xfId="2" applyFont="1" applyFill="1" applyBorder="1" applyAlignment="1">
      <alignment horizontal="right" vertical="center"/>
    </xf>
    <xf numFmtId="166" fontId="4" fillId="0" borderId="68" xfId="0" applyNumberFormat="1" applyFont="1" applyBorder="1"/>
    <xf numFmtId="0" fontId="2" fillId="6" borderId="8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6" fontId="4" fillId="19" borderId="4" xfId="3" applyFont="1" applyFill="1" applyBorder="1" applyAlignment="1">
      <alignment horizontal="right" vertical="center"/>
    </xf>
    <xf numFmtId="166" fontId="4" fillId="19" borderId="5" xfId="3" applyFont="1" applyFill="1" applyBorder="1" applyAlignment="1">
      <alignment horizontal="right" vertical="center"/>
    </xf>
    <xf numFmtId="165" fontId="4" fillId="19" borderId="5" xfId="3" applyNumberFormat="1" applyFont="1" applyFill="1" applyBorder="1" applyAlignment="1">
      <alignment horizontal="right" vertical="center"/>
    </xf>
    <xf numFmtId="165" fontId="3" fillId="0" borderId="29" xfId="0" applyNumberFormat="1" applyFont="1" applyFill="1" applyBorder="1"/>
    <xf numFmtId="166" fontId="4" fillId="5" borderId="5" xfId="3" applyFont="1" applyFill="1" applyBorder="1" applyAlignment="1">
      <alignment horizontal="right" vertical="center"/>
    </xf>
    <xf numFmtId="0" fontId="4" fillId="5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left"/>
    </xf>
    <xf numFmtId="164" fontId="4" fillId="5" borderId="5" xfId="0" applyNumberFormat="1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left" vertical="center"/>
    </xf>
    <xf numFmtId="0" fontId="4" fillId="5" borderId="5" xfId="0" applyFont="1" applyFill="1" applyBorder="1" applyAlignment="1"/>
    <xf numFmtId="0" fontId="4" fillId="5" borderId="5" xfId="0" applyFont="1" applyFill="1" applyBorder="1" applyAlignment="1">
      <alignment vertical="center"/>
    </xf>
    <xf numFmtId="1" fontId="4" fillId="5" borderId="5" xfId="0" applyNumberFormat="1" applyFont="1" applyFill="1" applyBorder="1" applyAlignment="1">
      <alignment horizontal="center" vertical="center"/>
    </xf>
    <xf numFmtId="0" fontId="4" fillId="5" borderId="68" xfId="0" applyFont="1" applyFill="1" applyBorder="1" applyAlignment="1">
      <alignment horizontal="center"/>
    </xf>
    <xf numFmtId="0" fontId="4" fillId="5" borderId="68" xfId="0" applyFont="1" applyFill="1" applyBorder="1" applyAlignment="1">
      <alignment horizontal="center" vertical="center"/>
    </xf>
    <xf numFmtId="0" fontId="4" fillId="5" borderId="68" xfId="0" applyFont="1" applyFill="1" applyBorder="1" applyAlignment="1">
      <alignment horizontal="left" vertical="center"/>
    </xf>
    <xf numFmtId="44" fontId="4" fillId="5" borderId="68" xfId="0" applyNumberFormat="1" applyFont="1" applyFill="1" applyBorder="1" applyAlignment="1"/>
    <xf numFmtId="0" fontId="4" fillId="0" borderId="9" xfId="0" applyFont="1" applyFill="1" applyBorder="1" applyAlignment="1">
      <alignment horizontal="left" vertical="center"/>
    </xf>
    <xf numFmtId="4" fontId="4" fillId="0" borderId="9" xfId="0" applyNumberFormat="1" applyFont="1" applyFill="1" applyBorder="1" applyAlignment="1">
      <alignment horizontal="left" vertical="center"/>
    </xf>
    <xf numFmtId="0" fontId="4" fillId="0" borderId="1" xfId="0" applyFont="1" applyFill="1" applyBorder="1"/>
    <xf numFmtId="165" fontId="4" fillId="0" borderId="1" xfId="0" applyNumberFormat="1" applyFont="1" applyFill="1" applyBorder="1"/>
    <xf numFmtId="166" fontId="4" fillId="0" borderId="1" xfId="0" applyNumberFormat="1" applyFont="1" applyFill="1" applyBorder="1"/>
    <xf numFmtId="166" fontId="4" fillId="0" borderId="1" xfId="0" applyNumberFormat="1" applyFont="1" applyFill="1" applyBorder="1" applyAlignment="1">
      <alignment vertical="center"/>
    </xf>
    <xf numFmtId="0" fontId="4" fillId="5" borderId="9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left" vertical="center"/>
    </xf>
    <xf numFmtId="0" fontId="4" fillId="19" borderId="9" xfId="0" applyFont="1" applyFill="1" applyBorder="1" applyAlignment="1">
      <alignment horizontal="center" vertical="center"/>
    </xf>
    <xf numFmtId="4" fontId="4" fillId="19" borderId="9" xfId="0" applyNumberFormat="1" applyFont="1" applyFill="1" applyBorder="1" applyAlignment="1">
      <alignment horizontal="left" vertical="center"/>
    </xf>
    <xf numFmtId="4" fontId="4" fillId="5" borderId="9" xfId="0" applyNumberFormat="1" applyFont="1" applyFill="1" applyBorder="1" applyAlignment="1">
      <alignment horizontal="left" vertical="center"/>
    </xf>
    <xf numFmtId="0" fontId="4" fillId="19" borderId="9" xfId="0" applyFont="1" applyFill="1" applyBorder="1" applyAlignment="1">
      <alignment horizontal="left" vertical="center"/>
    </xf>
    <xf numFmtId="0" fontId="9" fillId="0" borderId="88" xfId="0" applyFont="1" applyFill="1" applyBorder="1" applyAlignment="1">
      <alignment horizontal="center" vertical="center"/>
    </xf>
    <xf numFmtId="4" fontId="4" fillId="0" borderId="0" xfId="0" applyNumberFormat="1" applyFont="1" applyBorder="1" applyAlignment="1">
      <alignment horizontal="center" vertical="center"/>
    </xf>
    <xf numFmtId="4" fontId="9" fillId="7" borderId="1" xfId="0" applyNumberFormat="1" applyFont="1" applyFill="1" applyBorder="1" applyAlignment="1">
      <alignment horizontal="center" vertical="center"/>
    </xf>
    <xf numFmtId="4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4" fontId="9" fillId="7" borderId="2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43" fontId="9" fillId="0" borderId="1" xfId="2" applyFont="1" applyFill="1" applyBorder="1" applyAlignment="1">
      <alignment horizontal="center" vertical="center"/>
    </xf>
    <xf numFmtId="164" fontId="4" fillId="0" borderId="11" xfId="0" applyNumberFormat="1" applyFont="1" applyFill="1" applyBorder="1" applyAlignment="1">
      <alignment horizontal="center" vertical="center" wrapText="1"/>
    </xf>
    <xf numFmtId="15" fontId="4" fillId="19" borderId="1" xfId="0" applyNumberFormat="1" applyFont="1" applyFill="1" applyBorder="1" applyAlignment="1">
      <alignment horizontal="center" vertical="center"/>
    </xf>
    <xf numFmtId="44" fontId="4" fillId="12" borderId="5" xfId="1" applyFont="1" applyFill="1" applyBorder="1" applyAlignment="1">
      <alignment horizontal="left"/>
    </xf>
    <xf numFmtId="15" fontId="4" fillId="18" borderId="1" xfId="0" applyNumberFormat="1" applyFont="1" applyFill="1" applyBorder="1" applyAlignment="1">
      <alignment horizontal="center" vertical="center"/>
    </xf>
    <xf numFmtId="4" fontId="9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164" fontId="4" fillId="0" borderId="9" xfId="0" applyNumberFormat="1" applyFont="1" applyFill="1" applyBorder="1" applyAlignment="1">
      <alignment horizontal="center" vertical="center"/>
    </xf>
    <xf numFmtId="43" fontId="4" fillId="0" borderId="8" xfId="2" applyFont="1" applyFill="1" applyBorder="1" applyAlignment="1">
      <alignment horizontal="center" vertical="center"/>
    </xf>
    <xf numFmtId="43" fontId="4" fillId="0" borderId="10" xfId="2" applyFont="1" applyFill="1" applyBorder="1" applyAlignment="1">
      <alignment horizontal="center" vertical="center"/>
    </xf>
    <xf numFmtId="43" fontId="4" fillId="0" borderId="9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43" fontId="30" fillId="0" borderId="10" xfId="2" applyFont="1" applyFill="1" applyBorder="1" applyAlignment="1">
      <alignment horizontal="center" vertical="center"/>
    </xf>
    <xf numFmtId="43" fontId="4" fillId="2" borderId="5" xfId="2" applyFont="1" applyFill="1" applyBorder="1" applyAlignment="1">
      <alignment vertical="center"/>
    </xf>
    <xf numFmtId="4" fontId="4" fillId="22" borderId="1" xfId="0" applyNumberFormat="1" applyFont="1" applyFill="1" applyBorder="1" applyAlignment="1">
      <alignment horizontal="left" vertical="center"/>
    </xf>
    <xf numFmtId="0" fontId="4" fillId="22" borderId="1" xfId="0" applyFont="1" applyFill="1" applyBorder="1" applyAlignment="1">
      <alignment horizontal="center" vertical="center"/>
    </xf>
    <xf numFmtId="17" fontId="3" fillId="22" borderId="1" xfId="0" applyNumberFormat="1" applyFont="1" applyFill="1" applyBorder="1" applyAlignment="1">
      <alignment horizontal="center"/>
    </xf>
    <xf numFmtId="0" fontId="3" fillId="22" borderId="1" xfId="0" applyFont="1" applyFill="1" applyBorder="1" applyAlignment="1">
      <alignment horizontal="center"/>
    </xf>
    <xf numFmtId="0" fontId="34" fillId="22" borderId="1" xfId="0" applyFont="1" applyFill="1" applyBorder="1" applyAlignment="1">
      <alignment horizontal="center"/>
    </xf>
    <xf numFmtId="0" fontId="3" fillId="23" borderId="1" xfId="0" applyFont="1" applyFill="1" applyBorder="1" applyAlignment="1">
      <alignment horizontal="center"/>
    </xf>
    <xf numFmtId="0" fontId="4" fillId="22" borderId="1" xfId="0" applyFont="1" applyFill="1" applyBorder="1" applyAlignment="1">
      <alignment horizontal="left" vertical="center"/>
    </xf>
    <xf numFmtId="164" fontId="4" fillId="22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164" fontId="4" fillId="0" borderId="9" xfId="0" applyNumberFormat="1" applyFont="1" applyFill="1" applyBorder="1" applyAlignment="1">
      <alignment vertical="center"/>
    </xf>
    <xf numFmtId="0" fontId="3" fillId="0" borderId="8" xfId="0" applyFont="1" applyFill="1" applyBorder="1" applyAlignment="1"/>
    <xf numFmtId="0" fontId="4" fillId="0" borderId="9" xfId="0" applyFont="1" applyFill="1" applyBorder="1" applyAlignment="1">
      <alignment vertical="center"/>
    </xf>
    <xf numFmtId="0" fontId="4" fillId="0" borderId="8" xfId="0" applyFont="1" applyFill="1" applyBorder="1" applyAlignment="1"/>
    <xf numFmtId="0" fontId="4" fillId="0" borderId="9" xfId="0" applyFont="1" applyFill="1" applyBorder="1" applyAlignment="1"/>
    <xf numFmtId="43" fontId="4" fillId="0" borderId="17" xfId="2" applyFont="1" applyFill="1" applyBorder="1" applyAlignment="1">
      <alignment vertical="center"/>
    </xf>
    <xf numFmtId="1" fontId="4" fillId="0" borderId="9" xfId="0" applyNumberFormat="1" applyFont="1" applyFill="1" applyBorder="1" applyAlignment="1">
      <alignment vertical="center"/>
    </xf>
    <xf numFmtId="43" fontId="4" fillId="0" borderId="43" xfId="2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15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66" fontId="4" fillId="12" borderId="11" xfId="3" applyFont="1" applyFill="1" applyBorder="1" applyAlignment="1">
      <alignment horizontal="left" vertical="center"/>
    </xf>
    <xf numFmtId="165" fontId="4" fillId="12" borderId="11" xfId="2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10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4" fontId="4" fillId="19" borderId="5" xfId="0" applyNumberFormat="1" applyFont="1" applyFill="1" applyBorder="1" applyAlignment="1"/>
    <xf numFmtId="165" fontId="4" fillId="19" borderId="5" xfId="0" applyNumberFormat="1" applyFont="1" applyFill="1" applyBorder="1"/>
    <xf numFmtId="43" fontId="4" fillId="0" borderId="0" xfId="0" applyNumberFormat="1" applyFont="1" applyBorder="1" applyAlignment="1">
      <alignment horizontal="center"/>
    </xf>
    <xf numFmtId="166" fontId="4" fillId="0" borderId="68" xfId="0" applyNumberFormat="1" applyFont="1" applyFill="1" applyBorder="1"/>
    <xf numFmtId="166" fontId="4" fillId="0" borderId="7" xfId="0" applyNumberFormat="1" applyFont="1" applyFill="1" applyBorder="1"/>
    <xf numFmtId="165" fontId="4" fillId="0" borderId="7" xfId="0" applyNumberFormat="1" applyFont="1" applyFill="1" applyBorder="1"/>
    <xf numFmtId="165" fontId="9" fillId="0" borderId="0" xfId="0" applyNumberFormat="1" applyFont="1" applyFill="1" applyAlignment="1">
      <alignment vertical="center"/>
    </xf>
    <xf numFmtId="166" fontId="4" fillId="0" borderId="92" xfId="0" applyNumberFormat="1" applyFont="1" applyFill="1" applyBorder="1"/>
    <xf numFmtId="165" fontId="4" fillId="0" borderId="92" xfId="3" applyNumberFormat="1" applyFont="1" applyFill="1" applyBorder="1" applyAlignment="1">
      <alignment horizontal="right" vertical="center"/>
    </xf>
    <xf numFmtId="166" fontId="4" fillId="0" borderId="92" xfId="3" applyFont="1" applyFill="1" applyBorder="1" applyAlignment="1">
      <alignment horizontal="right" vertical="center"/>
    </xf>
    <xf numFmtId="165" fontId="4" fillId="0" borderId="92" xfId="0" applyNumberFormat="1" applyFont="1" applyFill="1" applyBorder="1"/>
    <xf numFmtId="165" fontId="4" fillId="0" borderId="92" xfId="2" applyNumberFormat="1" applyFont="1" applyFill="1" applyBorder="1" applyAlignment="1">
      <alignment horizontal="center" vertical="center"/>
    </xf>
    <xf numFmtId="166" fontId="4" fillId="0" borderId="92" xfId="2" applyNumberFormat="1" applyFont="1" applyFill="1" applyBorder="1" applyAlignment="1">
      <alignment horizontal="center" vertical="center"/>
    </xf>
    <xf numFmtId="165" fontId="4" fillId="0" borderId="92" xfId="0" applyNumberFormat="1" applyFont="1" applyFill="1" applyBorder="1" applyAlignment="1">
      <alignment vertical="center"/>
    </xf>
    <xf numFmtId="165" fontId="4" fillId="0" borderId="92" xfId="0" applyNumberFormat="1" applyFont="1" applyFill="1" applyBorder="1" applyAlignment="1">
      <alignment horizontal="center"/>
    </xf>
    <xf numFmtId="166" fontId="4" fillId="5" borderId="92" xfId="3" applyFont="1" applyFill="1" applyBorder="1" applyAlignment="1">
      <alignment horizontal="right" vertical="center"/>
    </xf>
    <xf numFmtId="166" fontId="4" fillId="5" borderId="93" xfId="3" applyFont="1" applyFill="1" applyBorder="1" applyAlignment="1">
      <alignment horizontal="right" vertical="center"/>
    </xf>
    <xf numFmtId="0" fontId="4" fillId="19" borderId="5" xfId="0" applyFont="1" applyFill="1" applyBorder="1" applyAlignment="1">
      <alignment horizontal="center"/>
    </xf>
    <xf numFmtId="0" fontId="4" fillId="19" borderId="5" xfId="0" applyFont="1" applyFill="1" applyBorder="1" applyAlignment="1">
      <alignment horizontal="center" vertical="center"/>
    </xf>
    <xf numFmtId="0" fontId="4" fillId="19" borderId="5" xfId="0" applyFont="1" applyFill="1" applyBorder="1" applyAlignment="1">
      <alignment horizontal="left" vertical="center"/>
    </xf>
    <xf numFmtId="164" fontId="4" fillId="19" borderId="5" xfId="0" applyNumberFormat="1" applyFont="1" applyFill="1" applyBorder="1" applyAlignment="1">
      <alignment horizontal="center" vertical="center"/>
    </xf>
    <xf numFmtId="166" fontId="4" fillId="19" borderId="92" xfId="3" applyFont="1" applyFill="1" applyBorder="1" applyAlignment="1">
      <alignment horizontal="right" vertical="center"/>
    </xf>
    <xf numFmtId="0" fontId="4" fillId="19" borderId="5" xfId="0" applyFont="1" applyFill="1" applyBorder="1" applyAlignment="1">
      <alignment vertical="center"/>
    </xf>
    <xf numFmtId="165" fontId="4" fillId="19" borderId="92" xfId="0" applyNumberFormat="1" applyFont="1" applyFill="1" applyBorder="1"/>
    <xf numFmtId="0" fontId="4" fillId="19" borderId="4" xfId="0" applyFont="1" applyFill="1" applyBorder="1" applyAlignment="1">
      <alignment horizontal="center"/>
    </xf>
    <xf numFmtId="0" fontId="4" fillId="19" borderId="4" xfId="0" applyFont="1" applyFill="1" applyBorder="1" applyAlignment="1">
      <alignment horizontal="center" vertical="center"/>
    </xf>
    <xf numFmtId="0" fontId="4" fillId="19" borderId="4" xfId="0" applyFont="1" applyFill="1" applyBorder="1" applyAlignment="1">
      <alignment horizontal="left" vertical="center"/>
    </xf>
    <xf numFmtId="164" fontId="4" fillId="19" borderId="4" xfId="0" applyNumberFormat="1" applyFont="1" applyFill="1" applyBorder="1" applyAlignment="1">
      <alignment horizontal="center" vertical="center"/>
    </xf>
    <xf numFmtId="44" fontId="4" fillId="19" borderId="4" xfId="0" applyNumberFormat="1" applyFont="1" applyFill="1" applyBorder="1" applyAlignment="1"/>
    <xf numFmtId="44" fontId="4" fillId="19" borderId="5" xfId="0" applyNumberFormat="1" applyFont="1" applyFill="1" applyBorder="1" applyAlignment="1">
      <alignment vertical="center"/>
    </xf>
    <xf numFmtId="166" fontId="4" fillId="19" borderId="92" xfId="0" applyNumberFormat="1" applyFont="1" applyFill="1" applyBorder="1" applyAlignment="1">
      <alignment vertical="center"/>
    </xf>
    <xf numFmtId="166" fontId="4" fillId="19" borderId="92" xfId="2" applyNumberFormat="1" applyFont="1" applyFill="1" applyBorder="1" applyAlignment="1">
      <alignment horizontal="center" vertical="center"/>
    </xf>
    <xf numFmtId="44" fontId="4" fillId="19" borderId="5" xfId="0" applyNumberFormat="1" applyFont="1" applyFill="1" applyBorder="1"/>
    <xf numFmtId="165" fontId="2" fillId="0" borderId="29" xfId="0" applyNumberFormat="1" applyFont="1" applyBorder="1" applyAlignment="1">
      <alignment vertical="center"/>
    </xf>
    <xf numFmtId="0" fontId="3" fillId="5" borderId="29" xfId="0" applyFont="1" applyFill="1" applyBorder="1"/>
    <xf numFmtId="165" fontId="3" fillId="5" borderId="5" xfId="0" applyNumberFormat="1" applyFont="1" applyFill="1" applyBorder="1"/>
    <xf numFmtId="0" fontId="3" fillId="5" borderId="5" xfId="0" applyFont="1" applyFill="1" applyBorder="1"/>
    <xf numFmtId="166" fontId="3" fillId="5" borderId="5" xfId="0" applyNumberFormat="1" applyFont="1" applyFill="1" applyBorder="1"/>
    <xf numFmtId="0" fontId="3" fillId="19" borderId="64" xfId="0" applyFont="1" applyFill="1" applyBorder="1"/>
    <xf numFmtId="0" fontId="3" fillId="19" borderId="4" xfId="0" applyFont="1" applyFill="1" applyBorder="1"/>
    <xf numFmtId="166" fontId="3" fillId="19" borderId="4" xfId="0" applyNumberFormat="1" applyFont="1" applyFill="1" applyBorder="1"/>
    <xf numFmtId="0" fontId="3" fillId="19" borderId="29" xfId="0" applyFont="1" applyFill="1" applyBorder="1"/>
    <xf numFmtId="0" fontId="3" fillId="19" borderId="5" xfId="0" applyFont="1" applyFill="1" applyBorder="1"/>
    <xf numFmtId="165" fontId="3" fillId="19" borderId="5" xfId="0" applyNumberFormat="1" applyFont="1" applyFill="1" applyBorder="1"/>
    <xf numFmtId="166" fontId="3" fillId="19" borderId="5" xfId="0" applyNumberFormat="1" applyFont="1" applyFill="1" applyBorder="1"/>
    <xf numFmtId="166" fontId="3" fillId="19" borderId="29" xfId="0" applyNumberFormat="1" applyFont="1" applyFill="1" applyBorder="1"/>
    <xf numFmtId="0" fontId="4" fillId="0" borderId="39" xfId="0" applyFont="1" applyFill="1" applyBorder="1" applyAlignment="1">
      <alignment horizontal="left" vertical="center"/>
    </xf>
    <xf numFmtId="165" fontId="4" fillId="0" borderId="8" xfId="0" applyNumberFormat="1" applyFont="1" applyFill="1" applyBorder="1" applyAlignment="1">
      <alignment horizontal="center" vertical="center"/>
    </xf>
    <xf numFmtId="165" fontId="3" fillId="6" borderId="29" xfId="0" applyNumberFormat="1" applyFont="1" applyFill="1" applyBorder="1"/>
    <xf numFmtId="0" fontId="4" fillId="2" borderId="5" xfId="0" applyFont="1" applyFill="1" applyBorder="1" applyAlignment="1">
      <alignment horizontal="left" vertical="center"/>
    </xf>
    <xf numFmtId="0" fontId="4" fillId="19" borderId="88" xfId="0" applyFont="1" applyFill="1" applyBorder="1" applyAlignment="1">
      <alignment vertical="center"/>
    </xf>
    <xf numFmtId="0" fontId="4" fillId="19" borderId="1" xfId="0" applyFont="1" applyFill="1" applyBorder="1"/>
    <xf numFmtId="166" fontId="4" fillId="19" borderId="1" xfId="0" applyNumberFormat="1" applyFont="1" applyFill="1" applyBorder="1"/>
    <xf numFmtId="166" fontId="4" fillId="5" borderId="88" xfId="0" applyNumberFormat="1" applyFont="1" applyFill="1" applyBorder="1"/>
    <xf numFmtId="0" fontId="4" fillId="5" borderId="1" xfId="0" applyFont="1" applyFill="1" applyBorder="1"/>
    <xf numFmtId="0" fontId="4" fillId="5" borderId="88" xfId="0" applyFont="1" applyFill="1" applyBorder="1" applyAlignment="1">
      <alignment horizontal="center" vertical="center"/>
    </xf>
    <xf numFmtId="165" fontId="4" fillId="5" borderId="1" xfId="0" applyNumberFormat="1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165" fontId="4" fillId="19" borderId="8" xfId="0" applyNumberFormat="1" applyFont="1" applyFill="1" applyBorder="1" applyAlignment="1">
      <alignment horizontal="center" vertical="center"/>
    </xf>
    <xf numFmtId="0" fontId="4" fillId="19" borderId="88" xfId="0" applyFont="1" applyFill="1" applyBorder="1" applyAlignment="1">
      <alignment horizontal="center" vertical="center"/>
    </xf>
    <xf numFmtId="165" fontId="4" fillId="19" borderId="1" xfId="0" applyNumberFormat="1" applyFont="1" applyFill="1" applyBorder="1" applyAlignment="1">
      <alignment vertical="center"/>
    </xf>
    <xf numFmtId="166" fontId="4" fillId="5" borderId="88" xfId="3" applyFont="1" applyFill="1" applyBorder="1" applyAlignment="1">
      <alignment horizontal="right" vertical="center"/>
    </xf>
    <xf numFmtId="166" fontId="4" fillId="5" borderId="1" xfId="0" applyNumberFormat="1" applyFont="1" applyFill="1" applyBorder="1" applyAlignment="1">
      <alignment vertical="center"/>
    </xf>
    <xf numFmtId="165" fontId="4" fillId="5" borderId="1" xfId="0" applyNumberFormat="1" applyFont="1" applyFill="1" applyBorder="1"/>
    <xf numFmtId="166" fontId="4" fillId="19" borderId="88" xfId="0" applyNumberFormat="1" applyFont="1" applyFill="1" applyBorder="1" applyAlignment="1">
      <alignment vertical="center"/>
    </xf>
    <xf numFmtId="166" fontId="4" fillId="5" borderId="88" xfId="0" applyNumberFormat="1" applyFont="1" applyFill="1" applyBorder="1" applyAlignment="1">
      <alignment vertical="center"/>
    </xf>
    <xf numFmtId="166" fontId="4" fillId="19" borderId="88" xfId="0" applyNumberFormat="1" applyFont="1" applyFill="1" applyBorder="1"/>
    <xf numFmtId="165" fontId="4" fillId="19" borderId="1" xfId="0" applyNumberFormat="1" applyFont="1" applyFill="1" applyBorder="1"/>
    <xf numFmtId="0" fontId="4" fillId="5" borderId="19" xfId="0" applyFont="1" applyFill="1" applyBorder="1" applyAlignment="1">
      <alignment horizontal="left" vertical="center"/>
    </xf>
    <xf numFmtId="166" fontId="4" fillId="19" borderId="88" xfId="0" applyNumberFormat="1" applyFont="1" applyFill="1" applyBorder="1" applyAlignment="1">
      <alignment horizontal="center"/>
    </xf>
    <xf numFmtId="0" fontId="4" fillId="0" borderId="0" xfId="0" quotePrefix="1" applyFont="1" applyBorder="1" applyAlignment="1">
      <alignment horizontal="left"/>
    </xf>
    <xf numFmtId="166" fontId="4" fillId="6" borderId="88" xfId="3" applyFont="1" applyFill="1" applyBorder="1" applyAlignment="1">
      <alignment horizontal="right" vertic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43" fontId="4" fillId="0" borderId="8" xfId="2" applyFont="1" applyFill="1" applyBorder="1" applyAlignment="1">
      <alignment horizontal="center" vertical="center"/>
    </xf>
    <xf numFmtId="43" fontId="4" fillId="0" borderId="10" xfId="2" applyFont="1" applyFill="1" applyBorder="1" applyAlignment="1">
      <alignment horizontal="center" vertical="center"/>
    </xf>
    <xf numFmtId="0" fontId="4" fillId="17" borderId="8" xfId="0" applyFont="1" applyFill="1" applyBorder="1" applyAlignment="1">
      <alignment horizontal="center" vertical="center"/>
    </xf>
    <xf numFmtId="43" fontId="4" fillId="0" borderId="9" xfId="2" applyFont="1" applyFill="1" applyBorder="1" applyAlignment="1">
      <alignment horizontal="center" vertical="center"/>
    </xf>
    <xf numFmtId="43" fontId="4" fillId="0" borderId="1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17" borderId="9" xfId="0" applyFont="1" applyFill="1" applyBorder="1" applyAlignment="1">
      <alignment horizontal="center" vertical="center"/>
    </xf>
    <xf numFmtId="15" fontId="4" fillId="0" borderId="1" xfId="0" applyNumberFormat="1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6" fontId="3" fillId="6" borderId="5" xfId="0" applyNumberFormat="1" applyFont="1" applyFill="1" applyBorder="1"/>
    <xf numFmtId="0" fontId="4" fillId="2" borderId="1" xfId="0" applyFont="1" applyFill="1" applyBorder="1" applyAlignment="1">
      <alignment horizontal="center" vertical="center" wrapText="1"/>
    </xf>
    <xf numFmtId="0" fontId="4" fillId="22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66" fontId="4" fillId="2" borderId="5" xfId="3" applyFont="1" applyFill="1" applyBorder="1" applyAlignment="1">
      <alignment horizontal="left" vertical="center"/>
    </xf>
    <xf numFmtId="165" fontId="3" fillId="6" borderId="5" xfId="0" applyNumberFormat="1" applyFont="1" applyFill="1" applyBorder="1"/>
    <xf numFmtId="0" fontId="4" fillId="0" borderId="1" xfId="0" applyFont="1" applyFill="1" applyBorder="1" applyAlignment="1">
      <alignment horizontal="center" vertical="center"/>
    </xf>
    <xf numFmtId="164" fontId="4" fillId="2" borderId="5" xfId="0" applyNumberFormat="1" applyFont="1" applyFill="1" applyBorder="1" applyAlignment="1">
      <alignment horizontal="center" vertical="center"/>
    </xf>
    <xf numFmtId="44" fontId="4" fillId="2" borderId="5" xfId="0" applyNumberFormat="1" applyFont="1" applyFill="1" applyBorder="1"/>
    <xf numFmtId="165" fontId="4" fillId="2" borderId="92" xfId="0" applyNumberFormat="1" applyFont="1" applyFill="1" applyBorder="1"/>
    <xf numFmtId="44" fontId="4" fillId="2" borderId="5" xfId="0" applyNumberFormat="1" applyFont="1" applyFill="1" applyBorder="1" applyAlignment="1"/>
    <xf numFmtId="165" fontId="4" fillId="2" borderId="92" xfId="3" applyNumberFormat="1" applyFont="1" applyFill="1" applyBorder="1" applyAlignment="1">
      <alignment horizontal="right" vertical="center"/>
    </xf>
    <xf numFmtId="164" fontId="9" fillId="6" borderId="2" xfId="0" applyNumberFormat="1" applyFont="1" applyFill="1" applyBorder="1" applyAlignment="1">
      <alignment horizontal="center" vertical="center"/>
    </xf>
    <xf numFmtId="164" fontId="9" fillId="6" borderId="7" xfId="0" applyNumberFormat="1" applyFont="1" applyFill="1" applyBorder="1" applyAlignment="1">
      <alignment horizontal="center" vertical="center"/>
    </xf>
    <xf numFmtId="164" fontId="4" fillId="12" borderId="5" xfId="0" quotePrefix="1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3" fillId="0" borderId="9" xfId="0" applyFont="1" applyBorder="1"/>
    <xf numFmtId="0" fontId="0" fillId="0" borderId="9" xfId="0" applyBorder="1"/>
    <xf numFmtId="0" fontId="13" fillId="0" borderId="10" xfId="0" applyFont="1" applyBorder="1"/>
    <xf numFmtId="49" fontId="4" fillId="12" borderId="5" xfId="3" applyNumberFormat="1" applyFont="1" applyFill="1" applyBorder="1" applyAlignment="1">
      <alignment horizontal="center" vertical="center"/>
    </xf>
    <xf numFmtId="166" fontId="4" fillId="12" borderId="5" xfId="3" applyFont="1" applyFill="1" applyBorder="1" applyAlignment="1">
      <alignment horizontal="right" vertical="center"/>
    </xf>
    <xf numFmtId="166" fontId="4" fillId="12" borderId="5" xfId="3" applyFont="1" applyFill="1" applyBorder="1" applyAlignment="1">
      <alignment horizontal="center" vertical="center"/>
    </xf>
    <xf numFmtId="0" fontId="9" fillId="12" borderId="5" xfId="0" applyFont="1" applyFill="1" applyBorder="1" applyAlignment="1">
      <alignment vertical="center"/>
    </xf>
    <xf numFmtId="43" fontId="4" fillId="12" borderId="5" xfId="0" applyNumberFormat="1" applyFont="1" applyFill="1" applyBorder="1" applyAlignment="1">
      <alignment vertical="center"/>
    </xf>
    <xf numFmtId="0" fontId="4" fillId="12" borderId="5" xfId="0" applyFont="1" applyFill="1" applyBorder="1" applyAlignment="1">
      <alignment vertical="center"/>
    </xf>
    <xf numFmtId="43" fontId="4" fillId="12" borderId="5" xfId="2" applyFont="1" applyFill="1" applyBorder="1" applyAlignment="1">
      <alignment vertical="center"/>
    </xf>
    <xf numFmtId="15" fontId="4" fillId="12" borderId="5" xfId="0" applyNumberFormat="1" applyFont="1" applyFill="1" applyBorder="1" applyAlignment="1">
      <alignment horizontal="center" vertical="center"/>
    </xf>
    <xf numFmtId="0" fontId="4" fillId="12" borderId="0" xfId="0" applyFont="1" applyFill="1"/>
    <xf numFmtId="0" fontId="9" fillId="12" borderId="0" xfId="0" applyFont="1" applyFill="1" applyAlignment="1">
      <alignment vertical="center"/>
    </xf>
    <xf numFmtId="165" fontId="4" fillId="11" borderId="5" xfId="0" applyNumberFormat="1" applyFont="1" applyFill="1" applyBorder="1" applyAlignment="1">
      <alignment horizontal="left" vertical="center"/>
    </xf>
    <xf numFmtId="0" fontId="4" fillId="12" borderId="0" xfId="0" applyFont="1" applyFill="1" applyAlignment="1">
      <alignment horizontal="center"/>
    </xf>
    <xf numFmtId="49" fontId="4" fillId="12" borderId="5" xfId="3" applyNumberFormat="1" applyFont="1" applyFill="1" applyBorder="1" applyAlignment="1">
      <alignment horizontal="left" vertical="center"/>
    </xf>
    <xf numFmtId="44" fontId="4" fillId="12" borderId="5" xfId="0" applyNumberFormat="1" applyFont="1" applyFill="1" applyBorder="1" applyAlignment="1"/>
    <xf numFmtId="165" fontId="4" fillId="11" borderId="0" xfId="0" applyNumberFormat="1" applyFont="1" applyFill="1" applyBorder="1" applyAlignment="1">
      <alignment horizontal="left" vertical="center"/>
    </xf>
    <xf numFmtId="164" fontId="4" fillId="12" borderId="60" xfId="0" applyNumberFormat="1" applyFont="1" applyFill="1" applyBorder="1" applyAlignment="1">
      <alignment horizontal="center" vertical="center"/>
    </xf>
    <xf numFmtId="164" fontId="4" fillId="12" borderId="45" xfId="0" applyNumberFormat="1" applyFont="1" applyFill="1" applyBorder="1" applyAlignment="1">
      <alignment horizontal="center" vertical="center"/>
    </xf>
    <xf numFmtId="164" fontId="4" fillId="12" borderId="42" xfId="0" applyNumberFormat="1" applyFont="1" applyFill="1" applyBorder="1" applyAlignment="1">
      <alignment horizontal="center" vertical="center"/>
    </xf>
    <xf numFmtId="0" fontId="4" fillId="11" borderId="11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left" vertical="center"/>
    </xf>
    <xf numFmtId="164" fontId="4" fillId="11" borderId="5" xfId="0" applyNumberFormat="1" applyFont="1" applyFill="1" applyBorder="1" applyAlignment="1">
      <alignment horizontal="center" vertical="center"/>
    </xf>
    <xf numFmtId="166" fontId="4" fillId="11" borderId="5" xfId="3" applyFont="1" applyFill="1" applyBorder="1" applyAlignment="1">
      <alignment horizontal="left" vertical="center"/>
    </xf>
    <xf numFmtId="165" fontId="4" fillId="11" borderId="5" xfId="2" applyNumberFormat="1" applyFont="1" applyFill="1" applyBorder="1" applyAlignment="1">
      <alignment horizontal="center" vertical="center"/>
    </xf>
    <xf numFmtId="166" fontId="4" fillId="12" borderId="0" xfId="3" applyFont="1" applyFill="1" applyBorder="1" applyAlignment="1">
      <alignment horizontal="left" vertical="center"/>
    </xf>
    <xf numFmtId="164" fontId="4" fillId="12" borderId="0" xfId="0" applyNumberFormat="1" applyFont="1" applyFill="1" applyBorder="1" applyAlignment="1">
      <alignment horizontal="center" vertical="center"/>
    </xf>
    <xf numFmtId="165" fontId="4" fillId="11" borderId="7" xfId="2" applyNumberFormat="1" applyFont="1" applyFill="1" applyBorder="1" applyAlignment="1">
      <alignment horizontal="center" vertical="center"/>
    </xf>
    <xf numFmtId="166" fontId="4" fillId="12" borderId="60" xfId="3" applyFont="1" applyFill="1" applyBorder="1" applyAlignment="1">
      <alignment horizontal="left" vertical="center"/>
    </xf>
    <xf numFmtId="165" fontId="4" fillId="12" borderId="60" xfId="2" applyNumberFormat="1" applyFont="1" applyFill="1" applyBorder="1" applyAlignment="1">
      <alignment horizontal="center" vertical="center"/>
    </xf>
    <xf numFmtId="166" fontId="4" fillId="12" borderId="45" xfId="3" applyFont="1" applyFill="1" applyBorder="1" applyAlignment="1">
      <alignment horizontal="left" vertical="center"/>
    </xf>
    <xf numFmtId="164" fontId="4" fillId="12" borderId="11" xfId="0" quotePrefix="1" applyNumberFormat="1" applyFont="1" applyFill="1" applyBorder="1" applyAlignment="1">
      <alignment horizontal="center" vertical="center"/>
    </xf>
    <xf numFmtId="166" fontId="4" fillId="12" borderId="11" xfId="3" quotePrefix="1" applyFont="1" applyFill="1" applyBorder="1" applyAlignment="1">
      <alignment horizontal="center" vertical="center"/>
    </xf>
    <xf numFmtId="164" fontId="4" fillId="12" borderId="67" xfId="0" applyNumberFormat="1" applyFont="1" applyFill="1" applyBorder="1" applyAlignment="1">
      <alignment horizontal="center" vertical="center"/>
    </xf>
    <xf numFmtId="49" fontId="4" fillId="0" borderId="0" xfId="3" applyNumberFormat="1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/>
    </xf>
    <xf numFmtId="44" fontId="4" fillId="11" borderId="5" xfId="1" applyFont="1" applyFill="1" applyBorder="1" applyAlignment="1">
      <alignment horizontal="left"/>
    </xf>
    <xf numFmtId="0" fontId="4" fillId="11" borderId="11" xfId="0" applyFont="1" applyFill="1" applyBorder="1" applyAlignment="1">
      <alignment horizontal="left" vertical="center"/>
    </xf>
    <xf numFmtId="164" fontId="4" fillId="11" borderId="11" xfId="0" applyNumberFormat="1" applyFont="1" applyFill="1" applyBorder="1" applyAlignment="1">
      <alignment horizontal="center" vertical="center"/>
    </xf>
    <xf numFmtId="165" fontId="4" fillId="11" borderId="11" xfId="0" applyNumberFormat="1" applyFont="1" applyFill="1" applyBorder="1" applyAlignment="1">
      <alignment horizontal="left" vertical="center"/>
    </xf>
    <xf numFmtId="166" fontId="4" fillId="11" borderId="11" xfId="3" applyFont="1" applyFill="1" applyBorder="1" applyAlignment="1">
      <alignment horizontal="left" vertical="center"/>
    </xf>
    <xf numFmtId="165" fontId="4" fillId="11" borderId="11" xfId="2" applyNumberFormat="1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left" vertical="center"/>
    </xf>
    <xf numFmtId="165" fontId="4" fillId="12" borderId="11" xfId="0" applyNumberFormat="1" applyFont="1" applyFill="1" applyBorder="1" applyAlignment="1">
      <alignment horizontal="left" vertical="center"/>
    </xf>
    <xf numFmtId="49" fontId="4" fillId="12" borderId="11" xfId="3" applyNumberFormat="1" applyFont="1" applyFill="1" applyBorder="1" applyAlignment="1">
      <alignment horizontal="center" vertical="center"/>
    </xf>
    <xf numFmtId="49" fontId="4" fillId="12" borderId="11" xfId="3" applyNumberFormat="1" applyFont="1" applyFill="1" applyBorder="1" applyAlignment="1">
      <alignment horizontal="left" vertical="center"/>
    </xf>
    <xf numFmtId="166" fontId="4" fillId="12" borderId="11" xfId="3" applyFont="1" applyFill="1" applyBorder="1" applyAlignment="1">
      <alignment horizontal="right" vertical="center"/>
    </xf>
    <xf numFmtId="166" fontId="4" fillId="12" borderId="11" xfId="3" applyFont="1" applyFill="1" applyBorder="1" applyAlignment="1">
      <alignment horizontal="center" vertical="center"/>
    </xf>
    <xf numFmtId="0" fontId="4" fillId="0" borderId="60" xfId="0" applyFont="1" applyFill="1" applyBorder="1" applyAlignment="1">
      <alignment horizontal="center" vertical="center"/>
    </xf>
    <xf numFmtId="0" fontId="4" fillId="0" borderId="60" xfId="0" applyFont="1" applyFill="1" applyBorder="1" applyAlignment="1">
      <alignment horizontal="left" vertical="center"/>
    </xf>
    <xf numFmtId="164" fontId="4" fillId="0" borderId="60" xfId="0" applyNumberFormat="1" applyFont="1" applyFill="1" applyBorder="1" applyAlignment="1">
      <alignment horizontal="center" vertical="center"/>
    </xf>
    <xf numFmtId="44" fontId="4" fillId="0" borderId="60" xfId="1" applyFont="1" applyFill="1" applyBorder="1" applyAlignment="1">
      <alignment horizontal="left"/>
    </xf>
    <xf numFmtId="165" fontId="4" fillId="0" borderId="60" xfId="0" applyNumberFormat="1" applyFont="1" applyFill="1" applyBorder="1" applyAlignment="1">
      <alignment horizontal="left" vertical="center"/>
    </xf>
    <xf numFmtId="165" fontId="4" fillId="0" borderId="60" xfId="2" applyNumberFormat="1" applyFont="1" applyFill="1" applyBorder="1" applyAlignment="1">
      <alignment horizontal="center" vertical="center"/>
    </xf>
    <xf numFmtId="49" fontId="4" fillId="0" borderId="60" xfId="3" applyNumberFormat="1" applyFont="1" applyFill="1" applyBorder="1" applyAlignment="1">
      <alignment horizontal="center" vertical="center"/>
    </xf>
    <xf numFmtId="49" fontId="4" fillId="0" borderId="60" xfId="3" applyNumberFormat="1" applyFont="1" applyFill="1" applyBorder="1" applyAlignment="1">
      <alignment horizontal="left" vertical="center"/>
    </xf>
    <xf numFmtId="166" fontId="4" fillId="0" borderId="60" xfId="3" applyFont="1" applyFill="1" applyBorder="1" applyAlignment="1">
      <alignment horizontal="left" vertical="center"/>
    </xf>
    <xf numFmtId="166" fontId="4" fillId="0" borderId="60" xfId="3" applyFont="1" applyFill="1" applyBorder="1" applyAlignment="1">
      <alignment horizontal="center" vertical="center"/>
    </xf>
    <xf numFmtId="0" fontId="9" fillId="0" borderId="60" xfId="0" applyFont="1" applyFill="1" applyBorder="1" applyAlignment="1">
      <alignment vertical="center"/>
    </xf>
    <xf numFmtId="15" fontId="4" fillId="0" borderId="60" xfId="0" applyNumberFormat="1" applyFont="1" applyFill="1" applyBorder="1" applyAlignment="1">
      <alignment horizontal="center" vertical="center"/>
    </xf>
    <xf numFmtId="0" fontId="54" fillId="11" borderId="0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165" fontId="4" fillId="12" borderId="7" xfId="2" applyNumberFormat="1" applyFont="1" applyFill="1" applyBorder="1" applyAlignment="1">
      <alignment horizontal="center" vertical="center"/>
    </xf>
    <xf numFmtId="166" fontId="4" fillId="0" borderId="5" xfId="3" quotePrefix="1" applyFont="1" applyFill="1" applyBorder="1" applyAlignment="1">
      <alignment horizontal="left" vertical="center"/>
    </xf>
    <xf numFmtId="16" fontId="4" fillId="12" borderId="11" xfId="0" applyNumberFormat="1" applyFont="1" applyFill="1" applyBorder="1" applyAlignment="1">
      <alignment horizontal="center" vertical="center"/>
    </xf>
    <xf numFmtId="164" fontId="4" fillId="11" borderId="5" xfId="0" quotePrefix="1" applyNumberFormat="1" applyFont="1" applyFill="1" applyBorder="1" applyAlignment="1">
      <alignment horizontal="center" vertical="center"/>
    </xf>
    <xf numFmtId="166" fontId="4" fillId="11" borderId="5" xfId="3" quotePrefix="1" applyFont="1" applyFill="1" applyBorder="1" applyAlignment="1">
      <alignment horizontal="center" vertical="center"/>
    </xf>
    <xf numFmtId="16" fontId="4" fillId="11" borderId="11" xfId="0" applyNumberFormat="1" applyFont="1" applyFill="1" applyBorder="1" applyAlignment="1">
      <alignment horizontal="center" vertical="center"/>
    </xf>
    <xf numFmtId="166" fontId="4" fillId="0" borderId="0" xfId="3" applyFont="1" applyFill="1" applyBorder="1" applyAlignment="1">
      <alignment horizontal="left" vertical="center"/>
    </xf>
    <xf numFmtId="0" fontId="39" fillId="12" borderId="1" xfId="0" applyFont="1" applyFill="1" applyBorder="1"/>
    <xf numFmtId="0" fontId="55" fillId="0" borderId="0" xfId="0" applyFont="1" applyAlignment="1">
      <alignment horizontal="center"/>
    </xf>
    <xf numFmtId="4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4" fontId="9" fillId="7" borderId="8" xfId="0" applyNumberFormat="1" applyFont="1" applyFill="1" applyBorder="1" applyAlignment="1">
      <alignment horizontal="center" vertical="center"/>
    </xf>
    <xf numFmtId="4" fontId="9" fillId="7" borderId="9" xfId="0" applyNumberFormat="1" applyFont="1" applyFill="1" applyBorder="1" applyAlignment="1">
      <alignment horizontal="center" vertical="center"/>
    </xf>
    <xf numFmtId="4" fontId="9" fillId="7" borderId="10" xfId="0" applyNumberFormat="1" applyFont="1" applyFill="1" applyBorder="1" applyAlignment="1">
      <alignment horizontal="center" vertical="center"/>
    </xf>
    <xf numFmtId="4" fontId="9" fillId="7" borderId="1" xfId="0" applyNumberFormat="1" applyFont="1" applyFill="1" applyBorder="1" applyAlignment="1">
      <alignment horizontal="center" vertical="center"/>
    </xf>
    <xf numFmtId="4" fontId="9" fillId="7" borderId="2" xfId="0" applyNumberFormat="1" applyFont="1" applyFill="1" applyBorder="1" applyAlignment="1">
      <alignment horizontal="center" vertical="center"/>
    </xf>
    <xf numFmtId="4" fontId="9" fillId="7" borderId="7" xfId="0" applyNumberFormat="1" applyFont="1" applyFill="1" applyBorder="1" applyAlignment="1">
      <alignment horizontal="center" vertical="center"/>
    </xf>
    <xf numFmtId="165" fontId="4" fillId="13" borderId="74" xfId="0" applyNumberFormat="1" applyFont="1" applyFill="1" applyBorder="1" applyAlignment="1">
      <alignment horizontal="center" vertical="center"/>
    </xf>
    <xf numFmtId="165" fontId="4" fillId="13" borderId="75" xfId="0" applyNumberFormat="1" applyFont="1" applyFill="1" applyBorder="1" applyAlignment="1">
      <alignment horizontal="center" vertical="center"/>
    </xf>
    <xf numFmtId="4" fontId="9" fillId="0" borderId="12" xfId="0" applyNumberFormat="1" applyFont="1" applyFill="1" applyBorder="1" applyAlignment="1">
      <alignment horizontal="center" vertical="center"/>
    </xf>
    <xf numFmtId="4" fontId="9" fillId="0" borderId="15" xfId="0" applyNumberFormat="1" applyFont="1" applyFill="1" applyBorder="1" applyAlignment="1">
      <alignment horizontal="center" vertical="center"/>
    </xf>
    <xf numFmtId="4" fontId="9" fillId="0" borderId="13" xfId="0" applyNumberFormat="1" applyFont="1" applyFill="1" applyBorder="1" applyAlignment="1">
      <alignment horizontal="center" vertical="center"/>
    </xf>
    <xf numFmtId="4" fontId="9" fillId="0" borderId="16" xfId="0" applyNumberFormat="1" applyFont="1" applyFill="1" applyBorder="1" applyAlignment="1">
      <alignment horizontal="center" vertical="center"/>
    </xf>
    <xf numFmtId="4" fontId="9" fillId="0" borderId="43" xfId="0" applyNumberFormat="1" applyFont="1" applyFill="1" applyBorder="1" applyAlignment="1">
      <alignment horizontal="center" vertical="center"/>
    </xf>
    <xf numFmtId="4" fontId="9" fillId="0" borderId="17" xfId="0" applyNumberFormat="1" applyFont="1" applyFill="1" applyBorder="1" applyAlignment="1">
      <alignment horizontal="center" vertical="center"/>
    </xf>
    <xf numFmtId="44" fontId="4" fillId="15" borderId="74" xfId="1" applyFont="1" applyFill="1" applyBorder="1" applyAlignment="1">
      <alignment horizontal="center" vertical="center"/>
    </xf>
    <xf numFmtId="44" fontId="4" fillId="15" borderId="75" xfId="1" applyFont="1" applyFill="1" applyBorder="1" applyAlignment="1">
      <alignment horizontal="center" vertical="center"/>
    </xf>
    <xf numFmtId="165" fontId="4" fillId="13" borderId="76" xfId="0" applyNumberFormat="1" applyFont="1" applyFill="1" applyBorder="1" applyAlignment="1">
      <alignment horizontal="center" vertical="center"/>
    </xf>
    <xf numFmtId="165" fontId="4" fillId="0" borderId="84" xfId="0" applyNumberFormat="1" applyFont="1" applyFill="1" applyBorder="1" applyAlignment="1">
      <alignment horizontal="center" vertical="center"/>
    </xf>
    <xf numFmtId="165" fontId="4" fillId="0" borderId="85" xfId="0" applyNumberFormat="1" applyFont="1" applyFill="1" applyBorder="1" applyAlignment="1">
      <alignment horizontal="center" vertical="center"/>
    </xf>
    <xf numFmtId="49" fontId="4" fillId="15" borderId="74" xfId="1" applyNumberFormat="1" applyFont="1" applyFill="1" applyBorder="1" applyAlignment="1">
      <alignment horizontal="right" vertical="center"/>
    </xf>
    <xf numFmtId="44" fontId="4" fillId="15" borderId="75" xfId="1" applyFont="1" applyFill="1" applyBorder="1" applyAlignment="1">
      <alignment horizontal="right" vertical="center"/>
    </xf>
    <xf numFmtId="4" fontId="4" fillId="7" borderId="2" xfId="0" applyNumberFormat="1" applyFont="1" applyFill="1" applyBorder="1" applyAlignment="1">
      <alignment horizontal="center" vertical="center"/>
    </xf>
    <xf numFmtId="4" fontId="4" fillId="7" borderId="3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43" fontId="9" fillId="0" borderId="1" xfId="2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49" fontId="4" fillId="2" borderId="5" xfId="3" applyNumberFormat="1" applyFont="1" applyFill="1" applyBorder="1" applyAlignment="1">
      <alignment horizontal="left" vertical="center"/>
    </xf>
    <xf numFmtId="166" fontId="4" fillId="2" borderId="5" xfId="3" applyFont="1" applyFill="1" applyBorder="1" applyAlignment="1">
      <alignment horizontal="center" vertical="center"/>
    </xf>
    <xf numFmtId="0" fontId="9" fillId="2" borderId="5" xfId="0" applyFont="1" applyFill="1" applyBorder="1" applyAlignment="1">
      <alignment vertical="center"/>
    </xf>
    <xf numFmtId="43" fontId="4" fillId="2" borderId="5" xfId="0" applyNumberFormat="1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0" xfId="0" applyFont="1" applyFill="1"/>
    <xf numFmtId="0" fontId="9" fillId="2" borderId="0" xfId="0" applyFont="1" applyFill="1" applyAlignment="1">
      <alignment vertical="center"/>
    </xf>
    <xf numFmtId="49" fontId="4" fillId="11" borderId="5" xfId="3" applyNumberFormat="1" applyFont="1" applyFill="1" applyBorder="1" applyAlignment="1">
      <alignment horizontal="center" vertical="center"/>
    </xf>
    <xf numFmtId="49" fontId="4" fillId="11" borderId="5" xfId="3" applyNumberFormat="1" applyFont="1" applyFill="1" applyBorder="1" applyAlignment="1">
      <alignment horizontal="left" vertical="center"/>
    </xf>
    <xf numFmtId="4" fontId="9" fillId="7" borderId="2" xfId="0" applyNumberFormat="1" applyFont="1" applyFill="1" applyBorder="1" applyAlignment="1">
      <alignment vertical="center"/>
    </xf>
    <xf numFmtId="4" fontId="9" fillId="7" borderId="3" xfId="0" applyNumberFormat="1" applyFont="1" applyFill="1" applyBorder="1" applyAlignment="1">
      <alignment vertical="center"/>
    </xf>
    <xf numFmtId="49" fontId="4" fillId="11" borderId="11" xfId="3" applyNumberFormat="1" applyFont="1" applyFill="1" applyBorder="1" applyAlignment="1">
      <alignment horizontal="left" vertical="center"/>
    </xf>
    <xf numFmtId="49" fontId="4" fillId="11" borderId="5" xfId="0" applyNumberFormat="1" applyFont="1" applyFill="1" applyBorder="1" applyAlignment="1">
      <alignment horizontal="center" vertical="center"/>
    </xf>
    <xf numFmtId="49" fontId="4" fillId="11" borderId="11" xfId="3" applyNumberFormat="1" applyFont="1" applyFill="1" applyBorder="1" applyAlignment="1">
      <alignment horizontal="center" vertical="center"/>
    </xf>
    <xf numFmtId="0" fontId="56" fillId="0" borderId="0" xfId="0" applyFont="1"/>
    <xf numFmtId="0" fontId="4" fillId="16" borderId="11" xfId="0" applyFont="1" applyFill="1" applyBorder="1" applyAlignment="1">
      <alignment horizontal="center" vertical="center"/>
    </xf>
    <xf numFmtId="0" fontId="4" fillId="16" borderId="5" xfId="0" applyFont="1" applyFill="1" applyBorder="1" applyAlignment="1">
      <alignment horizontal="center" vertical="center"/>
    </xf>
    <xf numFmtId="0" fontId="4" fillId="16" borderId="5" xfId="0" applyFont="1" applyFill="1" applyBorder="1" applyAlignment="1">
      <alignment horizontal="left" vertical="center"/>
    </xf>
    <xf numFmtId="164" fontId="4" fillId="16" borderId="5" xfId="0" applyNumberFormat="1" applyFont="1" applyFill="1" applyBorder="1" applyAlignment="1">
      <alignment horizontal="center" vertical="center"/>
    </xf>
    <xf numFmtId="165" fontId="4" fillId="16" borderId="5" xfId="0" applyNumberFormat="1" applyFont="1" applyFill="1" applyBorder="1" applyAlignment="1">
      <alignment horizontal="left" vertical="center"/>
    </xf>
    <xf numFmtId="165" fontId="4" fillId="16" borderId="5" xfId="2" applyNumberFormat="1" applyFont="1" applyFill="1" applyBorder="1" applyAlignment="1">
      <alignment horizontal="center" vertical="center"/>
    </xf>
    <xf numFmtId="166" fontId="4" fillId="12" borderId="5" xfId="3" quotePrefix="1" applyFont="1" applyFill="1" applyBorder="1" applyAlignment="1">
      <alignment horizontal="left" vertical="center"/>
    </xf>
    <xf numFmtId="4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4" fontId="9" fillId="7" borderId="1" xfId="0" applyNumberFormat="1" applyFont="1" applyFill="1" applyBorder="1" applyAlignment="1">
      <alignment horizontal="center" vertical="center"/>
    </xf>
    <xf numFmtId="4" fontId="9" fillId="7" borderId="8" xfId="0" applyNumberFormat="1" applyFont="1" applyFill="1" applyBorder="1" applyAlignment="1">
      <alignment horizontal="center" vertical="center"/>
    </xf>
    <xf numFmtId="4" fontId="9" fillId="7" borderId="9" xfId="0" applyNumberFormat="1" applyFont="1" applyFill="1" applyBorder="1" applyAlignment="1">
      <alignment horizontal="center" vertical="center"/>
    </xf>
    <xf numFmtId="4" fontId="9" fillId="7" borderId="10" xfId="0" applyNumberFormat="1" applyFont="1" applyFill="1" applyBorder="1" applyAlignment="1">
      <alignment horizontal="center" vertical="center"/>
    </xf>
    <xf numFmtId="4" fontId="9" fillId="0" borderId="12" xfId="0" applyNumberFormat="1" applyFont="1" applyFill="1" applyBorder="1" applyAlignment="1">
      <alignment horizontal="center" vertical="center"/>
    </xf>
    <xf numFmtId="4" fontId="9" fillId="0" borderId="15" xfId="0" applyNumberFormat="1" applyFont="1" applyFill="1" applyBorder="1" applyAlignment="1">
      <alignment horizontal="center" vertical="center"/>
    </xf>
    <xf numFmtId="4" fontId="9" fillId="0" borderId="13" xfId="0" applyNumberFormat="1" applyFont="1" applyFill="1" applyBorder="1" applyAlignment="1">
      <alignment horizontal="center" vertical="center"/>
    </xf>
    <xf numFmtId="4" fontId="9" fillId="0" borderId="16" xfId="0" applyNumberFormat="1" applyFont="1" applyFill="1" applyBorder="1" applyAlignment="1">
      <alignment horizontal="center" vertical="center"/>
    </xf>
    <xf numFmtId="4" fontId="9" fillId="0" borderId="43" xfId="0" applyNumberFormat="1" applyFont="1" applyFill="1" applyBorder="1" applyAlignment="1">
      <alignment horizontal="center" vertical="center"/>
    </xf>
    <xf numFmtId="4" fontId="9" fillId="0" borderId="17" xfId="0" applyNumberFormat="1" applyFont="1" applyFill="1" applyBorder="1" applyAlignment="1">
      <alignment horizontal="center" vertical="center"/>
    </xf>
    <xf numFmtId="43" fontId="9" fillId="0" borderId="1" xfId="2" applyFont="1" applyFill="1" applyBorder="1" applyAlignment="1">
      <alignment horizontal="center" vertical="center"/>
    </xf>
    <xf numFmtId="0" fontId="0" fillId="11" borderId="8" xfId="0" quotePrefix="1" applyFill="1" applyBorder="1" applyAlignment="1">
      <alignment horizontal="center"/>
    </xf>
    <xf numFmtId="4" fontId="13" fillId="11" borderId="1" xfId="0" applyNumberFormat="1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165" fontId="4" fillId="13" borderId="74" xfId="0" applyNumberFormat="1" applyFont="1" applyFill="1" applyBorder="1" applyAlignment="1">
      <alignment horizontal="center" vertical="center"/>
    </xf>
    <xf numFmtId="165" fontId="4" fillId="13" borderId="75" xfId="0" applyNumberFormat="1" applyFont="1" applyFill="1" applyBorder="1" applyAlignment="1">
      <alignment horizontal="center" vertical="center"/>
    </xf>
    <xf numFmtId="49" fontId="4" fillId="15" borderId="74" xfId="1" applyNumberFormat="1" applyFont="1" applyFill="1" applyBorder="1" applyAlignment="1">
      <alignment horizontal="right" vertical="center"/>
    </xf>
    <xf numFmtId="44" fontId="4" fillId="15" borderId="75" xfId="1" applyFont="1" applyFill="1" applyBorder="1" applyAlignment="1">
      <alignment horizontal="right" vertical="center"/>
    </xf>
    <xf numFmtId="165" fontId="4" fillId="13" borderId="76" xfId="0" applyNumberFormat="1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60" xfId="0" applyFont="1" applyFill="1" applyBorder="1" applyAlignment="1">
      <alignment horizontal="center" vertical="center"/>
    </xf>
    <xf numFmtId="0" fontId="4" fillId="12" borderId="60" xfId="0" applyFont="1" applyFill="1" applyBorder="1" applyAlignment="1">
      <alignment horizontal="left" vertical="center"/>
    </xf>
    <xf numFmtId="44" fontId="4" fillId="12" borderId="60" xfId="1" applyFont="1" applyFill="1" applyBorder="1" applyAlignment="1">
      <alignment horizontal="left"/>
    </xf>
    <xf numFmtId="49" fontId="4" fillId="12" borderId="60" xfId="3" applyNumberFormat="1" applyFont="1" applyFill="1" applyBorder="1" applyAlignment="1">
      <alignment horizontal="center" vertical="center"/>
    </xf>
    <xf numFmtId="49" fontId="4" fillId="11" borderId="60" xfId="3" applyNumberFormat="1" applyFont="1" applyFill="1" applyBorder="1" applyAlignment="1">
      <alignment horizontal="left" vertical="center"/>
    </xf>
    <xf numFmtId="49" fontId="4" fillId="12" borderId="60" xfId="3" applyNumberFormat="1" applyFont="1" applyFill="1" applyBorder="1" applyAlignment="1">
      <alignment horizontal="left" vertical="center"/>
    </xf>
    <xf numFmtId="44" fontId="4" fillId="12" borderId="60" xfId="0" applyNumberFormat="1" applyFont="1" applyFill="1" applyBorder="1" applyAlignment="1"/>
    <xf numFmtId="166" fontId="4" fillId="12" borderId="60" xfId="3" applyFont="1" applyFill="1" applyBorder="1" applyAlignment="1">
      <alignment horizontal="right" vertical="center"/>
    </xf>
    <xf numFmtId="166" fontId="4" fillId="12" borderId="60" xfId="3" applyFont="1" applyFill="1" applyBorder="1" applyAlignment="1">
      <alignment horizontal="center" vertical="center"/>
    </xf>
    <xf numFmtId="0" fontId="9" fillId="12" borderId="60" xfId="0" applyFont="1" applyFill="1" applyBorder="1" applyAlignment="1">
      <alignment vertical="center"/>
    </xf>
    <xf numFmtId="43" fontId="4" fillId="12" borderId="60" xfId="0" applyNumberFormat="1" applyFont="1" applyFill="1" applyBorder="1" applyAlignment="1">
      <alignment vertical="center"/>
    </xf>
    <xf numFmtId="0" fontId="4" fillId="12" borderId="60" xfId="0" applyFont="1" applyFill="1" applyBorder="1" applyAlignment="1">
      <alignment vertical="center"/>
    </xf>
    <xf numFmtId="43" fontId="4" fillId="12" borderId="60" xfId="2" applyFont="1" applyFill="1" applyBorder="1" applyAlignment="1">
      <alignment vertical="center"/>
    </xf>
    <xf numFmtId="15" fontId="4" fillId="12" borderId="60" xfId="0" applyNumberFormat="1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3" fillId="0" borderId="43" xfId="0" applyFont="1" applyBorder="1"/>
    <xf numFmtId="0" fontId="0" fillId="0" borderId="43" xfId="0" applyBorder="1"/>
    <xf numFmtId="0" fontId="13" fillId="0" borderId="17" xfId="0" applyFont="1" applyBorder="1"/>
    <xf numFmtId="44" fontId="4" fillId="0" borderId="3" xfId="1" applyFont="1" applyBorder="1" applyAlignment="1">
      <alignment vertical="center"/>
    </xf>
    <xf numFmtId="165" fontId="4" fillId="0" borderId="3" xfId="2" applyNumberFormat="1" applyFont="1" applyBorder="1" applyAlignment="1">
      <alignment vertical="center"/>
    </xf>
    <xf numFmtId="0" fontId="4" fillId="0" borderId="1" xfId="0" applyFont="1" applyBorder="1"/>
    <xf numFmtId="164" fontId="4" fillId="0" borderId="1" xfId="0" applyNumberFormat="1" applyFont="1" applyBorder="1"/>
    <xf numFmtId="4" fontId="4" fillId="0" borderId="1" xfId="0" applyNumberFormat="1" applyFont="1" applyBorder="1" applyAlignment="1">
      <alignment horizontal="left"/>
    </xf>
    <xf numFmtId="4" fontId="4" fillId="0" borderId="1" xfId="0" applyNumberFormat="1" applyFont="1" applyBorder="1" applyAlignment="1">
      <alignment horizontal="center"/>
    </xf>
    <xf numFmtId="43" fontId="4" fillId="0" borderId="1" xfId="2" applyFont="1" applyBorder="1"/>
    <xf numFmtId="4" fontId="4" fillId="0" borderId="14" xfId="0" applyNumberFormat="1" applyFont="1" applyBorder="1" applyAlignment="1">
      <alignment horizontal="center" vertical="center"/>
    </xf>
    <xf numFmtId="4" fontId="4" fillId="0" borderId="0" xfId="0" applyNumberFormat="1" applyFont="1" applyBorder="1" applyAlignment="1">
      <alignment horizontal="center" vertical="center"/>
    </xf>
    <xf numFmtId="4" fontId="4" fillId="0" borderId="13" xfId="0" applyNumberFormat="1" applyFont="1" applyBorder="1" applyAlignment="1">
      <alignment horizontal="center" vertical="center"/>
    </xf>
    <xf numFmtId="4" fontId="4" fillId="0" borderId="8" xfId="0" applyNumberFormat="1" applyFont="1" applyBorder="1" applyAlignment="1">
      <alignment horizontal="center" vertical="center"/>
    </xf>
    <xf numFmtId="4" fontId="4" fillId="0" borderId="9" xfId="0" applyNumberFormat="1" applyFont="1" applyBorder="1" applyAlignment="1">
      <alignment horizontal="center" vertical="center"/>
    </xf>
    <xf numFmtId="4" fontId="4" fillId="0" borderId="10" xfId="0" applyNumberFormat="1" applyFont="1" applyBorder="1" applyAlignment="1">
      <alignment horizontal="center" vertical="center"/>
    </xf>
    <xf numFmtId="4" fontId="4" fillId="0" borderId="16" xfId="0" applyNumberFormat="1" applyFont="1" applyBorder="1" applyAlignment="1">
      <alignment horizontal="center" vertical="center"/>
    </xf>
    <xf numFmtId="4" fontId="4" fillId="0" borderId="43" xfId="0" applyNumberFormat="1" applyFont="1" applyBorder="1" applyAlignment="1">
      <alignment horizontal="center" vertical="center"/>
    </xf>
    <xf numFmtId="4" fontId="4" fillId="0" borderId="17" xfId="0" applyNumberFormat="1" applyFont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0" xfId="0" applyFont="1" applyFill="1"/>
    <xf numFmtId="166" fontId="4" fillId="0" borderId="5" xfId="3" applyFont="1" applyFill="1" applyBorder="1" applyAlignment="1">
      <alignment horizontal="right" vertical="center"/>
    </xf>
    <xf numFmtId="166" fontId="4" fillId="0" borderId="5" xfId="3" applyFont="1" applyFill="1" applyBorder="1" applyAlignment="1">
      <alignment horizontal="left" vertical="center"/>
    </xf>
    <xf numFmtId="49" fontId="4" fillId="0" borderId="5" xfId="3" applyNumberFormat="1" applyFont="1" applyFill="1" applyBorder="1" applyAlignment="1">
      <alignment horizontal="left" vertical="center"/>
    </xf>
    <xf numFmtId="166" fontId="4" fillId="0" borderId="5" xfId="3" applyFont="1" applyFill="1" applyBorder="1" applyAlignment="1">
      <alignment horizontal="center" vertical="center"/>
    </xf>
    <xf numFmtId="0" fontId="9" fillId="0" borderId="5" xfId="0" applyFont="1" applyFill="1" applyBorder="1" applyAlignment="1">
      <alignment vertical="center"/>
    </xf>
    <xf numFmtId="0" fontId="4" fillId="0" borderId="5" xfId="0" applyFont="1" applyFill="1" applyBorder="1" applyAlignment="1">
      <alignment vertical="center"/>
    </xf>
    <xf numFmtId="44" fontId="4" fillId="0" borderId="5" xfId="0" applyNumberFormat="1" applyFont="1" applyFill="1" applyBorder="1" applyAlignment="1"/>
    <xf numFmtId="43" fontId="4" fillId="0" borderId="5" xfId="2" applyFont="1" applyFill="1" applyBorder="1" applyAlignment="1">
      <alignment vertical="center"/>
    </xf>
    <xf numFmtId="15" fontId="4" fillId="0" borderId="5" xfId="0" applyNumberFormat="1" applyFont="1" applyFill="1" applyBorder="1" applyAlignment="1">
      <alignment horizontal="center" vertical="center"/>
    </xf>
    <xf numFmtId="43" fontId="4" fillId="0" borderId="5" xfId="0" applyNumberFormat="1" applyFont="1" applyFill="1" applyBorder="1" applyAlignment="1">
      <alignment vertical="center"/>
    </xf>
    <xf numFmtId="0" fontId="4" fillId="12" borderId="11" xfId="0" applyFont="1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 vertical="center"/>
    </xf>
    <xf numFmtId="0" fontId="4" fillId="12" borderId="5" xfId="0" applyFont="1" applyFill="1" applyBorder="1" applyAlignment="1">
      <alignment horizontal="left" vertical="center"/>
    </xf>
    <xf numFmtId="164" fontId="4" fillId="12" borderId="5" xfId="0" applyNumberFormat="1" applyFont="1" applyFill="1" applyBorder="1" applyAlignment="1">
      <alignment horizontal="center" vertical="center"/>
    </xf>
    <xf numFmtId="165" fontId="4" fillId="12" borderId="5" xfId="2" applyNumberFormat="1" applyFont="1" applyFill="1" applyBorder="1" applyAlignment="1">
      <alignment horizontal="center" vertical="center"/>
    </xf>
    <xf numFmtId="165" fontId="4" fillId="12" borderId="5" xfId="0" applyNumberFormat="1" applyFont="1" applyFill="1" applyBorder="1" applyAlignment="1">
      <alignment horizontal="left" vertical="center"/>
    </xf>
    <xf numFmtId="44" fontId="4" fillId="12" borderId="5" xfId="1" applyFont="1" applyFill="1" applyBorder="1" applyAlignment="1">
      <alignment horizontal="left"/>
    </xf>
    <xf numFmtId="49" fontId="4" fillId="12" borderId="5" xfId="3" applyNumberFormat="1" applyFont="1" applyFill="1" applyBorder="1" applyAlignment="1">
      <alignment horizontal="center" vertical="center"/>
    </xf>
    <xf numFmtId="164" fontId="4" fillId="12" borderId="60" xfId="0" applyNumberFormat="1" applyFont="1" applyFill="1" applyBorder="1" applyAlignment="1">
      <alignment horizontal="center" vertical="center"/>
    </xf>
    <xf numFmtId="0" fontId="4" fillId="11" borderId="11" xfId="0" applyFont="1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 vertical="center"/>
    </xf>
    <xf numFmtId="0" fontId="4" fillId="12" borderId="5" xfId="0" applyFont="1" applyFill="1" applyBorder="1" applyAlignment="1">
      <alignment horizontal="left" vertical="center"/>
    </xf>
    <xf numFmtId="166" fontId="4" fillId="12" borderId="5" xfId="3" applyFont="1" applyFill="1" applyBorder="1" applyAlignment="1">
      <alignment horizontal="left" vertical="center"/>
    </xf>
    <xf numFmtId="44" fontId="4" fillId="12" borderId="5" xfId="1" applyFont="1" applyFill="1" applyBorder="1" applyAlignment="1">
      <alignment horizontal="left"/>
    </xf>
    <xf numFmtId="0" fontId="4" fillId="12" borderId="0" xfId="0" applyFont="1" applyFill="1"/>
    <xf numFmtId="0" fontId="9" fillId="12" borderId="0" xfId="0" applyFont="1" applyFill="1" applyAlignment="1">
      <alignment vertical="center"/>
    </xf>
    <xf numFmtId="166" fontId="4" fillId="12" borderId="60" xfId="3" applyFont="1" applyFill="1" applyBorder="1" applyAlignment="1">
      <alignment horizontal="left" vertical="center"/>
    </xf>
    <xf numFmtId="166" fontId="4" fillId="0" borderId="60" xfId="3" applyFont="1" applyFill="1" applyBorder="1" applyAlignment="1">
      <alignment horizontal="left" vertical="center"/>
    </xf>
    <xf numFmtId="16" fontId="4" fillId="12" borderId="11" xfId="0" applyNumberFormat="1" applyFont="1" applyFill="1" applyBorder="1" applyAlignment="1">
      <alignment horizontal="center" vertical="center"/>
    </xf>
    <xf numFmtId="164" fontId="4" fillId="12" borderId="5" xfId="0" applyNumberFormat="1" applyFont="1" applyFill="1" applyBorder="1" applyAlignment="1">
      <alignment horizontal="center" vertical="center"/>
    </xf>
    <xf numFmtId="165" fontId="4" fillId="12" borderId="5" xfId="2" applyNumberFormat="1" applyFont="1" applyFill="1" applyBorder="1" applyAlignment="1">
      <alignment horizontal="center" vertical="center"/>
    </xf>
    <xf numFmtId="166" fontId="4" fillId="0" borderId="5" xfId="3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/>
    </xf>
    <xf numFmtId="166" fontId="4" fillId="12" borderId="5" xfId="3" applyFont="1" applyFill="1" applyBorder="1" applyAlignment="1">
      <alignment horizontal="left" vertical="center"/>
    </xf>
    <xf numFmtId="49" fontId="4" fillId="12" borderId="5" xfId="3" applyNumberFormat="1" applyFont="1" applyFill="1" applyBorder="1" applyAlignment="1">
      <alignment horizontal="center" vertical="center"/>
    </xf>
    <xf numFmtId="0" fontId="4" fillId="11" borderId="11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left" vertical="center"/>
    </xf>
    <xf numFmtId="164" fontId="4" fillId="11" borderId="5" xfId="0" applyNumberFormat="1" applyFont="1" applyFill="1" applyBorder="1" applyAlignment="1">
      <alignment horizontal="center" vertical="center"/>
    </xf>
    <xf numFmtId="166" fontId="4" fillId="11" borderId="5" xfId="3" applyFont="1" applyFill="1" applyBorder="1" applyAlignment="1">
      <alignment horizontal="left" vertical="center"/>
    </xf>
    <xf numFmtId="165" fontId="4" fillId="11" borderId="5" xfId="2" applyNumberFormat="1" applyFont="1" applyFill="1" applyBorder="1" applyAlignment="1">
      <alignment horizontal="center" vertical="center"/>
    </xf>
    <xf numFmtId="44" fontId="4" fillId="11" borderId="5" xfId="1" applyFont="1" applyFill="1" applyBorder="1" applyAlignment="1">
      <alignment horizontal="left"/>
    </xf>
    <xf numFmtId="165" fontId="4" fillId="12" borderId="60" xfId="0" applyNumberFormat="1" applyFont="1" applyFill="1" applyBorder="1" applyAlignment="1">
      <alignment horizontal="left" vertical="center"/>
    </xf>
    <xf numFmtId="44" fontId="4" fillId="0" borderId="60" xfId="0" applyNumberFormat="1" applyFont="1" applyFill="1" applyBorder="1" applyAlignment="1"/>
    <xf numFmtId="166" fontId="4" fillId="0" borderId="60" xfId="3" applyFont="1" applyFill="1" applyBorder="1" applyAlignment="1">
      <alignment horizontal="right" vertical="center"/>
    </xf>
    <xf numFmtId="43" fontId="4" fillId="0" borderId="60" xfId="0" applyNumberFormat="1" applyFont="1" applyFill="1" applyBorder="1" applyAlignment="1">
      <alignment vertical="center"/>
    </xf>
    <xf numFmtId="0" fontId="4" fillId="0" borderId="60" xfId="0" applyFont="1" applyFill="1" applyBorder="1" applyAlignment="1">
      <alignment vertical="center"/>
    </xf>
    <xf numFmtId="43" fontId="4" fillId="0" borderId="60" xfId="2" applyFont="1" applyFill="1" applyBorder="1" applyAlignment="1">
      <alignment vertical="center"/>
    </xf>
    <xf numFmtId="164" fontId="4" fillId="12" borderId="60" xfId="0" quotePrefix="1" applyNumberFormat="1" applyFont="1" applyFill="1" applyBorder="1" applyAlignment="1">
      <alignment horizontal="center" vertical="center"/>
    </xf>
    <xf numFmtId="166" fontId="4" fillId="11" borderId="11" xfId="3" applyFont="1" applyFill="1" applyBorder="1" applyAlignment="1">
      <alignment horizontal="right" vertical="center"/>
    </xf>
    <xf numFmtId="44" fontId="4" fillId="11" borderId="5" xfId="0" applyNumberFormat="1" applyFont="1" applyFill="1" applyBorder="1" applyAlignment="1"/>
    <xf numFmtId="166" fontId="4" fillId="11" borderId="5" xfId="3" applyFont="1" applyFill="1" applyBorder="1" applyAlignment="1">
      <alignment horizontal="right" vertical="center"/>
    </xf>
    <xf numFmtId="166" fontId="4" fillId="11" borderId="11" xfId="3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vertical="center"/>
    </xf>
    <xf numFmtId="43" fontId="4" fillId="11" borderId="5" xfId="0" applyNumberFormat="1" applyFont="1" applyFill="1" applyBorder="1" applyAlignment="1">
      <alignment vertical="center"/>
    </xf>
    <xf numFmtId="0" fontId="4" fillId="11" borderId="5" xfId="0" applyFont="1" applyFill="1" applyBorder="1" applyAlignment="1">
      <alignment vertical="center"/>
    </xf>
    <xf numFmtId="43" fontId="4" fillId="11" borderId="5" xfId="2" applyFont="1" applyFill="1" applyBorder="1" applyAlignment="1">
      <alignment vertical="center"/>
    </xf>
    <xf numFmtId="15" fontId="4" fillId="11" borderId="5" xfId="0" applyNumberFormat="1" applyFont="1" applyFill="1" applyBorder="1" applyAlignment="1">
      <alignment horizontal="center" vertical="center"/>
    </xf>
    <xf numFmtId="0" fontId="4" fillId="11" borderId="0" xfId="0" applyFont="1" applyFill="1"/>
    <xf numFmtId="0" fontId="9" fillId="11" borderId="0" xfId="0" applyFont="1" applyFill="1" applyAlignment="1">
      <alignment vertical="center"/>
    </xf>
    <xf numFmtId="0" fontId="4" fillId="11" borderId="7" xfId="0" applyFont="1" applyFill="1" applyBorder="1" applyAlignment="1">
      <alignment horizontal="center" vertical="center"/>
    </xf>
    <xf numFmtId="166" fontId="4" fillId="11" borderId="5" xfId="3" applyFont="1" applyFill="1" applyBorder="1" applyAlignment="1">
      <alignment horizontal="center" vertical="center"/>
    </xf>
    <xf numFmtId="0" fontId="4" fillId="11" borderId="60" xfId="0" applyFont="1" applyFill="1" applyBorder="1" applyAlignment="1">
      <alignment horizontal="center" vertical="center"/>
    </xf>
    <xf numFmtId="49" fontId="4" fillId="11" borderId="60" xfId="3" applyNumberFormat="1" applyFont="1" applyFill="1" applyBorder="1" applyAlignment="1">
      <alignment horizontal="center" vertical="center"/>
    </xf>
    <xf numFmtId="166" fontId="4" fillId="11" borderId="60" xfId="3" applyFont="1" applyFill="1" applyBorder="1" applyAlignment="1">
      <alignment horizontal="left" vertical="center"/>
    </xf>
    <xf numFmtId="44" fontId="4" fillId="11" borderId="60" xfId="0" applyNumberFormat="1" applyFont="1" applyFill="1" applyBorder="1" applyAlignment="1"/>
    <xf numFmtId="166" fontId="4" fillId="11" borderId="60" xfId="3" applyFont="1" applyFill="1" applyBorder="1" applyAlignment="1">
      <alignment horizontal="right" vertical="center"/>
    </xf>
    <xf numFmtId="166" fontId="4" fillId="11" borderId="60" xfId="3" applyFont="1" applyFill="1" applyBorder="1" applyAlignment="1">
      <alignment horizontal="center" vertical="center"/>
    </xf>
    <xf numFmtId="0" fontId="9" fillId="11" borderId="60" xfId="0" applyFont="1" applyFill="1" applyBorder="1" applyAlignment="1">
      <alignment vertical="center"/>
    </xf>
    <xf numFmtId="43" fontId="4" fillId="11" borderId="60" xfId="0" applyNumberFormat="1" applyFont="1" applyFill="1" applyBorder="1" applyAlignment="1">
      <alignment vertical="center"/>
    </xf>
    <xf numFmtId="0" fontId="4" fillId="11" borderId="60" xfId="0" applyFont="1" applyFill="1" applyBorder="1" applyAlignment="1">
      <alignment vertical="center"/>
    </xf>
    <xf numFmtId="43" fontId="4" fillId="11" borderId="60" xfId="2" applyFont="1" applyFill="1" applyBorder="1" applyAlignment="1">
      <alignment vertical="center"/>
    </xf>
    <xf numFmtId="15" fontId="4" fillId="11" borderId="60" xfId="0" applyNumberFormat="1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164" fontId="4" fillId="11" borderId="60" xfId="0" applyNumberFormat="1" applyFont="1" applyFill="1" applyBorder="1" applyAlignment="1">
      <alignment horizontal="center" vertical="center"/>
    </xf>
    <xf numFmtId="44" fontId="4" fillId="11" borderId="60" xfId="1" applyFont="1" applyFill="1" applyBorder="1" applyAlignment="1">
      <alignment horizontal="left"/>
    </xf>
    <xf numFmtId="165" fontId="4" fillId="11" borderId="60" xfId="0" applyNumberFormat="1" applyFont="1" applyFill="1" applyBorder="1" applyAlignment="1">
      <alignment horizontal="left" vertical="center"/>
    </xf>
    <xf numFmtId="164" fontId="4" fillId="11" borderId="11" xfId="0" quotePrefix="1" applyNumberFormat="1" applyFont="1" applyFill="1" applyBorder="1" applyAlignment="1">
      <alignment horizontal="center" vertical="center"/>
    </xf>
    <xf numFmtId="165" fontId="4" fillId="11" borderId="60" xfId="2" applyNumberFormat="1" applyFont="1" applyFill="1" applyBorder="1" applyAlignment="1">
      <alignment horizontal="center" vertical="center"/>
    </xf>
    <xf numFmtId="168" fontId="4" fillId="11" borderId="0" xfId="0" applyNumberFormat="1" applyFont="1" applyFill="1" applyAlignment="1">
      <alignment vertical="center"/>
    </xf>
    <xf numFmtId="0" fontId="4" fillId="11" borderId="60" xfId="0" applyFont="1" applyFill="1" applyBorder="1" applyAlignment="1">
      <alignment horizontal="left" vertical="center"/>
    </xf>
    <xf numFmtId="0" fontId="4" fillId="24" borderId="7" xfId="0" applyFont="1" applyFill="1" applyBorder="1" applyAlignment="1">
      <alignment horizontal="center" vertical="center"/>
    </xf>
    <xf numFmtId="0" fontId="4" fillId="24" borderId="11" xfId="0" applyFont="1" applyFill="1" applyBorder="1" applyAlignment="1">
      <alignment horizontal="center" vertical="center"/>
    </xf>
    <xf numFmtId="0" fontId="4" fillId="24" borderId="5" xfId="0" applyFont="1" applyFill="1" applyBorder="1" applyAlignment="1">
      <alignment horizontal="center" vertical="center"/>
    </xf>
    <xf numFmtId="0" fontId="4" fillId="24" borderId="5" xfId="0" applyFont="1" applyFill="1" applyBorder="1" applyAlignment="1">
      <alignment horizontal="left" vertical="center"/>
    </xf>
    <xf numFmtId="164" fontId="4" fillId="24" borderId="5" xfId="0" applyNumberFormat="1" applyFont="1" applyFill="1" applyBorder="1" applyAlignment="1">
      <alignment horizontal="center" vertical="center"/>
    </xf>
    <xf numFmtId="165" fontId="4" fillId="24" borderId="5" xfId="0" applyNumberFormat="1" applyFont="1" applyFill="1" applyBorder="1" applyAlignment="1">
      <alignment horizontal="left" vertical="center"/>
    </xf>
    <xf numFmtId="165" fontId="4" fillId="24" borderId="5" xfId="2" applyNumberFormat="1" applyFont="1" applyFill="1" applyBorder="1" applyAlignment="1">
      <alignment horizontal="center" vertical="center"/>
    </xf>
    <xf numFmtId="49" fontId="4" fillId="24" borderId="60" xfId="3" applyNumberFormat="1" applyFont="1" applyFill="1" applyBorder="1" applyAlignment="1">
      <alignment horizontal="center" vertical="center"/>
    </xf>
    <xf numFmtId="49" fontId="4" fillId="24" borderId="60" xfId="3" applyNumberFormat="1" applyFont="1" applyFill="1" applyBorder="1" applyAlignment="1">
      <alignment horizontal="left" vertical="center"/>
    </xf>
    <xf numFmtId="166" fontId="4" fillId="24" borderId="60" xfId="3" applyFont="1" applyFill="1" applyBorder="1" applyAlignment="1">
      <alignment horizontal="left" vertical="center"/>
    </xf>
    <xf numFmtId="44" fontId="4" fillId="24" borderId="60" xfId="0" applyNumberFormat="1" applyFont="1" applyFill="1" applyBorder="1" applyAlignment="1"/>
    <xf numFmtId="166" fontId="4" fillId="24" borderId="60" xfId="3" applyFont="1" applyFill="1" applyBorder="1" applyAlignment="1">
      <alignment horizontal="right" vertical="center"/>
    </xf>
    <xf numFmtId="166" fontId="4" fillId="24" borderId="60" xfId="3" applyFont="1" applyFill="1" applyBorder="1" applyAlignment="1">
      <alignment horizontal="center" vertical="center"/>
    </xf>
    <xf numFmtId="0" fontId="9" fillId="24" borderId="60" xfId="0" applyFont="1" applyFill="1" applyBorder="1" applyAlignment="1">
      <alignment vertical="center"/>
    </xf>
    <xf numFmtId="43" fontId="4" fillId="24" borderId="60" xfId="0" applyNumberFormat="1" applyFont="1" applyFill="1" applyBorder="1" applyAlignment="1">
      <alignment vertical="center"/>
    </xf>
    <xf numFmtId="0" fontId="4" fillId="24" borderId="60" xfId="0" applyFont="1" applyFill="1" applyBorder="1" applyAlignment="1">
      <alignment vertical="center"/>
    </xf>
    <xf numFmtId="0" fontId="4" fillId="24" borderId="60" xfId="0" applyFont="1" applyFill="1" applyBorder="1" applyAlignment="1">
      <alignment horizontal="center" vertical="center"/>
    </xf>
    <xf numFmtId="43" fontId="4" fillId="24" borderId="60" xfId="2" applyFont="1" applyFill="1" applyBorder="1" applyAlignment="1">
      <alignment vertical="center"/>
    </xf>
    <xf numFmtId="15" fontId="4" fillId="24" borderId="60" xfId="0" applyNumberFormat="1" applyFont="1" applyFill="1" applyBorder="1" applyAlignment="1">
      <alignment horizontal="center" vertical="center"/>
    </xf>
    <xf numFmtId="0" fontId="4" fillId="24" borderId="0" xfId="0" applyFont="1" applyFill="1"/>
    <xf numFmtId="0" fontId="9" fillId="24" borderId="0" xfId="0" applyFont="1" applyFill="1" applyAlignment="1">
      <alignment vertical="center"/>
    </xf>
    <xf numFmtId="44" fontId="4" fillId="12" borderId="0" xfId="1" applyFont="1" applyFill="1" applyBorder="1" applyAlignment="1">
      <alignment horizontal="left"/>
    </xf>
    <xf numFmtId="165" fontId="4" fillId="12" borderId="0" xfId="0" applyNumberFormat="1" applyFont="1" applyFill="1" applyBorder="1" applyAlignment="1">
      <alignment horizontal="left" vertical="center"/>
    </xf>
    <xf numFmtId="0" fontId="13" fillId="0" borderId="1" xfId="0" applyFont="1" applyBorder="1"/>
    <xf numFmtId="166" fontId="4" fillId="12" borderId="7" xfId="3" applyFont="1" applyFill="1" applyBorder="1" applyAlignment="1">
      <alignment horizontal="left" vertical="center"/>
    </xf>
    <xf numFmtId="49" fontId="4" fillId="12" borderId="7" xfId="3" applyNumberFormat="1" applyFont="1" applyFill="1" applyBorder="1" applyAlignment="1">
      <alignment horizontal="center" vertical="center"/>
    </xf>
    <xf numFmtId="49" fontId="4" fillId="11" borderId="7" xfId="3" applyNumberFormat="1" applyFont="1" applyFill="1" applyBorder="1" applyAlignment="1">
      <alignment horizontal="left" vertical="center"/>
    </xf>
    <xf numFmtId="49" fontId="4" fillId="12" borderId="7" xfId="3" applyNumberFormat="1" applyFont="1" applyFill="1" applyBorder="1" applyAlignment="1">
      <alignment horizontal="left" vertical="center"/>
    </xf>
    <xf numFmtId="166" fontId="4" fillId="0" borderId="7" xfId="3" applyFont="1" applyFill="1" applyBorder="1" applyAlignment="1">
      <alignment horizontal="left" vertical="center"/>
    </xf>
    <xf numFmtId="44" fontId="4" fillId="12" borderId="7" xfId="0" applyNumberFormat="1" applyFont="1" applyFill="1" applyBorder="1" applyAlignment="1"/>
    <xf numFmtId="166" fontId="4" fillId="12" borderId="7" xfId="3" applyFont="1" applyFill="1" applyBorder="1" applyAlignment="1">
      <alignment horizontal="right" vertical="center"/>
    </xf>
    <xf numFmtId="166" fontId="4" fillId="12" borderId="7" xfId="3" applyFont="1" applyFill="1" applyBorder="1" applyAlignment="1">
      <alignment horizontal="center" vertical="center"/>
    </xf>
    <xf numFmtId="0" fontId="9" fillId="12" borderId="7" xfId="0" applyFont="1" applyFill="1" applyBorder="1" applyAlignment="1">
      <alignment vertical="center"/>
    </xf>
    <xf numFmtId="43" fontId="4" fillId="12" borderId="7" xfId="0" applyNumberFormat="1" applyFont="1" applyFill="1" applyBorder="1" applyAlignment="1">
      <alignment vertical="center"/>
    </xf>
    <xf numFmtId="0" fontId="4" fillId="12" borderId="7" xfId="0" applyFont="1" applyFill="1" applyBorder="1" applyAlignment="1">
      <alignment vertical="center"/>
    </xf>
    <xf numFmtId="43" fontId="4" fillId="12" borderId="7" xfId="2" applyFont="1" applyFill="1" applyBorder="1" applyAlignment="1">
      <alignment vertical="center"/>
    </xf>
    <xf numFmtId="15" fontId="4" fillId="12" borderId="7" xfId="0" applyNumberFormat="1" applyFont="1" applyFill="1" applyBorder="1" applyAlignment="1">
      <alignment horizontal="center" vertical="center"/>
    </xf>
    <xf numFmtId="16" fontId="4" fillId="12" borderId="3" xfId="0" applyNumberFormat="1" applyFont="1" applyFill="1" applyBorder="1" applyAlignment="1">
      <alignment horizontal="center" vertical="center"/>
    </xf>
    <xf numFmtId="0" fontId="4" fillId="12" borderId="3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left" vertical="center"/>
    </xf>
    <xf numFmtId="164" fontId="4" fillId="12" borderId="3" xfId="0" applyNumberFormat="1" applyFont="1" applyFill="1" applyBorder="1" applyAlignment="1">
      <alignment horizontal="center" vertical="center"/>
    </xf>
    <xf numFmtId="164" fontId="4" fillId="12" borderId="7" xfId="0" applyNumberFormat="1" applyFont="1" applyFill="1" applyBorder="1" applyAlignment="1">
      <alignment horizontal="center" vertical="center"/>
    </xf>
    <xf numFmtId="166" fontId="4" fillId="12" borderId="3" xfId="3" applyFont="1" applyFill="1" applyBorder="1" applyAlignment="1">
      <alignment horizontal="left" vertical="center"/>
    </xf>
    <xf numFmtId="44" fontId="4" fillId="12" borderId="7" xfId="1" applyFont="1" applyFill="1" applyBorder="1" applyAlignment="1">
      <alignment horizontal="left"/>
    </xf>
    <xf numFmtId="164" fontId="4" fillId="11" borderId="5" xfId="0" applyNumberFormat="1" applyFont="1" applyFill="1" applyBorder="1" applyAlignment="1">
      <alignment horizontal="left" vertical="center"/>
    </xf>
    <xf numFmtId="164" fontId="4" fillId="12" borderId="5" xfId="0" applyNumberFormat="1" applyFont="1" applyFill="1" applyBorder="1" applyAlignment="1">
      <alignment horizontal="left" vertical="center"/>
    </xf>
    <xf numFmtId="0" fontId="9" fillId="0" borderId="0" xfId="0" applyFont="1" applyAlignment="1">
      <alignment horizontal="left"/>
    </xf>
    <xf numFmtId="164" fontId="9" fillId="6" borderId="2" xfId="0" applyNumberFormat="1" applyFont="1" applyFill="1" applyBorder="1" applyAlignment="1">
      <alignment horizontal="left" vertical="center"/>
    </xf>
    <xf numFmtId="164" fontId="9" fillId="6" borderId="7" xfId="0" applyNumberFormat="1" applyFont="1" applyFill="1" applyBorder="1" applyAlignment="1">
      <alignment horizontal="left" vertical="center"/>
    </xf>
    <xf numFmtId="164" fontId="4" fillId="0" borderId="4" xfId="0" applyNumberFormat="1" applyFont="1" applyFill="1" applyBorder="1" applyAlignment="1">
      <alignment horizontal="left" vertical="center"/>
    </xf>
    <xf numFmtId="164" fontId="4" fillId="0" borderId="5" xfId="0" applyNumberFormat="1" applyFont="1" applyFill="1" applyBorder="1" applyAlignment="1">
      <alignment horizontal="left" vertical="center" wrapText="1"/>
    </xf>
    <xf numFmtId="164" fontId="4" fillId="18" borderId="5" xfId="0" applyNumberFormat="1" applyFont="1" applyFill="1" applyBorder="1" applyAlignment="1">
      <alignment horizontal="left" vertical="center"/>
    </xf>
    <xf numFmtId="164" fontId="4" fillId="0" borderId="50" xfId="0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left"/>
    </xf>
    <xf numFmtId="15" fontId="9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left"/>
    </xf>
    <xf numFmtId="164" fontId="4" fillId="0" borderId="0" xfId="0" applyNumberFormat="1" applyFont="1" applyFill="1" applyAlignment="1">
      <alignment horizontal="left"/>
    </xf>
    <xf numFmtId="164" fontId="4" fillId="0" borderId="11" xfId="0" applyNumberFormat="1" applyFont="1" applyFill="1" applyBorder="1" applyAlignment="1">
      <alignment horizontal="left" vertical="center"/>
    </xf>
    <xf numFmtId="164" fontId="4" fillId="12" borderId="11" xfId="0" applyNumberFormat="1" applyFont="1" applyFill="1" applyBorder="1" applyAlignment="1">
      <alignment horizontal="left" vertical="center"/>
    </xf>
    <xf numFmtId="164" fontId="4" fillId="11" borderId="11" xfId="0" applyNumberFormat="1" applyFont="1" applyFill="1" applyBorder="1" applyAlignment="1">
      <alignment horizontal="left" vertical="center"/>
    </xf>
    <xf numFmtId="164" fontId="4" fillId="11" borderId="5" xfId="0" applyNumberFormat="1" applyFont="1" applyFill="1" applyBorder="1" applyAlignment="1">
      <alignment horizontal="left" vertical="center" wrapText="1"/>
    </xf>
    <xf numFmtId="0" fontId="4" fillId="11" borderId="5" xfId="0" applyFont="1" applyFill="1" applyBorder="1" applyAlignment="1">
      <alignment horizontal="left" vertical="center" wrapText="1"/>
    </xf>
    <xf numFmtId="164" fontId="4" fillId="12" borderId="5" xfId="0" applyNumberFormat="1" applyFont="1" applyFill="1" applyBorder="1" applyAlignment="1">
      <alignment horizontal="left" vertical="center" wrapText="1"/>
    </xf>
    <xf numFmtId="164" fontId="4" fillId="16" borderId="5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4" fillId="12" borderId="60" xfId="0" applyNumberFormat="1" applyFont="1" applyFill="1" applyBorder="1" applyAlignment="1">
      <alignment horizontal="left" vertical="center"/>
    </xf>
    <xf numFmtId="164" fontId="4" fillId="12" borderId="6" xfId="0" applyNumberFormat="1" applyFont="1" applyFill="1" applyBorder="1" applyAlignment="1">
      <alignment horizontal="left" vertical="center"/>
    </xf>
    <xf numFmtId="164" fontId="4" fillId="12" borderId="94" xfId="0" applyNumberFormat="1" applyFont="1" applyFill="1" applyBorder="1" applyAlignment="1">
      <alignment horizontal="left" vertical="center"/>
    </xf>
    <xf numFmtId="0" fontId="13" fillId="0" borderId="9" xfId="0" applyFont="1" applyBorder="1" applyAlignment="1">
      <alignment horizontal="left"/>
    </xf>
    <xf numFmtId="0" fontId="37" fillId="0" borderId="0" xfId="0" applyFont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164" fontId="4" fillId="24" borderId="5" xfId="0" applyNumberFormat="1" applyFont="1" applyFill="1" applyBorder="1" applyAlignment="1">
      <alignment horizontal="left" vertical="center"/>
    </xf>
    <xf numFmtId="164" fontId="4" fillId="0" borderId="1" xfId="0" applyNumberFormat="1" applyFont="1" applyBorder="1" applyAlignment="1">
      <alignment horizontal="left"/>
    </xf>
    <xf numFmtId="0" fontId="13" fillId="0" borderId="43" xfId="0" applyFont="1" applyBorder="1" applyAlignment="1">
      <alignment horizontal="left"/>
    </xf>
    <xf numFmtId="44" fontId="4" fillId="11" borderId="0" xfId="1" applyFont="1" applyFill="1" applyBorder="1" applyAlignment="1">
      <alignment horizontal="left"/>
    </xf>
    <xf numFmtId="166" fontId="4" fillId="11" borderId="3" xfId="3" applyFont="1" applyFill="1" applyBorder="1" applyAlignment="1">
      <alignment horizontal="left" vertical="center"/>
    </xf>
    <xf numFmtId="0" fontId="4" fillId="11" borderId="20" xfId="0" applyFont="1" applyFill="1" applyBorder="1" applyAlignment="1">
      <alignment horizontal="center" vertical="center"/>
    </xf>
    <xf numFmtId="0" fontId="4" fillId="12" borderId="95" xfId="0" applyFont="1" applyFill="1" applyBorder="1" applyAlignment="1">
      <alignment horizontal="center" vertical="center"/>
    </xf>
    <xf numFmtId="166" fontId="4" fillId="11" borderId="7" xfId="3" applyFont="1" applyFill="1" applyBorder="1" applyAlignment="1">
      <alignment horizontal="left" vertical="center"/>
    </xf>
    <xf numFmtId="165" fontId="4" fillId="13" borderId="74" xfId="0" applyNumberFormat="1" applyFont="1" applyFill="1" applyBorder="1" applyAlignment="1">
      <alignment horizontal="center" vertical="center"/>
    </xf>
    <xf numFmtId="165" fontId="4" fillId="13" borderId="75" xfId="0" applyNumberFormat="1" applyFont="1" applyFill="1" applyBorder="1" applyAlignment="1">
      <alignment horizontal="center" vertical="center"/>
    </xf>
    <xf numFmtId="0" fontId="20" fillId="0" borderId="14" xfId="0" applyFont="1" applyBorder="1" applyAlignment="1">
      <alignment horizontal="left"/>
    </xf>
    <xf numFmtId="0" fontId="20" fillId="0" borderId="0" xfId="0" applyFont="1" applyAlignment="1">
      <alignment horizontal="left"/>
    </xf>
    <xf numFmtId="0" fontId="26" fillId="0" borderId="73" xfId="0" applyFont="1" applyFill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2" xfId="0" applyFont="1" applyBorder="1" applyAlignment="1">
      <alignment horizontal="center" vertical="center"/>
    </xf>
    <xf numFmtId="0" fontId="9" fillId="0" borderId="83" xfId="0" applyFont="1" applyBorder="1" applyAlignment="1">
      <alignment horizontal="center" vertical="center"/>
    </xf>
    <xf numFmtId="0" fontId="13" fillId="0" borderId="0" xfId="0" applyFont="1" applyAlignment="1">
      <alignment horizontal="left"/>
    </xf>
    <xf numFmtId="0" fontId="9" fillId="5" borderId="1" xfId="0" applyFont="1" applyFill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164" fontId="9" fillId="5" borderId="1" xfId="0" applyNumberFormat="1" applyFont="1" applyFill="1" applyBorder="1" applyAlignment="1">
      <alignment horizontal="center" vertical="center"/>
    </xf>
    <xf numFmtId="164" fontId="9" fillId="5" borderId="7" xfId="0" applyNumberFormat="1" applyFont="1" applyFill="1" applyBorder="1" applyAlignment="1">
      <alignment horizontal="center" vertical="center"/>
    </xf>
    <xf numFmtId="164" fontId="9" fillId="5" borderId="3" xfId="0" applyNumberFormat="1" applyFont="1" applyFill="1" applyBorder="1" applyAlignment="1">
      <alignment horizontal="center" vertical="center"/>
    </xf>
    <xf numFmtId="164" fontId="9" fillId="5" borderId="2" xfId="0" applyNumberFormat="1" applyFont="1" applyFill="1" applyBorder="1" applyAlignment="1">
      <alignment horizontal="center" vertical="center"/>
    </xf>
    <xf numFmtId="4" fontId="4" fillId="0" borderId="14" xfId="0" applyNumberFormat="1" applyFont="1" applyBorder="1" applyAlignment="1">
      <alignment horizontal="center" vertical="center"/>
    </xf>
    <xf numFmtId="4" fontId="4" fillId="0" borderId="0" xfId="0" applyNumberFormat="1" applyFont="1" applyBorder="1" applyAlignment="1">
      <alignment horizontal="center" vertical="center"/>
    </xf>
    <xf numFmtId="4" fontId="4" fillId="0" borderId="13" xfId="0" applyNumberFormat="1" applyFont="1" applyBorder="1" applyAlignment="1">
      <alignment horizontal="center" vertical="center"/>
    </xf>
    <xf numFmtId="4" fontId="4" fillId="0" borderId="16" xfId="0" applyNumberFormat="1" applyFont="1" applyBorder="1" applyAlignment="1">
      <alignment horizontal="center" vertical="center"/>
    </xf>
    <xf numFmtId="4" fontId="4" fillId="0" borderId="43" xfId="0" applyNumberFormat="1" applyFont="1" applyBorder="1" applyAlignment="1">
      <alignment horizontal="center" vertical="center"/>
    </xf>
    <xf numFmtId="4" fontId="4" fillId="0" borderId="17" xfId="0" applyNumberFormat="1" applyFont="1" applyBorder="1" applyAlignment="1">
      <alignment horizontal="center" vertical="center"/>
    </xf>
    <xf numFmtId="4" fontId="4" fillId="0" borderId="8" xfId="0" applyNumberFormat="1" applyFont="1" applyBorder="1" applyAlignment="1">
      <alignment horizontal="center" vertical="center"/>
    </xf>
    <xf numFmtId="4" fontId="4" fillId="0" borderId="9" xfId="0" applyNumberFormat="1" applyFont="1" applyBorder="1" applyAlignment="1">
      <alignment horizontal="center" vertical="center"/>
    </xf>
    <xf numFmtId="4" fontId="4" fillId="0" borderId="10" xfId="0" applyNumberFormat="1" applyFont="1" applyBorder="1" applyAlignment="1">
      <alignment horizontal="center" vertical="center"/>
    </xf>
    <xf numFmtId="4" fontId="9" fillId="5" borderId="1" xfId="0" applyNumberFormat="1" applyFont="1" applyFill="1" applyBorder="1" applyAlignment="1">
      <alignment horizontal="center" vertical="center"/>
    </xf>
    <xf numFmtId="4" fontId="9" fillId="5" borderId="7" xfId="0" applyNumberFormat="1" applyFont="1" applyFill="1" applyBorder="1" applyAlignment="1">
      <alignment horizontal="center" vertical="center"/>
    </xf>
    <xf numFmtId="4" fontId="9" fillId="5" borderId="3" xfId="0" applyNumberFormat="1" applyFont="1" applyFill="1" applyBorder="1" applyAlignment="1">
      <alignment horizontal="center" vertical="center"/>
    </xf>
    <xf numFmtId="164" fontId="9" fillId="5" borderId="8" xfId="0" applyNumberFormat="1" applyFont="1" applyFill="1" applyBorder="1" applyAlignment="1">
      <alignment horizontal="center" vertical="center"/>
    </xf>
    <xf numFmtId="164" fontId="9" fillId="5" borderId="10" xfId="0" applyNumberFormat="1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/>
    </xf>
    <xf numFmtId="164" fontId="9" fillId="5" borderId="2" xfId="0" applyNumberFormat="1" applyFont="1" applyFill="1" applyBorder="1" applyAlignment="1">
      <alignment horizontal="left" vertical="center"/>
    </xf>
    <xf numFmtId="164" fontId="9" fillId="5" borderId="7" xfId="0" applyNumberFormat="1" applyFont="1" applyFill="1" applyBorder="1" applyAlignment="1">
      <alignment horizontal="left" vertical="center"/>
    </xf>
    <xf numFmtId="164" fontId="9" fillId="5" borderId="3" xfId="0" applyNumberFormat="1" applyFont="1" applyFill="1" applyBorder="1" applyAlignment="1">
      <alignment horizontal="left" vertical="center"/>
    </xf>
    <xf numFmtId="164" fontId="9" fillId="6" borderId="2" xfId="0" applyNumberFormat="1" applyFont="1" applyFill="1" applyBorder="1" applyAlignment="1">
      <alignment horizontal="center" vertical="center"/>
    </xf>
    <xf numFmtId="164" fontId="9" fillId="6" borderId="7" xfId="0" applyNumberFormat="1" applyFont="1" applyFill="1" applyBorder="1" applyAlignment="1">
      <alignment horizontal="center" vertical="center"/>
    </xf>
    <xf numFmtId="4" fontId="9" fillId="6" borderId="2" xfId="0" applyNumberFormat="1" applyFont="1" applyFill="1" applyBorder="1" applyAlignment="1">
      <alignment horizontal="center" vertical="center"/>
    </xf>
    <xf numFmtId="4" fontId="9" fillId="6" borderId="7" xfId="0" applyNumberFormat="1" applyFont="1" applyFill="1" applyBorder="1" applyAlignment="1">
      <alignment horizontal="center" vertical="center"/>
    </xf>
    <xf numFmtId="4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164" fontId="9" fillId="6" borderId="8" xfId="0" applyNumberFormat="1" applyFont="1" applyFill="1" applyBorder="1" applyAlignment="1">
      <alignment horizontal="center" vertical="center"/>
    </xf>
    <xf numFmtId="164" fontId="9" fillId="6" borderId="10" xfId="0" applyNumberFormat="1" applyFont="1" applyFill="1" applyBorder="1" applyAlignment="1">
      <alignment horizontal="center" vertical="center"/>
    </xf>
    <xf numFmtId="164" fontId="9" fillId="6" borderId="1" xfId="0" applyNumberFormat="1" applyFont="1" applyFill="1" applyBorder="1" applyAlignment="1">
      <alignment horizontal="center" vertical="center"/>
    </xf>
    <xf numFmtId="165" fontId="4" fillId="0" borderId="84" xfId="0" applyNumberFormat="1" applyFont="1" applyFill="1" applyBorder="1" applyAlignment="1">
      <alignment horizontal="center" vertical="center"/>
    </xf>
    <xf numFmtId="165" fontId="4" fillId="0" borderId="85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3" fillId="0" borderId="9" xfId="0" applyFont="1" applyBorder="1"/>
    <xf numFmtId="0" fontId="0" fillId="0" borderId="9" xfId="0" applyBorder="1"/>
    <xf numFmtId="0" fontId="13" fillId="0" borderId="10" xfId="0" applyFont="1" applyBorder="1"/>
    <xf numFmtId="49" fontId="4" fillId="15" borderId="74" xfId="1" applyNumberFormat="1" applyFont="1" applyFill="1" applyBorder="1" applyAlignment="1">
      <alignment horizontal="right" vertical="center"/>
    </xf>
    <xf numFmtId="44" fontId="4" fillId="15" borderId="75" xfId="1" applyFont="1" applyFill="1" applyBorder="1" applyAlignment="1">
      <alignment horizontal="right" vertical="center"/>
    </xf>
    <xf numFmtId="165" fontId="4" fillId="13" borderId="76" xfId="0" applyNumberFormat="1" applyFont="1" applyFill="1" applyBorder="1" applyAlignment="1">
      <alignment horizontal="center" vertical="center"/>
    </xf>
    <xf numFmtId="4" fontId="9" fillId="7" borderId="1" xfId="0" applyNumberFormat="1" applyFont="1" applyFill="1" applyBorder="1" applyAlignment="1">
      <alignment horizontal="center" vertical="center"/>
    </xf>
    <xf numFmtId="4" fontId="9" fillId="7" borderId="8" xfId="0" applyNumberFormat="1" applyFont="1" applyFill="1" applyBorder="1" applyAlignment="1">
      <alignment horizontal="center" vertical="center"/>
    </xf>
    <xf numFmtId="4" fontId="9" fillId="7" borderId="9" xfId="0" applyNumberFormat="1" applyFont="1" applyFill="1" applyBorder="1" applyAlignment="1">
      <alignment horizontal="center" vertical="center"/>
    </xf>
    <xf numFmtId="4" fontId="9" fillId="7" borderId="2" xfId="0" applyNumberFormat="1" applyFont="1" applyFill="1" applyBorder="1" applyAlignment="1">
      <alignment horizontal="center" vertical="center"/>
    </xf>
    <xf numFmtId="4" fontId="9" fillId="7" borderId="3" xfId="0" applyNumberFormat="1" applyFont="1" applyFill="1" applyBorder="1" applyAlignment="1">
      <alignment horizontal="center" vertical="center"/>
    </xf>
    <xf numFmtId="4" fontId="9" fillId="7" borderId="10" xfId="0" applyNumberFormat="1" applyFont="1" applyFill="1" applyBorder="1" applyAlignment="1">
      <alignment horizontal="center" vertical="center"/>
    </xf>
    <xf numFmtId="4" fontId="9" fillId="0" borderId="12" xfId="0" applyNumberFormat="1" applyFont="1" applyFill="1" applyBorder="1" applyAlignment="1">
      <alignment horizontal="center" vertical="center"/>
    </xf>
    <xf numFmtId="4" fontId="9" fillId="0" borderId="15" xfId="0" applyNumberFormat="1" applyFont="1" applyFill="1" applyBorder="1" applyAlignment="1">
      <alignment horizontal="center" vertical="center"/>
    </xf>
    <xf numFmtId="4" fontId="9" fillId="0" borderId="13" xfId="0" applyNumberFormat="1" applyFont="1" applyFill="1" applyBorder="1" applyAlignment="1">
      <alignment horizontal="center" vertical="center"/>
    </xf>
    <xf numFmtId="4" fontId="9" fillId="0" borderId="16" xfId="0" applyNumberFormat="1" applyFont="1" applyFill="1" applyBorder="1" applyAlignment="1">
      <alignment horizontal="center" vertical="center"/>
    </xf>
    <xf numFmtId="4" fontId="9" fillId="0" borderId="43" xfId="0" applyNumberFormat="1" applyFont="1" applyFill="1" applyBorder="1" applyAlignment="1">
      <alignment horizontal="center" vertical="center"/>
    </xf>
    <xf numFmtId="4" fontId="9" fillId="0" borderId="17" xfId="0" applyNumberFormat="1" applyFont="1" applyFill="1" applyBorder="1" applyAlignment="1">
      <alignment horizontal="center" vertical="center"/>
    </xf>
    <xf numFmtId="44" fontId="4" fillId="15" borderId="74" xfId="1" applyFont="1" applyFill="1" applyBorder="1" applyAlignment="1">
      <alignment horizontal="center" vertical="center"/>
    </xf>
    <xf numFmtId="44" fontId="4" fillId="15" borderId="75" xfId="1" applyFont="1" applyFill="1" applyBorder="1" applyAlignment="1">
      <alignment horizontal="center" vertical="center"/>
    </xf>
    <xf numFmtId="4" fontId="9" fillId="7" borderId="7" xfId="0" applyNumberFormat="1" applyFont="1" applyFill="1" applyBorder="1" applyAlignment="1">
      <alignment horizontal="center" vertical="center"/>
    </xf>
    <xf numFmtId="0" fontId="2" fillId="6" borderId="2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9" fillId="0" borderId="2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12" borderId="2" xfId="0" applyFont="1" applyFill="1" applyBorder="1" applyAlignment="1">
      <alignment horizontal="center" vertical="center"/>
    </xf>
    <xf numFmtId="0" fontId="9" fillId="12" borderId="3" xfId="0" applyFont="1" applyFill="1" applyBorder="1" applyAlignment="1">
      <alignment horizontal="center" vertical="center"/>
    </xf>
    <xf numFmtId="164" fontId="9" fillId="12" borderId="2" xfId="0" applyNumberFormat="1" applyFont="1" applyFill="1" applyBorder="1" applyAlignment="1">
      <alignment horizontal="center" vertical="center"/>
    </xf>
    <xf numFmtId="164" fontId="9" fillId="12" borderId="3" xfId="0" applyNumberFormat="1" applyFont="1" applyFill="1" applyBorder="1" applyAlignment="1">
      <alignment horizontal="center" vertical="center"/>
    </xf>
    <xf numFmtId="4" fontId="9" fillId="12" borderId="1" xfId="0" applyNumberFormat="1" applyFont="1" applyFill="1" applyBorder="1" applyAlignment="1">
      <alignment horizontal="center" vertical="center"/>
    </xf>
    <xf numFmtId="4" fontId="9" fillId="12" borderId="8" xfId="0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/>
    </xf>
    <xf numFmtId="0" fontId="4" fillId="0" borderId="1" xfId="0" applyFont="1" applyFill="1" applyBorder="1" applyAlignment="1">
      <alignment horizontal="left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164" fontId="4" fillId="0" borderId="8" xfId="0" applyNumberFormat="1" applyFont="1" applyFill="1" applyBorder="1" applyAlignment="1">
      <alignment horizontal="center" vertical="center"/>
    </xf>
    <xf numFmtId="164" fontId="4" fillId="0" borderId="9" xfId="0" applyNumberFormat="1" applyFont="1" applyFill="1" applyBorder="1" applyAlignment="1">
      <alignment horizontal="center" vertical="center"/>
    </xf>
    <xf numFmtId="164" fontId="4" fillId="0" borderId="10" xfId="0" applyNumberFormat="1" applyFont="1" applyFill="1" applyBorder="1" applyAlignment="1">
      <alignment horizontal="center" vertical="center"/>
    </xf>
    <xf numFmtId="43" fontId="4" fillId="0" borderId="8" xfId="2" applyFont="1" applyFill="1" applyBorder="1" applyAlignment="1">
      <alignment horizontal="center" vertical="center"/>
    </xf>
    <xf numFmtId="43" fontId="4" fillId="0" borderId="10" xfId="2" applyFont="1" applyFill="1" applyBorder="1" applyAlignment="1">
      <alignment horizontal="center" vertical="center"/>
    </xf>
    <xf numFmtId="0" fontId="4" fillId="17" borderId="8" xfId="0" applyFont="1" applyFill="1" applyBorder="1" applyAlignment="1">
      <alignment horizontal="center" vertical="center"/>
    </xf>
    <xf numFmtId="0" fontId="4" fillId="17" borderId="10" xfId="0" applyFont="1" applyFill="1" applyBorder="1" applyAlignment="1">
      <alignment horizontal="center" vertical="center"/>
    </xf>
    <xf numFmtId="43" fontId="4" fillId="0" borderId="9" xfId="2" applyFont="1" applyFill="1" applyBorder="1" applyAlignment="1">
      <alignment horizontal="center" vertical="center"/>
    </xf>
    <xf numFmtId="1" fontId="4" fillId="0" borderId="12" xfId="0" applyNumberFormat="1" applyFont="1" applyFill="1" applyBorder="1" applyAlignment="1">
      <alignment horizontal="center" vertical="center"/>
    </xf>
    <xf numFmtId="1" fontId="4" fillId="0" borderId="15" xfId="0" applyNumberFormat="1" applyFont="1" applyFill="1" applyBorder="1" applyAlignment="1">
      <alignment horizontal="center" vertical="center"/>
    </xf>
    <xf numFmtId="1" fontId="4" fillId="0" borderId="13" xfId="0" applyNumberFormat="1" applyFont="1" applyFill="1" applyBorder="1" applyAlignment="1">
      <alignment horizontal="center" vertical="center"/>
    </xf>
    <xf numFmtId="1" fontId="4" fillId="0" borderId="14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Border="1" applyAlignment="1">
      <alignment horizontal="center" vertical="center"/>
    </xf>
    <xf numFmtId="1" fontId="4" fillId="0" borderId="57" xfId="0" applyNumberFormat="1" applyFont="1" applyFill="1" applyBorder="1" applyAlignment="1">
      <alignment horizontal="center" vertical="center"/>
    </xf>
    <xf numFmtId="1" fontId="4" fillId="0" borderId="16" xfId="0" applyNumberFormat="1" applyFont="1" applyFill="1" applyBorder="1" applyAlignment="1">
      <alignment horizontal="center" vertical="center"/>
    </xf>
    <xf numFmtId="1" fontId="4" fillId="0" borderId="43" xfId="0" applyNumberFormat="1" applyFont="1" applyFill="1" applyBorder="1" applyAlignment="1">
      <alignment horizontal="center" vertical="center"/>
    </xf>
    <xf numFmtId="1" fontId="4" fillId="0" borderId="17" xfId="0" applyNumberFormat="1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43" fontId="9" fillId="17" borderId="8" xfId="2" applyFont="1" applyFill="1" applyBorder="1" applyAlignment="1">
      <alignment horizontal="center" vertical="center"/>
    </xf>
    <xf numFmtId="43" fontId="9" fillId="17" borderId="9" xfId="2" applyFont="1" applyFill="1" applyBorder="1" applyAlignment="1">
      <alignment horizontal="center" vertical="center"/>
    </xf>
    <xf numFmtId="43" fontId="9" fillId="17" borderId="10" xfId="2" applyFont="1" applyFill="1" applyBorder="1" applyAlignment="1">
      <alignment horizontal="center" vertical="center"/>
    </xf>
    <xf numFmtId="43" fontId="4" fillId="0" borderId="1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43" fontId="4" fillId="0" borderId="12" xfId="2" applyFont="1" applyFill="1" applyBorder="1" applyAlignment="1">
      <alignment horizontal="center" vertical="center"/>
    </xf>
    <xf numFmtId="43" fontId="4" fillId="0" borderId="15" xfId="2" applyFont="1" applyFill="1" applyBorder="1" applyAlignment="1">
      <alignment horizontal="center" vertical="center"/>
    </xf>
    <xf numFmtId="43" fontId="4" fillId="0" borderId="13" xfId="2" applyFont="1" applyFill="1" applyBorder="1" applyAlignment="1">
      <alignment horizontal="center" vertical="center"/>
    </xf>
    <xf numFmtId="43" fontId="4" fillId="0" borderId="16" xfId="2" applyFont="1" applyFill="1" applyBorder="1" applyAlignment="1">
      <alignment horizontal="center" vertical="center"/>
    </xf>
    <xf numFmtId="43" fontId="4" fillId="0" borderId="43" xfId="2" applyFont="1" applyFill="1" applyBorder="1" applyAlignment="1">
      <alignment horizontal="center" vertical="center"/>
    </xf>
    <xf numFmtId="43" fontId="4" fillId="0" borderId="17" xfId="2" applyFont="1" applyFill="1" applyBorder="1" applyAlignment="1">
      <alignment horizontal="center" vertical="center"/>
    </xf>
    <xf numFmtId="164" fontId="31" fillId="0" borderId="8" xfId="0" applyNumberFormat="1" applyFont="1" applyFill="1" applyBorder="1" applyAlignment="1">
      <alignment horizontal="center" vertical="center" wrapText="1"/>
    </xf>
    <xf numFmtId="164" fontId="31" fillId="0" borderId="10" xfId="0" applyNumberFormat="1" applyFont="1" applyFill="1" applyBorder="1" applyAlignment="1">
      <alignment horizontal="center" vertical="center" wrapText="1"/>
    </xf>
    <xf numFmtId="164" fontId="4" fillId="0" borderId="12" xfId="0" applyNumberFormat="1" applyFont="1" applyFill="1" applyBorder="1" applyAlignment="1">
      <alignment horizontal="center" vertical="center"/>
    </xf>
    <xf numFmtId="164" fontId="4" fillId="0" borderId="13" xfId="0" applyNumberFormat="1" applyFont="1" applyFill="1" applyBorder="1" applyAlignment="1">
      <alignment horizontal="center" vertical="center"/>
    </xf>
    <xf numFmtId="164" fontId="4" fillId="0" borderId="16" xfId="0" applyNumberFormat="1" applyFont="1" applyFill="1" applyBorder="1" applyAlignment="1">
      <alignment horizontal="center" vertical="center"/>
    </xf>
    <xf numFmtId="164" fontId="4" fillId="0" borderId="17" xfId="0" applyNumberFormat="1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164" fontId="9" fillId="17" borderId="12" xfId="0" applyNumberFormat="1" applyFont="1" applyFill="1" applyBorder="1" applyAlignment="1">
      <alignment horizontal="center" vertical="center"/>
    </xf>
    <xf numFmtId="164" fontId="9" fillId="17" borderId="15" xfId="0" applyNumberFormat="1" applyFont="1" applyFill="1" applyBorder="1" applyAlignment="1">
      <alignment horizontal="center" vertical="center"/>
    </xf>
    <xf numFmtId="164" fontId="9" fillId="17" borderId="13" xfId="0" applyNumberFormat="1" applyFont="1" applyFill="1" applyBorder="1" applyAlignment="1">
      <alignment horizontal="center" vertical="center"/>
    </xf>
    <xf numFmtId="164" fontId="9" fillId="17" borderId="16" xfId="0" applyNumberFormat="1" applyFont="1" applyFill="1" applyBorder="1" applyAlignment="1">
      <alignment horizontal="center" vertical="center"/>
    </xf>
    <xf numFmtId="164" fontId="9" fillId="17" borderId="43" xfId="0" applyNumberFormat="1" applyFont="1" applyFill="1" applyBorder="1" applyAlignment="1">
      <alignment horizontal="center" vertical="center"/>
    </xf>
    <xf numFmtId="164" fontId="9" fillId="17" borderId="17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43" fontId="53" fillId="0" borderId="8" xfId="2" applyFont="1" applyFill="1" applyBorder="1" applyAlignment="1">
      <alignment horizontal="center" vertical="center"/>
    </xf>
    <xf numFmtId="43" fontId="53" fillId="0" borderId="10" xfId="2" applyFont="1" applyFill="1" applyBorder="1" applyAlignment="1">
      <alignment horizontal="center" vertical="center"/>
    </xf>
    <xf numFmtId="43" fontId="30" fillId="0" borderId="8" xfId="2" applyFont="1" applyFill="1" applyBorder="1" applyAlignment="1">
      <alignment horizontal="center" vertical="center"/>
    </xf>
    <xf numFmtId="43" fontId="30" fillId="0" borderId="10" xfId="2" applyFont="1" applyFill="1" applyBorder="1" applyAlignment="1">
      <alignment horizontal="center" vertical="center"/>
    </xf>
    <xf numFmtId="1" fontId="4" fillId="0" borderId="2" xfId="0" applyNumberFormat="1" applyFont="1" applyFill="1" applyBorder="1" applyAlignment="1">
      <alignment horizontal="center" vertical="center" wrapText="1"/>
    </xf>
    <xf numFmtId="1" fontId="4" fillId="0" borderId="7" xfId="0" applyNumberFormat="1" applyFont="1" applyFill="1" applyBorder="1" applyAlignment="1">
      <alignment horizontal="center" vertical="center" wrapText="1"/>
    </xf>
    <xf numFmtId="1" fontId="4" fillId="0" borderId="3" xfId="0" applyNumberFormat="1" applyFont="1" applyFill="1" applyBorder="1" applyAlignment="1">
      <alignment horizontal="center" vertical="center" wrapText="1"/>
    </xf>
    <xf numFmtId="1" fontId="4" fillId="0" borderId="12" xfId="0" applyNumberFormat="1" applyFont="1" applyFill="1" applyBorder="1" applyAlignment="1">
      <alignment horizontal="center" vertical="center" wrapText="1"/>
    </xf>
    <xf numFmtId="1" fontId="4" fillId="0" borderId="13" xfId="0" applyNumberFormat="1" applyFont="1" applyFill="1" applyBorder="1" applyAlignment="1">
      <alignment horizontal="center" vertical="center" wrapText="1"/>
    </xf>
    <xf numFmtId="1" fontId="4" fillId="0" borderId="14" xfId="0" applyNumberFormat="1" applyFont="1" applyFill="1" applyBorder="1" applyAlignment="1">
      <alignment horizontal="center" vertical="center" wrapText="1"/>
    </xf>
    <xf numFmtId="1" fontId="4" fillId="0" borderId="57" xfId="0" applyNumberFormat="1" applyFont="1" applyFill="1" applyBorder="1" applyAlignment="1">
      <alignment horizontal="center" vertical="center" wrapText="1"/>
    </xf>
    <xf numFmtId="1" fontId="4" fillId="0" borderId="16" xfId="0" applyNumberFormat="1" applyFont="1" applyFill="1" applyBorder="1" applyAlignment="1">
      <alignment horizontal="center" vertical="center" wrapText="1"/>
    </xf>
    <xf numFmtId="1" fontId="4" fillId="0" borderId="17" xfId="0" applyNumberFormat="1" applyFont="1" applyFill="1" applyBorder="1" applyAlignment="1">
      <alignment horizontal="center" vertical="center" wrapText="1"/>
    </xf>
    <xf numFmtId="0" fontId="4" fillId="17" borderId="9" xfId="0" applyFont="1" applyFill="1" applyBorder="1" applyAlignment="1">
      <alignment horizontal="center" vertical="center"/>
    </xf>
    <xf numFmtId="43" fontId="4" fillId="17" borderId="12" xfId="2" applyFont="1" applyFill="1" applyBorder="1" applyAlignment="1">
      <alignment horizontal="center" vertical="center"/>
    </xf>
    <xf numFmtId="43" fontId="4" fillId="17" borderId="13" xfId="2" applyFont="1" applyFill="1" applyBorder="1" applyAlignment="1">
      <alignment horizontal="center" vertical="center"/>
    </xf>
    <xf numFmtId="43" fontId="4" fillId="0" borderId="12" xfId="2" applyFont="1" applyFill="1" applyBorder="1" applyAlignment="1">
      <alignment horizontal="center" vertical="center" wrapText="1"/>
    </xf>
    <xf numFmtId="43" fontId="4" fillId="0" borderId="13" xfId="2" applyFont="1" applyFill="1" applyBorder="1" applyAlignment="1">
      <alignment horizontal="center" vertical="center" wrapText="1"/>
    </xf>
    <xf numFmtId="43" fontId="4" fillId="0" borderId="16" xfId="2" applyFont="1" applyFill="1" applyBorder="1" applyAlignment="1">
      <alignment horizontal="center" vertical="center" wrapText="1"/>
    </xf>
    <xf numFmtId="43" fontId="4" fillId="0" borderId="17" xfId="2" applyFont="1" applyFill="1" applyBorder="1" applyAlignment="1">
      <alignment horizontal="center" vertical="center" wrapText="1"/>
    </xf>
    <xf numFmtId="43" fontId="4" fillId="0" borderId="8" xfId="2" applyFont="1" applyFill="1" applyBorder="1" applyAlignment="1">
      <alignment horizontal="center" vertical="center" wrapText="1"/>
    </xf>
    <xf numFmtId="43" fontId="4" fillId="0" borderId="10" xfId="2" applyFont="1" applyFill="1" applyBorder="1" applyAlignment="1">
      <alignment horizontal="center" vertical="center" wrapText="1"/>
    </xf>
    <xf numFmtId="43" fontId="4" fillId="17" borderId="8" xfId="2" applyFont="1" applyFill="1" applyBorder="1" applyAlignment="1">
      <alignment horizontal="center" vertical="center"/>
    </xf>
    <xf numFmtId="43" fontId="4" fillId="17" borderId="10" xfId="2" applyFont="1" applyFill="1" applyBorder="1" applyAlignment="1">
      <alignment horizontal="center" vertical="center"/>
    </xf>
    <xf numFmtId="0" fontId="9" fillId="17" borderId="8" xfId="0" applyFont="1" applyFill="1" applyBorder="1" applyAlignment="1">
      <alignment horizontal="center" vertical="center"/>
    </xf>
    <xf numFmtId="0" fontId="9" fillId="17" borderId="9" xfId="0" applyFont="1" applyFill="1" applyBorder="1" applyAlignment="1">
      <alignment horizontal="center" vertical="center"/>
    </xf>
    <xf numFmtId="0" fontId="9" fillId="17" borderId="1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9" fillId="5" borderId="10" xfId="0" applyFont="1" applyFill="1" applyBorder="1" applyAlignment="1">
      <alignment horizontal="center" vertical="center"/>
    </xf>
    <xf numFmtId="0" fontId="9" fillId="5" borderId="9" xfId="0" applyFont="1" applyFill="1" applyBorder="1" applyAlignment="1">
      <alignment horizontal="center" vertical="center"/>
    </xf>
    <xf numFmtId="164" fontId="4" fillId="22" borderId="2" xfId="0" applyNumberFormat="1" applyFont="1" applyFill="1" applyBorder="1" applyAlignment="1">
      <alignment horizontal="center" vertical="center"/>
    </xf>
    <xf numFmtId="164" fontId="4" fillId="22" borderId="3" xfId="0" applyNumberFormat="1" applyFont="1" applyFill="1" applyBorder="1" applyAlignment="1">
      <alignment horizontal="center" vertical="center"/>
    </xf>
    <xf numFmtId="15" fontId="4" fillId="0" borderId="1" xfId="0" applyNumberFormat="1" applyFont="1" applyFill="1" applyBorder="1" applyAlignment="1">
      <alignment horizontal="center" vertical="center"/>
    </xf>
    <xf numFmtId="15" fontId="4" fillId="19" borderId="1" xfId="0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22" borderId="2" xfId="0" applyFont="1" applyFill="1" applyBorder="1" applyAlignment="1">
      <alignment horizontal="center" vertical="center"/>
    </xf>
    <xf numFmtId="0" fontId="4" fillId="22" borderId="3" xfId="0" applyFont="1" applyFill="1" applyBorder="1" applyAlignment="1">
      <alignment horizontal="center" vertical="center"/>
    </xf>
    <xf numFmtId="15" fontId="4" fillId="22" borderId="2" xfId="0" applyNumberFormat="1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164" fontId="9" fillId="17" borderId="8" xfId="0" applyNumberFormat="1" applyFont="1" applyFill="1" applyBorder="1" applyAlignment="1">
      <alignment horizontal="center" vertical="center"/>
    </xf>
    <xf numFmtId="164" fontId="9" fillId="17" borderId="9" xfId="0" applyNumberFormat="1" applyFont="1" applyFill="1" applyBorder="1" applyAlignment="1">
      <alignment horizontal="center" vertical="center"/>
    </xf>
    <xf numFmtId="164" fontId="9" fillId="17" borderId="1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43" fontId="9" fillId="5" borderId="1" xfId="2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164" fontId="4" fillId="17" borderId="1" xfId="0" applyNumberFormat="1" applyFont="1" applyFill="1" applyBorder="1" applyAlignment="1">
      <alignment horizontal="center" vertical="center"/>
    </xf>
    <xf numFmtId="15" fontId="4" fillId="19" borderId="12" xfId="0" applyNumberFormat="1" applyFont="1" applyFill="1" applyBorder="1" applyAlignment="1">
      <alignment horizontal="center" vertical="center"/>
    </xf>
    <xf numFmtId="0" fontId="4" fillId="19" borderId="14" xfId="0" applyFont="1" applyFill="1" applyBorder="1" applyAlignment="1">
      <alignment horizontal="center" vertical="center"/>
    </xf>
    <xf numFmtId="0" fontId="4" fillId="19" borderId="16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15" fontId="4" fillId="0" borderId="2" xfId="0" applyNumberFormat="1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5" fontId="4" fillId="0" borderId="7" xfId="0" applyNumberFormat="1" applyFont="1" applyFill="1" applyBorder="1" applyAlignment="1">
      <alignment horizontal="center" vertical="center" wrapText="1"/>
    </xf>
    <xf numFmtId="15" fontId="4" fillId="18" borderId="2" xfId="0" applyNumberFormat="1" applyFont="1" applyFill="1" applyBorder="1" applyAlignment="1">
      <alignment horizontal="center" vertical="center"/>
    </xf>
    <xf numFmtId="0" fontId="4" fillId="18" borderId="3" xfId="0" applyFont="1" applyFill="1" applyBorder="1" applyAlignment="1">
      <alignment horizontal="center" vertical="center"/>
    </xf>
    <xf numFmtId="15" fontId="4" fillId="0" borderId="2" xfId="0" applyNumberFormat="1" applyFont="1" applyFill="1" applyBorder="1" applyAlignment="1">
      <alignment horizontal="center" vertical="center" wrapText="1"/>
    </xf>
    <xf numFmtId="15" fontId="4" fillId="0" borderId="3" xfId="0" applyNumberFormat="1" applyFont="1" applyFill="1" applyBorder="1" applyAlignment="1">
      <alignment horizontal="center" vertical="center" wrapText="1"/>
    </xf>
    <xf numFmtId="0" fontId="31" fillId="0" borderId="2" xfId="0" applyFont="1" applyFill="1" applyBorder="1" applyAlignment="1">
      <alignment horizontal="center" vertical="center" wrapText="1"/>
    </xf>
    <xf numFmtId="0" fontId="31" fillId="0" borderId="3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15" fontId="4" fillId="0" borderId="12" xfId="0" applyNumberFormat="1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30" fillId="0" borderId="8" xfId="0" applyFont="1" applyFill="1" applyBorder="1" applyAlignment="1">
      <alignment horizontal="center" vertical="center"/>
    </xf>
    <xf numFmtId="0" fontId="30" fillId="0" borderId="10" xfId="0" applyFont="1" applyFill="1" applyBorder="1" applyAlignment="1">
      <alignment horizontal="center" vertical="center"/>
    </xf>
    <xf numFmtId="15" fontId="4" fillId="0" borderId="8" xfId="2" applyNumberFormat="1" applyFont="1" applyFill="1" applyBorder="1" applyAlignment="1">
      <alignment horizontal="center" vertical="center"/>
    </xf>
    <xf numFmtId="15" fontId="4" fillId="0" borderId="7" xfId="0" applyNumberFormat="1" applyFont="1" applyFill="1" applyBorder="1" applyAlignment="1">
      <alignment horizontal="center" vertical="center"/>
    </xf>
    <xf numFmtId="15" fontId="4" fillId="0" borderId="3" xfId="0" applyNumberFormat="1" applyFont="1" applyFill="1" applyBorder="1" applyAlignment="1">
      <alignment horizontal="center" vertical="center"/>
    </xf>
    <xf numFmtId="15" fontId="4" fillId="18" borderId="1" xfId="0" applyNumberFormat="1" applyFont="1" applyFill="1" applyBorder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49" fontId="2" fillId="0" borderId="2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4" fontId="2" fillId="0" borderId="2" xfId="0" applyNumberFormat="1" applyFont="1" applyBorder="1" applyAlignment="1">
      <alignment horizontal="center" vertical="center"/>
    </xf>
    <xf numFmtId="4" fontId="2" fillId="0" borderId="3" xfId="0" applyNumberFormat="1" applyFont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 wrapText="1"/>
    </xf>
    <xf numFmtId="49" fontId="2" fillId="0" borderId="7" xfId="0" applyNumberFormat="1" applyFont="1" applyFill="1" applyBorder="1" applyAlignment="1">
      <alignment horizontal="center" vertical="center" wrapText="1"/>
    </xf>
    <xf numFmtId="49" fontId="2" fillId="0" borderId="3" xfId="0" applyNumberFormat="1" applyFont="1" applyFill="1" applyBorder="1" applyAlignment="1">
      <alignment horizontal="center" vertical="center" wrapText="1"/>
    </xf>
    <xf numFmtId="4" fontId="2" fillId="0" borderId="8" xfId="0" applyNumberFormat="1" applyFont="1" applyFill="1" applyBorder="1" applyAlignment="1">
      <alignment horizontal="center" vertical="center"/>
    </xf>
    <xf numFmtId="4" fontId="2" fillId="0" borderId="9" xfId="0" applyNumberFormat="1" applyFont="1" applyFill="1" applyBorder="1" applyAlignment="1">
      <alignment horizontal="center" vertical="center"/>
    </xf>
    <xf numFmtId="4" fontId="2" fillId="0" borderId="10" xfId="0" applyNumberFormat="1" applyFont="1" applyFill="1" applyBorder="1" applyAlignment="1">
      <alignment horizontal="center" vertical="center"/>
    </xf>
    <xf numFmtId="49" fontId="2" fillId="0" borderId="8" xfId="0" applyNumberFormat="1" applyFont="1" applyFill="1" applyBorder="1" applyAlignment="1">
      <alignment horizontal="center" vertical="center"/>
    </xf>
    <xf numFmtId="49" fontId="2" fillId="0" borderId="9" xfId="0" applyNumberFormat="1" applyFont="1" applyFill="1" applyBorder="1" applyAlignment="1">
      <alignment horizontal="center" vertical="center"/>
    </xf>
    <xf numFmtId="49" fontId="2" fillId="0" borderId="10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44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49" fontId="2" fillId="0" borderId="44" xfId="0" applyNumberFormat="1" applyFont="1" applyFill="1" applyBorder="1" applyAlignment="1">
      <alignment horizontal="center" vertical="center"/>
    </xf>
    <xf numFmtId="49" fontId="2" fillId="0" borderId="32" xfId="0" applyNumberFormat="1" applyFont="1" applyFill="1" applyBorder="1" applyAlignment="1">
      <alignment horizontal="center" vertical="center"/>
    </xf>
    <xf numFmtId="49" fontId="2" fillId="0" borderId="58" xfId="0" applyNumberFormat="1" applyFont="1" applyFill="1" applyBorder="1" applyAlignment="1">
      <alignment horizontal="center" vertical="center"/>
    </xf>
    <xf numFmtId="4" fontId="2" fillId="0" borderId="8" xfId="0" applyNumberFormat="1" applyFont="1" applyFill="1" applyBorder="1" applyAlignment="1">
      <alignment horizontal="center" vertical="center" wrapText="1"/>
    </xf>
    <xf numFmtId="4" fontId="2" fillId="0" borderId="9" xfId="0" applyNumberFormat="1" applyFont="1" applyFill="1" applyBorder="1" applyAlignment="1">
      <alignment horizontal="center" vertical="center" wrapText="1"/>
    </xf>
    <xf numFmtId="4" fontId="2" fillId="0" borderId="10" xfId="0" applyNumberFormat="1" applyFont="1" applyFill="1" applyBorder="1" applyAlignment="1">
      <alignment horizontal="center" vertical="center" wrapText="1"/>
    </xf>
    <xf numFmtId="4" fontId="2" fillId="0" borderId="2" xfId="0" applyNumberFormat="1" applyFont="1" applyFill="1" applyBorder="1" applyAlignment="1">
      <alignment horizontal="center" vertical="center"/>
    </xf>
    <xf numFmtId="4" fontId="2" fillId="0" borderId="7" xfId="0" applyNumberFormat="1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/>
    </xf>
    <xf numFmtId="4" fontId="2" fillId="3" borderId="7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49" fontId="2" fillId="3" borderId="7" xfId="0" applyNumberFormat="1" applyFont="1" applyFill="1" applyBorder="1" applyAlignment="1">
      <alignment horizontal="center" vertical="center"/>
    </xf>
    <xf numFmtId="49" fontId="2" fillId="3" borderId="3" xfId="0" applyNumberFormat="1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 vertical="center"/>
    </xf>
    <xf numFmtId="49" fontId="2" fillId="0" borderId="7" xfId="0" applyNumberFormat="1" applyFont="1" applyFill="1" applyBorder="1" applyAlignment="1">
      <alignment horizontal="center" vertical="center"/>
    </xf>
    <xf numFmtId="49" fontId="2" fillId="0" borderId="3" xfId="0" applyNumberFormat="1" applyFont="1" applyFill="1" applyBorder="1" applyAlignment="1">
      <alignment horizontal="center" vertical="center"/>
    </xf>
    <xf numFmtId="49" fontId="2" fillId="0" borderId="37" xfId="0" applyNumberFormat="1" applyFont="1" applyFill="1" applyBorder="1" applyAlignment="1">
      <alignment horizontal="center" vertical="center"/>
    </xf>
    <xf numFmtId="4" fontId="2" fillId="0" borderId="3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43" fontId="9" fillId="0" borderId="27" xfId="2" applyFont="1" applyFill="1" applyBorder="1" applyAlignment="1">
      <alignment horizontal="center" vertical="center"/>
    </xf>
    <xf numFmtId="43" fontId="9" fillId="0" borderId="10" xfId="2" applyFont="1" applyFill="1" applyBorder="1" applyAlignment="1">
      <alignment horizontal="center" vertical="center"/>
    </xf>
    <xf numFmtId="0" fontId="9" fillId="0" borderId="30" xfId="0" applyFont="1" applyFill="1" applyBorder="1" applyAlignment="1">
      <alignment horizontal="center" vertical="center"/>
    </xf>
    <xf numFmtId="43" fontId="9" fillId="0" borderId="13" xfId="2" applyFont="1" applyFill="1" applyBorder="1" applyAlignment="1">
      <alignment horizontal="center" vertical="center"/>
    </xf>
    <xf numFmtId="43" fontId="9" fillId="0" borderId="23" xfId="2" applyFont="1" applyFill="1" applyBorder="1" applyAlignment="1">
      <alignment horizontal="center" vertical="center"/>
    </xf>
    <xf numFmtId="43" fontId="9" fillId="0" borderId="46" xfId="2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43" fontId="9" fillId="0" borderId="9" xfId="2" applyFont="1" applyFill="1" applyBorder="1" applyAlignment="1">
      <alignment horizontal="center" vertical="center"/>
    </xf>
    <xf numFmtId="43" fontId="9" fillId="0" borderId="30" xfId="2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9" fillId="0" borderId="43" xfId="0" applyFont="1" applyFill="1" applyBorder="1" applyAlignment="1">
      <alignment horizontal="center" vertical="center"/>
    </xf>
    <xf numFmtId="0" fontId="9" fillId="0" borderId="48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65" fontId="27" fillId="0" borderId="12" xfId="0" applyNumberFormat="1" applyFont="1" applyFill="1" applyBorder="1" applyAlignment="1">
      <alignment horizontal="center" vertical="center"/>
    </xf>
    <xf numFmtId="165" fontId="27" fillId="0" borderId="15" xfId="0" applyNumberFormat="1" applyFont="1" applyFill="1" applyBorder="1" applyAlignment="1">
      <alignment horizontal="center" vertical="center"/>
    </xf>
    <xf numFmtId="165" fontId="27" fillId="0" borderId="13" xfId="0" applyNumberFormat="1" applyFont="1" applyFill="1" applyBorder="1" applyAlignment="1">
      <alignment horizontal="center" vertical="center"/>
    </xf>
    <xf numFmtId="165" fontId="27" fillId="0" borderId="16" xfId="0" applyNumberFormat="1" applyFont="1" applyFill="1" applyBorder="1" applyAlignment="1">
      <alignment horizontal="center" vertical="center"/>
    </xf>
    <xf numFmtId="165" fontId="27" fillId="0" borderId="43" xfId="0" applyNumberFormat="1" applyFont="1" applyFill="1" applyBorder="1" applyAlignment="1">
      <alignment horizontal="center" vertical="center"/>
    </xf>
    <xf numFmtId="165" fontId="27" fillId="0" borderId="17" xfId="0" applyNumberFormat="1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/>
    </xf>
    <xf numFmtId="0" fontId="9" fillId="0" borderId="9" xfId="0" applyFont="1" applyFill="1" applyBorder="1" applyAlignment="1">
      <alignment horizontal="center"/>
    </xf>
    <xf numFmtId="0" fontId="9" fillId="0" borderId="10" xfId="0" applyFont="1" applyFill="1" applyBorder="1" applyAlignment="1">
      <alignment horizontal="center"/>
    </xf>
    <xf numFmtId="0" fontId="9" fillId="0" borderId="15" xfId="0" applyFont="1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9" fillId="0" borderId="17" xfId="0" applyFont="1" applyFill="1" applyBorder="1" applyAlignment="1">
      <alignment horizontal="center" vertical="center"/>
    </xf>
    <xf numFmtId="44" fontId="9" fillId="0" borderId="2" xfId="0" applyNumberFormat="1" applyFont="1" applyFill="1" applyBorder="1" applyAlignment="1">
      <alignment horizontal="center" vertical="center"/>
    </xf>
    <xf numFmtId="44" fontId="9" fillId="0" borderId="3" xfId="0" applyNumberFormat="1" applyFont="1" applyFill="1" applyBorder="1" applyAlignment="1">
      <alignment horizontal="center" vertical="center"/>
    </xf>
    <xf numFmtId="165" fontId="9" fillId="0" borderId="2" xfId="0" applyNumberFormat="1" applyFont="1" applyFill="1" applyBorder="1" applyAlignment="1">
      <alignment horizontal="center" vertical="center"/>
    </xf>
    <xf numFmtId="165" fontId="9" fillId="0" borderId="3" xfId="0" applyNumberFormat="1" applyFont="1" applyFill="1" applyBorder="1" applyAlignment="1">
      <alignment horizontal="center" vertical="center"/>
    </xf>
    <xf numFmtId="0" fontId="4" fillId="14" borderId="42" xfId="0" applyFont="1" applyFill="1" applyBorder="1" applyAlignment="1">
      <alignment horizontal="center"/>
    </xf>
    <xf numFmtId="0" fontId="9" fillId="0" borderId="3" xfId="0" applyFont="1" applyFill="1" applyBorder="1" applyAlignment="1">
      <alignment horizontal="center" vertical="center"/>
    </xf>
    <xf numFmtId="164" fontId="9" fillId="0" borderId="2" xfId="0" applyNumberFormat="1" applyFont="1" applyFill="1" applyBorder="1" applyAlignment="1">
      <alignment horizontal="center" vertical="center"/>
    </xf>
    <xf numFmtId="164" fontId="9" fillId="0" borderId="3" xfId="0" applyNumberFormat="1" applyFon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/>
    </xf>
    <xf numFmtId="0" fontId="4" fillId="0" borderId="70" xfId="0" applyFont="1" applyFill="1" applyBorder="1" applyAlignment="1">
      <alignment horizontal="center" vertical="center"/>
    </xf>
    <xf numFmtId="0" fontId="4" fillId="0" borderId="71" xfId="0" applyFont="1" applyFill="1" applyBorder="1" applyAlignment="1">
      <alignment horizontal="center" vertical="center"/>
    </xf>
    <xf numFmtId="0" fontId="4" fillId="0" borderId="72" xfId="0" applyFont="1" applyFill="1" applyBorder="1" applyAlignment="1">
      <alignment horizontal="center" vertical="center"/>
    </xf>
    <xf numFmtId="0" fontId="4" fillId="0" borderId="70" xfId="0" applyFont="1" applyFill="1" applyBorder="1" applyAlignment="1">
      <alignment horizontal="center"/>
    </xf>
    <xf numFmtId="0" fontId="4" fillId="0" borderId="71" xfId="0" applyFont="1" applyFill="1" applyBorder="1" applyAlignment="1">
      <alignment horizontal="center"/>
    </xf>
    <xf numFmtId="0" fontId="4" fillId="0" borderId="72" xfId="0" applyFont="1" applyFill="1" applyBorder="1" applyAlignment="1">
      <alignment horizontal="center"/>
    </xf>
    <xf numFmtId="43" fontId="43" fillId="0" borderId="2" xfId="0" applyNumberFormat="1" applyFont="1" applyBorder="1" applyAlignment="1">
      <alignment horizontal="center" vertical="center"/>
    </xf>
    <xf numFmtId="43" fontId="43" fillId="0" borderId="3" xfId="0" applyNumberFormat="1" applyFont="1" applyBorder="1" applyAlignment="1">
      <alignment horizontal="center" vertical="center"/>
    </xf>
    <xf numFmtId="43" fontId="6" fillId="0" borderId="2" xfId="0" applyNumberFormat="1" applyFont="1" applyBorder="1" applyAlignment="1">
      <alignment horizontal="center" vertical="center"/>
    </xf>
    <xf numFmtId="43" fontId="6" fillId="0" borderId="3" xfId="0" applyNumberFormat="1" applyFont="1" applyBorder="1" applyAlignment="1">
      <alignment horizontal="center" vertical="center"/>
    </xf>
    <xf numFmtId="0" fontId="44" fillId="16" borderId="12" xfId="0" applyFont="1" applyFill="1" applyBorder="1" applyAlignment="1">
      <alignment horizontal="center" vertical="center"/>
    </xf>
    <xf numFmtId="0" fontId="44" fillId="16" borderId="15" xfId="0" applyFont="1" applyFill="1" applyBorder="1" applyAlignment="1">
      <alignment horizontal="center" vertical="center"/>
    </xf>
    <xf numFmtId="0" fontId="44" fillId="16" borderId="13" xfId="0" applyFont="1" applyFill="1" applyBorder="1" applyAlignment="1">
      <alignment horizontal="center" vertical="center"/>
    </xf>
    <xf numFmtId="0" fontId="44" fillId="16" borderId="16" xfId="0" applyFont="1" applyFill="1" applyBorder="1" applyAlignment="1">
      <alignment horizontal="center" vertical="center"/>
    </xf>
    <xf numFmtId="0" fontId="44" fillId="16" borderId="43" xfId="0" applyFont="1" applyFill="1" applyBorder="1" applyAlignment="1">
      <alignment horizontal="center" vertical="center"/>
    </xf>
    <xf numFmtId="0" fontId="44" fillId="16" borderId="17" xfId="0" applyFont="1" applyFill="1" applyBorder="1" applyAlignment="1">
      <alignment horizontal="center" vertical="center"/>
    </xf>
    <xf numFmtId="0" fontId="44" fillId="16" borderId="1" xfId="0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top"/>
    </xf>
    <xf numFmtId="43" fontId="43" fillId="0" borderId="14" xfId="0" applyNumberFormat="1" applyFont="1" applyBorder="1" applyAlignment="1">
      <alignment horizontal="center" vertical="center"/>
    </xf>
    <xf numFmtId="0" fontId="43" fillId="0" borderId="12" xfId="0" applyFont="1" applyBorder="1" applyAlignment="1">
      <alignment horizontal="center" vertical="center"/>
    </xf>
    <xf numFmtId="0" fontId="43" fillId="0" borderId="15" xfId="0" applyFont="1" applyBorder="1" applyAlignment="1">
      <alignment horizontal="center" vertical="center"/>
    </xf>
    <xf numFmtId="0" fontId="43" fillId="0" borderId="13" xfId="0" applyFont="1" applyBorder="1" applyAlignment="1">
      <alignment horizontal="center" vertical="center"/>
    </xf>
    <xf numFmtId="0" fontId="43" fillId="0" borderId="16" xfId="0" applyFont="1" applyBorder="1" applyAlignment="1">
      <alignment horizontal="center" vertical="center"/>
    </xf>
    <xf numFmtId="0" fontId="43" fillId="0" borderId="43" xfId="0" applyFont="1" applyBorder="1" applyAlignment="1">
      <alignment horizontal="center" vertical="center"/>
    </xf>
    <xf numFmtId="0" fontId="43" fillId="0" borderId="17" xfId="0" applyFont="1" applyBorder="1" applyAlignment="1">
      <alignment horizontal="center" vertical="center"/>
    </xf>
    <xf numFmtId="43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9" fillId="0" borderId="10" xfId="0" applyFont="1" applyBorder="1" applyAlignment="1">
      <alignment horizontal="center" vertical="center"/>
    </xf>
    <xf numFmtId="165" fontId="47" fillId="16" borderId="12" xfId="0" applyNumberFormat="1" applyFont="1" applyFill="1" applyBorder="1" applyAlignment="1">
      <alignment horizontal="center" vertical="center"/>
    </xf>
    <xf numFmtId="165" fontId="47" fillId="16" borderId="15" xfId="0" applyNumberFormat="1" applyFont="1" applyFill="1" applyBorder="1" applyAlignment="1">
      <alignment horizontal="center" vertical="center"/>
    </xf>
    <xf numFmtId="165" fontId="47" fillId="16" borderId="13" xfId="0" applyNumberFormat="1" applyFont="1" applyFill="1" applyBorder="1" applyAlignment="1">
      <alignment horizontal="center" vertical="center"/>
    </xf>
    <xf numFmtId="165" fontId="47" fillId="16" borderId="16" xfId="0" applyNumberFormat="1" applyFont="1" applyFill="1" applyBorder="1" applyAlignment="1">
      <alignment horizontal="center" vertical="center"/>
    </xf>
    <xf numFmtId="165" fontId="47" fillId="16" borderId="43" xfId="0" applyNumberFormat="1" applyFont="1" applyFill="1" applyBorder="1" applyAlignment="1">
      <alignment horizontal="center" vertical="center"/>
    </xf>
    <xf numFmtId="165" fontId="47" fillId="16" borderId="17" xfId="0" applyNumberFormat="1" applyFont="1" applyFill="1" applyBorder="1" applyAlignment="1">
      <alignment horizontal="center" vertical="center"/>
    </xf>
    <xf numFmtId="43" fontId="6" fillId="0" borderId="14" xfId="0" applyNumberFormat="1" applyFont="1" applyBorder="1" applyAlignment="1">
      <alignment horizontal="center" vertical="center"/>
    </xf>
    <xf numFmtId="0" fontId="6" fillId="0" borderId="9" xfId="0" applyFont="1" applyBorder="1" applyAlignment="1">
      <alignment horizontal="center"/>
    </xf>
    <xf numFmtId="0" fontId="6" fillId="0" borderId="12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43" fontId="9" fillId="0" borderId="1" xfId="2" applyFont="1" applyFill="1" applyBorder="1" applyAlignment="1">
      <alignment horizontal="center" vertical="center"/>
    </xf>
    <xf numFmtId="0" fontId="47" fillId="16" borderId="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</cellXfs>
  <cellStyles count="8">
    <cellStyle name="Comma" xfId="2" builtinId="3"/>
    <cellStyle name="Comma 2" xfId="5"/>
    <cellStyle name="Currency" xfId="1" builtinId="4"/>
    <cellStyle name="Currency 10 2" xfId="3"/>
    <cellStyle name="Currency 2" xfId="4"/>
    <cellStyle name="Hyperlink" xfId="6" builtinId="8"/>
    <cellStyle name="Normal" xfId="0" builtinId="0"/>
    <cellStyle name="Normal_Sheet1" xfId="7"/>
  </cellStyles>
  <dxfs count="0"/>
  <tableStyles count="0" defaultTableStyle="TableStyleMedium2" defaultPivotStyle="PivotStyleLight16"/>
  <colors>
    <mruColors>
      <color rgb="FF9CC3E6"/>
      <color rgb="FF66FFFF"/>
      <color rgb="FFFF99CC"/>
      <color rgb="FFFF5353"/>
      <color rgb="FFF8CBAC"/>
      <color rgb="FF996633"/>
      <color rgb="FFFF996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Johanes.Mahendra@petrosea.com" TargetMode="External"/><Relationship Id="rId2" Type="http://schemas.openxmlformats.org/officeDocument/2006/relationships/hyperlink" Target="mailto:Reza.Tarmun@petrosea.com" TargetMode="External"/><Relationship Id="rId1" Type="http://schemas.openxmlformats.org/officeDocument/2006/relationships/hyperlink" Target="mailto:Leo.Akbar@petrosea.com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AN65653"/>
  <sheetViews>
    <sheetView showGridLines="0" tabSelected="1" view="pageBreakPreview" topLeftCell="B1" zoomScale="98" zoomScaleNormal="100" zoomScaleSheetLayoutView="98" workbookViewId="0">
      <pane xSplit="7" topLeftCell="K1" activePane="topRight" state="frozen"/>
      <selection activeCell="B134" sqref="B134"/>
      <selection pane="topRight" activeCell="P1046" sqref="P1046"/>
    </sheetView>
  </sheetViews>
  <sheetFormatPr defaultRowHeight="12.75"/>
  <cols>
    <col min="1" max="1" width="4.42578125" style="35" bestFit="1" customWidth="1"/>
    <col min="2" max="2" width="5.140625" style="35" customWidth="1"/>
    <col min="3" max="3" width="3.85546875" style="35" customWidth="1"/>
    <col min="4" max="4" width="26.7109375" style="33" customWidth="1"/>
    <col min="5" max="5" width="4.85546875" style="111" customWidth="1"/>
    <col min="6" max="6" width="43.7109375" style="1526" customWidth="1"/>
    <col min="7" max="7" width="15.85546875" style="111" customWidth="1"/>
    <col min="8" max="8" width="22.85546875" style="35" customWidth="1"/>
    <col min="9" max="9" width="20.42578125" style="111" customWidth="1"/>
    <col min="10" max="10" width="19.140625" style="111" hidden="1" customWidth="1"/>
    <col min="11" max="11" width="19" style="112" customWidth="1"/>
    <col min="12" max="12" width="18" style="112" customWidth="1"/>
    <col min="13" max="13" width="15.85546875" style="111" hidden="1" customWidth="1"/>
    <col min="14" max="14" width="20.28515625" style="111" customWidth="1"/>
    <col min="15" max="15" width="5" style="162" customWidth="1"/>
    <col min="16" max="16" width="3.28515625" style="162" customWidth="1"/>
    <col min="17" max="17" width="19.28515625" style="112" customWidth="1"/>
    <col min="18" max="18" width="15.5703125" style="112" customWidth="1"/>
    <col min="19" max="19" width="18.28515625" style="112" bestFit="1" customWidth="1"/>
    <col min="20" max="20" width="18.28515625" style="112" customWidth="1"/>
    <col min="21" max="21" width="22.42578125" style="112" customWidth="1"/>
    <col min="22" max="22" width="17.42578125" style="112" customWidth="1"/>
    <col min="23" max="23" width="23.85546875" style="112" bestFit="1" customWidth="1"/>
    <col min="24" max="24" width="15" style="162" customWidth="1"/>
    <col min="25" max="25" width="10" style="112" bestFit="1" customWidth="1"/>
    <col min="26" max="26" width="22" style="33" bestFit="1" customWidth="1"/>
    <col min="27" max="27" width="22" style="33" customWidth="1"/>
    <col min="28" max="28" width="9.140625" style="33"/>
    <col min="29" max="29" width="10.140625" style="474" bestFit="1" customWidth="1"/>
    <col min="30" max="30" width="21.5703125" style="161" bestFit="1" customWidth="1"/>
    <col min="31" max="31" width="21.5703125" style="161" customWidth="1"/>
    <col min="32" max="32" width="27.42578125" style="474" customWidth="1"/>
    <col min="33" max="33" width="8.5703125" style="35" customWidth="1"/>
    <col min="34" max="34" width="18.85546875" style="35" bestFit="1" customWidth="1"/>
    <col min="35" max="35" width="11.140625" style="472" bestFit="1" customWidth="1"/>
    <col min="36" max="36" width="11.5703125" style="472" bestFit="1" customWidth="1"/>
    <col min="37" max="39" width="9.140625" style="33"/>
    <col min="40" max="40" width="9.5703125" style="33" bestFit="1" customWidth="1"/>
    <col min="41" max="269" width="9.140625" style="33"/>
    <col min="270" max="270" width="3.85546875" style="33" bestFit="1" customWidth="1"/>
    <col min="271" max="271" width="44.5703125" style="33" bestFit="1" customWidth="1"/>
    <col min="272" max="272" width="28.7109375" style="33" bestFit="1" customWidth="1"/>
    <col min="273" max="273" width="16.85546875" style="33" customWidth="1"/>
    <col min="274" max="274" width="8.7109375" style="33" customWidth="1"/>
    <col min="275" max="275" width="24" style="33" bestFit="1" customWidth="1"/>
    <col min="276" max="276" width="21.42578125" style="33" bestFit="1" customWidth="1"/>
    <col min="277" max="277" width="24.7109375" style="33" customWidth="1"/>
    <col min="278" max="278" width="20.7109375" style="33" customWidth="1"/>
    <col min="279" max="279" width="25.5703125" style="33" bestFit="1" customWidth="1"/>
    <col min="280" max="280" width="25.28515625" style="33" customWidth="1"/>
    <col min="281" max="281" width="21" style="33" bestFit="1" customWidth="1"/>
    <col min="282" max="282" width="20" style="33" bestFit="1" customWidth="1"/>
    <col min="283" max="283" width="19.28515625" style="33" bestFit="1" customWidth="1"/>
    <col min="284" max="284" width="16.28515625" style="33" bestFit="1" customWidth="1"/>
    <col min="285" max="285" width="15.28515625" style="33" bestFit="1" customWidth="1"/>
    <col min="286" max="525" width="9.140625" style="33"/>
    <col min="526" max="526" width="3.85546875" style="33" bestFit="1" customWidth="1"/>
    <col min="527" max="527" width="44.5703125" style="33" bestFit="1" customWidth="1"/>
    <col min="528" max="528" width="28.7109375" style="33" bestFit="1" customWidth="1"/>
    <col min="529" max="529" width="16.85546875" style="33" customWidth="1"/>
    <col min="530" max="530" width="8.7109375" style="33" customWidth="1"/>
    <col min="531" max="531" width="24" style="33" bestFit="1" customWidth="1"/>
    <col min="532" max="532" width="21.42578125" style="33" bestFit="1" customWidth="1"/>
    <col min="533" max="533" width="24.7109375" style="33" customWidth="1"/>
    <col min="534" max="534" width="20.7109375" style="33" customWidth="1"/>
    <col min="535" max="535" width="25.5703125" style="33" bestFit="1" customWidth="1"/>
    <col min="536" max="536" width="25.28515625" style="33" customWidth="1"/>
    <col min="537" max="537" width="21" style="33" bestFit="1" customWidth="1"/>
    <col min="538" max="538" width="20" style="33" bestFit="1" customWidth="1"/>
    <col min="539" max="539" width="19.28515625" style="33" bestFit="1" customWidth="1"/>
    <col min="540" max="540" width="16.28515625" style="33" bestFit="1" customWidth="1"/>
    <col min="541" max="541" width="15.28515625" style="33" bestFit="1" customWidth="1"/>
    <col min="542" max="781" width="9.140625" style="33"/>
    <col min="782" max="782" width="3.85546875" style="33" bestFit="1" customWidth="1"/>
    <col min="783" max="783" width="44.5703125" style="33" bestFit="1" customWidth="1"/>
    <col min="784" max="784" width="28.7109375" style="33" bestFit="1" customWidth="1"/>
    <col min="785" max="785" width="16.85546875" style="33" customWidth="1"/>
    <col min="786" max="786" width="8.7109375" style="33" customWidth="1"/>
    <col min="787" max="787" width="24" style="33" bestFit="1" customWidth="1"/>
    <col min="788" max="788" width="21.42578125" style="33" bestFit="1" customWidth="1"/>
    <col min="789" max="789" width="24.7109375" style="33" customWidth="1"/>
    <col min="790" max="790" width="20.7109375" style="33" customWidth="1"/>
    <col min="791" max="791" width="25.5703125" style="33" bestFit="1" customWidth="1"/>
    <col min="792" max="792" width="25.28515625" style="33" customWidth="1"/>
    <col min="793" max="793" width="21" style="33" bestFit="1" customWidth="1"/>
    <col min="794" max="794" width="20" style="33" bestFit="1" customWidth="1"/>
    <col min="795" max="795" width="19.28515625" style="33" bestFit="1" customWidth="1"/>
    <col min="796" max="796" width="16.28515625" style="33" bestFit="1" customWidth="1"/>
    <col min="797" max="797" width="15.28515625" style="33" bestFit="1" customWidth="1"/>
    <col min="798" max="1037" width="9.140625" style="33"/>
    <col min="1038" max="1038" width="3.85546875" style="33" bestFit="1" customWidth="1"/>
    <col min="1039" max="1039" width="44.5703125" style="33" bestFit="1" customWidth="1"/>
    <col min="1040" max="1040" width="28.7109375" style="33" bestFit="1" customWidth="1"/>
    <col min="1041" max="1041" width="16.85546875" style="33" customWidth="1"/>
    <col min="1042" max="1042" width="8.7109375" style="33" customWidth="1"/>
    <col min="1043" max="1043" width="24" style="33" bestFit="1" customWidth="1"/>
    <col min="1044" max="1044" width="21.42578125" style="33" bestFit="1" customWidth="1"/>
    <col min="1045" max="1045" width="24.7109375" style="33" customWidth="1"/>
    <col min="1046" max="1046" width="20.7109375" style="33" customWidth="1"/>
    <col min="1047" max="1047" width="25.5703125" style="33" bestFit="1" customWidth="1"/>
    <col min="1048" max="1048" width="25.28515625" style="33" customWidth="1"/>
    <col min="1049" max="1049" width="21" style="33" bestFit="1" customWidth="1"/>
    <col min="1050" max="1050" width="20" style="33" bestFit="1" customWidth="1"/>
    <col min="1051" max="1051" width="19.28515625" style="33" bestFit="1" customWidth="1"/>
    <col min="1052" max="1052" width="16.28515625" style="33" bestFit="1" customWidth="1"/>
    <col min="1053" max="1053" width="15.28515625" style="33" bestFit="1" customWidth="1"/>
    <col min="1054" max="1293" width="9.140625" style="33"/>
    <col min="1294" max="1294" width="3.85546875" style="33" bestFit="1" customWidth="1"/>
    <col min="1295" max="1295" width="44.5703125" style="33" bestFit="1" customWidth="1"/>
    <col min="1296" max="1296" width="28.7109375" style="33" bestFit="1" customWidth="1"/>
    <col min="1297" max="1297" width="16.85546875" style="33" customWidth="1"/>
    <col min="1298" max="1298" width="8.7109375" style="33" customWidth="1"/>
    <col min="1299" max="1299" width="24" style="33" bestFit="1" customWidth="1"/>
    <col min="1300" max="1300" width="21.42578125" style="33" bestFit="1" customWidth="1"/>
    <col min="1301" max="1301" width="24.7109375" style="33" customWidth="1"/>
    <col min="1302" max="1302" width="20.7109375" style="33" customWidth="1"/>
    <col min="1303" max="1303" width="25.5703125" style="33" bestFit="1" customWidth="1"/>
    <col min="1304" max="1304" width="25.28515625" style="33" customWidth="1"/>
    <col min="1305" max="1305" width="21" style="33" bestFit="1" customWidth="1"/>
    <col min="1306" max="1306" width="20" style="33" bestFit="1" customWidth="1"/>
    <col min="1307" max="1307" width="19.28515625" style="33" bestFit="1" customWidth="1"/>
    <col min="1308" max="1308" width="16.28515625" style="33" bestFit="1" customWidth="1"/>
    <col min="1309" max="1309" width="15.28515625" style="33" bestFit="1" customWidth="1"/>
    <col min="1310" max="1549" width="9.140625" style="33"/>
    <col min="1550" max="1550" width="3.85546875" style="33" bestFit="1" customWidth="1"/>
    <col min="1551" max="1551" width="44.5703125" style="33" bestFit="1" customWidth="1"/>
    <col min="1552" max="1552" width="28.7109375" style="33" bestFit="1" customWidth="1"/>
    <col min="1553" max="1553" width="16.85546875" style="33" customWidth="1"/>
    <col min="1554" max="1554" width="8.7109375" style="33" customWidth="1"/>
    <col min="1555" max="1555" width="24" style="33" bestFit="1" customWidth="1"/>
    <col min="1556" max="1556" width="21.42578125" style="33" bestFit="1" customWidth="1"/>
    <col min="1557" max="1557" width="24.7109375" style="33" customWidth="1"/>
    <col min="1558" max="1558" width="20.7109375" style="33" customWidth="1"/>
    <col min="1559" max="1559" width="25.5703125" style="33" bestFit="1" customWidth="1"/>
    <col min="1560" max="1560" width="25.28515625" style="33" customWidth="1"/>
    <col min="1561" max="1561" width="21" style="33" bestFit="1" customWidth="1"/>
    <col min="1562" max="1562" width="20" style="33" bestFit="1" customWidth="1"/>
    <col min="1563" max="1563" width="19.28515625" style="33" bestFit="1" customWidth="1"/>
    <col min="1564" max="1564" width="16.28515625" style="33" bestFit="1" customWidth="1"/>
    <col min="1565" max="1565" width="15.28515625" style="33" bestFit="1" customWidth="1"/>
    <col min="1566" max="1805" width="9.140625" style="33"/>
    <col min="1806" max="1806" width="3.85546875" style="33" bestFit="1" customWidth="1"/>
    <col min="1807" max="1807" width="44.5703125" style="33" bestFit="1" customWidth="1"/>
    <col min="1808" max="1808" width="28.7109375" style="33" bestFit="1" customWidth="1"/>
    <col min="1809" max="1809" width="16.85546875" style="33" customWidth="1"/>
    <col min="1810" max="1810" width="8.7109375" style="33" customWidth="1"/>
    <col min="1811" max="1811" width="24" style="33" bestFit="1" customWidth="1"/>
    <col min="1812" max="1812" width="21.42578125" style="33" bestFit="1" customWidth="1"/>
    <col min="1813" max="1813" width="24.7109375" style="33" customWidth="1"/>
    <col min="1814" max="1814" width="20.7109375" style="33" customWidth="1"/>
    <col min="1815" max="1815" width="25.5703125" style="33" bestFit="1" customWidth="1"/>
    <col min="1816" max="1816" width="25.28515625" style="33" customWidth="1"/>
    <col min="1817" max="1817" width="21" style="33" bestFit="1" customWidth="1"/>
    <col min="1818" max="1818" width="20" style="33" bestFit="1" customWidth="1"/>
    <col min="1819" max="1819" width="19.28515625" style="33" bestFit="1" customWidth="1"/>
    <col min="1820" max="1820" width="16.28515625" style="33" bestFit="1" customWidth="1"/>
    <col min="1821" max="1821" width="15.28515625" style="33" bestFit="1" customWidth="1"/>
    <col min="1822" max="2061" width="9.140625" style="33"/>
    <col min="2062" max="2062" width="3.85546875" style="33" bestFit="1" customWidth="1"/>
    <col min="2063" max="2063" width="44.5703125" style="33" bestFit="1" customWidth="1"/>
    <col min="2064" max="2064" width="28.7109375" style="33" bestFit="1" customWidth="1"/>
    <col min="2065" max="2065" width="16.85546875" style="33" customWidth="1"/>
    <col min="2066" max="2066" width="8.7109375" style="33" customWidth="1"/>
    <col min="2067" max="2067" width="24" style="33" bestFit="1" customWidth="1"/>
    <col min="2068" max="2068" width="21.42578125" style="33" bestFit="1" customWidth="1"/>
    <col min="2069" max="2069" width="24.7109375" style="33" customWidth="1"/>
    <col min="2070" max="2070" width="20.7109375" style="33" customWidth="1"/>
    <col min="2071" max="2071" width="25.5703125" style="33" bestFit="1" customWidth="1"/>
    <col min="2072" max="2072" width="25.28515625" style="33" customWidth="1"/>
    <col min="2073" max="2073" width="21" style="33" bestFit="1" customWidth="1"/>
    <col min="2074" max="2074" width="20" style="33" bestFit="1" customWidth="1"/>
    <col min="2075" max="2075" width="19.28515625" style="33" bestFit="1" customWidth="1"/>
    <col min="2076" max="2076" width="16.28515625" style="33" bestFit="1" customWidth="1"/>
    <col min="2077" max="2077" width="15.28515625" style="33" bestFit="1" customWidth="1"/>
    <col min="2078" max="2317" width="9.140625" style="33"/>
    <col min="2318" max="2318" width="3.85546875" style="33" bestFit="1" customWidth="1"/>
    <col min="2319" max="2319" width="44.5703125" style="33" bestFit="1" customWidth="1"/>
    <col min="2320" max="2320" width="28.7109375" style="33" bestFit="1" customWidth="1"/>
    <col min="2321" max="2321" width="16.85546875" style="33" customWidth="1"/>
    <col min="2322" max="2322" width="8.7109375" style="33" customWidth="1"/>
    <col min="2323" max="2323" width="24" style="33" bestFit="1" customWidth="1"/>
    <col min="2324" max="2324" width="21.42578125" style="33" bestFit="1" customWidth="1"/>
    <col min="2325" max="2325" width="24.7109375" style="33" customWidth="1"/>
    <col min="2326" max="2326" width="20.7109375" style="33" customWidth="1"/>
    <col min="2327" max="2327" width="25.5703125" style="33" bestFit="1" customWidth="1"/>
    <col min="2328" max="2328" width="25.28515625" style="33" customWidth="1"/>
    <col min="2329" max="2329" width="21" style="33" bestFit="1" customWidth="1"/>
    <col min="2330" max="2330" width="20" style="33" bestFit="1" customWidth="1"/>
    <col min="2331" max="2331" width="19.28515625" style="33" bestFit="1" customWidth="1"/>
    <col min="2332" max="2332" width="16.28515625" style="33" bestFit="1" customWidth="1"/>
    <col min="2333" max="2333" width="15.28515625" style="33" bestFit="1" customWidth="1"/>
    <col min="2334" max="2573" width="9.140625" style="33"/>
    <col min="2574" max="2574" width="3.85546875" style="33" bestFit="1" customWidth="1"/>
    <col min="2575" max="2575" width="44.5703125" style="33" bestFit="1" customWidth="1"/>
    <col min="2576" max="2576" width="28.7109375" style="33" bestFit="1" customWidth="1"/>
    <col min="2577" max="2577" width="16.85546875" style="33" customWidth="1"/>
    <col min="2578" max="2578" width="8.7109375" style="33" customWidth="1"/>
    <col min="2579" max="2579" width="24" style="33" bestFit="1" customWidth="1"/>
    <col min="2580" max="2580" width="21.42578125" style="33" bestFit="1" customWidth="1"/>
    <col min="2581" max="2581" width="24.7109375" style="33" customWidth="1"/>
    <col min="2582" max="2582" width="20.7109375" style="33" customWidth="1"/>
    <col min="2583" max="2583" width="25.5703125" style="33" bestFit="1" customWidth="1"/>
    <col min="2584" max="2584" width="25.28515625" style="33" customWidth="1"/>
    <col min="2585" max="2585" width="21" style="33" bestFit="1" customWidth="1"/>
    <col min="2586" max="2586" width="20" style="33" bestFit="1" customWidth="1"/>
    <col min="2587" max="2587" width="19.28515625" style="33" bestFit="1" customWidth="1"/>
    <col min="2588" max="2588" width="16.28515625" style="33" bestFit="1" customWidth="1"/>
    <col min="2589" max="2589" width="15.28515625" style="33" bestFit="1" customWidth="1"/>
    <col min="2590" max="2829" width="9.140625" style="33"/>
    <col min="2830" max="2830" width="3.85546875" style="33" bestFit="1" customWidth="1"/>
    <col min="2831" max="2831" width="44.5703125" style="33" bestFit="1" customWidth="1"/>
    <col min="2832" max="2832" width="28.7109375" style="33" bestFit="1" customWidth="1"/>
    <col min="2833" max="2833" width="16.85546875" style="33" customWidth="1"/>
    <col min="2834" max="2834" width="8.7109375" style="33" customWidth="1"/>
    <col min="2835" max="2835" width="24" style="33" bestFit="1" customWidth="1"/>
    <col min="2836" max="2836" width="21.42578125" style="33" bestFit="1" customWidth="1"/>
    <col min="2837" max="2837" width="24.7109375" style="33" customWidth="1"/>
    <col min="2838" max="2838" width="20.7109375" style="33" customWidth="1"/>
    <col min="2839" max="2839" width="25.5703125" style="33" bestFit="1" customWidth="1"/>
    <col min="2840" max="2840" width="25.28515625" style="33" customWidth="1"/>
    <col min="2841" max="2841" width="21" style="33" bestFit="1" customWidth="1"/>
    <col min="2842" max="2842" width="20" style="33" bestFit="1" customWidth="1"/>
    <col min="2843" max="2843" width="19.28515625" style="33" bestFit="1" customWidth="1"/>
    <col min="2844" max="2844" width="16.28515625" style="33" bestFit="1" customWidth="1"/>
    <col min="2845" max="2845" width="15.28515625" style="33" bestFit="1" customWidth="1"/>
    <col min="2846" max="3085" width="9.140625" style="33"/>
    <col min="3086" max="3086" width="3.85546875" style="33" bestFit="1" customWidth="1"/>
    <col min="3087" max="3087" width="44.5703125" style="33" bestFit="1" customWidth="1"/>
    <col min="3088" max="3088" width="28.7109375" style="33" bestFit="1" customWidth="1"/>
    <col min="3089" max="3089" width="16.85546875" style="33" customWidth="1"/>
    <col min="3090" max="3090" width="8.7109375" style="33" customWidth="1"/>
    <col min="3091" max="3091" width="24" style="33" bestFit="1" customWidth="1"/>
    <col min="3092" max="3092" width="21.42578125" style="33" bestFit="1" customWidth="1"/>
    <col min="3093" max="3093" width="24.7109375" style="33" customWidth="1"/>
    <col min="3094" max="3094" width="20.7109375" style="33" customWidth="1"/>
    <col min="3095" max="3095" width="25.5703125" style="33" bestFit="1" customWidth="1"/>
    <col min="3096" max="3096" width="25.28515625" style="33" customWidth="1"/>
    <col min="3097" max="3097" width="21" style="33" bestFit="1" customWidth="1"/>
    <col min="3098" max="3098" width="20" style="33" bestFit="1" customWidth="1"/>
    <col min="3099" max="3099" width="19.28515625" style="33" bestFit="1" customWidth="1"/>
    <col min="3100" max="3100" width="16.28515625" style="33" bestFit="1" customWidth="1"/>
    <col min="3101" max="3101" width="15.28515625" style="33" bestFit="1" customWidth="1"/>
    <col min="3102" max="3341" width="9.140625" style="33"/>
    <col min="3342" max="3342" width="3.85546875" style="33" bestFit="1" customWidth="1"/>
    <col min="3343" max="3343" width="44.5703125" style="33" bestFit="1" customWidth="1"/>
    <col min="3344" max="3344" width="28.7109375" style="33" bestFit="1" customWidth="1"/>
    <col min="3345" max="3345" width="16.85546875" style="33" customWidth="1"/>
    <col min="3346" max="3346" width="8.7109375" style="33" customWidth="1"/>
    <col min="3347" max="3347" width="24" style="33" bestFit="1" customWidth="1"/>
    <col min="3348" max="3348" width="21.42578125" style="33" bestFit="1" customWidth="1"/>
    <col min="3349" max="3349" width="24.7109375" style="33" customWidth="1"/>
    <col min="3350" max="3350" width="20.7109375" style="33" customWidth="1"/>
    <col min="3351" max="3351" width="25.5703125" style="33" bestFit="1" customWidth="1"/>
    <col min="3352" max="3352" width="25.28515625" style="33" customWidth="1"/>
    <col min="3353" max="3353" width="21" style="33" bestFit="1" customWidth="1"/>
    <col min="3354" max="3354" width="20" style="33" bestFit="1" customWidth="1"/>
    <col min="3355" max="3355" width="19.28515625" style="33" bestFit="1" customWidth="1"/>
    <col min="3356" max="3356" width="16.28515625" style="33" bestFit="1" customWidth="1"/>
    <col min="3357" max="3357" width="15.28515625" style="33" bestFit="1" customWidth="1"/>
    <col min="3358" max="3597" width="9.140625" style="33"/>
    <col min="3598" max="3598" width="3.85546875" style="33" bestFit="1" customWidth="1"/>
    <col min="3599" max="3599" width="44.5703125" style="33" bestFit="1" customWidth="1"/>
    <col min="3600" max="3600" width="28.7109375" style="33" bestFit="1" customWidth="1"/>
    <col min="3601" max="3601" width="16.85546875" style="33" customWidth="1"/>
    <col min="3602" max="3602" width="8.7109375" style="33" customWidth="1"/>
    <col min="3603" max="3603" width="24" style="33" bestFit="1" customWidth="1"/>
    <col min="3604" max="3604" width="21.42578125" style="33" bestFit="1" customWidth="1"/>
    <col min="3605" max="3605" width="24.7109375" style="33" customWidth="1"/>
    <col min="3606" max="3606" width="20.7109375" style="33" customWidth="1"/>
    <col min="3607" max="3607" width="25.5703125" style="33" bestFit="1" customWidth="1"/>
    <col min="3608" max="3608" width="25.28515625" style="33" customWidth="1"/>
    <col min="3609" max="3609" width="21" style="33" bestFit="1" customWidth="1"/>
    <col min="3610" max="3610" width="20" style="33" bestFit="1" customWidth="1"/>
    <col min="3611" max="3611" width="19.28515625" style="33" bestFit="1" customWidth="1"/>
    <col min="3612" max="3612" width="16.28515625" style="33" bestFit="1" customWidth="1"/>
    <col min="3613" max="3613" width="15.28515625" style="33" bestFit="1" customWidth="1"/>
    <col min="3614" max="3853" width="9.140625" style="33"/>
    <col min="3854" max="3854" width="3.85546875" style="33" bestFit="1" customWidth="1"/>
    <col min="3855" max="3855" width="44.5703125" style="33" bestFit="1" customWidth="1"/>
    <col min="3856" max="3856" width="28.7109375" style="33" bestFit="1" customWidth="1"/>
    <col min="3857" max="3857" width="16.85546875" style="33" customWidth="1"/>
    <col min="3858" max="3858" width="8.7109375" style="33" customWidth="1"/>
    <col min="3859" max="3859" width="24" style="33" bestFit="1" customWidth="1"/>
    <col min="3860" max="3860" width="21.42578125" style="33" bestFit="1" customWidth="1"/>
    <col min="3861" max="3861" width="24.7109375" style="33" customWidth="1"/>
    <col min="3862" max="3862" width="20.7109375" style="33" customWidth="1"/>
    <col min="3863" max="3863" width="25.5703125" style="33" bestFit="1" customWidth="1"/>
    <col min="3864" max="3864" width="25.28515625" style="33" customWidth="1"/>
    <col min="3865" max="3865" width="21" style="33" bestFit="1" customWidth="1"/>
    <col min="3866" max="3866" width="20" style="33" bestFit="1" customWidth="1"/>
    <col min="3867" max="3867" width="19.28515625" style="33" bestFit="1" customWidth="1"/>
    <col min="3868" max="3868" width="16.28515625" style="33" bestFit="1" customWidth="1"/>
    <col min="3869" max="3869" width="15.28515625" style="33" bestFit="1" customWidth="1"/>
    <col min="3870" max="4109" width="9.140625" style="33"/>
    <col min="4110" max="4110" width="3.85546875" style="33" bestFit="1" customWidth="1"/>
    <col min="4111" max="4111" width="44.5703125" style="33" bestFit="1" customWidth="1"/>
    <col min="4112" max="4112" width="28.7109375" style="33" bestFit="1" customWidth="1"/>
    <col min="4113" max="4113" width="16.85546875" style="33" customWidth="1"/>
    <col min="4114" max="4114" width="8.7109375" style="33" customWidth="1"/>
    <col min="4115" max="4115" width="24" style="33" bestFit="1" customWidth="1"/>
    <col min="4116" max="4116" width="21.42578125" style="33" bestFit="1" customWidth="1"/>
    <col min="4117" max="4117" width="24.7109375" style="33" customWidth="1"/>
    <col min="4118" max="4118" width="20.7109375" style="33" customWidth="1"/>
    <col min="4119" max="4119" width="25.5703125" style="33" bestFit="1" customWidth="1"/>
    <col min="4120" max="4120" width="25.28515625" style="33" customWidth="1"/>
    <col min="4121" max="4121" width="21" style="33" bestFit="1" customWidth="1"/>
    <col min="4122" max="4122" width="20" style="33" bestFit="1" customWidth="1"/>
    <col min="4123" max="4123" width="19.28515625" style="33" bestFit="1" customWidth="1"/>
    <col min="4124" max="4124" width="16.28515625" style="33" bestFit="1" customWidth="1"/>
    <col min="4125" max="4125" width="15.28515625" style="33" bestFit="1" customWidth="1"/>
    <col min="4126" max="4365" width="9.140625" style="33"/>
    <col min="4366" max="4366" width="3.85546875" style="33" bestFit="1" customWidth="1"/>
    <col min="4367" max="4367" width="44.5703125" style="33" bestFit="1" customWidth="1"/>
    <col min="4368" max="4368" width="28.7109375" style="33" bestFit="1" customWidth="1"/>
    <col min="4369" max="4369" width="16.85546875" style="33" customWidth="1"/>
    <col min="4370" max="4370" width="8.7109375" style="33" customWidth="1"/>
    <col min="4371" max="4371" width="24" style="33" bestFit="1" customWidth="1"/>
    <col min="4372" max="4372" width="21.42578125" style="33" bestFit="1" customWidth="1"/>
    <col min="4373" max="4373" width="24.7109375" style="33" customWidth="1"/>
    <col min="4374" max="4374" width="20.7109375" style="33" customWidth="1"/>
    <col min="4375" max="4375" width="25.5703125" style="33" bestFit="1" customWidth="1"/>
    <col min="4376" max="4376" width="25.28515625" style="33" customWidth="1"/>
    <col min="4377" max="4377" width="21" style="33" bestFit="1" customWidth="1"/>
    <col min="4378" max="4378" width="20" style="33" bestFit="1" customWidth="1"/>
    <col min="4379" max="4379" width="19.28515625" style="33" bestFit="1" customWidth="1"/>
    <col min="4380" max="4380" width="16.28515625" style="33" bestFit="1" customWidth="1"/>
    <col min="4381" max="4381" width="15.28515625" style="33" bestFit="1" customWidth="1"/>
    <col min="4382" max="4621" width="9.140625" style="33"/>
    <col min="4622" max="4622" width="3.85546875" style="33" bestFit="1" customWidth="1"/>
    <col min="4623" max="4623" width="44.5703125" style="33" bestFit="1" customWidth="1"/>
    <col min="4624" max="4624" width="28.7109375" style="33" bestFit="1" customWidth="1"/>
    <col min="4625" max="4625" width="16.85546875" style="33" customWidth="1"/>
    <col min="4626" max="4626" width="8.7109375" style="33" customWidth="1"/>
    <col min="4627" max="4627" width="24" style="33" bestFit="1" customWidth="1"/>
    <col min="4628" max="4628" width="21.42578125" style="33" bestFit="1" customWidth="1"/>
    <col min="4629" max="4629" width="24.7109375" style="33" customWidth="1"/>
    <col min="4630" max="4630" width="20.7109375" style="33" customWidth="1"/>
    <col min="4631" max="4631" width="25.5703125" style="33" bestFit="1" customWidth="1"/>
    <col min="4632" max="4632" width="25.28515625" style="33" customWidth="1"/>
    <col min="4633" max="4633" width="21" style="33" bestFit="1" customWidth="1"/>
    <col min="4634" max="4634" width="20" style="33" bestFit="1" customWidth="1"/>
    <col min="4635" max="4635" width="19.28515625" style="33" bestFit="1" customWidth="1"/>
    <col min="4636" max="4636" width="16.28515625" style="33" bestFit="1" customWidth="1"/>
    <col min="4637" max="4637" width="15.28515625" style="33" bestFit="1" customWidth="1"/>
    <col min="4638" max="4877" width="9.140625" style="33"/>
    <col min="4878" max="4878" width="3.85546875" style="33" bestFit="1" customWidth="1"/>
    <col min="4879" max="4879" width="44.5703125" style="33" bestFit="1" customWidth="1"/>
    <col min="4880" max="4880" width="28.7109375" style="33" bestFit="1" customWidth="1"/>
    <col min="4881" max="4881" width="16.85546875" style="33" customWidth="1"/>
    <col min="4882" max="4882" width="8.7109375" style="33" customWidth="1"/>
    <col min="4883" max="4883" width="24" style="33" bestFit="1" customWidth="1"/>
    <col min="4884" max="4884" width="21.42578125" style="33" bestFit="1" customWidth="1"/>
    <col min="4885" max="4885" width="24.7109375" style="33" customWidth="1"/>
    <col min="4886" max="4886" width="20.7109375" style="33" customWidth="1"/>
    <col min="4887" max="4887" width="25.5703125" style="33" bestFit="1" customWidth="1"/>
    <col min="4888" max="4888" width="25.28515625" style="33" customWidth="1"/>
    <col min="4889" max="4889" width="21" style="33" bestFit="1" customWidth="1"/>
    <col min="4890" max="4890" width="20" style="33" bestFit="1" customWidth="1"/>
    <col min="4891" max="4891" width="19.28515625" style="33" bestFit="1" customWidth="1"/>
    <col min="4892" max="4892" width="16.28515625" style="33" bestFit="1" customWidth="1"/>
    <col min="4893" max="4893" width="15.28515625" style="33" bestFit="1" customWidth="1"/>
    <col min="4894" max="5133" width="9.140625" style="33"/>
    <col min="5134" max="5134" width="3.85546875" style="33" bestFit="1" customWidth="1"/>
    <col min="5135" max="5135" width="44.5703125" style="33" bestFit="1" customWidth="1"/>
    <col min="5136" max="5136" width="28.7109375" style="33" bestFit="1" customWidth="1"/>
    <col min="5137" max="5137" width="16.85546875" style="33" customWidth="1"/>
    <col min="5138" max="5138" width="8.7109375" style="33" customWidth="1"/>
    <col min="5139" max="5139" width="24" style="33" bestFit="1" customWidth="1"/>
    <col min="5140" max="5140" width="21.42578125" style="33" bestFit="1" customWidth="1"/>
    <col min="5141" max="5141" width="24.7109375" style="33" customWidth="1"/>
    <col min="5142" max="5142" width="20.7109375" style="33" customWidth="1"/>
    <col min="5143" max="5143" width="25.5703125" style="33" bestFit="1" customWidth="1"/>
    <col min="5144" max="5144" width="25.28515625" style="33" customWidth="1"/>
    <col min="5145" max="5145" width="21" style="33" bestFit="1" customWidth="1"/>
    <col min="5146" max="5146" width="20" style="33" bestFit="1" customWidth="1"/>
    <col min="5147" max="5147" width="19.28515625" style="33" bestFit="1" customWidth="1"/>
    <col min="5148" max="5148" width="16.28515625" style="33" bestFit="1" customWidth="1"/>
    <col min="5149" max="5149" width="15.28515625" style="33" bestFit="1" customWidth="1"/>
    <col min="5150" max="5389" width="9.140625" style="33"/>
    <col min="5390" max="5390" width="3.85546875" style="33" bestFit="1" customWidth="1"/>
    <col min="5391" max="5391" width="44.5703125" style="33" bestFit="1" customWidth="1"/>
    <col min="5392" max="5392" width="28.7109375" style="33" bestFit="1" customWidth="1"/>
    <col min="5393" max="5393" width="16.85546875" style="33" customWidth="1"/>
    <col min="5394" max="5394" width="8.7109375" style="33" customWidth="1"/>
    <col min="5395" max="5395" width="24" style="33" bestFit="1" customWidth="1"/>
    <col min="5396" max="5396" width="21.42578125" style="33" bestFit="1" customWidth="1"/>
    <col min="5397" max="5397" width="24.7109375" style="33" customWidth="1"/>
    <col min="5398" max="5398" width="20.7109375" style="33" customWidth="1"/>
    <col min="5399" max="5399" width="25.5703125" style="33" bestFit="1" customWidth="1"/>
    <col min="5400" max="5400" width="25.28515625" style="33" customWidth="1"/>
    <col min="5401" max="5401" width="21" style="33" bestFit="1" customWidth="1"/>
    <col min="5402" max="5402" width="20" style="33" bestFit="1" customWidth="1"/>
    <col min="5403" max="5403" width="19.28515625" style="33" bestFit="1" customWidth="1"/>
    <col min="5404" max="5404" width="16.28515625" style="33" bestFit="1" customWidth="1"/>
    <col min="5405" max="5405" width="15.28515625" style="33" bestFit="1" customWidth="1"/>
    <col min="5406" max="5645" width="9.140625" style="33"/>
    <col min="5646" max="5646" width="3.85546875" style="33" bestFit="1" customWidth="1"/>
    <col min="5647" max="5647" width="44.5703125" style="33" bestFit="1" customWidth="1"/>
    <col min="5648" max="5648" width="28.7109375" style="33" bestFit="1" customWidth="1"/>
    <col min="5649" max="5649" width="16.85546875" style="33" customWidth="1"/>
    <col min="5650" max="5650" width="8.7109375" style="33" customWidth="1"/>
    <col min="5651" max="5651" width="24" style="33" bestFit="1" customWidth="1"/>
    <col min="5652" max="5652" width="21.42578125" style="33" bestFit="1" customWidth="1"/>
    <col min="5653" max="5653" width="24.7109375" style="33" customWidth="1"/>
    <col min="5654" max="5654" width="20.7109375" style="33" customWidth="1"/>
    <col min="5655" max="5655" width="25.5703125" style="33" bestFit="1" customWidth="1"/>
    <col min="5656" max="5656" width="25.28515625" style="33" customWidth="1"/>
    <col min="5657" max="5657" width="21" style="33" bestFit="1" customWidth="1"/>
    <col min="5658" max="5658" width="20" style="33" bestFit="1" customWidth="1"/>
    <col min="5659" max="5659" width="19.28515625" style="33" bestFit="1" customWidth="1"/>
    <col min="5660" max="5660" width="16.28515625" style="33" bestFit="1" customWidth="1"/>
    <col min="5661" max="5661" width="15.28515625" style="33" bestFit="1" customWidth="1"/>
    <col min="5662" max="5901" width="9.140625" style="33"/>
    <col min="5902" max="5902" width="3.85546875" style="33" bestFit="1" customWidth="1"/>
    <col min="5903" max="5903" width="44.5703125" style="33" bestFit="1" customWidth="1"/>
    <col min="5904" max="5904" width="28.7109375" style="33" bestFit="1" customWidth="1"/>
    <col min="5905" max="5905" width="16.85546875" style="33" customWidth="1"/>
    <col min="5906" max="5906" width="8.7109375" style="33" customWidth="1"/>
    <col min="5907" max="5907" width="24" style="33" bestFit="1" customWidth="1"/>
    <col min="5908" max="5908" width="21.42578125" style="33" bestFit="1" customWidth="1"/>
    <col min="5909" max="5909" width="24.7109375" style="33" customWidth="1"/>
    <col min="5910" max="5910" width="20.7109375" style="33" customWidth="1"/>
    <col min="5911" max="5911" width="25.5703125" style="33" bestFit="1" customWidth="1"/>
    <col min="5912" max="5912" width="25.28515625" style="33" customWidth="1"/>
    <col min="5913" max="5913" width="21" style="33" bestFit="1" customWidth="1"/>
    <col min="5914" max="5914" width="20" style="33" bestFit="1" customWidth="1"/>
    <col min="5915" max="5915" width="19.28515625" style="33" bestFit="1" customWidth="1"/>
    <col min="5916" max="5916" width="16.28515625" style="33" bestFit="1" customWidth="1"/>
    <col min="5917" max="5917" width="15.28515625" style="33" bestFit="1" customWidth="1"/>
    <col min="5918" max="6157" width="9.140625" style="33"/>
    <col min="6158" max="6158" width="3.85546875" style="33" bestFit="1" customWidth="1"/>
    <col min="6159" max="6159" width="44.5703125" style="33" bestFit="1" customWidth="1"/>
    <col min="6160" max="6160" width="28.7109375" style="33" bestFit="1" customWidth="1"/>
    <col min="6161" max="6161" width="16.85546875" style="33" customWidth="1"/>
    <col min="6162" max="6162" width="8.7109375" style="33" customWidth="1"/>
    <col min="6163" max="6163" width="24" style="33" bestFit="1" customWidth="1"/>
    <col min="6164" max="6164" width="21.42578125" style="33" bestFit="1" customWidth="1"/>
    <col min="6165" max="6165" width="24.7109375" style="33" customWidth="1"/>
    <col min="6166" max="6166" width="20.7109375" style="33" customWidth="1"/>
    <col min="6167" max="6167" width="25.5703125" style="33" bestFit="1" customWidth="1"/>
    <col min="6168" max="6168" width="25.28515625" style="33" customWidth="1"/>
    <col min="6169" max="6169" width="21" style="33" bestFit="1" customWidth="1"/>
    <col min="6170" max="6170" width="20" style="33" bestFit="1" customWidth="1"/>
    <col min="6171" max="6171" width="19.28515625" style="33" bestFit="1" customWidth="1"/>
    <col min="6172" max="6172" width="16.28515625" style="33" bestFit="1" customWidth="1"/>
    <col min="6173" max="6173" width="15.28515625" style="33" bestFit="1" customWidth="1"/>
    <col min="6174" max="6413" width="9.140625" style="33"/>
    <col min="6414" max="6414" width="3.85546875" style="33" bestFit="1" customWidth="1"/>
    <col min="6415" max="6415" width="44.5703125" style="33" bestFit="1" customWidth="1"/>
    <col min="6416" max="6416" width="28.7109375" style="33" bestFit="1" customWidth="1"/>
    <col min="6417" max="6417" width="16.85546875" style="33" customWidth="1"/>
    <col min="6418" max="6418" width="8.7109375" style="33" customWidth="1"/>
    <col min="6419" max="6419" width="24" style="33" bestFit="1" customWidth="1"/>
    <col min="6420" max="6420" width="21.42578125" style="33" bestFit="1" customWidth="1"/>
    <col min="6421" max="6421" width="24.7109375" style="33" customWidth="1"/>
    <col min="6422" max="6422" width="20.7109375" style="33" customWidth="1"/>
    <col min="6423" max="6423" width="25.5703125" style="33" bestFit="1" customWidth="1"/>
    <col min="6424" max="6424" width="25.28515625" style="33" customWidth="1"/>
    <col min="6425" max="6425" width="21" style="33" bestFit="1" customWidth="1"/>
    <col min="6426" max="6426" width="20" style="33" bestFit="1" customWidth="1"/>
    <col min="6427" max="6427" width="19.28515625" style="33" bestFit="1" customWidth="1"/>
    <col min="6428" max="6428" width="16.28515625" style="33" bestFit="1" customWidth="1"/>
    <col min="6429" max="6429" width="15.28515625" style="33" bestFit="1" customWidth="1"/>
    <col min="6430" max="6669" width="9.140625" style="33"/>
    <col min="6670" max="6670" width="3.85546875" style="33" bestFit="1" customWidth="1"/>
    <col min="6671" max="6671" width="44.5703125" style="33" bestFit="1" customWidth="1"/>
    <col min="6672" max="6672" width="28.7109375" style="33" bestFit="1" customWidth="1"/>
    <col min="6673" max="6673" width="16.85546875" style="33" customWidth="1"/>
    <col min="6674" max="6674" width="8.7109375" style="33" customWidth="1"/>
    <col min="6675" max="6675" width="24" style="33" bestFit="1" customWidth="1"/>
    <col min="6676" max="6676" width="21.42578125" style="33" bestFit="1" customWidth="1"/>
    <col min="6677" max="6677" width="24.7109375" style="33" customWidth="1"/>
    <col min="6678" max="6678" width="20.7109375" style="33" customWidth="1"/>
    <col min="6679" max="6679" width="25.5703125" style="33" bestFit="1" customWidth="1"/>
    <col min="6680" max="6680" width="25.28515625" style="33" customWidth="1"/>
    <col min="6681" max="6681" width="21" style="33" bestFit="1" customWidth="1"/>
    <col min="6682" max="6682" width="20" style="33" bestFit="1" customWidth="1"/>
    <col min="6683" max="6683" width="19.28515625" style="33" bestFit="1" customWidth="1"/>
    <col min="6684" max="6684" width="16.28515625" style="33" bestFit="1" customWidth="1"/>
    <col min="6685" max="6685" width="15.28515625" style="33" bestFit="1" customWidth="1"/>
    <col min="6686" max="6925" width="9.140625" style="33"/>
    <col min="6926" max="6926" width="3.85546875" style="33" bestFit="1" customWidth="1"/>
    <col min="6927" max="6927" width="44.5703125" style="33" bestFit="1" customWidth="1"/>
    <col min="6928" max="6928" width="28.7109375" style="33" bestFit="1" customWidth="1"/>
    <col min="6929" max="6929" width="16.85546875" style="33" customWidth="1"/>
    <col min="6930" max="6930" width="8.7109375" style="33" customWidth="1"/>
    <col min="6931" max="6931" width="24" style="33" bestFit="1" customWidth="1"/>
    <col min="6932" max="6932" width="21.42578125" style="33" bestFit="1" customWidth="1"/>
    <col min="6933" max="6933" width="24.7109375" style="33" customWidth="1"/>
    <col min="6934" max="6934" width="20.7109375" style="33" customWidth="1"/>
    <col min="6935" max="6935" width="25.5703125" style="33" bestFit="1" customWidth="1"/>
    <col min="6936" max="6936" width="25.28515625" style="33" customWidth="1"/>
    <col min="6937" max="6937" width="21" style="33" bestFit="1" customWidth="1"/>
    <col min="6938" max="6938" width="20" style="33" bestFit="1" customWidth="1"/>
    <col min="6939" max="6939" width="19.28515625" style="33" bestFit="1" customWidth="1"/>
    <col min="6940" max="6940" width="16.28515625" style="33" bestFit="1" customWidth="1"/>
    <col min="6941" max="6941" width="15.28515625" style="33" bestFit="1" customWidth="1"/>
    <col min="6942" max="7181" width="9.140625" style="33"/>
    <col min="7182" max="7182" width="3.85546875" style="33" bestFit="1" customWidth="1"/>
    <col min="7183" max="7183" width="44.5703125" style="33" bestFit="1" customWidth="1"/>
    <col min="7184" max="7184" width="28.7109375" style="33" bestFit="1" customWidth="1"/>
    <col min="7185" max="7185" width="16.85546875" style="33" customWidth="1"/>
    <col min="7186" max="7186" width="8.7109375" style="33" customWidth="1"/>
    <col min="7187" max="7187" width="24" style="33" bestFit="1" customWidth="1"/>
    <col min="7188" max="7188" width="21.42578125" style="33" bestFit="1" customWidth="1"/>
    <col min="7189" max="7189" width="24.7109375" style="33" customWidth="1"/>
    <col min="7190" max="7190" width="20.7109375" style="33" customWidth="1"/>
    <col min="7191" max="7191" width="25.5703125" style="33" bestFit="1" customWidth="1"/>
    <col min="7192" max="7192" width="25.28515625" style="33" customWidth="1"/>
    <col min="7193" max="7193" width="21" style="33" bestFit="1" customWidth="1"/>
    <col min="7194" max="7194" width="20" style="33" bestFit="1" customWidth="1"/>
    <col min="7195" max="7195" width="19.28515625" style="33" bestFit="1" customWidth="1"/>
    <col min="7196" max="7196" width="16.28515625" style="33" bestFit="1" customWidth="1"/>
    <col min="7197" max="7197" width="15.28515625" style="33" bestFit="1" customWidth="1"/>
    <col min="7198" max="7437" width="9.140625" style="33"/>
    <col min="7438" max="7438" width="3.85546875" style="33" bestFit="1" customWidth="1"/>
    <col min="7439" max="7439" width="44.5703125" style="33" bestFit="1" customWidth="1"/>
    <col min="7440" max="7440" width="28.7109375" style="33" bestFit="1" customWidth="1"/>
    <col min="7441" max="7441" width="16.85546875" style="33" customWidth="1"/>
    <col min="7442" max="7442" width="8.7109375" style="33" customWidth="1"/>
    <col min="7443" max="7443" width="24" style="33" bestFit="1" customWidth="1"/>
    <col min="7444" max="7444" width="21.42578125" style="33" bestFit="1" customWidth="1"/>
    <col min="7445" max="7445" width="24.7109375" style="33" customWidth="1"/>
    <col min="7446" max="7446" width="20.7109375" style="33" customWidth="1"/>
    <col min="7447" max="7447" width="25.5703125" style="33" bestFit="1" customWidth="1"/>
    <col min="7448" max="7448" width="25.28515625" style="33" customWidth="1"/>
    <col min="7449" max="7449" width="21" style="33" bestFit="1" customWidth="1"/>
    <col min="7450" max="7450" width="20" style="33" bestFit="1" customWidth="1"/>
    <col min="7451" max="7451" width="19.28515625" style="33" bestFit="1" customWidth="1"/>
    <col min="7452" max="7452" width="16.28515625" style="33" bestFit="1" customWidth="1"/>
    <col min="7453" max="7453" width="15.28515625" style="33" bestFit="1" customWidth="1"/>
    <col min="7454" max="7693" width="9.140625" style="33"/>
    <col min="7694" max="7694" width="3.85546875" style="33" bestFit="1" customWidth="1"/>
    <col min="7695" max="7695" width="44.5703125" style="33" bestFit="1" customWidth="1"/>
    <col min="7696" max="7696" width="28.7109375" style="33" bestFit="1" customWidth="1"/>
    <col min="7697" max="7697" width="16.85546875" style="33" customWidth="1"/>
    <col min="7698" max="7698" width="8.7109375" style="33" customWidth="1"/>
    <col min="7699" max="7699" width="24" style="33" bestFit="1" customWidth="1"/>
    <col min="7700" max="7700" width="21.42578125" style="33" bestFit="1" customWidth="1"/>
    <col min="7701" max="7701" width="24.7109375" style="33" customWidth="1"/>
    <col min="7702" max="7702" width="20.7109375" style="33" customWidth="1"/>
    <col min="7703" max="7703" width="25.5703125" style="33" bestFit="1" customWidth="1"/>
    <col min="7704" max="7704" width="25.28515625" style="33" customWidth="1"/>
    <col min="7705" max="7705" width="21" style="33" bestFit="1" customWidth="1"/>
    <col min="7706" max="7706" width="20" style="33" bestFit="1" customWidth="1"/>
    <col min="7707" max="7707" width="19.28515625" style="33" bestFit="1" customWidth="1"/>
    <col min="7708" max="7708" width="16.28515625" style="33" bestFit="1" customWidth="1"/>
    <col min="7709" max="7709" width="15.28515625" style="33" bestFit="1" customWidth="1"/>
    <col min="7710" max="7949" width="9.140625" style="33"/>
    <col min="7950" max="7950" width="3.85546875" style="33" bestFit="1" customWidth="1"/>
    <col min="7951" max="7951" width="44.5703125" style="33" bestFit="1" customWidth="1"/>
    <col min="7952" max="7952" width="28.7109375" style="33" bestFit="1" customWidth="1"/>
    <col min="7953" max="7953" width="16.85546875" style="33" customWidth="1"/>
    <col min="7954" max="7954" width="8.7109375" style="33" customWidth="1"/>
    <col min="7955" max="7955" width="24" style="33" bestFit="1" customWidth="1"/>
    <col min="7956" max="7956" width="21.42578125" style="33" bestFit="1" customWidth="1"/>
    <col min="7957" max="7957" width="24.7109375" style="33" customWidth="1"/>
    <col min="7958" max="7958" width="20.7109375" style="33" customWidth="1"/>
    <col min="7959" max="7959" width="25.5703125" style="33" bestFit="1" customWidth="1"/>
    <col min="7960" max="7960" width="25.28515625" style="33" customWidth="1"/>
    <col min="7961" max="7961" width="21" style="33" bestFit="1" customWidth="1"/>
    <col min="7962" max="7962" width="20" style="33" bestFit="1" customWidth="1"/>
    <col min="7963" max="7963" width="19.28515625" style="33" bestFit="1" customWidth="1"/>
    <col min="7964" max="7964" width="16.28515625" style="33" bestFit="1" customWidth="1"/>
    <col min="7965" max="7965" width="15.28515625" style="33" bestFit="1" customWidth="1"/>
    <col min="7966" max="8205" width="9.140625" style="33"/>
    <col min="8206" max="8206" width="3.85546875" style="33" bestFit="1" customWidth="1"/>
    <col min="8207" max="8207" width="44.5703125" style="33" bestFit="1" customWidth="1"/>
    <col min="8208" max="8208" width="28.7109375" style="33" bestFit="1" customWidth="1"/>
    <col min="8209" max="8209" width="16.85546875" style="33" customWidth="1"/>
    <col min="8210" max="8210" width="8.7109375" style="33" customWidth="1"/>
    <col min="8211" max="8211" width="24" style="33" bestFit="1" customWidth="1"/>
    <col min="8212" max="8212" width="21.42578125" style="33" bestFit="1" customWidth="1"/>
    <col min="8213" max="8213" width="24.7109375" style="33" customWidth="1"/>
    <col min="8214" max="8214" width="20.7109375" style="33" customWidth="1"/>
    <col min="8215" max="8215" width="25.5703125" style="33" bestFit="1" customWidth="1"/>
    <col min="8216" max="8216" width="25.28515625" style="33" customWidth="1"/>
    <col min="8217" max="8217" width="21" style="33" bestFit="1" customWidth="1"/>
    <col min="8218" max="8218" width="20" style="33" bestFit="1" customWidth="1"/>
    <col min="8219" max="8219" width="19.28515625" style="33" bestFit="1" customWidth="1"/>
    <col min="8220" max="8220" width="16.28515625" style="33" bestFit="1" customWidth="1"/>
    <col min="8221" max="8221" width="15.28515625" style="33" bestFit="1" customWidth="1"/>
    <col min="8222" max="8461" width="9.140625" style="33"/>
    <col min="8462" max="8462" width="3.85546875" style="33" bestFit="1" customWidth="1"/>
    <col min="8463" max="8463" width="44.5703125" style="33" bestFit="1" customWidth="1"/>
    <col min="8464" max="8464" width="28.7109375" style="33" bestFit="1" customWidth="1"/>
    <col min="8465" max="8465" width="16.85546875" style="33" customWidth="1"/>
    <col min="8466" max="8466" width="8.7109375" style="33" customWidth="1"/>
    <col min="8467" max="8467" width="24" style="33" bestFit="1" customWidth="1"/>
    <col min="8468" max="8468" width="21.42578125" style="33" bestFit="1" customWidth="1"/>
    <col min="8469" max="8469" width="24.7109375" style="33" customWidth="1"/>
    <col min="8470" max="8470" width="20.7109375" style="33" customWidth="1"/>
    <col min="8471" max="8471" width="25.5703125" style="33" bestFit="1" customWidth="1"/>
    <col min="8472" max="8472" width="25.28515625" style="33" customWidth="1"/>
    <col min="8473" max="8473" width="21" style="33" bestFit="1" customWidth="1"/>
    <col min="8474" max="8474" width="20" style="33" bestFit="1" customWidth="1"/>
    <col min="8475" max="8475" width="19.28515625" style="33" bestFit="1" customWidth="1"/>
    <col min="8476" max="8476" width="16.28515625" style="33" bestFit="1" customWidth="1"/>
    <col min="8477" max="8477" width="15.28515625" style="33" bestFit="1" customWidth="1"/>
    <col min="8478" max="8717" width="9.140625" style="33"/>
    <col min="8718" max="8718" width="3.85546875" style="33" bestFit="1" customWidth="1"/>
    <col min="8719" max="8719" width="44.5703125" style="33" bestFit="1" customWidth="1"/>
    <col min="8720" max="8720" width="28.7109375" style="33" bestFit="1" customWidth="1"/>
    <col min="8721" max="8721" width="16.85546875" style="33" customWidth="1"/>
    <col min="8722" max="8722" width="8.7109375" style="33" customWidth="1"/>
    <col min="8723" max="8723" width="24" style="33" bestFit="1" customWidth="1"/>
    <col min="8724" max="8724" width="21.42578125" style="33" bestFit="1" customWidth="1"/>
    <col min="8725" max="8725" width="24.7109375" style="33" customWidth="1"/>
    <col min="8726" max="8726" width="20.7109375" style="33" customWidth="1"/>
    <col min="8727" max="8727" width="25.5703125" style="33" bestFit="1" customWidth="1"/>
    <col min="8728" max="8728" width="25.28515625" style="33" customWidth="1"/>
    <col min="8729" max="8729" width="21" style="33" bestFit="1" customWidth="1"/>
    <col min="8730" max="8730" width="20" style="33" bestFit="1" customWidth="1"/>
    <col min="8731" max="8731" width="19.28515625" style="33" bestFit="1" customWidth="1"/>
    <col min="8732" max="8732" width="16.28515625" style="33" bestFit="1" customWidth="1"/>
    <col min="8733" max="8733" width="15.28515625" style="33" bestFit="1" customWidth="1"/>
    <col min="8734" max="8973" width="9.140625" style="33"/>
    <col min="8974" max="8974" width="3.85546875" style="33" bestFit="1" customWidth="1"/>
    <col min="8975" max="8975" width="44.5703125" style="33" bestFit="1" customWidth="1"/>
    <col min="8976" max="8976" width="28.7109375" style="33" bestFit="1" customWidth="1"/>
    <col min="8977" max="8977" width="16.85546875" style="33" customWidth="1"/>
    <col min="8978" max="8978" width="8.7109375" style="33" customWidth="1"/>
    <col min="8979" max="8979" width="24" style="33" bestFit="1" customWidth="1"/>
    <col min="8980" max="8980" width="21.42578125" style="33" bestFit="1" customWidth="1"/>
    <col min="8981" max="8981" width="24.7109375" style="33" customWidth="1"/>
    <col min="8982" max="8982" width="20.7109375" style="33" customWidth="1"/>
    <col min="8983" max="8983" width="25.5703125" style="33" bestFit="1" customWidth="1"/>
    <col min="8984" max="8984" width="25.28515625" style="33" customWidth="1"/>
    <col min="8985" max="8985" width="21" style="33" bestFit="1" customWidth="1"/>
    <col min="8986" max="8986" width="20" style="33" bestFit="1" customWidth="1"/>
    <col min="8987" max="8987" width="19.28515625" style="33" bestFit="1" customWidth="1"/>
    <col min="8988" max="8988" width="16.28515625" style="33" bestFit="1" customWidth="1"/>
    <col min="8989" max="8989" width="15.28515625" style="33" bestFit="1" customWidth="1"/>
    <col min="8990" max="9229" width="9.140625" style="33"/>
    <col min="9230" max="9230" width="3.85546875" style="33" bestFit="1" customWidth="1"/>
    <col min="9231" max="9231" width="44.5703125" style="33" bestFit="1" customWidth="1"/>
    <col min="9232" max="9232" width="28.7109375" style="33" bestFit="1" customWidth="1"/>
    <col min="9233" max="9233" width="16.85546875" style="33" customWidth="1"/>
    <col min="9234" max="9234" width="8.7109375" style="33" customWidth="1"/>
    <col min="9235" max="9235" width="24" style="33" bestFit="1" customWidth="1"/>
    <col min="9236" max="9236" width="21.42578125" style="33" bestFit="1" customWidth="1"/>
    <col min="9237" max="9237" width="24.7109375" style="33" customWidth="1"/>
    <col min="9238" max="9238" width="20.7109375" style="33" customWidth="1"/>
    <col min="9239" max="9239" width="25.5703125" style="33" bestFit="1" customWidth="1"/>
    <col min="9240" max="9240" width="25.28515625" style="33" customWidth="1"/>
    <col min="9241" max="9241" width="21" style="33" bestFit="1" customWidth="1"/>
    <col min="9242" max="9242" width="20" style="33" bestFit="1" customWidth="1"/>
    <col min="9243" max="9243" width="19.28515625" style="33" bestFit="1" customWidth="1"/>
    <col min="9244" max="9244" width="16.28515625" style="33" bestFit="1" customWidth="1"/>
    <col min="9245" max="9245" width="15.28515625" style="33" bestFit="1" customWidth="1"/>
    <col min="9246" max="9485" width="9.140625" style="33"/>
    <col min="9486" max="9486" width="3.85546875" style="33" bestFit="1" customWidth="1"/>
    <col min="9487" max="9487" width="44.5703125" style="33" bestFit="1" customWidth="1"/>
    <col min="9488" max="9488" width="28.7109375" style="33" bestFit="1" customWidth="1"/>
    <col min="9489" max="9489" width="16.85546875" style="33" customWidth="1"/>
    <col min="9490" max="9490" width="8.7109375" style="33" customWidth="1"/>
    <col min="9491" max="9491" width="24" style="33" bestFit="1" customWidth="1"/>
    <col min="9492" max="9492" width="21.42578125" style="33" bestFit="1" customWidth="1"/>
    <col min="9493" max="9493" width="24.7109375" style="33" customWidth="1"/>
    <col min="9494" max="9494" width="20.7109375" style="33" customWidth="1"/>
    <col min="9495" max="9495" width="25.5703125" style="33" bestFit="1" customWidth="1"/>
    <col min="9496" max="9496" width="25.28515625" style="33" customWidth="1"/>
    <col min="9497" max="9497" width="21" style="33" bestFit="1" customWidth="1"/>
    <col min="9498" max="9498" width="20" style="33" bestFit="1" customWidth="1"/>
    <col min="9499" max="9499" width="19.28515625" style="33" bestFit="1" customWidth="1"/>
    <col min="9500" max="9500" width="16.28515625" style="33" bestFit="1" customWidth="1"/>
    <col min="9501" max="9501" width="15.28515625" style="33" bestFit="1" customWidth="1"/>
    <col min="9502" max="9741" width="9.140625" style="33"/>
    <col min="9742" max="9742" width="3.85546875" style="33" bestFit="1" customWidth="1"/>
    <col min="9743" max="9743" width="44.5703125" style="33" bestFit="1" customWidth="1"/>
    <col min="9744" max="9744" width="28.7109375" style="33" bestFit="1" customWidth="1"/>
    <col min="9745" max="9745" width="16.85546875" style="33" customWidth="1"/>
    <col min="9746" max="9746" width="8.7109375" style="33" customWidth="1"/>
    <col min="9747" max="9747" width="24" style="33" bestFit="1" customWidth="1"/>
    <col min="9748" max="9748" width="21.42578125" style="33" bestFit="1" customWidth="1"/>
    <col min="9749" max="9749" width="24.7109375" style="33" customWidth="1"/>
    <col min="9750" max="9750" width="20.7109375" style="33" customWidth="1"/>
    <col min="9751" max="9751" width="25.5703125" style="33" bestFit="1" customWidth="1"/>
    <col min="9752" max="9752" width="25.28515625" style="33" customWidth="1"/>
    <col min="9753" max="9753" width="21" style="33" bestFit="1" customWidth="1"/>
    <col min="9754" max="9754" width="20" style="33" bestFit="1" customWidth="1"/>
    <col min="9755" max="9755" width="19.28515625" style="33" bestFit="1" customWidth="1"/>
    <col min="9756" max="9756" width="16.28515625" style="33" bestFit="1" customWidth="1"/>
    <col min="9757" max="9757" width="15.28515625" style="33" bestFit="1" customWidth="1"/>
    <col min="9758" max="9997" width="9.140625" style="33"/>
    <col min="9998" max="9998" width="3.85546875" style="33" bestFit="1" customWidth="1"/>
    <col min="9999" max="9999" width="44.5703125" style="33" bestFit="1" customWidth="1"/>
    <col min="10000" max="10000" width="28.7109375" style="33" bestFit="1" customWidth="1"/>
    <col min="10001" max="10001" width="16.85546875" style="33" customWidth="1"/>
    <col min="10002" max="10002" width="8.7109375" style="33" customWidth="1"/>
    <col min="10003" max="10003" width="24" style="33" bestFit="1" customWidth="1"/>
    <col min="10004" max="10004" width="21.42578125" style="33" bestFit="1" customWidth="1"/>
    <col min="10005" max="10005" width="24.7109375" style="33" customWidth="1"/>
    <col min="10006" max="10006" width="20.7109375" style="33" customWidth="1"/>
    <col min="10007" max="10007" width="25.5703125" style="33" bestFit="1" customWidth="1"/>
    <col min="10008" max="10008" width="25.28515625" style="33" customWidth="1"/>
    <col min="10009" max="10009" width="21" style="33" bestFit="1" customWidth="1"/>
    <col min="10010" max="10010" width="20" style="33" bestFit="1" customWidth="1"/>
    <col min="10011" max="10011" width="19.28515625" style="33" bestFit="1" customWidth="1"/>
    <col min="10012" max="10012" width="16.28515625" style="33" bestFit="1" customWidth="1"/>
    <col min="10013" max="10013" width="15.28515625" style="33" bestFit="1" customWidth="1"/>
    <col min="10014" max="10253" width="9.140625" style="33"/>
    <col min="10254" max="10254" width="3.85546875" style="33" bestFit="1" customWidth="1"/>
    <col min="10255" max="10255" width="44.5703125" style="33" bestFit="1" customWidth="1"/>
    <col min="10256" max="10256" width="28.7109375" style="33" bestFit="1" customWidth="1"/>
    <col min="10257" max="10257" width="16.85546875" style="33" customWidth="1"/>
    <col min="10258" max="10258" width="8.7109375" style="33" customWidth="1"/>
    <col min="10259" max="10259" width="24" style="33" bestFit="1" customWidth="1"/>
    <col min="10260" max="10260" width="21.42578125" style="33" bestFit="1" customWidth="1"/>
    <col min="10261" max="10261" width="24.7109375" style="33" customWidth="1"/>
    <col min="10262" max="10262" width="20.7109375" style="33" customWidth="1"/>
    <col min="10263" max="10263" width="25.5703125" style="33" bestFit="1" customWidth="1"/>
    <col min="10264" max="10264" width="25.28515625" style="33" customWidth="1"/>
    <col min="10265" max="10265" width="21" style="33" bestFit="1" customWidth="1"/>
    <col min="10266" max="10266" width="20" style="33" bestFit="1" customWidth="1"/>
    <col min="10267" max="10267" width="19.28515625" style="33" bestFit="1" customWidth="1"/>
    <col min="10268" max="10268" width="16.28515625" style="33" bestFit="1" customWidth="1"/>
    <col min="10269" max="10269" width="15.28515625" style="33" bestFit="1" customWidth="1"/>
    <col min="10270" max="10509" width="9.140625" style="33"/>
    <col min="10510" max="10510" width="3.85546875" style="33" bestFit="1" customWidth="1"/>
    <col min="10511" max="10511" width="44.5703125" style="33" bestFit="1" customWidth="1"/>
    <col min="10512" max="10512" width="28.7109375" style="33" bestFit="1" customWidth="1"/>
    <col min="10513" max="10513" width="16.85546875" style="33" customWidth="1"/>
    <col min="10514" max="10514" width="8.7109375" style="33" customWidth="1"/>
    <col min="10515" max="10515" width="24" style="33" bestFit="1" customWidth="1"/>
    <col min="10516" max="10516" width="21.42578125" style="33" bestFit="1" customWidth="1"/>
    <col min="10517" max="10517" width="24.7109375" style="33" customWidth="1"/>
    <col min="10518" max="10518" width="20.7109375" style="33" customWidth="1"/>
    <col min="10519" max="10519" width="25.5703125" style="33" bestFit="1" customWidth="1"/>
    <col min="10520" max="10520" width="25.28515625" style="33" customWidth="1"/>
    <col min="10521" max="10521" width="21" style="33" bestFit="1" customWidth="1"/>
    <col min="10522" max="10522" width="20" style="33" bestFit="1" customWidth="1"/>
    <col min="10523" max="10523" width="19.28515625" style="33" bestFit="1" customWidth="1"/>
    <col min="10524" max="10524" width="16.28515625" style="33" bestFit="1" customWidth="1"/>
    <col min="10525" max="10525" width="15.28515625" style="33" bestFit="1" customWidth="1"/>
    <col min="10526" max="10765" width="9.140625" style="33"/>
    <col min="10766" max="10766" width="3.85546875" style="33" bestFit="1" customWidth="1"/>
    <col min="10767" max="10767" width="44.5703125" style="33" bestFit="1" customWidth="1"/>
    <col min="10768" max="10768" width="28.7109375" style="33" bestFit="1" customWidth="1"/>
    <col min="10769" max="10769" width="16.85546875" style="33" customWidth="1"/>
    <col min="10770" max="10770" width="8.7109375" style="33" customWidth="1"/>
    <col min="10771" max="10771" width="24" style="33" bestFit="1" customWidth="1"/>
    <col min="10772" max="10772" width="21.42578125" style="33" bestFit="1" customWidth="1"/>
    <col min="10773" max="10773" width="24.7109375" style="33" customWidth="1"/>
    <col min="10774" max="10774" width="20.7109375" style="33" customWidth="1"/>
    <col min="10775" max="10775" width="25.5703125" style="33" bestFit="1" customWidth="1"/>
    <col min="10776" max="10776" width="25.28515625" style="33" customWidth="1"/>
    <col min="10777" max="10777" width="21" style="33" bestFit="1" customWidth="1"/>
    <col min="10778" max="10778" width="20" style="33" bestFit="1" customWidth="1"/>
    <col min="10779" max="10779" width="19.28515625" style="33" bestFit="1" customWidth="1"/>
    <col min="10780" max="10780" width="16.28515625" style="33" bestFit="1" customWidth="1"/>
    <col min="10781" max="10781" width="15.28515625" style="33" bestFit="1" customWidth="1"/>
    <col min="10782" max="11021" width="9.140625" style="33"/>
    <col min="11022" max="11022" width="3.85546875" style="33" bestFit="1" customWidth="1"/>
    <col min="11023" max="11023" width="44.5703125" style="33" bestFit="1" customWidth="1"/>
    <col min="11024" max="11024" width="28.7109375" style="33" bestFit="1" customWidth="1"/>
    <col min="11025" max="11025" width="16.85546875" style="33" customWidth="1"/>
    <col min="11026" max="11026" width="8.7109375" style="33" customWidth="1"/>
    <col min="11027" max="11027" width="24" style="33" bestFit="1" customWidth="1"/>
    <col min="11028" max="11028" width="21.42578125" style="33" bestFit="1" customWidth="1"/>
    <col min="11029" max="11029" width="24.7109375" style="33" customWidth="1"/>
    <col min="11030" max="11030" width="20.7109375" style="33" customWidth="1"/>
    <col min="11031" max="11031" width="25.5703125" style="33" bestFit="1" customWidth="1"/>
    <col min="11032" max="11032" width="25.28515625" style="33" customWidth="1"/>
    <col min="11033" max="11033" width="21" style="33" bestFit="1" customWidth="1"/>
    <col min="11034" max="11034" width="20" style="33" bestFit="1" customWidth="1"/>
    <col min="11035" max="11035" width="19.28515625" style="33" bestFit="1" customWidth="1"/>
    <col min="11036" max="11036" width="16.28515625" style="33" bestFit="1" customWidth="1"/>
    <col min="11037" max="11037" width="15.28515625" style="33" bestFit="1" customWidth="1"/>
    <col min="11038" max="11277" width="9.140625" style="33"/>
    <col min="11278" max="11278" width="3.85546875" style="33" bestFit="1" customWidth="1"/>
    <col min="11279" max="11279" width="44.5703125" style="33" bestFit="1" customWidth="1"/>
    <col min="11280" max="11280" width="28.7109375" style="33" bestFit="1" customWidth="1"/>
    <col min="11281" max="11281" width="16.85546875" style="33" customWidth="1"/>
    <col min="11282" max="11282" width="8.7109375" style="33" customWidth="1"/>
    <col min="11283" max="11283" width="24" style="33" bestFit="1" customWidth="1"/>
    <col min="11284" max="11284" width="21.42578125" style="33" bestFit="1" customWidth="1"/>
    <col min="11285" max="11285" width="24.7109375" style="33" customWidth="1"/>
    <col min="11286" max="11286" width="20.7109375" style="33" customWidth="1"/>
    <col min="11287" max="11287" width="25.5703125" style="33" bestFit="1" customWidth="1"/>
    <col min="11288" max="11288" width="25.28515625" style="33" customWidth="1"/>
    <col min="11289" max="11289" width="21" style="33" bestFit="1" customWidth="1"/>
    <col min="11290" max="11290" width="20" style="33" bestFit="1" customWidth="1"/>
    <col min="11291" max="11291" width="19.28515625" style="33" bestFit="1" customWidth="1"/>
    <col min="11292" max="11292" width="16.28515625" style="33" bestFit="1" customWidth="1"/>
    <col min="11293" max="11293" width="15.28515625" style="33" bestFit="1" customWidth="1"/>
    <col min="11294" max="11533" width="9.140625" style="33"/>
    <col min="11534" max="11534" width="3.85546875" style="33" bestFit="1" customWidth="1"/>
    <col min="11535" max="11535" width="44.5703125" style="33" bestFit="1" customWidth="1"/>
    <col min="11536" max="11536" width="28.7109375" style="33" bestFit="1" customWidth="1"/>
    <col min="11537" max="11537" width="16.85546875" style="33" customWidth="1"/>
    <col min="11538" max="11538" width="8.7109375" style="33" customWidth="1"/>
    <col min="11539" max="11539" width="24" style="33" bestFit="1" customWidth="1"/>
    <col min="11540" max="11540" width="21.42578125" style="33" bestFit="1" customWidth="1"/>
    <col min="11541" max="11541" width="24.7109375" style="33" customWidth="1"/>
    <col min="11542" max="11542" width="20.7109375" style="33" customWidth="1"/>
    <col min="11543" max="11543" width="25.5703125" style="33" bestFit="1" customWidth="1"/>
    <col min="11544" max="11544" width="25.28515625" style="33" customWidth="1"/>
    <col min="11545" max="11545" width="21" style="33" bestFit="1" customWidth="1"/>
    <col min="11546" max="11546" width="20" style="33" bestFit="1" customWidth="1"/>
    <col min="11547" max="11547" width="19.28515625" style="33" bestFit="1" customWidth="1"/>
    <col min="11548" max="11548" width="16.28515625" style="33" bestFit="1" customWidth="1"/>
    <col min="11549" max="11549" width="15.28515625" style="33" bestFit="1" customWidth="1"/>
    <col min="11550" max="11789" width="9.140625" style="33"/>
    <col min="11790" max="11790" width="3.85546875" style="33" bestFit="1" customWidth="1"/>
    <col min="11791" max="11791" width="44.5703125" style="33" bestFit="1" customWidth="1"/>
    <col min="11792" max="11792" width="28.7109375" style="33" bestFit="1" customWidth="1"/>
    <col min="11793" max="11793" width="16.85546875" style="33" customWidth="1"/>
    <col min="11794" max="11794" width="8.7109375" style="33" customWidth="1"/>
    <col min="11795" max="11795" width="24" style="33" bestFit="1" customWidth="1"/>
    <col min="11796" max="11796" width="21.42578125" style="33" bestFit="1" customWidth="1"/>
    <col min="11797" max="11797" width="24.7109375" style="33" customWidth="1"/>
    <col min="11798" max="11798" width="20.7109375" style="33" customWidth="1"/>
    <col min="11799" max="11799" width="25.5703125" style="33" bestFit="1" customWidth="1"/>
    <col min="11800" max="11800" width="25.28515625" style="33" customWidth="1"/>
    <col min="11801" max="11801" width="21" style="33" bestFit="1" customWidth="1"/>
    <col min="11802" max="11802" width="20" style="33" bestFit="1" customWidth="1"/>
    <col min="11803" max="11803" width="19.28515625" style="33" bestFit="1" customWidth="1"/>
    <col min="11804" max="11804" width="16.28515625" style="33" bestFit="1" customWidth="1"/>
    <col min="11805" max="11805" width="15.28515625" style="33" bestFit="1" customWidth="1"/>
    <col min="11806" max="12045" width="9.140625" style="33"/>
    <col min="12046" max="12046" width="3.85546875" style="33" bestFit="1" customWidth="1"/>
    <col min="12047" max="12047" width="44.5703125" style="33" bestFit="1" customWidth="1"/>
    <col min="12048" max="12048" width="28.7109375" style="33" bestFit="1" customWidth="1"/>
    <col min="12049" max="12049" width="16.85546875" style="33" customWidth="1"/>
    <col min="12050" max="12050" width="8.7109375" style="33" customWidth="1"/>
    <col min="12051" max="12051" width="24" style="33" bestFit="1" customWidth="1"/>
    <col min="12052" max="12052" width="21.42578125" style="33" bestFit="1" customWidth="1"/>
    <col min="12053" max="12053" width="24.7109375" style="33" customWidth="1"/>
    <col min="12054" max="12054" width="20.7109375" style="33" customWidth="1"/>
    <col min="12055" max="12055" width="25.5703125" style="33" bestFit="1" customWidth="1"/>
    <col min="12056" max="12056" width="25.28515625" style="33" customWidth="1"/>
    <col min="12057" max="12057" width="21" style="33" bestFit="1" customWidth="1"/>
    <col min="12058" max="12058" width="20" style="33" bestFit="1" customWidth="1"/>
    <col min="12059" max="12059" width="19.28515625" style="33" bestFit="1" customWidth="1"/>
    <col min="12060" max="12060" width="16.28515625" style="33" bestFit="1" customWidth="1"/>
    <col min="12061" max="12061" width="15.28515625" style="33" bestFit="1" customWidth="1"/>
    <col min="12062" max="12301" width="9.140625" style="33"/>
    <col min="12302" max="12302" width="3.85546875" style="33" bestFit="1" customWidth="1"/>
    <col min="12303" max="12303" width="44.5703125" style="33" bestFit="1" customWidth="1"/>
    <col min="12304" max="12304" width="28.7109375" style="33" bestFit="1" customWidth="1"/>
    <col min="12305" max="12305" width="16.85546875" style="33" customWidth="1"/>
    <col min="12306" max="12306" width="8.7109375" style="33" customWidth="1"/>
    <col min="12307" max="12307" width="24" style="33" bestFit="1" customWidth="1"/>
    <col min="12308" max="12308" width="21.42578125" style="33" bestFit="1" customWidth="1"/>
    <col min="12309" max="12309" width="24.7109375" style="33" customWidth="1"/>
    <col min="12310" max="12310" width="20.7109375" style="33" customWidth="1"/>
    <col min="12311" max="12311" width="25.5703125" style="33" bestFit="1" customWidth="1"/>
    <col min="12312" max="12312" width="25.28515625" style="33" customWidth="1"/>
    <col min="12313" max="12313" width="21" style="33" bestFit="1" customWidth="1"/>
    <col min="12314" max="12314" width="20" style="33" bestFit="1" customWidth="1"/>
    <col min="12315" max="12315" width="19.28515625" style="33" bestFit="1" customWidth="1"/>
    <col min="12316" max="12316" width="16.28515625" style="33" bestFit="1" customWidth="1"/>
    <col min="12317" max="12317" width="15.28515625" style="33" bestFit="1" customWidth="1"/>
    <col min="12318" max="12557" width="9.140625" style="33"/>
    <col min="12558" max="12558" width="3.85546875" style="33" bestFit="1" customWidth="1"/>
    <col min="12559" max="12559" width="44.5703125" style="33" bestFit="1" customWidth="1"/>
    <col min="12560" max="12560" width="28.7109375" style="33" bestFit="1" customWidth="1"/>
    <col min="12561" max="12561" width="16.85546875" style="33" customWidth="1"/>
    <col min="12562" max="12562" width="8.7109375" style="33" customWidth="1"/>
    <col min="12563" max="12563" width="24" style="33" bestFit="1" customWidth="1"/>
    <col min="12564" max="12564" width="21.42578125" style="33" bestFit="1" customWidth="1"/>
    <col min="12565" max="12565" width="24.7109375" style="33" customWidth="1"/>
    <col min="12566" max="12566" width="20.7109375" style="33" customWidth="1"/>
    <col min="12567" max="12567" width="25.5703125" style="33" bestFit="1" customWidth="1"/>
    <col min="12568" max="12568" width="25.28515625" style="33" customWidth="1"/>
    <col min="12569" max="12569" width="21" style="33" bestFit="1" customWidth="1"/>
    <col min="12570" max="12570" width="20" style="33" bestFit="1" customWidth="1"/>
    <col min="12571" max="12571" width="19.28515625" style="33" bestFit="1" customWidth="1"/>
    <col min="12572" max="12572" width="16.28515625" style="33" bestFit="1" customWidth="1"/>
    <col min="12573" max="12573" width="15.28515625" style="33" bestFit="1" customWidth="1"/>
    <col min="12574" max="12813" width="9.140625" style="33"/>
    <col min="12814" max="12814" width="3.85546875" style="33" bestFit="1" customWidth="1"/>
    <col min="12815" max="12815" width="44.5703125" style="33" bestFit="1" customWidth="1"/>
    <col min="12816" max="12816" width="28.7109375" style="33" bestFit="1" customWidth="1"/>
    <col min="12817" max="12817" width="16.85546875" style="33" customWidth="1"/>
    <col min="12818" max="12818" width="8.7109375" style="33" customWidth="1"/>
    <col min="12819" max="12819" width="24" style="33" bestFit="1" customWidth="1"/>
    <col min="12820" max="12820" width="21.42578125" style="33" bestFit="1" customWidth="1"/>
    <col min="12821" max="12821" width="24.7109375" style="33" customWidth="1"/>
    <col min="12822" max="12822" width="20.7109375" style="33" customWidth="1"/>
    <col min="12823" max="12823" width="25.5703125" style="33" bestFit="1" customWidth="1"/>
    <col min="12824" max="12824" width="25.28515625" style="33" customWidth="1"/>
    <col min="12825" max="12825" width="21" style="33" bestFit="1" customWidth="1"/>
    <col min="12826" max="12826" width="20" style="33" bestFit="1" customWidth="1"/>
    <col min="12827" max="12827" width="19.28515625" style="33" bestFit="1" customWidth="1"/>
    <col min="12828" max="12828" width="16.28515625" style="33" bestFit="1" customWidth="1"/>
    <col min="12829" max="12829" width="15.28515625" style="33" bestFit="1" customWidth="1"/>
    <col min="12830" max="13069" width="9.140625" style="33"/>
    <col min="13070" max="13070" width="3.85546875" style="33" bestFit="1" customWidth="1"/>
    <col min="13071" max="13071" width="44.5703125" style="33" bestFit="1" customWidth="1"/>
    <col min="13072" max="13072" width="28.7109375" style="33" bestFit="1" customWidth="1"/>
    <col min="13073" max="13073" width="16.85546875" style="33" customWidth="1"/>
    <col min="13074" max="13074" width="8.7109375" style="33" customWidth="1"/>
    <col min="13075" max="13075" width="24" style="33" bestFit="1" customWidth="1"/>
    <col min="13076" max="13076" width="21.42578125" style="33" bestFit="1" customWidth="1"/>
    <col min="13077" max="13077" width="24.7109375" style="33" customWidth="1"/>
    <col min="13078" max="13078" width="20.7109375" style="33" customWidth="1"/>
    <col min="13079" max="13079" width="25.5703125" style="33" bestFit="1" customWidth="1"/>
    <col min="13080" max="13080" width="25.28515625" style="33" customWidth="1"/>
    <col min="13081" max="13081" width="21" style="33" bestFit="1" customWidth="1"/>
    <col min="13082" max="13082" width="20" style="33" bestFit="1" customWidth="1"/>
    <col min="13083" max="13083" width="19.28515625" style="33" bestFit="1" customWidth="1"/>
    <col min="13084" max="13084" width="16.28515625" style="33" bestFit="1" customWidth="1"/>
    <col min="13085" max="13085" width="15.28515625" style="33" bestFit="1" customWidth="1"/>
    <col min="13086" max="13325" width="9.140625" style="33"/>
    <col min="13326" max="13326" width="3.85546875" style="33" bestFit="1" customWidth="1"/>
    <col min="13327" max="13327" width="44.5703125" style="33" bestFit="1" customWidth="1"/>
    <col min="13328" max="13328" width="28.7109375" style="33" bestFit="1" customWidth="1"/>
    <col min="13329" max="13329" width="16.85546875" style="33" customWidth="1"/>
    <col min="13330" max="13330" width="8.7109375" style="33" customWidth="1"/>
    <col min="13331" max="13331" width="24" style="33" bestFit="1" customWidth="1"/>
    <col min="13332" max="13332" width="21.42578125" style="33" bestFit="1" customWidth="1"/>
    <col min="13333" max="13333" width="24.7109375" style="33" customWidth="1"/>
    <col min="13334" max="13334" width="20.7109375" style="33" customWidth="1"/>
    <col min="13335" max="13335" width="25.5703125" style="33" bestFit="1" customWidth="1"/>
    <col min="13336" max="13336" width="25.28515625" style="33" customWidth="1"/>
    <col min="13337" max="13337" width="21" style="33" bestFit="1" customWidth="1"/>
    <col min="13338" max="13338" width="20" style="33" bestFit="1" customWidth="1"/>
    <col min="13339" max="13339" width="19.28515625" style="33" bestFit="1" customWidth="1"/>
    <col min="13340" max="13340" width="16.28515625" style="33" bestFit="1" customWidth="1"/>
    <col min="13341" max="13341" width="15.28515625" style="33" bestFit="1" customWidth="1"/>
    <col min="13342" max="13581" width="9.140625" style="33"/>
    <col min="13582" max="13582" width="3.85546875" style="33" bestFit="1" customWidth="1"/>
    <col min="13583" max="13583" width="44.5703125" style="33" bestFit="1" customWidth="1"/>
    <col min="13584" max="13584" width="28.7109375" style="33" bestFit="1" customWidth="1"/>
    <col min="13585" max="13585" width="16.85546875" style="33" customWidth="1"/>
    <col min="13586" max="13586" width="8.7109375" style="33" customWidth="1"/>
    <col min="13587" max="13587" width="24" style="33" bestFit="1" customWidth="1"/>
    <col min="13588" max="13588" width="21.42578125" style="33" bestFit="1" customWidth="1"/>
    <col min="13589" max="13589" width="24.7109375" style="33" customWidth="1"/>
    <col min="13590" max="13590" width="20.7109375" style="33" customWidth="1"/>
    <col min="13591" max="13591" width="25.5703125" style="33" bestFit="1" customWidth="1"/>
    <col min="13592" max="13592" width="25.28515625" style="33" customWidth="1"/>
    <col min="13593" max="13593" width="21" style="33" bestFit="1" customWidth="1"/>
    <col min="13594" max="13594" width="20" style="33" bestFit="1" customWidth="1"/>
    <col min="13595" max="13595" width="19.28515625" style="33" bestFit="1" customWidth="1"/>
    <col min="13596" max="13596" width="16.28515625" style="33" bestFit="1" customWidth="1"/>
    <col min="13597" max="13597" width="15.28515625" style="33" bestFit="1" customWidth="1"/>
    <col min="13598" max="13837" width="9.140625" style="33"/>
    <col min="13838" max="13838" width="3.85546875" style="33" bestFit="1" customWidth="1"/>
    <col min="13839" max="13839" width="44.5703125" style="33" bestFit="1" customWidth="1"/>
    <col min="13840" max="13840" width="28.7109375" style="33" bestFit="1" customWidth="1"/>
    <col min="13841" max="13841" width="16.85546875" style="33" customWidth="1"/>
    <col min="13842" max="13842" width="8.7109375" style="33" customWidth="1"/>
    <col min="13843" max="13843" width="24" style="33" bestFit="1" customWidth="1"/>
    <col min="13844" max="13844" width="21.42578125" style="33" bestFit="1" customWidth="1"/>
    <col min="13845" max="13845" width="24.7109375" style="33" customWidth="1"/>
    <col min="13846" max="13846" width="20.7109375" style="33" customWidth="1"/>
    <col min="13847" max="13847" width="25.5703125" style="33" bestFit="1" customWidth="1"/>
    <col min="13848" max="13848" width="25.28515625" style="33" customWidth="1"/>
    <col min="13849" max="13849" width="21" style="33" bestFit="1" customWidth="1"/>
    <col min="13850" max="13850" width="20" style="33" bestFit="1" customWidth="1"/>
    <col min="13851" max="13851" width="19.28515625" style="33" bestFit="1" customWidth="1"/>
    <col min="13852" max="13852" width="16.28515625" style="33" bestFit="1" customWidth="1"/>
    <col min="13853" max="13853" width="15.28515625" style="33" bestFit="1" customWidth="1"/>
    <col min="13854" max="14093" width="9.140625" style="33"/>
    <col min="14094" max="14094" width="3.85546875" style="33" bestFit="1" customWidth="1"/>
    <col min="14095" max="14095" width="44.5703125" style="33" bestFit="1" customWidth="1"/>
    <col min="14096" max="14096" width="28.7109375" style="33" bestFit="1" customWidth="1"/>
    <col min="14097" max="14097" width="16.85546875" style="33" customWidth="1"/>
    <col min="14098" max="14098" width="8.7109375" style="33" customWidth="1"/>
    <col min="14099" max="14099" width="24" style="33" bestFit="1" customWidth="1"/>
    <col min="14100" max="14100" width="21.42578125" style="33" bestFit="1" customWidth="1"/>
    <col min="14101" max="14101" width="24.7109375" style="33" customWidth="1"/>
    <col min="14102" max="14102" width="20.7109375" style="33" customWidth="1"/>
    <col min="14103" max="14103" width="25.5703125" style="33" bestFit="1" customWidth="1"/>
    <col min="14104" max="14104" width="25.28515625" style="33" customWidth="1"/>
    <col min="14105" max="14105" width="21" style="33" bestFit="1" customWidth="1"/>
    <col min="14106" max="14106" width="20" style="33" bestFit="1" customWidth="1"/>
    <col min="14107" max="14107" width="19.28515625" style="33" bestFit="1" customWidth="1"/>
    <col min="14108" max="14108" width="16.28515625" style="33" bestFit="1" customWidth="1"/>
    <col min="14109" max="14109" width="15.28515625" style="33" bestFit="1" customWidth="1"/>
    <col min="14110" max="14349" width="9.140625" style="33"/>
    <col min="14350" max="14350" width="3.85546875" style="33" bestFit="1" customWidth="1"/>
    <col min="14351" max="14351" width="44.5703125" style="33" bestFit="1" customWidth="1"/>
    <col min="14352" max="14352" width="28.7109375" style="33" bestFit="1" customWidth="1"/>
    <col min="14353" max="14353" width="16.85546875" style="33" customWidth="1"/>
    <col min="14354" max="14354" width="8.7109375" style="33" customWidth="1"/>
    <col min="14355" max="14355" width="24" style="33" bestFit="1" customWidth="1"/>
    <col min="14356" max="14356" width="21.42578125" style="33" bestFit="1" customWidth="1"/>
    <col min="14357" max="14357" width="24.7109375" style="33" customWidth="1"/>
    <col min="14358" max="14358" width="20.7109375" style="33" customWidth="1"/>
    <col min="14359" max="14359" width="25.5703125" style="33" bestFit="1" customWidth="1"/>
    <col min="14360" max="14360" width="25.28515625" style="33" customWidth="1"/>
    <col min="14361" max="14361" width="21" style="33" bestFit="1" customWidth="1"/>
    <col min="14362" max="14362" width="20" style="33" bestFit="1" customWidth="1"/>
    <col min="14363" max="14363" width="19.28515625" style="33" bestFit="1" customWidth="1"/>
    <col min="14364" max="14364" width="16.28515625" style="33" bestFit="1" customWidth="1"/>
    <col min="14365" max="14365" width="15.28515625" style="33" bestFit="1" customWidth="1"/>
    <col min="14366" max="14605" width="9.140625" style="33"/>
    <col min="14606" max="14606" width="3.85546875" style="33" bestFit="1" customWidth="1"/>
    <col min="14607" max="14607" width="44.5703125" style="33" bestFit="1" customWidth="1"/>
    <col min="14608" max="14608" width="28.7109375" style="33" bestFit="1" customWidth="1"/>
    <col min="14609" max="14609" width="16.85546875" style="33" customWidth="1"/>
    <col min="14610" max="14610" width="8.7109375" style="33" customWidth="1"/>
    <col min="14611" max="14611" width="24" style="33" bestFit="1" customWidth="1"/>
    <col min="14612" max="14612" width="21.42578125" style="33" bestFit="1" customWidth="1"/>
    <col min="14613" max="14613" width="24.7109375" style="33" customWidth="1"/>
    <col min="14614" max="14614" width="20.7109375" style="33" customWidth="1"/>
    <col min="14615" max="14615" width="25.5703125" style="33" bestFit="1" customWidth="1"/>
    <col min="14616" max="14616" width="25.28515625" style="33" customWidth="1"/>
    <col min="14617" max="14617" width="21" style="33" bestFit="1" customWidth="1"/>
    <col min="14618" max="14618" width="20" style="33" bestFit="1" customWidth="1"/>
    <col min="14619" max="14619" width="19.28515625" style="33" bestFit="1" customWidth="1"/>
    <col min="14620" max="14620" width="16.28515625" style="33" bestFit="1" customWidth="1"/>
    <col min="14621" max="14621" width="15.28515625" style="33" bestFit="1" customWidth="1"/>
    <col min="14622" max="14861" width="9.140625" style="33"/>
    <col min="14862" max="14862" width="3.85546875" style="33" bestFit="1" customWidth="1"/>
    <col min="14863" max="14863" width="44.5703125" style="33" bestFit="1" customWidth="1"/>
    <col min="14864" max="14864" width="28.7109375" style="33" bestFit="1" customWidth="1"/>
    <col min="14865" max="14865" width="16.85546875" style="33" customWidth="1"/>
    <col min="14866" max="14866" width="8.7109375" style="33" customWidth="1"/>
    <col min="14867" max="14867" width="24" style="33" bestFit="1" customWidth="1"/>
    <col min="14868" max="14868" width="21.42578125" style="33" bestFit="1" customWidth="1"/>
    <col min="14869" max="14869" width="24.7109375" style="33" customWidth="1"/>
    <col min="14870" max="14870" width="20.7109375" style="33" customWidth="1"/>
    <col min="14871" max="14871" width="25.5703125" style="33" bestFit="1" customWidth="1"/>
    <col min="14872" max="14872" width="25.28515625" style="33" customWidth="1"/>
    <col min="14873" max="14873" width="21" style="33" bestFit="1" customWidth="1"/>
    <col min="14874" max="14874" width="20" style="33" bestFit="1" customWidth="1"/>
    <col min="14875" max="14875" width="19.28515625" style="33" bestFit="1" customWidth="1"/>
    <col min="14876" max="14876" width="16.28515625" style="33" bestFit="1" customWidth="1"/>
    <col min="14877" max="14877" width="15.28515625" style="33" bestFit="1" customWidth="1"/>
    <col min="14878" max="15117" width="9.140625" style="33"/>
    <col min="15118" max="15118" width="3.85546875" style="33" bestFit="1" customWidth="1"/>
    <col min="15119" max="15119" width="44.5703125" style="33" bestFit="1" customWidth="1"/>
    <col min="15120" max="15120" width="28.7109375" style="33" bestFit="1" customWidth="1"/>
    <col min="15121" max="15121" width="16.85546875" style="33" customWidth="1"/>
    <col min="15122" max="15122" width="8.7109375" style="33" customWidth="1"/>
    <col min="15123" max="15123" width="24" style="33" bestFit="1" customWidth="1"/>
    <col min="15124" max="15124" width="21.42578125" style="33" bestFit="1" customWidth="1"/>
    <col min="15125" max="15125" width="24.7109375" style="33" customWidth="1"/>
    <col min="15126" max="15126" width="20.7109375" style="33" customWidth="1"/>
    <col min="15127" max="15127" width="25.5703125" style="33" bestFit="1" customWidth="1"/>
    <col min="15128" max="15128" width="25.28515625" style="33" customWidth="1"/>
    <col min="15129" max="15129" width="21" style="33" bestFit="1" customWidth="1"/>
    <col min="15130" max="15130" width="20" style="33" bestFit="1" customWidth="1"/>
    <col min="15131" max="15131" width="19.28515625" style="33" bestFit="1" customWidth="1"/>
    <col min="15132" max="15132" width="16.28515625" style="33" bestFit="1" customWidth="1"/>
    <col min="15133" max="15133" width="15.28515625" style="33" bestFit="1" customWidth="1"/>
    <col min="15134" max="15373" width="9.140625" style="33"/>
    <col min="15374" max="15374" width="3.85546875" style="33" bestFit="1" customWidth="1"/>
    <col min="15375" max="15375" width="44.5703125" style="33" bestFit="1" customWidth="1"/>
    <col min="15376" max="15376" width="28.7109375" style="33" bestFit="1" customWidth="1"/>
    <col min="15377" max="15377" width="16.85546875" style="33" customWidth="1"/>
    <col min="15378" max="15378" width="8.7109375" style="33" customWidth="1"/>
    <col min="15379" max="15379" width="24" style="33" bestFit="1" customWidth="1"/>
    <col min="15380" max="15380" width="21.42578125" style="33" bestFit="1" customWidth="1"/>
    <col min="15381" max="15381" width="24.7109375" style="33" customWidth="1"/>
    <col min="15382" max="15382" width="20.7109375" style="33" customWidth="1"/>
    <col min="15383" max="15383" width="25.5703125" style="33" bestFit="1" customWidth="1"/>
    <col min="15384" max="15384" width="25.28515625" style="33" customWidth="1"/>
    <col min="15385" max="15385" width="21" style="33" bestFit="1" customWidth="1"/>
    <col min="15386" max="15386" width="20" style="33" bestFit="1" customWidth="1"/>
    <col min="15387" max="15387" width="19.28515625" style="33" bestFit="1" customWidth="1"/>
    <col min="15388" max="15388" width="16.28515625" style="33" bestFit="1" customWidth="1"/>
    <col min="15389" max="15389" width="15.28515625" style="33" bestFit="1" customWidth="1"/>
    <col min="15390" max="15629" width="9.140625" style="33"/>
    <col min="15630" max="15630" width="3.85546875" style="33" bestFit="1" customWidth="1"/>
    <col min="15631" max="15631" width="44.5703125" style="33" bestFit="1" customWidth="1"/>
    <col min="15632" max="15632" width="28.7109375" style="33" bestFit="1" customWidth="1"/>
    <col min="15633" max="15633" width="16.85546875" style="33" customWidth="1"/>
    <col min="15634" max="15634" width="8.7109375" style="33" customWidth="1"/>
    <col min="15635" max="15635" width="24" style="33" bestFit="1" customWidth="1"/>
    <col min="15636" max="15636" width="21.42578125" style="33" bestFit="1" customWidth="1"/>
    <col min="15637" max="15637" width="24.7109375" style="33" customWidth="1"/>
    <col min="15638" max="15638" width="20.7109375" style="33" customWidth="1"/>
    <col min="15639" max="15639" width="25.5703125" style="33" bestFit="1" customWidth="1"/>
    <col min="15640" max="15640" width="25.28515625" style="33" customWidth="1"/>
    <col min="15641" max="15641" width="21" style="33" bestFit="1" customWidth="1"/>
    <col min="15642" max="15642" width="20" style="33" bestFit="1" customWidth="1"/>
    <col min="15643" max="15643" width="19.28515625" style="33" bestFit="1" customWidth="1"/>
    <col min="15644" max="15644" width="16.28515625" style="33" bestFit="1" customWidth="1"/>
    <col min="15645" max="15645" width="15.28515625" style="33" bestFit="1" customWidth="1"/>
    <col min="15646" max="15885" width="9.140625" style="33"/>
    <col min="15886" max="15886" width="3.85546875" style="33" bestFit="1" customWidth="1"/>
    <col min="15887" max="15887" width="44.5703125" style="33" bestFit="1" customWidth="1"/>
    <col min="15888" max="15888" width="28.7109375" style="33" bestFit="1" customWidth="1"/>
    <col min="15889" max="15889" width="16.85546875" style="33" customWidth="1"/>
    <col min="15890" max="15890" width="8.7109375" style="33" customWidth="1"/>
    <col min="15891" max="15891" width="24" style="33" bestFit="1" customWidth="1"/>
    <col min="15892" max="15892" width="21.42578125" style="33" bestFit="1" customWidth="1"/>
    <col min="15893" max="15893" width="24.7109375" style="33" customWidth="1"/>
    <col min="15894" max="15894" width="20.7109375" style="33" customWidth="1"/>
    <col min="15895" max="15895" width="25.5703125" style="33" bestFit="1" customWidth="1"/>
    <col min="15896" max="15896" width="25.28515625" style="33" customWidth="1"/>
    <col min="15897" max="15897" width="21" style="33" bestFit="1" customWidth="1"/>
    <col min="15898" max="15898" width="20" style="33" bestFit="1" customWidth="1"/>
    <col min="15899" max="15899" width="19.28515625" style="33" bestFit="1" customWidth="1"/>
    <col min="15900" max="15900" width="16.28515625" style="33" bestFit="1" customWidth="1"/>
    <col min="15901" max="15901" width="15.28515625" style="33" bestFit="1" customWidth="1"/>
    <col min="15902" max="16141" width="9.140625" style="33"/>
    <col min="16142" max="16142" width="3.85546875" style="33" bestFit="1" customWidth="1"/>
    <col min="16143" max="16143" width="44.5703125" style="33" bestFit="1" customWidth="1"/>
    <col min="16144" max="16144" width="28.7109375" style="33" bestFit="1" customWidth="1"/>
    <col min="16145" max="16145" width="16.85546875" style="33" customWidth="1"/>
    <col min="16146" max="16146" width="8.7109375" style="33" customWidth="1"/>
    <col min="16147" max="16147" width="24" style="33" bestFit="1" customWidth="1"/>
    <col min="16148" max="16148" width="21.42578125" style="33" bestFit="1" customWidth="1"/>
    <col min="16149" max="16149" width="24.7109375" style="33" customWidth="1"/>
    <col min="16150" max="16150" width="20.7109375" style="33" customWidth="1"/>
    <col min="16151" max="16151" width="25.5703125" style="33" bestFit="1" customWidth="1"/>
    <col min="16152" max="16152" width="25.28515625" style="33" customWidth="1"/>
    <col min="16153" max="16153" width="21" style="33" bestFit="1" customWidth="1"/>
    <col min="16154" max="16154" width="20" style="33" bestFit="1" customWidth="1"/>
    <col min="16155" max="16155" width="19.28515625" style="33" bestFit="1" customWidth="1"/>
    <col min="16156" max="16156" width="16.28515625" style="33" bestFit="1" customWidth="1"/>
    <col min="16157" max="16157" width="15.28515625" style="33" bestFit="1" customWidth="1"/>
    <col min="16158" max="16384" width="9.140625" style="33"/>
  </cols>
  <sheetData>
    <row r="1" spans="1:37" ht="15" hidden="1" customHeight="1">
      <c r="A1" s="124" t="s">
        <v>2208</v>
      </c>
      <c r="B1" s="124"/>
      <c r="C1" s="124"/>
      <c r="D1" s="124"/>
      <c r="E1" s="124"/>
      <c r="F1" s="1507"/>
      <c r="G1" s="124"/>
      <c r="H1" s="124"/>
      <c r="I1" s="124"/>
      <c r="J1" s="124"/>
      <c r="K1" s="124"/>
      <c r="L1" s="124"/>
      <c r="M1" s="124"/>
      <c r="N1" s="124"/>
      <c r="O1" s="179"/>
      <c r="P1" s="179"/>
      <c r="Q1" s="124"/>
      <c r="R1" s="124"/>
      <c r="S1" s="124"/>
      <c r="T1" s="124"/>
      <c r="U1" s="124"/>
      <c r="V1" s="124"/>
      <c r="W1" s="124"/>
      <c r="X1" s="474"/>
      <c r="Y1" s="124"/>
    </row>
    <row r="2" spans="1:37" ht="15" hidden="1" customHeight="1">
      <c r="A2" s="124"/>
      <c r="B2" s="124"/>
      <c r="C2" s="124"/>
      <c r="D2" s="124"/>
      <c r="E2" s="124"/>
      <c r="F2" s="1507"/>
      <c r="G2" s="124"/>
      <c r="H2" s="124"/>
      <c r="I2" s="124"/>
      <c r="J2" s="124"/>
      <c r="K2" s="124"/>
      <c r="L2" s="124" t="s">
        <v>415</v>
      </c>
      <c r="M2" s="124"/>
      <c r="N2" s="124"/>
      <c r="O2" s="179"/>
      <c r="P2" s="179"/>
      <c r="Q2" s="124"/>
      <c r="R2" s="124"/>
      <c r="S2" s="124"/>
      <c r="T2" s="124"/>
      <c r="U2" s="124"/>
      <c r="V2" s="124"/>
      <c r="W2" s="124"/>
      <c r="X2" s="474"/>
      <c r="Y2" s="124"/>
    </row>
    <row r="3" spans="1:37" s="122" customFormat="1" ht="18" hidden="1" customHeight="1">
      <c r="A3" s="1571" t="s">
        <v>6</v>
      </c>
      <c r="B3" s="1571" t="s">
        <v>236</v>
      </c>
      <c r="C3" s="1571" t="s">
        <v>15</v>
      </c>
      <c r="D3" s="1571" t="s">
        <v>3</v>
      </c>
      <c r="E3" s="1576" t="s">
        <v>141</v>
      </c>
      <c r="F3" s="1508"/>
      <c r="G3" s="1195"/>
      <c r="H3" s="1571" t="s">
        <v>51</v>
      </c>
      <c r="I3" s="1576" t="s">
        <v>12</v>
      </c>
      <c r="J3" s="1576" t="s">
        <v>165</v>
      </c>
      <c r="K3" s="1576" t="s">
        <v>166</v>
      </c>
      <c r="L3" s="1578" t="s">
        <v>1</v>
      </c>
      <c r="M3" s="1582" t="s">
        <v>50</v>
      </c>
      <c r="N3" s="1583"/>
      <c r="O3" s="1274" t="s">
        <v>169</v>
      </c>
      <c r="P3" s="1275"/>
      <c r="Q3" s="1275"/>
      <c r="R3" s="1275"/>
      <c r="S3" s="1275"/>
      <c r="T3" s="1275"/>
      <c r="U3" s="1275"/>
      <c r="V3" s="1275"/>
      <c r="W3" s="1275"/>
      <c r="X3" s="1276"/>
      <c r="Y3" s="1282" t="s">
        <v>170</v>
      </c>
      <c r="Z3" s="1283"/>
      <c r="AA3" s="1283"/>
      <c r="AB3" s="1284"/>
      <c r="AC3" s="1282" t="s">
        <v>172</v>
      </c>
      <c r="AD3" s="1283"/>
      <c r="AE3" s="1283"/>
      <c r="AF3" s="1284"/>
      <c r="AG3" s="1580" t="s">
        <v>1392</v>
      </c>
      <c r="AH3" s="1580"/>
      <c r="AI3" s="1580"/>
      <c r="AJ3" s="1580"/>
    </row>
    <row r="4" spans="1:37" s="122" customFormat="1" ht="18" hidden="1" customHeight="1">
      <c r="A4" s="1572"/>
      <c r="B4" s="1572"/>
      <c r="C4" s="1572"/>
      <c r="D4" s="1572"/>
      <c r="E4" s="1577"/>
      <c r="F4" s="1509"/>
      <c r="G4" s="1196"/>
      <c r="H4" s="1572"/>
      <c r="I4" s="1577"/>
      <c r="J4" s="1577"/>
      <c r="K4" s="1577"/>
      <c r="L4" s="1579"/>
      <c r="M4" s="1584" t="s">
        <v>54</v>
      </c>
      <c r="N4" s="1584" t="s">
        <v>55</v>
      </c>
      <c r="O4" s="1277" t="s">
        <v>236</v>
      </c>
      <c r="P4" s="1309" t="s">
        <v>15</v>
      </c>
      <c r="Q4" s="1274" t="s">
        <v>54</v>
      </c>
      <c r="R4" s="1275"/>
      <c r="S4" s="1277" t="s">
        <v>55</v>
      </c>
      <c r="T4" s="1277"/>
      <c r="U4" s="1277"/>
      <c r="V4" s="1277" t="s">
        <v>296</v>
      </c>
      <c r="W4" s="1277"/>
      <c r="X4" s="1278" t="s">
        <v>168</v>
      </c>
      <c r="Y4" s="1285"/>
      <c r="Z4" s="1286"/>
      <c r="AA4" s="1286"/>
      <c r="AB4" s="1287"/>
      <c r="AC4" s="1285"/>
      <c r="AD4" s="1286"/>
      <c r="AE4" s="1286"/>
      <c r="AF4" s="1287"/>
      <c r="AG4" s="1580" t="s">
        <v>1393</v>
      </c>
      <c r="AH4" s="1580"/>
      <c r="AI4" s="1581" t="s">
        <v>1394</v>
      </c>
      <c r="AJ4" s="1581"/>
    </row>
    <row r="5" spans="1:37" s="122" customFormat="1" ht="18" hidden="1" customHeight="1">
      <c r="A5" s="1572"/>
      <c r="B5" s="1572"/>
      <c r="C5" s="1572"/>
      <c r="D5" s="1572"/>
      <c r="E5" s="1577"/>
      <c r="F5" s="1509"/>
      <c r="G5" s="1196"/>
      <c r="H5" s="1572"/>
      <c r="I5" s="1577"/>
      <c r="J5" s="1577"/>
      <c r="K5" s="1577"/>
      <c r="L5" s="1579"/>
      <c r="M5" s="1576"/>
      <c r="N5" s="1576"/>
      <c r="O5" s="1278"/>
      <c r="P5" s="1310"/>
      <c r="Q5" s="659" t="s">
        <v>263</v>
      </c>
      <c r="R5" s="1278" t="s">
        <v>78</v>
      </c>
      <c r="S5" s="1277" t="s">
        <v>1661</v>
      </c>
      <c r="T5" s="1278" t="s">
        <v>263</v>
      </c>
      <c r="U5" s="1278" t="s">
        <v>78</v>
      </c>
      <c r="V5" s="1278" t="s">
        <v>54</v>
      </c>
      <c r="W5" s="1278" t="s">
        <v>55</v>
      </c>
      <c r="X5" s="1279"/>
      <c r="Y5" s="660" t="s">
        <v>15</v>
      </c>
      <c r="Z5" s="1297" t="s">
        <v>167</v>
      </c>
      <c r="AA5" s="1297" t="s">
        <v>9</v>
      </c>
      <c r="AB5" s="1297" t="s">
        <v>171</v>
      </c>
      <c r="AC5" s="660" t="s">
        <v>15</v>
      </c>
      <c r="AD5" s="517" t="s">
        <v>167</v>
      </c>
      <c r="AE5" s="1297" t="s">
        <v>9</v>
      </c>
      <c r="AF5" s="1297" t="s">
        <v>171</v>
      </c>
      <c r="AG5" s="697" t="s">
        <v>193</v>
      </c>
      <c r="AH5" s="699" t="s">
        <v>1396</v>
      </c>
      <c r="AI5" s="698" t="s">
        <v>193</v>
      </c>
      <c r="AJ5" s="698" t="s">
        <v>15</v>
      </c>
      <c r="AK5" s="114" t="s">
        <v>295</v>
      </c>
    </row>
    <row r="6" spans="1:37" s="114" customFormat="1" ht="12" hidden="1" customHeight="1">
      <c r="A6" s="42">
        <v>1</v>
      </c>
      <c r="B6" s="42" t="s">
        <v>194</v>
      </c>
      <c r="C6" s="42">
        <v>16</v>
      </c>
      <c r="D6" s="123" t="s">
        <v>13</v>
      </c>
      <c r="E6" s="113" t="s">
        <v>354</v>
      </c>
      <c r="F6" s="1510"/>
      <c r="G6" s="113"/>
      <c r="H6" s="113" t="s">
        <v>142</v>
      </c>
      <c r="I6" s="113" t="s">
        <v>14</v>
      </c>
      <c r="J6" s="661">
        <v>0</v>
      </c>
      <c r="K6" s="125">
        <v>15000000</v>
      </c>
      <c r="L6" s="125"/>
      <c r="M6" s="113"/>
      <c r="N6" s="188">
        <f t="shared" ref="N6:N12" si="0">K6+L6</f>
        <v>15000000</v>
      </c>
      <c r="O6" s="196"/>
      <c r="P6" s="196"/>
      <c r="Q6" s="174"/>
      <c r="R6" s="174"/>
      <c r="S6" s="675">
        <v>0</v>
      </c>
      <c r="T6" s="125">
        <v>0</v>
      </c>
      <c r="U6" s="125"/>
      <c r="V6" s="216">
        <f t="shared" ref="V6:V12" si="1">M6+Q6-R6</f>
        <v>0</v>
      </c>
      <c r="W6" s="662">
        <f t="shared" ref="W6:W11" si="2">N6+S6+T6-U6</f>
        <v>15000000</v>
      </c>
      <c r="X6" s="180"/>
      <c r="Y6" s="125"/>
      <c r="Z6" s="184"/>
      <c r="AA6" s="663">
        <f>-S6-Z6</f>
        <v>0</v>
      </c>
      <c r="AB6" s="184"/>
      <c r="AC6" s="42" t="s">
        <v>14</v>
      </c>
      <c r="AD6" s="605">
        <v>0</v>
      </c>
      <c r="AE6" s="605">
        <f>-T6-AD6</f>
        <v>0</v>
      </c>
      <c r="AF6" s="42" t="s">
        <v>14</v>
      </c>
      <c r="AG6" s="42"/>
      <c r="AH6" s="42"/>
      <c r="AI6" s="42"/>
      <c r="AJ6" s="475"/>
      <c r="AK6" s="73" t="str">
        <f t="shared" ref="AK6:AK70" si="3">CONCATENATE(D6,O6)</f>
        <v>BANGUN OLAH SARANA SUKSES, PT</v>
      </c>
    </row>
    <row r="7" spans="1:37" s="114" customFormat="1" ht="12" hidden="1" customHeight="1">
      <c r="A7" s="9">
        <v>2</v>
      </c>
      <c r="B7" s="9" t="s">
        <v>195</v>
      </c>
      <c r="C7" s="9">
        <v>1</v>
      </c>
      <c r="D7" s="8" t="s">
        <v>13</v>
      </c>
      <c r="E7" s="10" t="s">
        <v>354</v>
      </c>
      <c r="F7" s="356"/>
      <c r="G7" s="10"/>
      <c r="H7" s="10" t="s">
        <v>143</v>
      </c>
      <c r="I7" s="10" t="s">
        <v>14</v>
      </c>
      <c r="J7" s="658">
        <v>0</v>
      </c>
      <c r="K7" s="116">
        <v>15000000</v>
      </c>
      <c r="L7" s="116"/>
      <c r="M7" s="10"/>
      <c r="N7" s="189">
        <f t="shared" si="0"/>
        <v>15000000</v>
      </c>
      <c r="O7" s="197"/>
      <c r="P7" s="197"/>
      <c r="Q7" s="175"/>
      <c r="R7" s="175"/>
      <c r="S7" s="116">
        <v>0</v>
      </c>
      <c r="T7" s="116">
        <v>0</v>
      </c>
      <c r="U7" s="116"/>
      <c r="V7" s="210">
        <f t="shared" si="1"/>
        <v>0</v>
      </c>
      <c r="W7" s="481">
        <f t="shared" si="2"/>
        <v>15000000</v>
      </c>
      <c r="X7" s="181"/>
      <c r="Y7" s="116"/>
      <c r="Z7" s="185"/>
      <c r="AA7" s="592">
        <f>-S7-Z7</f>
        <v>0</v>
      </c>
      <c r="AB7" s="185"/>
      <c r="AC7" s="9" t="s">
        <v>14</v>
      </c>
      <c r="AD7" s="297">
        <v>0</v>
      </c>
      <c r="AE7" s="297">
        <f>-T7-AD7</f>
        <v>0</v>
      </c>
      <c r="AF7" s="9" t="s">
        <v>14</v>
      </c>
      <c r="AG7" s="9"/>
      <c r="AH7" s="9"/>
      <c r="AI7" s="9"/>
      <c r="AJ7" s="476"/>
      <c r="AK7" s="73" t="str">
        <f t="shared" si="3"/>
        <v>BANGUN OLAH SARANA SUKSES, PT</v>
      </c>
    </row>
    <row r="8" spans="1:37" s="114" customFormat="1" ht="12" hidden="1" customHeight="1">
      <c r="A8" s="9">
        <v>3</v>
      </c>
      <c r="B8" s="9" t="s">
        <v>239</v>
      </c>
      <c r="C8" s="9">
        <v>1</v>
      </c>
      <c r="D8" s="8" t="s">
        <v>13</v>
      </c>
      <c r="E8" s="10" t="s">
        <v>354</v>
      </c>
      <c r="F8" s="356"/>
      <c r="G8" s="10"/>
      <c r="H8" s="10" t="s">
        <v>394</v>
      </c>
      <c r="I8" s="10" t="s">
        <v>14</v>
      </c>
      <c r="J8" s="658">
        <v>0</v>
      </c>
      <c r="K8" s="116">
        <v>15000000</v>
      </c>
      <c r="L8" s="116"/>
      <c r="M8" s="10"/>
      <c r="N8" s="189">
        <f t="shared" si="0"/>
        <v>15000000</v>
      </c>
      <c r="O8" s="197"/>
      <c r="P8" s="197"/>
      <c r="Q8" s="175"/>
      <c r="R8" s="175"/>
      <c r="S8" s="116">
        <v>0</v>
      </c>
      <c r="T8" s="116">
        <v>0</v>
      </c>
      <c r="U8" s="116"/>
      <c r="V8" s="210">
        <f t="shared" si="1"/>
        <v>0</v>
      </c>
      <c r="W8" s="481">
        <f t="shared" si="2"/>
        <v>15000000</v>
      </c>
      <c r="X8" s="181"/>
      <c r="Y8" s="116"/>
      <c r="Z8" s="185"/>
      <c r="AA8" s="592">
        <f t="shared" ref="AA8:AA72" si="4">-S8-Z8</f>
        <v>0</v>
      </c>
      <c r="AB8" s="185"/>
      <c r="AC8" s="9" t="s">
        <v>14</v>
      </c>
      <c r="AD8" s="297">
        <v>0</v>
      </c>
      <c r="AE8" s="297">
        <f t="shared" ref="AE8:AE42" si="5">-T8-AD8</f>
        <v>0</v>
      </c>
      <c r="AF8" s="9" t="s">
        <v>14</v>
      </c>
      <c r="AG8" s="9"/>
      <c r="AH8" s="9"/>
      <c r="AI8" s="9"/>
      <c r="AJ8" s="476"/>
      <c r="AK8" s="73" t="str">
        <f t="shared" si="3"/>
        <v>BANGUN OLAH SARANA SUKSES, PT</v>
      </c>
    </row>
    <row r="9" spans="1:37" s="114" customFormat="1" ht="12" hidden="1" customHeight="1">
      <c r="A9" s="9">
        <v>4</v>
      </c>
      <c r="B9" s="9" t="s">
        <v>240</v>
      </c>
      <c r="C9" s="9">
        <v>1</v>
      </c>
      <c r="D9" s="8" t="s">
        <v>13</v>
      </c>
      <c r="E9" s="10" t="s">
        <v>354</v>
      </c>
      <c r="F9" s="356"/>
      <c r="G9" s="10"/>
      <c r="H9" s="10" t="s">
        <v>406</v>
      </c>
      <c r="I9" s="10" t="s">
        <v>14</v>
      </c>
      <c r="J9" s="658">
        <v>0</v>
      </c>
      <c r="K9" s="116">
        <v>15000000</v>
      </c>
      <c r="L9" s="116"/>
      <c r="M9" s="10"/>
      <c r="N9" s="189">
        <f t="shared" si="0"/>
        <v>15000000</v>
      </c>
      <c r="O9" s="197"/>
      <c r="P9" s="197"/>
      <c r="Q9" s="175"/>
      <c r="R9" s="175"/>
      <c r="S9" s="116">
        <v>0</v>
      </c>
      <c r="T9" s="116">
        <v>0</v>
      </c>
      <c r="U9" s="116"/>
      <c r="V9" s="210">
        <f t="shared" si="1"/>
        <v>0</v>
      </c>
      <c r="W9" s="481">
        <f t="shared" si="2"/>
        <v>15000000</v>
      </c>
      <c r="X9" s="181"/>
      <c r="Y9" s="116"/>
      <c r="Z9" s="185"/>
      <c r="AA9" s="592">
        <f t="shared" si="4"/>
        <v>0</v>
      </c>
      <c r="AB9" s="185"/>
      <c r="AC9" s="9" t="s">
        <v>14</v>
      </c>
      <c r="AD9" s="297">
        <v>0</v>
      </c>
      <c r="AE9" s="297">
        <f t="shared" si="5"/>
        <v>0</v>
      </c>
      <c r="AF9" s="9" t="s">
        <v>14</v>
      </c>
      <c r="AG9" s="9"/>
      <c r="AH9" s="9"/>
      <c r="AI9" s="9"/>
      <c r="AJ9" s="476"/>
      <c r="AK9" s="73" t="str">
        <f t="shared" si="3"/>
        <v>BANGUN OLAH SARANA SUKSES, PT</v>
      </c>
    </row>
    <row r="10" spans="1:37" s="114" customFormat="1" ht="12" hidden="1" customHeight="1">
      <c r="A10" s="9">
        <v>5</v>
      </c>
      <c r="B10" s="9" t="s">
        <v>58</v>
      </c>
      <c r="C10" s="9">
        <v>2</v>
      </c>
      <c r="D10" s="8" t="s">
        <v>13</v>
      </c>
      <c r="E10" s="10" t="s">
        <v>354</v>
      </c>
      <c r="F10" s="356"/>
      <c r="G10" s="10"/>
      <c r="H10" s="10" t="s">
        <v>437</v>
      </c>
      <c r="I10" s="10" t="s">
        <v>14</v>
      </c>
      <c r="J10" s="658">
        <v>0</v>
      </c>
      <c r="K10" s="116">
        <v>15000000</v>
      </c>
      <c r="L10" s="116"/>
      <c r="M10" s="10"/>
      <c r="N10" s="189">
        <f t="shared" si="0"/>
        <v>15000000</v>
      </c>
      <c r="O10" s="197"/>
      <c r="P10" s="197"/>
      <c r="Q10" s="175"/>
      <c r="R10" s="175"/>
      <c r="S10" s="116">
        <v>0</v>
      </c>
      <c r="T10" s="116">
        <v>0</v>
      </c>
      <c r="U10" s="116"/>
      <c r="V10" s="210">
        <f t="shared" si="1"/>
        <v>0</v>
      </c>
      <c r="W10" s="481">
        <f t="shared" si="2"/>
        <v>15000000</v>
      </c>
      <c r="X10" s="181"/>
      <c r="Y10" s="116"/>
      <c r="Z10" s="185"/>
      <c r="AA10" s="592">
        <f t="shared" si="4"/>
        <v>0</v>
      </c>
      <c r="AB10" s="185"/>
      <c r="AC10" s="9" t="s">
        <v>14</v>
      </c>
      <c r="AD10" s="297">
        <v>0</v>
      </c>
      <c r="AE10" s="297">
        <f t="shared" si="5"/>
        <v>0</v>
      </c>
      <c r="AF10" s="9" t="s">
        <v>14</v>
      </c>
      <c r="AG10" s="9"/>
      <c r="AH10" s="9"/>
      <c r="AI10" s="9"/>
      <c r="AJ10" s="476"/>
      <c r="AK10" s="73" t="str">
        <f t="shared" si="3"/>
        <v>BANGUN OLAH SARANA SUKSES, PT</v>
      </c>
    </row>
    <row r="11" spans="1:37" s="114" customFormat="1" ht="12" hidden="1" customHeight="1">
      <c r="A11" s="9">
        <v>6</v>
      </c>
      <c r="B11" s="9" t="s">
        <v>241</v>
      </c>
      <c r="C11" s="9">
        <v>1</v>
      </c>
      <c r="D11" s="8" t="s">
        <v>13</v>
      </c>
      <c r="E11" s="10" t="s">
        <v>354</v>
      </c>
      <c r="F11" s="356"/>
      <c r="G11" s="10"/>
      <c r="H11" s="10" t="s">
        <v>466</v>
      </c>
      <c r="I11" s="10" t="s">
        <v>14</v>
      </c>
      <c r="J11" s="658">
        <v>0</v>
      </c>
      <c r="K11" s="116">
        <v>15000000</v>
      </c>
      <c r="L11" s="116"/>
      <c r="M11" s="10"/>
      <c r="N11" s="189">
        <f t="shared" si="0"/>
        <v>15000000</v>
      </c>
      <c r="O11" s="197"/>
      <c r="P11" s="197"/>
      <c r="Q11" s="175"/>
      <c r="R11" s="175"/>
      <c r="S11" s="116">
        <v>0</v>
      </c>
      <c r="T11" s="116">
        <v>0</v>
      </c>
      <c r="U11" s="116"/>
      <c r="V11" s="210">
        <f t="shared" si="1"/>
        <v>0</v>
      </c>
      <c r="W11" s="481">
        <f t="shared" si="2"/>
        <v>15000000</v>
      </c>
      <c r="X11" s="181"/>
      <c r="Y11" s="116"/>
      <c r="Z11" s="185"/>
      <c r="AA11" s="592">
        <f t="shared" si="4"/>
        <v>0</v>
      </c>
      <c r="AB11" s="185"/>
      <c r="AC11" s="9" t="s">
        <v>14</v>
      </c>
      <c r="AD11" s="297">
        <v>0</v>
      </c>
      <c r="AE11" s="297">
        <f t="shared" si="5"/>
        <v>0</v>
      </c>
      <c r="AF11" s="9" t="s">
        <v>14</v>
      </c>
      <c r="AG11" s="9"/>
      <c r="AH11" s="9"/>
      <c r="AI11" s="9"/>
      <c r="AJ11" s="476"/>
      <c r="AK11" s="73" t="str">
        <f t="shared" si="3"/>
        <v>BANGUN OLAH SARANA SUKSES, PT</v>
      </c>
    </row>
    <row r="12" spans="1:37" s="114" customFormat="1" ht="12" hidden="1" customHeight="1">
      <c r="A12" s="9">
        <v>7</v>
      </c>
      <c r="B12" s="9" t="s">
        <v>241</v>
      </c>
      <c r="C12" s="9">
        <v>2</v>
      </c>
      <c r="D12" s="8" t="s">
        <v>13</v>
      </c>
      <c r="E12" s="10" t="s">
        <v>118</v>
      </c>
      <c r="F12" s="356"/>
      <c r="G12" s="10"/>
      <c r="H12" s="10" t="s">
        <v>467</v>
      </c>
      <c r="I12" s="10" t="s">
        <v>14</v>
      </c>
      <c r="J12" s="658">
        <v>0</v>
      </c>
      <c r="K12" s="116">
        <v>52500000</v>
      </c>
      <c r="L12" s="116"/>
      <c r="M12" s="10"/>
      <c r="N12" s="189">
        <f t="shared" si="0"/>
        <v>52500000</v>
      </c>
      <c r="O12" s="197"/>
      <c r="P12" s="197"/>
      <c r="Q12" s="175"/>
      <c r="R12" s="175"/>
      <c r="S12" s="116">
        <v>0</v>
      </c>
      <c r="T12" s="116">
        <v>0</v>
      </c>
      <c r="U12" s="116"/>
      <c r="V12" s="210">
        <f t="shared" si="1"/>
        <v>0</v>
      </c>
      <c r="W12" s="481">
        <f>N12+S12+T12-U12</f>
        <v>52500000</v>
      </c>
      <c r="X12" s="181"/>
      <c r="Y12" s="116"/>
      <c r="Z12" s="185"/>
      <c r="AA12" s="592">
        <f t="shared" si="4"/>
        <v>0</v>
      </c>
      <c r="AB12" s="185"/>
      <c r="AC12" s="9" t="s">
        <v>14</v>
      </c>
      <c r="AD12" s="297">
        <v>0</v>
      </c>
      <c r="AE12" s="297">
        <f t="shared" si="5"/>
        <v>0</v>
      </c>
      <c r="AF12" s="9" t="s">
        <v>14</v>
      </c>
      <c r="AG12" s="9"/>
      <c r="AH12" s="9"/>
      <c r="AI12" s="9"/>
      <c r="AJ12" s="476"/>
      <c r="AK12" s="73" t="str">
        <f t="shared" si="3"/>
        <v>BANGUN OLAH SARANA SUKSES, PT</v>
      </c>
    </row>
    <row r="13" spans="1:37" s="73" customFormat="1" ht="15" hidden="1" customHeight="1">
      <c r="A13" s="9">
        <v>8</v>
      </c>
      <c r="B13" s="211" t="s">
        <v>245</v>
      </c>
      <c r="C13" s="211">
        <v>3</v>
      </c>
      <c r="D13" s="219" t="s">
        <v>173</v>
      </c>
      <c r="E13" s="10" t="s">
        <v>354</v>
      </c>
      <c r="F13" s="356"/>
      <c r="G13" s="10"/>
      <c r="H13" s="9" t="s">
        <v>174</v>
      </c>
      <c r="I13" s="10" t="s">
        <v>14</v>
      </c>
      <c r="J13" s="658">
        <v>500</v>
      </c>
      <c r="K13" s="218"/>
      <c r="L13" s="785">
        <f t="shared" ref="L13:L23" si="6">J13*10%*10000</f>
        <v>500000</v>
      </c>
      <c r="M13" s="710">
        <f t="shared" ref="M13:M23" si="7">J13+(J13*10%)</f>
        <v>550</v>
      </c>
      <c r="N13" s="189">
        <v>0</v>
      </c>
      <c r="O13" s="211"/>
      <c r="P13" s="211"/>
      <c r="Q13" s="218"/>
      <c r="R13" s="218"/>
      <c r="S13" s="116">
        <v>0</v>
      </c>
      <c r="T13" s="116">
        <v>0</v>
      </c>
      <c r="U13" s="218"/>
      <c r="V13" s="510">
        <f t="shared" ref="V13:V37" si="8">M13+Q13-R13</f>
        <v>550</v>
      </c>
      <c r="W13" s="115">
        <f t="shared" ref="W13:W31" si="9">N13+S13-U13</f>
        <v>0</v>
      </c>
      <c r="X13" s="211"/>
      <c r="Y13" s="218"/>
      <c r="Z13" s="224"/>
      <c r="AA13" s="592">
        <f t="shared" si="4"/>
        <v>0</v>
      </c>
      <c r="AB13" s="224"/>
      <c r="AC13" s="9" t="s">
        <v>14</v>
      </c>
      <c r="AD13" s="297">
        <v>0</v>
      </c>
      <c r="AE13" s="297">
        <f t="shared" si="5"/>
        <v>0</v>
      </c>
      <c r="AF13" s="9" t="s">
        <v>14</v>
      </c>
      <c r="AG13" s="211"/>
      <c r="AH13" s="211"/>
      <c r="AI13" s="211"/>
      <c r="AJ13" s="211"/>
      <c r="AK13" s="73" t="str">
        <f t="shared" si="3"/>
        <v>BINTANG MANGGALA BORNEO, PT</v>
      </c>
    </row>
    <row r="14" spans="1:37" s="73" customFormat="1" ht="15" hidden="1" customHeight="1">
      <c r="A14" s="9">
        <v>9</v>
      </c>
      <c r="B14" s="211" t="s">
        <v>238</v>
      </c>
      <c r="C14" s="211">
        <v>1</v>
      </c>
      <c r="D14" s="219" t="s">
        <v>173</v>
      </c>
      <c r="E14" s="10" t="s">
        <v>354</v>
      </c>
      <c r="F14" s="356"/>
      <c r="G14" s="10"/>
      <c r="H14" s="9" t="s">
        <v>175</v>
      </c>
      <c r="I14" s="10" t="s">
        <v>14</v>
      </c>
      <c r="J14" s="658">
        <v>500</v>
      </c>
      <c r="K14" s="218"/>
      <c r="L14" s="785">
        <f t="shared" si="6"/>
        <v>500000</v>
      </c>
      <c r="M14" s="710">
        <f t="shared" si="7"/>
        <v>550</v>
      </c>
      <c r="N14" s="189">
        <v>0</v>
      </c>
      <c r="O14" s="211"/>
      <c r="P14" s="211"/>
      <c r="Q14" s="218"/>
      <c r="R14" s="218"/>
      <c r="S14" s="116">
        <v>0</v>
      </c>
      <c r="T14" s="116">
        <v>0</v>
      </c>
      <c r="U14" s="218"/>
      <c r="V14" s="510">
        <f t="shared" si="8"/>
        <v>550</v>
      </c>
      <c r="W14" s="115">
        <f t="shared" si="9"/>
        <v>0</v>
      </c>
      <c r="X14" s="211"/>
      <c r="Y14" s="218"/>
      <c r="Z14" s="224"/>
      <c r="AA14" s="592">
        <f t="shared" si="4"/>
        <v>0</v>
      </c>
      <c r="AB14" s="224"/>
      <c r="AC14" s="9" t="s">
        <v>14</v>
      </c>
      <c r="AD14" s="297">
        <v>0</v>
      </c>
      <c r="AE14" s="297">
        <f t="shared" si="5"/>
        <v>0</v>
      </c>
      <c r="AF14" s="9" t="s">
        <v>14</v>
      </c>
      <c r="AG14" s="211"/>
      <c r="AH14" s="211"/>
      <c r="AI14" s="211"/>
      <c r="AJ14" s="211"/>
      <c r="AK14" s="73" t="str">
        <f t="shared" si="3"/>
        <v>BINTANG MANGGALA BORNEO, PT</v>
      </c>
    </row>
    <row r="15" spans="1:37" s="73" customFormat="1" ht="15" hidden="1" customHeight="1">
      <c r="A15" s="9">
        <v>10</v>
      </c>
      <c r="B15" s="211" t="s">
        <v>140</v>
      </c>
      <c r="C15" s="211">
        <v>3</v>
      </c>
      <c r="D15" s="219" t="s">
        <v>173</v>
      </c>
      <c r="E15" s="10" t="s">
        <v>354</v>
      </c>
      <c r="F15" s="356"/>
      <c r="G15" s="10"/>
      <c r="H15" s="9" t="s">
        <v>176</v>
      </c>
      <c r="I15" s="10" t="s">
        <v>14</v>
      </c>
      <c r="J15" s="658">
        <v>500</v>
      </c>
      <c r="K15" s="218"/>
      <c r="L15" s="785">
        <f t="shared" si="6"/>
        <v>500000</v>
      </c>
      <c r="M15" s="710">
        <f t="shared" si="7"/>
        <v>550</v>
      </c>
      <c r="N15" s="189">
        <v>0</v>
      </c>
      <c r="O15" s="211"/>
      <c r="P15" s="211"/>
      <c r="Q15" s="218"/>
      <c r="R15" s="218"/>
      <c r="S15" s="116">
        <v>0</v>
      </c>
      <c r="T15" s="116">
        <v>0</v>
      </c>
      <c r="U15" s="218"/>
      <c r="V15" s="510">
        <f t="shared" si="8"/>
        <v>550</v>
      </c>
      <c r="W15" s="115">
        <f t="shared" si="9"/>
        <v>0</v>
      </c>
      <c r="X15" s="211"/>
      <c r="Y15" s="218"/>
      <c r="Z15" s="224"/>
      <c r="AA15" s="592">
        <f t="shared" si="4"/>
        <v>0</v>
      </c>
      <c r="AB15" s="224"/>
      <c r="AC15" s="9" t="s">
        <v>14</v>
      </c>
      <c r="AD15" s="297">
        <v>0</v>
      </c>
      <c r="AE15" s="297">
        <f t="shared" si="5"/>
        <v>0</v>
      </c>
      <c r="AF15" s="9" t="s">
        <v>14</v>
      </c>
      <c r="AG15" s="211"/>
      <c r="AH15" s="211"/>
      <c r="AI15" s="211"/>
      <c r="AJ15" s="211"/>
      <c r="AK15" s="73" t="str">
        <f t="shared" si="3"/>
        <v>BINTANG MANGGALA BORNEO, PT</v>
      </c>
    </row>
    <row r="16" spans="1:37" s="73" customFormat="1" ht="15" hidden="1" customHeight="1">
      <c r="A16" s="9">
        <v>11</v>
      </c>
      <c r="B16" s="211" t="s">
        <v>194</v>
      </c>
      <c r="C16" s="211">
        <v>7</v>
      </c>
      <c r="D16" s="219" t="s">
        <v>173</v>
      </c>
      <c r="E16" s="10" t="s">
        <v>354</v>
      </c>
      <c r="F16" s="356"/>
      <c r="G16" s="10"/>
      <c r="H16" s="9" t="s">
        <v>177</v>
      </c>
      <c r="I16" s="10" t="s">
        <v>14</v>
      </c>
      <c r="J16" s="658">
        <v>500</v>
      </c>
      <c r="K16" s="218"/>
      <c r="L16" s="785">
        <f t="shared" si="6"/>
        <v>500000</v>
      </c>
      <c r="M16" s="710">
        <f t="shared" si="7"/>
        <v>550</v>
      </c>
      <c r="N16" s="189">
        <v>0</v>
      </c>
      <c r="O16" s="211"/>
      <c r="P16" s="211"/>
      <c r="Q16" s="218"/>
      <c r="R16" s="218"/>
      <c r="S16" s="116">
        <v>0</v>
      </c>
      <c r="T16" s="116">
        <v>0</v>
      </c>
      <c r="U16" s="218"/>
      <c r="V16" s="510">
        <f t="shared" si="8"/>
        <v>550</v>
      </c>
      <c r="W16" s="115">
        <f t="shared" si="9"/>
        <v>0</v>
      </c>
      <c r="X16" s="211"/>
      <c r="Y16" s="218"/>
      <c r="Z16" s="224"/>
      <c r="AA16" s="592">
        <f t="shared" si="4"/>
        <v>0</v>
      </c>
      <c r="AB16" s="224"/>
      <c r="AC16" s="9" t="s">
        <v>14</v>
      </c>
      <c r="AD16" s="297">
        <v>0</v>
      </c>
      <c r="AE16" s="297">
        <f t="shared" si="5"/>
        <v>0</v>
      </c>
      <c r="AF16" s="9" t="s">
        <v>14</v>
      </c>
      <c r="AG16" s="211"/>
      <c r="AH16" s="211"/>
      <c r="AI16" s="211"/>
      <c r="AJ16" s="211"/>
      <c r="AK16" s="73" t="str">
        <f t="shared" si="3"/>
        <v>BINTANG MANGGALA BORNEO, PT</v>
      </c>
    </row>
    <row r="17" spans="1:37" s="73" customFormat="1" ht="15" hidden="1" customHeight="1">
      <c r="A17" s="9">
        <v>12</v>
      </c>
      <c r="B17" s="211" t="s">
        <v>195</v>
      </c>
      <c r="C17" s="211">
        <v>5</v>
      </c>
      <c r="D17" s="219" t="s">
        <v>173</v>
      </c>
      <c r="E17" s="10" t="s">
        <v>354</v>
      </c>
      <c r="F17" s="356"/>
      <c r="G17" s="10"/>
      <c r="H17" s="9" t="s">
        <v>178</v>
      </c>
      <c r="I17" s="10" t="s">
        <v>14</v>
      </c>
      <c r="J17" s="658">
        <v>500</v>
      </c>
      <c r="K17" s="218"/>
      <c r="L17" s="785">
        <f t="shared" si="6"/>
        <v>500000</v>
      </c>
      <c r="M17" s="710">
        <f t="shared" si="7"/>
        <v>550</v>
      </c>
      <c r="N17" s="189">
        <v>0</v>
      </c>
      <c r="O17" s="211"/>
      <c r="P17" s="211"/>
      <c r="Q17" s="218"/>
      <c r="R17" s="218"/>
      <c r="S17" s="116">
        <v>0</v>
      </c>
      <c r="T17" s="116">
        <v>0</v>
      </c>
      <c r="U17" s="218"/>
      <c r="V17" s="510">
        <f t="shared" si="8"/>
        <v>550</v>
      </c>
      <c r="W17" s="115">
        <f t="shared" si="9"/>
        <v>0</v>
      </c>
      <c r="X17" s="211"/>
      <c r="Y17" s="218"/>
      <c r="Z17" s="224"/>
      <c r="AA17" s="592">
        <f t="shared" si="4"/>
        <v>0</v>
      </c>
      <c r="AB17" s="224"/>
      <c r="AC17" s="9" t="s">
        <v>14</v>
      </c>
      <c r="AD17" s="297">
        <v>0</v>
      </c>
      <c r="AE17" s="297">
        <f t="shared" si="5"/>
        <v>0</v>
      </c>
      <c r="AF17" s="9" t="s">
        <v>14</v>
      </c>
      <c r="AG17" s="211"/>
      <c r="AH17" s="211"/>
      <c r="AI17" s="211"/>
      <c r="AJ17" s="211"/>
      <c r="AK17" s="73" t="str">
        <f t="shared" si="3"/>
        <v>BINTANG MANGGALA BORNEO, PT</v>
      </c>
    </row>
    <row r="18" spans="1:37" s="73" customFormat="1" ht="15" hidden="1" customHeight="1">
      <c r="A18" s="9">
        <v>13</v>
      </c>
      <c r="B18" s="211" t="s">
        <v>239</v>
      </c>
      <c r="C18" s="211">
        <v>5</v>
      </c>
      <c r="D18" s="219" t="s">
        <v>173</v>
      </c>
      <c r="E18" s="10" t="s">
        <v>354</v>
      </c>
      <c r="F18" s="356"/>
      <c r="G18" s="10"/>
      <c r="H18" s="9" t="s">
        <v>179</v>
      </c>
      <c r="I18" s="10" t="s">
        <v>14</v>
      </c>
      <c r="J18" s="658">
        <v>500</v>
      </c>
      <c r="K18" s="218"/>
      <c r="L18" s="785">
        <f t="shared" si="6"/>
        <v>500000</v>
      </c>
      <c r="M18" s="710">
        <f t="shared" si="7"/>
        <v>550</v>
      </c>
      <c r="N18" s="189">
        <v>0</v>
      </c>
      <c r="O18" s="211"/>
      <c r="P18" s="211"/>
      <c r="Q18" s="218"/>
      <c r="R18" s="218"/>
      <c r="S18" s="116">
        <v>0</v>
      </c>
      <c r="T18" s="116">
        <v>0</v>
      </c>
      <c r="U18" s="218"/>
      <c r="V18" s="510">
        <f t="shared" si="8"/>
        <v>550</v>
      </c>
      <c r="W18" s="115">
        <f t="shared" si="9"/>
        <v>0</v>
      </c>
      <c r="X18" s="211"/>
      <c r="Y18" s="218"/>
      <c r="Z18" s="224"/>
      <c r="AA18" s="592">
        <f t="shared" si="4"/>
        <v>0</v>
      </c>
      <c r="AB18" s="224"/>
      <c r="AC18" s="9" t="s">
        <v>14</v>
      </c>
      <c r="AD18" s="297">
        <v>0</v>
      </c>
      <c r="AE18" s="297">
        <f t="shared" si="5"/>
        <v>0</v>
      </c>
      <c r="AF18" s="9" t="s">
        <v>14</v>
      </c>
      <c r="AG18" s="211"/>
      <c r="AH18" s="211"/>
      <c r="AI18" s="211"/>
      <c r="AJ18" s="211"/>
      <c r="AK18" s="73" t="str">
        <f t="shared" si="3"/>
        <v>BINTANG MANGGALA BORNEO, PT</v>
      </c>
    </row>
    <row r="19" spans="1:37" s="73" customFormat="1" ht="15" hidden="1" customHeight="1">
      <c r="A19" s="9">
        <v>14</v>
      </c>
      <c r="B19" s="211" t="s">
        <v>240</v>
      </c>
      <c r="C19" s="211">
        <v>1</v>
      </c>
      <c r="D19" s="219" t="s">
        <v>173</v>
      </c>
      <c r="E19" s="10" t="s">
        <v>354</v>
      </c>
      <c r="F19" s="356"/>
      <c r="G19" s="10"/>
      <c r="H19" s="9" t="s">
        <v>180</v>
      </c>
      <c r="I19" s="10" t="s">
        <v>14</v>
      </c>
      <c r="J19" s="658">
        <v>500</v>
      </c>
      <c r="K19" s="218"/>
      <c r="L19" s="785">
        <f t="shared" si="6"/>
        <v>500000</v>
      </c>
      <c r="M19" s="710">
        <f t="shared" si="7"/>
        <v>550</v>
      </c>
      <c r="N19" s="189">
        <v>0</v>
      </c>
      <c r="O19" s="211"/>
      <c r="P19" s="211"/>
      <c r="Q19" s="218"/>
      <c r="R19" s="218"/>
      <c r="S19" s="116">
        <v>0</v>
      </c>
      <c r="T19" s="116">
        <v>0</v>
      </c>
      <c r="U19" s="218"/>
      <c r="V19" s="510">
        <f t="shared" si="8"/>
        <v>550</v>
      </c>
      <c r="W19" s="115">
        <f t="shared" si="9"/>
        <v>0</v>
      </c>
      <c r="X19" s="211"/>
      <c r="Y19" s="218"/>
      <c r="Z19" s="224"/>
      <c r="AA19" s="592">
        <f t="shared" si="4"/>
        <v>0</v>
      </c>
      <c r="AB19" s="224"/>
      <c r="AC19" s="9" t="s">
        <v>14</v>
      </c>
      <c r="AD19" s="297">
        <v>0</v>
      </c>
      <c r="AE19" s="297">
        <f t="shared" si="5"/>
        <v>0</v>
      </c>
      <c r="AF19" s="9" t="s">
        <v>14</v>
      </c>
      <c r="AG19" s="211"/>
      <c r="AH19" s="211"/>
      <c r="AI19" s="211"/>
      <c r="AJ19" s="211"/>
      <c r="AK19" s="73" t="str">
        <f t="shared" si="3"/>
        <v>BINTANG MANGGALA BORNEO, PT</v>
      </c>
    </row>
    <row r="20" spans="1:37" s="73" customFormat="1" ht="15" hidden="1" customHeight="1">
      <c r="A20" s="9">
        <v>15</v>
      </c>
      <c r="B20" s="211" t="s">
        <v>58</v>
      </c>
      <c r="C20" s="211">
        <v>2</v>
      </c>
      <c r="D20" s="219" t="s">
        <v>173</v>
      </c>
      <c r="E20" s="10" t="s">
        <v>354</v>
      </c>
      <c r="F20" s="356"/>
      <c r="G20" s="10"/>
      <c r="H20" s="9" t="s">
        <v>181</v>
      </c>
      <c r="I20" s="10" t="s">
        <v>14</v>
      </c>
      <c r="J20" s="658">
        <v>500</v>
      </c>
      <c r="K20" s="218"/>
      <c r="L20" s="785">
        <f t="shared" si="6"/>
        <v>500000</v>
      </c>
      <c r="M20" s="710">
        <f t="shared" si="7"/>
        <v>550</v>
      </c>
      <c r="N20" s="189">
        <v>0</v>
      </c>
      <c r="O20" s="211"/>
      <c r="P20" s="211"/>
      <c r="Q20" s="218"/>
      <c r="R20" s="218"/>
      <c r="S20" s="116">
        <v>0</v>
      </c>
      <c r="T20" s="116">
        <v>0</v>
      </c>
      <c r="U20" s="218"/>
      <c r="V20" s="510">
        <f t="shared" si="8"/>
        <v>550</v>
      </c>
      <c r="W20" s="115">
        <f t="shared" si="9"/>
        <v>0</v>
      </c>
      <c r="X20" s="211"/>
      <c r="Y20" s="218"/>
      <c r="Z20" s="224"/>
      <c r="AA20" s="592">
        <f t="shared" si="4"/>
        <v>0</v>
      </c>
      <c r="AB20" s="224"/>
      <c r="AC20" s="9" t="s">
        <v>14</v>
      </c>
      <c r="AD20" s="297">
        <v>0</v>
      </c>
      <c r="AE20" s="297">
        <f t="shared" si="5"/>
        <v>0</v>
      </c>
      <c r="AF20" s="9" t="s">
        <v>14</v>
      </c>
      <c r="AG20" s="211"/>
      <c r="AH20" s="211"/>
      <c r="AI20" s="211"/>
      <c r="AJ20" s="211"/>
      <c r="AK20" s="73" t="str">
        <f t="shared" si="3"/>
        <v>BINTANG MANGGALA BORNEO, PT</v>
      </c>
    </row>
    <row r="21" spans="1:37" s="73" customFormat="1" ht="15" hidden="1" customHeight="1">
      <c r="A21" s="9">
        <v>16</v>
      </c>
      <c r="B21" s="211" t="s">
        <v>241</v>
      </c>
      <c r="C21" s="211">
        <v>4</v>
      </c>
      <c r="D21" s="219" t="s">
        <v>173</v>
      </c>
      <c r="E21" s="10" t="s">
        <v>354</v>
      </c>
      <c r="F21" s="356"/>
      <c r="G21" s="10"/>
      <c r="H21" s="9" t="s">
        <v>182</v>
      </c>
      <c r="I21" s="10" t="s">
        <v>14</v>
      </c>
      <c r="J21" s="658">
        <v>500</v>
      </c>
      <c r="K21" s="218"/>
      <c r="L21" s="785">
        <f t="shared" si="6"/>
        <v>500000</v>
      </c>
      <c r="M21" s="710">
        <f t="shared" si="7"/>
        <v>550</v>
      </c>
      <c r="N21" s="189">
        <v>0</v>
      </c>
      <c r="O21" s="211"/>
      <c r="P21" s="211"/>
      <c r="Q21" s="218"/>
      <c r="R21" s="218"/>
      <c r="S21" s="116">
        <v>0</v>
      </c>
      <c r="T21" s="116">
        <v>0</v>
      </c>
      <c r="U21" s="218"/>
      <c r="V21" s="510">
        <f t="shared" si="8"/>
        <v>550</v>
      </c>
      <c r="W21" s="115">
        <f t="shared" si="9"/>
        <v>0</v>
      </c>
      <c r="X21" s="211"/>
      <c r="Y21" s="218"/>
      <c r="Z21" s="224"/>
      <c r="AA21" s="592">
        <f t="shared" si="4"/>
        <v>0</v>
      </c>
      <c r="AB21" s="224"/>
      <c r="AC21" s="9" t="s">
        <v>14</v>
      </c>
      <c r="AD21" s="297">
        <v>0</v>
      </c>
      <c r="AE21" s="297">
        <f t="shared" si="5"/>
        <v>0</v>
      </c>
      <c r="AF21" s="9" t="s">
        <v>14</v>
      </c>
      <c r="AG21" s="211"/>
      <c r="AH21" s="211"/>
      <c r="AI21" s="211"/>
      <c r="AJ21" s="211"/>
      <c r="AK21" s="73" t="str">
        <f t="shared" si="3"/>
        <v>BINTANG MANGGALA BORNEO, PT</v>
      </c>
    </row>
    <row r="22" spans="1:37" s="73" customFormat="1" ht="15" hidden="1" customHeight="1">
      <c r="A22" s="9">
        <v>17</v>
      </c>
      <c r="B22" s="211" t="s">
        <v>242</v>
      </c>
      <c r="C22" s="211">
        <v>1</v>
      </c>
      <c r="D22" s="219" t="s">
        <v>173</v>
      </c>
      <c r="E22" s="10" t="s">
        <v>354</v>
      </c>
      <c r="F22" s="356"/>
      <c r="G22" s="10"/>
      <c r="H22" s="9" t="s">
        <v>183</v>
      </c>
      <c r="I22" s="10" t="s">
        <v>14</v>
      </c>
      <c r="J22" s="658">
        <v>500</v>
      </c>
      <c r="K22" s="218"/>
      <c r="L22" s="785">
        <f t="shared" si="6"/>
        <v>500000</v>
      </c>
      <c r="M22" s="710">
        <f t="shared" si="7"/>
        <v>550</v>
      </c>
      <c r="N22" s="189">
        <v>0</v>
      </c>
      <c r="O22" s="211"/>
      <c r="P22" s="211"/>
      <c r="Q22" s="218"/>
      <c r="R22" s="218"/>
      <c r="S22" s="116">
        <v>0</v>
      </c>
      <c r="T22" s="116">
        <v>0</v>
      </c>
      <c r="U22" s="218"/>
      <c r="V22" s="510">
        <f t="shared" si="8"/>
        <v>550</v>
      </c>
      <c r="W22" s="115">
        <f t="shared" si="9"/>
        <v>0</v>
      </c>
      <c r="X22" s="211"/>
      <c r="Y22" s="218"/>
      <c r="Z22" s="224"/>
      <c r="AA22" s="592">
        <f t="shared" si="4"/>
        <v>0</v>
      </c>
      <c r="AB22" s="224"/>
      <c r="AC22" s="9" t="s">
        <v>14</v>
      </c>
      <c r="AD22" s="297">
        <v>0</v>
      </c>
      <c r="AE22" s="297">
        <f t="shared" si="5"/>
        <v>0</v>
      </c>
      <c r="AF22" s="9" t="s">
        <v>14</v>
      </c>
      <c r="AG22" s="211"/>
      <c r="AH22" s="211"/>
      <c r="AI22" s="211"/>
      <c r="AJ22" s="211"/>
      <c r="AK22" s="73" t="str">
        <f t="shared" si="3"/>
        <v>BINTANG MANGGALA BORNEO, PT</v>
      </c>
    </row>
    <row r="23" spans="1:37" s="73" customFormat="1" ht="15" hidden="1" customHeight="1">
      <c r="A23" s="9">
        <v>18</v>
      </c>
      <c r="B23" s="211" t="s">
        <v>243</v>
      </c>
      <c r="C23" s="211">
        <v>7</v>
      </c>
      <c r="D23" s="219" t="s">
        <v>173</v>
      </c>
      <c r="E23" s="10" t="s">
        <v>354</v>
      </c>
      <c r="F23" s="356"/>
      <c r="G23" s="10"/>
      <c r="H23" s="9" t="s">
        <v>184</v>
      </c>
      <c r="I23" s="10" t="s">
        <v>14</v>
      </c>
      <c r="J23" s="658">
        <v>500</v>
      </c>
      <c r="K23" s="218"/>
      <c r="L23" s="785">
        <f t="shared" si="6"/>
        <v>500000</v>
      </c>
      <c r="M23" s="710">
        <f t="shared" si="7"/>
        <v>550</v>
      </c>
      <c r="N23" s="189">
        <v>0</v>
      </c>
      <c r="O23" s="211"/>
      <c r="P23" s="211"/>
      <c r="Q23" s="218"/>
      <c r="R23" s="218"/>
      <c r="S23" s="116">
        <v>0</v>
      </c>
      <c r="T23" s="116">
        <v>0</v>
      </c>
      <c r="U23" s="218"/>
      <c r="V23" s="510">
        <f t="shared" si="8"/>
        <v>550</v>
      </c>
      <c r="W23" s="115">
        <f t="shared" si="9"/>
        <v>0</v>
      </c>
      <c r="X23" s="211"/>
      <c r="Y23" s="218"/>
      <c r="Z23" s="224"/>
      <c r="AA23" s="592">
        <f t="shared" si="4"/>
        <v>0</v>
      </c>
      <c r="AB23" s="224"/>
      <c r="AC23" s="9" t="s">
        <v>14</v>
      </c>
      <c r="AD23" s="297">
        <v>0</v>
      </c>
      <c r="AE23" s="297">
        <f t="shared" si="5"/>
        <v>0</v>
      </c>
      <c r="AF23" s="9" t="s">
        <v>14</v>
      </c>
      <c r="AG23" s="211"/>
      <c r="AH23" s="211"/>
      <c r="AI23" s="211"/>
      <c r="AJ23" s="211"/>
      <c r="AK23" s="73" t="str">
        <f t="shared" si="3"/>
        <v>BINTANG MANGGALA BORNEO, PT</v>
      </c>
    </row>
    <row r="24" spans="1:37" s="114" customFormat="1" ht="12" hidden="1" customHeight="1">
      <c r="A24" s="9">
        <v>19</v>
      </c>
      <c r="B24" s="9" t="s">
        <v>241</v>
      </c>
      <c r="C24" s="9">
        <v>28</v>
      </c>
      <c r="D24" s="8" t="s">
        <v>20</v>
      </c>
      <c r="E24" s="10" t="s">
        <v>118</v>
      </c>
      <c r="F24" s="356"/>
      <c r="G24" s="10"/>
      <c r="H24" s="10" t="s">
        <v>488</v>
      </c>
      <c r="I24" s="10" t="s">
        <v>14</v>
      </c>
      <c r="J24" s="658">
        <v>0</v>
      </c>
      <c r="K24" s="116">
        <v>3684200</v>
      </c>
      <c r="L24" s="116">
        <v>0</v>
      </c>
      <c r="M24" s="9"/>
      <c r="N24" s="189">
        <f t="shared" ref="N24:N30" si="10">K24+L24</f>
        <v>3684200</v>
      </c>
      <c r="O24" s="197"/>
      <c r="P24" s="197"/>
      <c r="Q24" s="175"/>
      <c r="R24" s="175"/>
      <c r="S24" s="116">
        <v>0</v>
      </c>
      <c r="T24" s="116">
        <v>0</v>
      </c>
      <c r="U24" s="115"/>
      <c r="V24" s="210">
        <f t="shared" si="8"/>
        <v>0</v>
      </c>
      <c r="W24" s="481">
        <f>N24+S24+T24-U24</f>
        <v>3684200</v>
      </c>
      <c r="X24" s="181"/>
      <c r="Y24" s="116"/>
      <c r="Z24" s="185"/>
      <c r="AA24" s="592">
        <f t="shared" si="4"/>
        <v>0</v>
      </c>
      <c r="AB24" s="185"/>
      <c r="AC24" s="9" t="s">
        <v>14</v>
      </c>
      <c r="AD24" s="297">
        <v>0</v>
      </c>
      <c r="AE24" s="297">
        <f t="shared" si="5"/>
        <v>0</v>
      </c>
      <c r="AF24" s="9" t="s">
        <v>14</v>
      </c>
      <c r="AG24" s="9"/>
      <c r="AH24" s="9"/>
      <c r="AI24" s="9"/>
      <c r="AJ24" s="476"/>
      <c r="AK24" s="73" t="str">
        <f t="shared" si="3"/>
        <v>BUKIT MAKMUR MANDIRI UTAMA, PT</v>
      </c>
    </row>
    <row r="25" spans="1:37" s="114" customFormat="1" ht="12" hidden="1" customHeight="1">
      <c r="A25" s="9">
        <v>20</v>
      </c>
      <c r="B25" s="9" t="s">
        <v>241</v>
      </c>
      <c r="C25" s="9">
        <v>28</v>
      </c>
      <c r="D25" s="8" t="s">
        <v>20</v>
      </c>
      <c r="E25" s="10" t="s">
        <v>118</v>
      </c>
      <c r="F25" s="356"/>
      <c r="G25" s="10"/>
      <c r="H25" s="10" t="s">
        <v>489</v>
      </c>
      <c r="I25" s="10" t="s">
        <v>14</v>
      </c>
      <c r="J25" s="658">
        <v>0</v>
      </c>
      <c r="K25" s="116">
        <v>820000</v>
      </c>
      <c r="L25" s="116">
        <v>0</v>
      </c>
      <c r="M25" s="9"/>
      <c r="N25" s="189">
        <f t="shared" si="10"/>
        <v>820000</v>
      </c>
      <c r="O25" s="197"/>
      <c r="P25" s="197"/>
      <c r="Q25" s="175"/>
      <c r="R25" s="175"/>
      <c r="S25" s="116">
        <v>0</v>
      </c>
      <c r="T25" s="116">
        <v>0</v>
      </c>
      <c r="U25" s="115"/>
      <c r="V25" s="210">
        <f t="shared" si="8"/>
        <v>0</v>
      </c>
      <c r="W25" s="481">
        <f>N25+S25+T25-U25</f>
        <v>820000</v>
      </c>
      <c r="X25" s="181"/>
      <c r="Y25" s="116"/>
      <c r="Z25" s="185"/>
      <c r="AA25" s="592">
        <f t="shared" si="4"/>
        <v>0</v>
      </c>
      <c r="AB25" s="185"/>
      <c r="AC25" s="9" t="s">
        <v>14</v>
      </c>
      <c r="AD25" s="297">
        <v>0</v>
      </c>
      <c r="AE25" s="297">
        <f t="shared" si="5"/>
        <v>0</v>
      </c>
      <c r="AF25" s="9" t="s">
        <v>14</v>
      </c>
      <c r="AG25" s="9"/>
      <c r="AH25" s="9"/>
      <c r="AI25" s="9"/>
      <c r="AJ25" s="476"/>
      <c r="AK25" s="73" t="str">
        <f t="shared" si="3"/>
        <v>BUKIT MAKMUR MANDIRI UTAMA, PT</v>
      </c>
    </row>
    <row r="26" spans="1:37" s="114" customFormat="1" ht="12" hidden="1" customHeight="1">
      <c r="A26" s="9">
        <v>21</v>
      </c>
      <c r="B26" s="9" t="s">
        <v>238</v>
      </c>
      <c r="C26" s="9">
        <v>30</v>
      </c>
      <c r="D26" s="8" t="s">
        <v>20</v>
      </c>
      <c r="E26" s="10" t="s">
        <v>346</v>
      </c>
      <c r="F26" s="356"/>
      <c r="G26" s="10"/>
      <c r="H26" s="10" t="s">
        <v>1717</v>
      </c>
      <c r="I26" s="10" t="s">
        <v>1574</v>
      </c>
      <c r="J26" s="658">
        <v>0</v>
      </c>
      <c r="K26" s="116">
        <f>4314.46*13489</f>
        <v>58197750.939999998</v>
      </c>
      <c r="L26" s="116">
        <f>K26*10%</f>
        <v>5819775.0940000005</v>
      </c>
      <c r="M26" s="9"/>
      <c r="N26" s="189">
        <f t="shared" si="10"/>
        <v>64017526.033999994</v>
      </c>
      <c r="O26" s="197" t="s">
        <v>194</v>
      </c>
      <c r="P26" s="197" t="s">
        <v>38</v>
      </c>
      <c r="Q26" s="175"/>
      <c r="R26" s="175"/>
      <c r="S26" s="116">
        <v>0</v>
      </c>
      <c r="T26" s="116">
        <f>-K26*2%</f>
        <v>-1163955.0188</v>
      </c>
      <c r="U26" s="115">
        <f>62853571.02-0.62</f>
        <v>62853570.400000006</v>
      </c>
      <c r="V26" s="210">
        <f t="shared" si="8"/>
        <v>0</v>
      </c>
      <c r="W26" s="115">
        <f>N26+S26+T26-U26</f>
        <v>0.6151999905705452</v>
      </c>
      <c r="X26" s="181" t="s">
        <v>237</v>
      </c>
      <c r="Y26" s="116"/>
      <c r="Z26" s="185"/>
      <c r="AA26" s="592">
        <f t="shared" si="4"/>
        <v>0</v>
      </c>
      <c r="AB26" s="185"/>
      <c r="AC26" s="300">
        <v>42735</v>
      </c>
      <c r="AD26" s="297">
        <f>1163955</f>
        <v>1163955</v>
      </c>
      <c r="AE26" s="297">
        <f t="shared" si="5"/>
        <v>1.879999996162951E-2</v>
      </c>
      <c r="AF26" s="9" t="s">
        <v>1904</v>
      </c>
      <c r="AG26" s="9" t="s">
        <v>1395</v>
      </c>
      <c r="AH26" s="300">
        <v>42712</v>
      </c>
      <c r="AI26" s="9" t="s">
        <v>1612</v>
      </c>
      <c r="AJ26" s="300">
        <v>42712</v>
      </c>
      <c r="AK26" s="73" t="str">
        <f t="shared" si="3"/>
        <v>BUKIT MAKMUR MANDIRI UTAMA, PTJAN</v>
      </c>
    </row>
    <row r="27" spans="1:37" s="114" customFormat="1" ht="12" hidden="1" customHeight="1">
      <c r="A27" s="9">
        <v>22</v>
      </c>
      <c r="B27" s="9" t="s">
        <v>238</v>
      </c>
      <c r="C27" s="9">
        <v>30</v>
      </c>
      <c r="D27" s="8" t="s">
        <v>20</v>
      </c>
      <c r="E27" s="10" t="s">
        <v>371</v>
      </c>
      <c r="F27" s="356"/>
      <c r="G27" s="10"/>
      <c r="H27" s="10" t="s">
        <v>1718</v>
      </c>
      <c r="I27" s="10" t="s">
        <v>1575</v>
      </c>
      <c r="J27" s="658">
        <v>0</v>
      </c>
      <c r="K27" s="116">
        <v>752416420</v>
      </c>
      <c r="L27" s="116">
        <f>K27*10%</f>
        <v>75241642</v>
      </c>
      <c r="M27" s="9"/>
      <c r="N27" s="189">
        <f t="shared" si="10"/>
        <v>827658062</v>
      </c>
      <c r="O27" s="197" t="s">
        <v>194</v>
      </c>
      <c r="P27" s="197" t="s">
        <v>38</v>
      </c>
      <c r="Q27" s="175"/>
      <c r="R27" s="175"/>
      <c r="S27" s="116">
        <v>0</v>
      </c>
      <c r="T27" s="116">
        <f>-K27*2%</f>
        <v>-15048328.4</v>
      </c>
      <c r="U27" s="115">
        <v>812609733.60000002</v>
      </c>
      <c r="V27" s="210">
        <f t="shared" si="8"/>
        <v>0</v>
      </c>
      <c r="W27" s="115">
        <f t="shared" ref="W27:W32" si="11">N27+S27+T27-U27</f>
        <v>0</v>
      </c>
      <c r="X27" s="181" t="s">
        <v>237</v>
      </c>
      <c r="Y27" s="116"/>
      <c r="Z27" s="185"/>
      <c r="AA27" s="592">
        <f t="shared" si="4"/>
        <v>0</v>
      </c>
      <c r="AB27" s="185"/>
      <c r="AC27" s="300">
        <v>42735</v>
      </c>
      <c r="AD27" s="297">
        <v>15048328</v>
      </c>
      <c r="AE27" s="297">
        <f t="shared" si="5"/>
        <v>0.40000000037252903</v>
      </c>
      <c r="AF27" s="9" t="s">
        <v>1904</v>
      </c>
      <c r="AG27" s="9" t="s">
        <v>1395</v>
      </c>
      <c r="AH27" s="300">
        <v>42712</v>
      </c>
      <c r="AI27" s="9" t="s">
        <v>1612</v>
      </c>
      <c r="AJ27" s="300">
        <v>42712</v>
      </c>
      <c r="AK27" s="73" t="str">
        <f t="shared" si="3"/>
        <v>BUKIT MAKMUR MANDIRI UTAMA, PTJAN</v>
      </c>
    </row>
    <row r="28" spans="1:37" s="114" customFormat="1" ht="12" hidden="1" customHeight="1">
      <c r="A28" s="9">
        <v>23</v>
      </c>
      <c r="B28" s="9" t="s">
        <v>140</v>
      </c>
      <c r="C28" s="9">
        <v>30</v>
      </c>
      <c r="D28" s="8" t="s">
        <v>20</v>
      </c>
      <c r="E28" s="10" t="s">
        <v>346</v>
      </c>
      <c r="F28" s="356"/>
      <c r="G28" s="10"/>
      <c r="H28" s="10" t="s">
        <v>1716</v>
      </c>
      <c r="I28" s="10" t="s">
        <v>1720</v>
      </c>
      <c r="J28" s="658">
        <v>0</v>
      </c>
      <c r="K28" s="116">
        <f>4314.46*13448</f>
        <v>58020858.079999998</v>
      </c>
      <c r="L28" s="116">
        <f>K28*10%</f>
        <v>5802085.8080000002</v>
      </c>
      <c r="M28" s="9"/>
      <c r="N28" s="189">
        <f t="shared" si="10"/>
        <v>63822943.887999997</v>
      </c>
      <c r="O28" s="197" t="s">
        <v>194</v>
      </c>
      <c r="P28" s="197" t="s">
        <v>103</v>
      </c>
      <c r="Q28" s="175"/>
      <c r="R28" s="175"/>
      <c r="S28" s="116">
        <v>0</v>
      </c>
      <c r="T28" s="116">
        <f>-K28*2%</f>
        <v>-1160417.1616</v>
      </c>
      <c r="U28" s="115">
        <f>62662526.73-0.93</f>
        <v>62662525.799999997</v>
      </c>
      <c r="V28" s="210">
        <f t="shared" si="8"/>
        <v>0</v>
      </c>
      <c r="W28" s="115">
        <f t="shared" si="11"/>
        <v>0.92639999836683273</v>
      </c>
      <c r="X28" s="181" t="s">
        <v>237</v>
      </c>
      <c r="Y28" s="116"/>
      <c r="Z28" s="185"/>
      <c r="AA28" s="592">
        <f t="shared" si="4"/>
        <v>0</v>
      </c>
      <c r="AB28" s="185"/>
      <c r="AC28" s="300">
        <v>42766</v>
      </c>
      <c r="AD28" s="297">
        <v>1160417</v>
      </c>
      <c r="AE28" s="297">
        <f t="shared" si="5"/>
        <v>0.16159999999217689</v>
      </c>
      <c r="AF28" s="9" t="s">
        <v>2077</v>
      </c>
      <c r="AG28" s="9" t="s">
        <v>1395</v>
      </c>
      <c r="AH28" s="300">
        <v>42745</v>
      </c>
      <c r="AI28" s="9" t="s">
        <v>1612</v>
      </c>
      <c r="AJ28" s="300">
        <v>42745</v>
      </c>
      <c r="AK28" s="73" t="str">
        <f t="shared" si="3"/>
        <v>BUKIT MAKMUR MANDIRI UTAMA, PTJAN</v>
      </c>
    </row>
    <row r="29" spans="1:37" s="114" customFormat="1" ht="12" hidden="1" customHeight="1">
      <c r="A29" s="9">
        <v>24</v>
      </c>
      <c r="B29" s="9" t="s">
        <v>140</v>
      </c>
      <c r="C29" s="9">
        <v>30</v>
      </c>
      <c r="D29" s="8" t="s">
        <v>20</v>
      </c>
      <c r="E29" s="10" t="s">
        <v>371</v>
      </c>
      <c r="F29" s="356"/>
      <c r="G29" s="10"/>
      <c r="H29" s="10" t="s">
        <v>1719</v>
      </c>
      <c r="I29" s="10" t="s">
        <v>1721</v>
      </c>
      <c r="J29" s="658">
        <v>0</v>
      </c>
      <c r="K29" s="116">
        <v>762232640</v>
      </c>
      <c r="L29" s="116">
        <f>K29*10%</f>
        <v>76223264</v>
      </c>
      <c r="M29" s="9"/>
      <c r="N29" s="189">
        <f t="shared" si="10"/>
        <v>838455904</v>
      </c>
      <c r="O29" s="197" t="s">
        <v>194</v>
      </c>
      <c r="P29" s="197" t="s">
        <v>103</v>
      </c>
      <c r="Q29" s="175"/>
      <c r="R29" s="175"/>
      <c r="S29" s="116">
        <v>0</v>
      </c>
      <c r="T29" s="116">
        <f>-K29*2%</f>
        <v>-15244652.800000001</v>
      </c>
      <c r="U29" s="115">
        <v>823211251.20000005</v>
      </c>
      <c r="V29" s="210">
        <f t="shared" si="8"/>
        <v>0</v>
      </c>
      <c r="W29" s="115">
        <f t="shared" si="11"/>
        <v>0</v>
      </c>
      <c r="X29" s="181" t="s">
        <v>237</v>
      </c>
      <c r="Y29" s="116"/>
      <c r="Z29" s="185"/>
      <c r="AA29" s="592">
        <f t="shared" si="4"/>
        <v>0</v>
      </c>
      <c r="AB29" s="185"/>
      <c r="AC29" s="300">
        <v>42766</v>
      </c>
      <c r="AD29" s="297">
        <v>15244652</v>
      </c>
      <c r="AE29" s="297">
        <f t="shared" si="5"/>
        <v>0.80000000074505806</v>
      </c>
      <c r="AF29" s="9" t="s">
        <v>2077</v>
      </c>
      <c r="AG29" s="9" t="s">
        <v>1395</v>
      </c>
      <c r="AH29" s="300">
        <v>42745</v>
      </c>
      <c r="AI29" s="9" t="s">
        <v>1612</v>
      </c>
      <c r="AJ29" s="300">
        <v>42745</v>
      </c>
      <c r="AK29" s="73" t="str">
        <f t="shared" si="3"/>
        <v>BUKIT MAKMUR MANDIRI UTAMA, PTJAN</v>
      </c>
    </row>
    <row r="30" spans="1:37" s="40" customFormat="1" ht="12" hidden="1" customHeight="1">
      <c r="A30" s="9">
        <v>25</v>
      </c>
      <c r="B30" s="9" t="s">
        <v>140</v>
      </c>
      <c r="C30" s="9">
        <v>1</v>
      </c>
      <c r="D30" s="8" t="s">
        <v>24</v>
      </c>
      <c r="E30" s="9" t="s">
        <v>362</v>
      </c>
      <c r="F30" s="8"/>
      <c r="G30" s="9"/>
      <c r="H30" s="9" t="s">
        <v>1541</v>
      </c>
      <c r="I30" s="9" t="s">
        <v>1542</v>
      </c>
      <c r="J30" s="658">
        <v>0</v>
      </c>
      <c r="K30" s="118">
        <v>4000000</v>
      </c>
      <c r="L30" s="116">
        <f>K30*10%</f>
        <v>400000</v>
      </c>
      <c r="M30" s="9"/>
      <c r="N30" s="189">
        <f t="shared" si="10"/>
        <v>4400000</v>
      </c>
      <c r="O30" s="55" t="s">
        <v>194</v>
      </c>
      <c r="P30" s="55" t="s">
        <v>37</v>
      </c>
      <c r="Q30" s="176"/>
      <c r="R30" s="176"/>
      <c r="S30" s="116">
        <v>0</v>
      </c>
      <c r="T30" s="116">
        <f>-K30*2%</f>
        <v>-80000</v>
      </c>
      <c r="U30" s="116">
        <v>4320000</v>
      </c>
      <c r="V30" s="210">
        <f t="shared" si="8"/>
        <v>0</v>
      </c>
      <c r="W30" s="115">
        <f t="shared" si="11"/>
        <v>0</v>
      </c>
      <c r="X30" s="181" t="s">
        <v>294</v>
      </c>
      <c r="Y30" s="116"/>
      <c r="Z30" s="186"/>
      <c r="AA30" s="592">
        <f t="shared" si="4"/>
        <v>0</v>
      </c>
      <c r="AB30" s="186"/>
      <c r="AC30" s="300">
        <v>42748</v>
      </c>
      <c r="AD30" s="297">
        <v>80000</v>
      </c>
      <c r="AE30" s="297">
        <f t="shared" si="5"/>
        <v>0</v>
      </c>
      <c r="AF30" s="9" t="s">
        <v>2228</v>
      </c>
      <c r="AG30" s="9" t="s">
        <v>1422</v>
      </c>
      <c r="AH30" s="300">
        <v>42706</v>
      </c>
      <c r="AI30" s="9"/>
      <c r="AJ30" s="9"/>
      <c r="AK30" s="73" t="str">
        <f t="shared" si="3"/>
        <v>CIPTA INFORMATIKA CEMERLANG, PTJAN</v>
      </c>
    </row>
    <row r="31" spans="1:37" s="73" customFormat="1" ht="15" hidden="1" customHeight="1">
      <c r="A31" s="9">
        <v>26</v>
      </c>
      <c r="B31" s="211" t="s">
        <v>238</v>
      </c>
      <c r="C31" s="211">
        <v>10</v>
      </c>
      <c r="D31" s="8" t="s">
        <v>190</v>
      </c>
      <c r="E31" s="211" t="s">
        <v>144</v>
      </c>
      <c r="F31" s="219"/>
      <c r="G31" s="211"/>
      <c r="H31" s="9" t="s">
        <v>191</v>
      </c>
      <c r="I31" s="10" t="s">
        <v>14</v>
      </c>
      <c r="J31" s="658">
        <v>0</v>
      </c>
      <c r="K31" s="116">
        <v>50000000</v>
      </c>
      <c r="L31" s="118">
        <v>0</v>
      </c>
      <c r="M31" s="218"/>
      <c r="N31" s="711">
        <f t="shared" ref="N31:N47" si="12">K31+L31</f>
        <v>50000000</v>
      </c>
      <c r="O31" s="211"/>
      <c r="P31" s="211"/>
      <c r="Q31" s="218"/>
      <c r="R31" s="218"/>
      <c r="S31" s="116">
        <v>0</v>
      </c>
      <c r="T31" s="116">
        <v>0</v>
      </c>
      <c r="U31" s="218"/>
      <c r="V31" s="210">
        <f t="shared" si="8"/>
        <v>0</v>
      </c>
      <c r="W31" s="511">
        <f t="shared" si="9"/>
        <v>50000000</v>
      </c>
      <c r="X31" s="211"/>
      <c r="Y31" s="218"/>
      <c r="Z31" s="224"/>
      <c r="AA31" s="592">
        <f t="shared" si="4"/>
        <v>0</v>
      </c>
      <c r="AB31" s="224"/>
      <c r="AC31" s="211"/>
      <c r="AD31" s="295"/>
      <c r="AE31" s="297">
        <f t="shared" si="5"/>
        <v>0</v>
      </c>
      <c r="AF31" s="211"/>
      <c r="AG31" s="211"/>
      <c r="AH31" s="211"/>
      <c r="AI31" s="211"/>
      <c r="AJ31" s="211"/>
      <c r="AK31" s="73" t="str">
        <f t="shared" si="3"/>
        <v>CITRA SARI MAKMUR, PT</v>
      </c>
    </row>
    <row r="32" spans="1:37" s="40" customFormat="1" ht="12" hidden="1" customHeight="1">
      <c r="A32" s="9">
        <v>27</v>
      </c>
      <c r="B32" s="9" t="s">
        <v>140</v>
      </c>
      <c r="C32" s="9">
        <v>15</v>
      </c>
      <c r="D32" s="8" t="s">
        <v>1625</v>
      </c>
      <c r="E32" s="9" t="s">
        <v>144</v>
      </c>
      <c r="F32" s="8"/>
      <c r="G32" s="9"/>
      <c r="H32" s="9" t="s">
        <v>1626</v>
      </c>
      <c r="I32" s="9" t="s">
        <v>1627</v>
      </c>
      <c r="J32" s="658">
        <v>0</v>
      </c>
      <c r="K32" s="118">
        <v>48559500</v>
      </c>
      <c r="L32" s="116">
        <f t="shared" ref="L32:L37" si="13">K32*10%</f>
        <v>4855950</v>
      </c>
      <c r="M32" s="9"/>
      <c r="N32" s="189">
        <f t="shared" si="12"/>
        <v>53415450</v>
      </c>
      <c r="O32" s="55" t="s">
        <v>194</v>
      </c>
      <c r="P32" s="55" t="s">
        <v>18</v>
      </c>
      <c r="Q32" s="176"/>
      <c r="R32" s="176"/>
      <c r="S32" s="116">
        <v>0</v>
      </c>
      <c r="T32" s="116">
        <f>-(15000000+1677000+2500000)*2%</f>
        <v>-383540</v>
      </c>
      <c r="U32" s="116">
        <v>53032110</v>
      </c>
      <c r="V32" s="210">
        <f t="shared" si="8"/>
        <v>0</v>
      </c>
      <c r="W32" s="115">
        <f t="shared" si="11"/>
        <v>-200</v>
      </c>
      <c r="X32" s="181" t="s">
        <v>237</v>
      </c>
      <c r="Y32" s="116"/>
      <c r="Z32" s="186"/>
      <c r="AA32" s="592">
        <f t="shared" si="4"/>
        <v>0</v>
      </c>
      <c r="AB32" s="186"/>
      <c r="AC32" s="300">
        <v>42734</v>
      </c>
      <c r="AD32" s="297">
        <v>383340</v>
      </c>
      <c r="AE32" s="297">
        <f t="shared" si="5"/>
        <v>200</v>
      </c>
      <c r="AF32" s="9" t="s">
        <v>1892</v>
      </c>
      <c r="AG32" s="9" t="s">
        <v>1395</v>
      </c>
      <c r="AH32" s="300">
        <v>42726</v>
      </c>
      <c r="AI32" s="9" t="s">
        <v>560</v>
      </c>
      <c r="AJ32" s="300">
        <v>42726</v>
      </c>
      <c r="AK32" s="73" t="str">
        <f t="shared" si="3"/>
        <v>DUTA TAMBANG REKAYASA, PTJAN</v>
      </c>
    </row>
    <row r="33" spans="1:37" s="114" customFormat="1" ht="12" hidden="1" customHeight="1">
      <c r="A33" s="9">
        <v>28</v>
      </c>
      <c r="B33" s="9" t="s">
        <v>140</v>
      </c>
      <c r="C33" s="9">
        <v>1</v>
      </c>
      <c r="D33" s="8" t="s">
        <v>49</v>
      </c>
      <c r="E33" s="9" t="s">
        <v>355</v>
      </c>
      <c r="F33" s="8"/>
      <c r="G33" s="9"/>
      <c r="H33" s="10" t="s">
        <v>1577</v>
      </c>
      <c r="I33" s="9" t="s">
        <v>1578</v>
      </c>
      <c r="J33" s="658">
        <v>0</v>
      </c>
      <c r="K33" s="119">
        <f>2030*13582</f>
        <v>27571460</v>
      </c>
      <c r="L33" s="115">
        <f t="shared" si="13"/>
        <v>2757146</v>
      </c>
      <c r="M33" s="9"/>
      <c r="N33" s="189">
        <f t="shared" si="12"/>
        <v>30328606</v>
      </c>
      <c r="O33" s="55" t="s">
        <v>194</v>
      </c>
      <c r="P33" s="55" t="s">
        <v>38</v>
      </c>
      <c r="Q33" s="55"/>
      <c r="R33" s="55"/>
      <c r="S33" s="116">
        <v>0</v>
      </c>
      <c r="T33" s="116">
        <f>-K33*2%</f>
        <v>-551429.19999999995</v>
      </c>
      <c r="U33" s="115">
        <v>29777177</v>
      </c>
      <c r="V33" s="210">
        <f t="shared" si="8"/>
        <v>0</v>
      </c>
      <c r="W33" s="115">
        <f>N33+S33+T33-U33</f>
        <v>-0.19999999925494194</v>
      </c>
      <c r="X33" s="181" t="s">
        <v>237</v>
      </c>
      <c r="Y33" s="115"/>
      <c r="Z33" s="185"/>
      <c r="AA33" s="592">
        <f t="shared" si="4"/>
        <v>0</v>
      </c>
      <c r="AB33" s="185"/>
      <c r="AC33" s="300">
        <v>42734</v>
      </c>
      <c r="AD33" s="297">
        <v>551429</v>
      </c>
      <c r="AE33" s="297">
        <f t="shared" si="5"/>
        <v>0.19999999995343387</v>
      </c>
      <c r="AF33" s="9" t="s">
        <v>1893</v>
      </c>
      <c r="AG33" s="9" t="s">
        <v>1395</v>
      </c>
      <c r="AH33" s="300">
        <v>42713</v>
      </c>
      <c r="AI33" s="9" t="s">
        <v>1611</v>
      </c>
      <c r="AJ33" s="300">
        <v>42713</v>
      </c>
      <c r="AK33" s="73" t="str">
        <f t="shared" si="3"/>
        <v>ELGA YASA MEDIA, PTJAN</v>
      </c>
    </row>
    <row r="34" spans="1:37" s="114" customFormat="1" ht="12" hidden="1" customHeight="1">
      <c r="A34" s="9">
        <v>29</v>
      </c>
      <c r="B34" s="9" t="s">
        <v>238</v>
      </c>
      <c r="C34" s="9">
        <v>4</v>
      </c>
      <c r="D34" s="8" t="s">
        <v>28</v>
      </c>
      <c r="E34" s="9" t="s">
        <v>355</v>
      </c>
      <c r="F34" s="8"/>
      <c r="G34" s="9"/>
      <c r="H34" s="10" t="s">
        <v>652</v>
      </c>
      <c r="I34" s="9" t="s">
        <v>653</v>
      </c>
      <c r="J34" s="658">
        <v>0</v>
      </c>
      <c r="K34" s="119">
        <v>32000000</v>
      </c>
      <c r="L34" s="115">
        <f t="shared" si="13"/>
        <v>3200000</v>
      </c>
      <c r="M34" s="9"/>
      <c r="N34" s="189">
        <f t="shared" si="12"/>
        <v>35200000</v>
      </c>
      <c r="O34" s="55" t="s">
        <v>194</v>
      </c>
      <c r="P34" s="55" t="s">
        <v>113</v>
      </c>
      <c r="Q34" s="55"/>
      <c r="R34" s="55"/>
      <c r="S34" s="116">
        <v>0</v>
      </c>
      <c r="T34" s="116">
        <f>-K34*2%</f>
        <v>-640000</v>
      </c>
      <c r="U34" s="115">
        <v>34560000</v>
      </c>
      <c r="V34" s="210">
        <f t="shared" si="8"/>
        <v>0</v>
      </c>
      <c r="W34" s="115">
        <f>N34+S34+T34-U34</f>
        <v>0</v>
      </c>
      <c r="X34" s="181" t="s">
        <v>237</v>
      </c>
      <c r="Y34" s="115"/>
      <c r="Z34" s="185"/>
      <c r="AA34" s="592">
        <f t="shared" si="4"/>
        <v>0</v>
      </c>
      <c r="AB34" s="185"/>
      <c r="AC34" s="9"/>
      <c r="AD34" s="297"/>
      <c r="AE34" s="297">
        <f t="shared" si="5"/>
        <v>640000</v>
      </c>
      <c r="AF34" s="9"/>
      <c r="AG34" s="9"/>
      <c r="AH34" s="9"/>
      <c r="AI34" s="9"/>
      <c r="AJ34" s="476"/>
      <c r="AK34" s="73" t="str">
        <f t="shared" si="3"/>
        <v>EXPANS PETROGAS INTRANUSA, PTJAN</v>
      </c>
    </row>
    <row r="35" spans="1:37" s="114" customFormat="1" ht="12" hidden="1" customHeight="1">
      <c r="A35" s="9">
        <v>30</v>
      </c>
      <c r="B35" s="9" t="s">
        <v>238</v>
      </c>
      <c r="C35" s="9">
        <v>4</v>
      </c>
      <c r="D35" s="8" t="s">
        <v>28</v>
      </c>
      <c r="E35" s="9" t="s">
        <v>364</v>
      </c>
      <c r="F35" s="8"/>
      <c r="G35" s="9"/>
      <c r="H35" s="10" t="s">
        <v>654</v>
      </c>
      <c r="I35" s="9" t="s">
        <v>655</v>
      </c>
      <c r="J35" s="658">
        <v>0</v>
      </c>
      <c r="K35" s="119">
        <v>1000000</v>
      </c>
      <c r="L35" s="115">
        <f t="shared" si="13"/>
        <v>100000</v>
      </c>
      <c r="M35" s="9"/>
      <c r="N35" s="189">
        <f t="shared" si="12"/>
        <v>1100000</v>
      </c>
      <c r="O35" s="946" t="s">
        <v>58</v>
      </c>
      <c r="P35" s="946" t="s">
        <v>18</v>
      </c>
      <c r="Q35" s="946"/>
      <c r="R35" s="946"/>
      <c r="S35" s="947">
        <v>0</v>
      </c>
      <c r="T35" s="947">
        <v>0</v>
      </c>
      <c r="U35" s="948">
        <v>1100000</v>
      </c>
      <c r="V35" s="949">
        <f t="shared" si="8"/>
        <v>0</v>
      </c>
      <c r="W35" s="948">
        <f>N35+S35+T35-U35</f>
        <v>0</v>
      </c>
      <c r="X35" s="950" t="s">
        <v>237</v>
      </c>
      <c r="Y35" s="115"/>
      <c r="Z35" s="185"/>
      <c r="AA35" s="592">
        <f t="shared" si="4"/>
        <v>0</v>
      </c>
      <c r="AB35" s="185"/>
      <c r="AC35" s="9"/>
      <c r="AD35" s="297"/>
      <c r="AE35" s="297">
        <f t="shared" si="5"/>
        <v>0</v>
      </c>
      <c r="AF35" s="9"/>
      <c r="AG35" s="9"/>
      <c r="AH35" s="9"/>
      <c r="AI35" s="9"/>
      <c r="AJ35" s="476"/>
      <c r="AK35" s="73" t="str">
        <f t="shared" si="3"/>
        <v>EXPANS PETROGAS INTRANUSA, PTMEI</v>
      </c>
    </row>
    <row r="36" spans="1:37" s="114" customFormat="1" ht="12" hidden="1" customHeight="1">
      <c r="A36" s="9">
        <v>31</v>
      </c>
      <c r="B36" s="9" t="s">
        <v>140</v>
      </c>
      <c r="C36" s="9">
        <v>1</v>
      </c>
      <c r="D36" s="8" t="s">
        <v>28</v>
      </c>
      <c r="E36" s="9" t="s">
        <v>355</v>
      </c>
      <c r="F36" s="8"/>
      <c r="G36" s="9"/>
      <c r="H36" s="10" t="s">
        <v>1543</v>
      </c>
      <c r="I36" s="9" t="s">
        <v>1548</v>
      </c>
      <c r="J36" s="658">
        <v>0</v>
      </c>
      <c r="K36" s="119">
        <v>32000000</v>
      </c>
      <c r="L36" s="115">
        <f t="shared" si="13"/>
        <v>3200000</v>
      </c>
      <c r="M36" s="9"/>
      <c r="N36" s="189">
        <f t="shared" si="12"/>
        <v>35200000</v>
      </c>
      <c r="O36" s="55" t="s">
        <v>194</v>
      </c>
      <c r="P36" s="55" t="s">
        <v>113</v>
      </c>
      <c r="Q36" s="55"/>
      <c r="R36" s="55"/>
      <c r="S36" s="116">
        <v>0</v>
      </c>
      <c r="T36" s="116">
        <f>-K36*2%</f>
        <v>-640000</v>
      </c>
      <c r="U36" s="115">
        <v>34560000</v>
      </c>
      <c r="V36" s="210">
        <f t="shared" si="8"/>
        <v>0</v>
      </c>
      <c r="W36" s="115">
        <f>N36+S36+T36-U36</f>
        <v>0</v>
      </c>
      <c r="X36" s="181" t="s">
        <v>237</v>
      </c>
      <c r="Y36" s="115"/>
      <c r="Z36" s="185"/>
      <c r="AA36" s="592">
        <f t="shared" si="4"/>
        <v>0</v>
      </c>
      <c r="AB36" s="185"/>
      <c r="AC36" s="9"/>
      <c r="AD36" s="297"/>
      <c r="AE36" s="297">
        <f t="shared" si="5"/>
        <v>640000</v>
      </c>
      <c r="AF36" s="9"/>
      <c r="AG36" s="9" t="s">
        <v>1395</v>
      </c>
      <c r="AH36" s="300">
        <v>42706</v>
      </c>
      <c r="AI36" s="9" t="s">
        <v>1551</v>
      </c>
      <c r="AJ36" s="300">
        <v>42706</v>
      </c>
      <c r="AK36" s="73" t="str">
        <f t="shared" si="3"/>
        <v>EXPANS PETROGAS INTRANUSA, PTJAN</v>
      </c>
    </row>
    <row r="37" spans="1:37" s="114" customFormat="1" ht="12" hidden="1" customHeight="1">
      <c r="A37" s="9">
        <v>32</v>
      </c>
      <c r="B37" s="9" t="s">
        <v>140</v>
      </c>
      <c r="C37" s="9">
        <v>1</v>
      </c>
      <c r="D37" s="8" t="s">
        <v>28</v>
      </c>
      <c r="E37" s="9" t="s">
        <v>364</v>
      </c>
      <c r="F37" s="8"/>
      <c r="G37" s="9"/>
      <c r="H37" s="10" t="s">
        <v>1544</v>
      </c>
      <c r="I37" s="9" t="s">
        <v>1549</v>
      </c>
      <c r="J37" s="658">
        <v>0</v>
      </c>
      <c r="K37" s="119">
        <v>1000000</v>
      </c>
      <c r="L37" s="115">
        <f t="shared" si="13"/>
        <v>100000</v>
      </c>
      <c r="M37" s="9"/>
      <c r="N37" s="189">
        <f t="shared" si="12"/>
        <v>1100000</v>
      </c>
      <c r="O37" s="946" t="s">
        <v>58</v>
      </c>
      <c r="P37" s="946" t="s">
        <v>18</v>
      </c>
      <c r="Q37" s="946"/>
      <c r="R37" s="946"/>
      <c r="S37" s="947">
        <v>0</v>
      </c>
      <c r="T37" s="947">
        <v>0</v>
      </c>
      <c r="U37" s="948">
        <v>1100000</v>
      </c>
      <c r="V37" s="949">
        <f t="shared" si="8"/>
        <v>0</v>
      </c>
      <c r="W37" s="948">
        <f>N37+S37+T37-U37</f>
        <v>0</v>
      </c>
      <c r="X37" s="950" t="s">
        <v>237</v>
      </c>
      <c r="Y37" s="115"/>
      <c r="Z37" s="185"/>
      <c r="AA37" s="592">
        <f t="shared" si="4"/>
        <v>0</v>
      </c>
      <c r="AB37" s="185"/>
      <c r="AC37" s="9"/>
      <c r="AD37" s="297"/>
      <c r="AE37" s="297">
        <f t="shared" si="5"/>
        <v>0</v>
      </c>
      <c r="AF37" s="9"/>
      <c r="AG37" s="9" t="s">
        <v>1395</v>
      </c>
      <c r="AH37" s="300">
        <v>42706</v>
      </c>
      <c r="AI37" s="9" t="s">
        <v>1551</v>
      </c>
      <c r="AJ37" s="300">
        <v>42706</v>
      </c>
      <c r="AK37" s="73" t="str">
        <f t="shared" si="3"/>
        <v>EXPANS PETROGAS INTRANUSA, PTMEI</v>
      </c>
    </row>
    <row r="38" spans="1:37" s="73" customFormat="1" ht="15" hidden="1" customHeight="1">
      <c r="A38" s="9">
        <v>33</v>
      </c>
      <c r="B38" s="211" t="s">
        <v>239</v>
      </c>
      <c r="C38" s="211">
        <v>3</v>
      </c>
      <c r="D38" s="217" t="s">
        <v>205</v>
      </c>
      <c r="E38" s="10" t="s">
        <v>147</v>
      </c>
      <c r="F38" s="356"/>
      <c r="G38" s="10"/>
      <c r="H38" s="10" t="s">
        <v>249</v>
      </c>
      <c r="I38" s="218"/>
      <c r="J38" s="658">
        <v>0</v>
      </c>
      <c r="K38" s="118">
        <v>10500000</v>
      </c>
      <c r="L38" s="118">
        <v>0</v>
      </c>
      <c r="M38" s="218"/>
      <c r="N38" s="711">
        <f t="shared" si="12"/>
        <v>10500000</v>
      </c>
      <c r="O38" s="211"/>
      <c r="P38" s="211"/>
      <c r="Q38" s="218"/>
      <c r="R38" s="218"/>
      <c r="S38" s="116">
        <v>0</v>
      </c>
      <c r="T38" s="116">
        <v>0</v>
      </c>
      <c r="U38" s="218"/>
      <c r="V38" s="210">
        <f t="shared" ref="V38:V50" si="14">M38+Q38-R38</f>
        <v>0</v>
      </c>
      <c r="W38" s="511">
        <f>N38+S38-U38</f>
        <v>10500000</v>
      </c>
      <c r="X38" s="211"/>
      <c r="Y38" s="218"/>
      <c r="Z38" s="224"/>
      <c r="AA38" s="592">
        <f t="shared" si="4"/>
        <v>0</v>
      </c>
      <c r="AB38" s="224"/>
      <c r="AC38" s="9" t="s">
        <v>14</v>
      </c>
      <c r="AD38" s="297">
        <v>0</v>
      </c>
      <c r="AE38" s="297">
        <f t="shared" si="5"/>
        <v>0</v>
      </c>
      <c r="AF38" s="9" t="s">
        <v>14</v>
      </c>
      <c r="AG38" s="211"/>
      <c r="AH38" s="211"/>
      <c r="AI38" s="211"/>
      <c r="AJ38" s="211"/>
      <c r="AK38" s="73" t="str">
        <f t="shared" si="3"/>
        <v>FAJAR BHAKTI LINTAS NUSANTARA, PT</v>
      </c>
    </row>
    <row r="39" spans="1:37" s="73" customFormat="1" ht="15" hidden="1" customHeight="1">
      <c r="A39" s="9">
        <v>34</v>
      </c>
      <c r="B39" s="211" t="s">
        <v>239</v>
      </c>
      <c r="C39" s="211">
        <v>3</v>
      </c>
      <c r="D39" s="217" t="s">
        <v>205</v>
      </c>
      <c r="E39" s="10" t="s">
        <v>118</v>
      </c>
      <c r="F39" s="356"/>
      <c r="G39" s="10"/>
      <c r="H39" s="10" t="s">
        <v>250</v>
      </c>
      <c r="I39" s="218"/>
      <c r="J39" s="658">
        <v>0</v>
      </c>
      <c r="K39" s="118">
        <v>9106100</v>
      </c>
      <c r="L39" s="118">
        <v>0</v>
      </c>
      <c r="M39" s="218"/>
      <c r="N39" s="711">
        <f t="shared" si="12"/>
        <v>9106100</v>
      </c>
      <c r="O39" s="211"/>
      <c r="P39" s="211"/>
      <c r="Q39" s="218"/>
      <c r="R39" s="218"/>
      <c r="S39" s="116">
        <v>0</v>
      </c>
      <c r="T39" s="116">
        <v>0</v>
      </c>
      <c r="U39" s="218"/>
      <c r="V39" s="210">
        <f t="shared" si="14"/>
        <v>0</v>
      </c>
      <c r="W39" s="511">
        <f>N39+S39-U39</f>
        <v>9106100</v>
      </c>
      <c r="X39" s="211"/>
      <c r="Y39" s="218"/>
      <c r="Z39" s="224"/>
      <c r="AA39" s="592">
        <f t="shared" si="4"/>
        <v>0</v>
      </c>
      <c r="AB39" s="224"/>
      <c r="AC39" s="9" t="s">
        <v>14</v>
      </c>
      <c r="AD39" s="297">
        <v>0</v>
      </c>
      <c r="AE39" s="297">
        <f t="shared" si="5"/>
        <v>0</v>
      </c>
      <c r="AF39" s="9" t="s">
        <v>14</v>
      </c>
      <c r="AG39" s="211"/>
      <c r="AH39" s="211"/>
      <c r="AI39" s="211"/>
      <c r="AJ39" s="211"/>
      <c r="AK39" s="73" t="str">
        <f t="shared" si="3"/>
        <v>FAJAR BHAKTI LINTAS NUSANTARA, PT</v>
      </c>
    </row>
    <row r="40" spans="1:37" s="114" customFormat="1" ht="12" hidden="1" customHeight="1">
      <c r="A40" s="9">
        <v>35</v>
      </c>
      <c r="B40" s="9" t="s">
        <v>140</v>
      </c>
      <c r="C40" s="9">
        <v>6</v>
      </c>
      <c r="D40" s="8" t="s">
        <v>95</v>
      </c>
      <c r="E40" s="10" t="s">
        <v>144</v>
      </c>
      <c r="F40" s="356"/>
      <c r="G40" s="10"/>
      <c r="H40" s="10" t="s">
        <v>1583</v>
      </c>
      <c r="I40" s="10" t="s">
        <v>1586</v>
      </c>
      <c r="J40" s="658">
        <v>0</v>
      </c>
      <c r="K40" s="118">
        <v>3500000</v>
      </c>
      <c r="L40" s="118">
        <f>K40*10%</f>
        <v>350000</v>
      </c>
      <c r="M40" s="10"/>
      <c r="N40" s="189">
        <f t="shared" si="12"/>
        <v>3850000</v>
      </c>
      <c r="O40" s="55" t="s">
        <v>194</v>
      </c>
      <c r="P40" s="55" t="s">
        <v>103</v>
      </c>
      <c r="Q40" s="176"/>
      <c r="R40" s="176"/>
      <c r="S40" s="116">
        <v>0</v>
      </c>
      <c r="T40" s="116">
        <f>-K40*2%</f>
        <v>-70000</v>
      </c>
      <c r="U40" s="115">
        <v>3780000</v>
      </c>
      <c r="V40" s="210">
        <f t="shared" si="14"/>
        <v>0</v>
      </c>
      <c r="W40" s="115">
        <f t="shared" ref="W40:W46" si="15">N40+S40+T40-U40</f>
        <v>0</v>
      </c>
      <c r="X40" s="181" t="s">
        <v>237</v>
      </c>
      <c r="Y40" s="118"/>
      <c r="Z40" s="185"/>
      <c r="AA40" s="592">
        <f t="shared" si="4"/>
        <v>0</v>
      </c>
      <c r="AB40" s="185"/>
      <c r="AC40" s="300">
        <v>42758</v>
      </c>
      <c r="AD40" s="297">
        <v>70000</v>
      </c>
      <c r="AE40" s="297">
        <f t="shared" si="5"/>
        <v>0</v>
      </c>
      <c r="AF40" s="9" t="s">
        <v>2078</v>
      </c>
      <c r="AG40" s="9" t="s">
        <v>1395</v>
      </c>
      <c r="AH40" s="300">
        <v>42711</v>
      </c>
      <c r="AI40" s="9" t="s">
        <v>1595</v>
      </c>
      <c r="AJ40" s="300">
        <v>42711</v>
      </c>
      <c r="AK40" s="73" t="str">
        <f t="shared" si="3"/>
        <v>HARMONI PANCA UTAMA, PTJAN</v>
      </c>
    </row>
    <row r="41" spans="1:37" s="114" customFormat="1" ht="12" hidden="1" customHeight="1">
      <c r="A41" s="9">
        <v>36</v>
      </c>
      <c r="B41" s="9" t="s">
        <v>140</v>
      </c>
      <c r="C41" s="9">
        <v>6</v>
      </c>
      <c r="D41" s="8" t="s">
        <v>95</v>
      </c>
      <c r="E41" s="10" t="s">
        <v>118</v>
      </c>
      <c r="F41" s="356"/>
      <c r="G41" s="10"/>
      <c r="H41" s="10" t="s">
        <v>1584</v>
      </c>
      <c r="I41" s="10" t="s">
        <v>14</v>
      </c>
      <c r="J41" s="658">
        <v>0</v>
      </c>
      <c r="K41" s="118">
        <v>532000</v>
      </c>
      <c r="L41" s="118">
        <v>0</v>
      </c>
      <c r="M41" s="10"/>
      <c r="N41" s="189">
        <f t="shared" si="12"/>
        <v>532000</v>
      </c>
      <c r="O41" s="55" t="s">
        <v>194</v>
      </c>
      <c r="P41" s="55" t="s">
        <v>103</v>
      </c>
      <c r="Q41" s="176"/>
      <c r="R41" s="176"/>
      <c r="S41" s="116">
        <v>0</v>
      </c>
      <c r="T41" s="116">
        <v>0</v>
      </c>
      <c r="U41" s="115">
        <v>532000</v>
      </c>
      <c r="V41" s="210">
        <f t="shared" si="14"/>
        <v>0</v>
      </c>
      <c r="W41" s="115">
        <f t="shared" si="15"/>
        <v>0</v>
      </c>
      <c r="X41" s="181" t="s">
        <v>237</v>
      </c>
      <c r="Y41" s="118"/>
      <c r="Z41" s="185"/>
      <c r="AA41" s="592">
        <f t="shared" si="4"/>
        <v>0</v>
      </c>
      <c r="AB41" s="185"/>
      <c r="AC41" s="9"/>
      <c r="AD41" s="297"/>
      <c r="AE41" s="297">
        <f t="shared" si="5"/>
        <v>0</v>
      </c>
      <c r="AF41" s="9"/>
      <c r="AG41" s="9" t="s">
        <v>1395</v>
      </c>
      <c r="AH41" s="300">
        <v>42711</v>
      </c>
      <c r="AI41" s="9" t="s">
        <v>1595</v>
      </c>
      <c r="AJ41" s="300">
        <v>42711</v>
      </c>
      <c r="AK41" s="73" t="str">
        <f t="shared" si="3"/>
        <v>HARMONI PANCA UTAMA, PTJAN</v>
      </c>
    </row>
    <row r="42" spans="1:37" s="114" customFormat="1" ht="12" hidden="1" customHeight="1">
      <c r="A42" s="9">
        <v>37</v>
      </c>
      <c r="B42" s="9" t="s">
        <v>140</v>
      </c>
      <c r="C42" s="9">
        <v>6</v>
      </c>
      <c r="D42" s="8" t="s">
        <v>95</v>
      </c>
      <c r="E42" s="10" t="s">
        <v>118</v>
      </c>
      <c r="F42" s="356"/>
      <c r="G42" s="10"/>
      <c r="H42" s="10" t="s">
        <v>1585</v>
      </c>
      <c r="I42" s="10" t="s">
        <v>14</v>
      </c>
      <c r="J42" s="658">
        <v>0</v>
      </c>
      <c r="K42" s="118">
        <v>532000</v>
      </c>
      <c r="L42" s="118">
        <v>0</v>
      </c>
      <c r="M42" s="10"/>
      <c r="N42" s="189">
        <f t="shared" si="12"/>
        <v>532000</v>
      </c>
      <c r="O42" s="55" t="s">
        <v>194</v>
      </c>
      <c r="P42" s="55" t="s">
        <v>103</v>
      </c>
      <c r="Q42" s="176"/>
      <c r="R42" s="176"/>
      <c r="S42" s="116">
        <v>0</v>
      </c>
      <c r="T42" s="116">
        <v>0</v>
      </c>
      <c r="U42" s="115">
        <v>532000</v>
      </c>
      <c r="V42" s="210">
        <f t="shared" si="14"/>
        <v>0</v>
      </c>
      <c r="W42" s="115">
        <f t="shared" si="15"/>
        <v>0</v>
      </c>
      <c r="X42" s="181" t="s">
        <v>237</v>
      </c>
      <c r="Y42" s="118"/>
      <c r="Z42" s="185"/>
      <c r="AA42" s="592">
        <f t="shared" si="4"/>
        <v>0</v>
      </c>
      <c r="AB42" s="185"/>
      <c r="AC42" s="9"/>
      <c r="AD42" s="297"/>
      <c r="AE42" s="297">
        <f t="shared" si="5"/>
        <v>0</v>
      </c>
      <c r="AF42" s="9"/>
      <c r="AG42" s="9" t="s">
        <v>1395</v>
      </c>
      <c r="AH42" s="300">
        <v>42711</v>
      </c>
      <c r="AI42" s="9" t="s">
        <v>1595</v>
      </c>
      <c r="AJ42" s="300">
        <v>42711</v>
      </c>
      <c r="AK42" s="73" t="str">
        <f t="shared" si="3"/>
        <v>HARMONI PANCA UTAMA, PTJAN</v>
      </c>
    </row>
    <row r="43" spans="1:37" s="40" customFormat="1" ht="12" hidden="1" customHeight="1">
      <c r="A43" s="9">
        <v>38</v>
      </c>
      <c r="B43" s="9" t="s">
        <v>238</v>
      </c>
      <c r="C43" s="9">
        <v>15</v>
      </c>
      <c r="D43" s="8" t="s">
        <v>591</v>
      </c>
      <c r="E43" s="9" t="s">
        <v>62</v>
      </c>
      <c r="F43" s="8"/>
      <c r="G43" s="9"/>
      <c r="H43" s="9" t="s">
        <v>780</v>
      </c>
      <c r="I43" s="9" t="s">
        <v>781</v>
      </c>
      <c r="J43" s="658">
        <v>0</v>
      </c>
      <c r="K43" s="117">
        <v>28000000</v>
      </c>
      <c r="L43" s="117">
        <f>K43*10%</f>
        <v>2800000</v>
      </c>
      <c r="M43" s="9"/>
      <c r="N43" s="189">
        <f t="shared" si="12"/>
        <v>30800000</v>
      </c>
      <c r="O43" s="197" t="s">
        <v>194</v>
      </c>
      <c r="P43" s="197" t="s">
        <v>101</v>
      </c>
      <c r="Q43" s="175"/>
      <c r="R43" s="175"/>
      <c r="S43" s="116">
        <v>0</v>
      </c>
      <c r="T43" s="116">
        <f>-K43*2%</f>
        <v>-560000</v>
      </c>
      <c r="U43" s="117">
        <v>30240000</v>
      </c>
      <c r="V43" s="210">
        <f t="shared" si="14"/>
        <v>0</v>
      </c>
      <c r="W43" s="115">
        <f t="shared" si="15"/>
        <v>0</v>
      </c>
      <c r="X43" s="183" t="s">
        <v>237</v>
      </c>
      <c r="Y43" s="117"/>
      <c r="Z43" s="186"/>
      <c r="AA43" s="592">
        <f t="shared" si="4"/>
        <v>0</v>
      </c>
      <c r="AB43" s="186"/>
      <c r="AC43" s="300">
        <v>42704</v>
      </c>
      <c r="AD43" s="297">
        <v>560000</v>
      </c>
      <c r="AE43" s="297">
        <f>-T43-AD43</f>
        <v>0</v>
      </c>
      <c r="AF43" s="9" t="s">
        <v>1903</v>
      </c>
      <c r="AG43" s="9" t="s">
        <v>1395</v>
      </c>
      <c r="AH43" s="300">
        <v>42689</v>
      </c>
      <c r="AI43" s="9" t="s">
        <v>1424</v>
      </c>
      <c r="AJ43" s="300">
        <v>42690</v>
      </c>
      <c r="AK43" s="73" t="str">
        <f t="shared" si="3"/>
        <v>INDO PRATAMA TELEGLOBAL, PTJAN</v>
      </c>
    </row>
    <row r="44" spans="1:37" s="114" customFormat="1" ht="12" hidden="1" customHeight="1">
      <c r="A44" s="9">
        <v>39</v>
      </c>
      <c r="B44" s="9" t="s">
        <v>140</v>
      </c>
      <c r="C44" s="9">
        <v>5</v>
      </c>
      <c r="D44" s="8" t="s">
        <v>35</v>
      </c>
      <c r="E44" s="9" t="s">
        <v>354</v>
      </c>
      <c r="F44" s="8"/>
      <c r="G44" s="9"/>
      <c r="H44" s="9" t="s">
        <v>1579</v>
      </c>
      <c r="I44" s="9" t="s">
        <v>1580</v>
      </c>
      <c r="J44" s="658">
        <v>0</v>
      </c>
      <c r="K44" s="116">
        <v>3000000</v>
      </c>
      <c r="L44" s="115">
        <f>K44*10%</f>
        <v>300000</v>
      </c>
      <c r="M44" s="9"/>
      <c r="N44" s="189">
        <f t="shared" si="12"/>
        <v>3300000</v>
      </c>
      <c r="O44" s="197" t="s">
        <v>194</v>
      </c>
      <c r="P44" s="197" t="s">
        <v>99</v>
      </c>
      <c r="Q44" s="175"/>
      <c r="R44" s="175"/>
      <c r="S44" s="116">
        <v>0</v>
      </c>
      <c r="T44" s="116">
        <f>-K44*2%</f>
        <v>-60000</v>
      </c>
      <c r="U44" s="115">
        <v>3240000</v>
      </c>
      <c r="V44" s="210">
        <f t="shared" si="14"/>
        <v>0</v>
      </c>
      <c r="W44" s="115">
        <f t="shared" si="15"/>
        <v>0</v>
      </c>
      <c r="X44" s="181" t="s">
        <v>237</v>
      </c>
      <c r="Y44" s="120"/>
      <c r="Z44" s="185"/>
      <c r="AA44" s="592">
        <f t="shared" si="4"/>
        <v>0</v>
      </c>
      <c r="AB44" s="185"/>
      <c r="AC44" s="9"/>
      <c r="AD44" s="297"/>
      <c r="AE44" s="297">
        <f t="shared" ref="AE44:AE110" si="16">-T44-AD44</f>
        <v>60000</v>
      </c>
      <c r="AF44" s="9"/>
      <c r="AG44" s="9" t="s">
        <v>1395</v>
      </c>
      <c r="AH44" s="300">
        <v>42711</v>
      </c>
      <c r="AI44" s="9" t="s">
        <v>1598</v>
      </c>
      <c r="AJ44" s="300">
        <v>42711</v>
      </c>
      <c r="AK44" s="73" t="str">
        <f t="shared" si="3"/>
        <v>INDOSAT, PTJAN</v>
      </c>
    </row>
    <row r="45" spans="1:37" s="114" customFormat="1" ht="12" hidden="1" customHeight="1">
      <c r="A45" s="9">
        <v>40</v>
      </c>
      <c r="B45" s="9" t="s">
        <v>140</v>
      </c>
      <c r="C45" s="9">
        <v>5</v>
      </c>
      <c r="D45" s="8" t="s">
        <v>35</v>
      </c>
      <c r="E45" s="9" t="s">
        <v>354</v>
      </c>
      <c r="F45" s="8"/>
      <c r="G45" s="9"/>
      <c r="H45" s="9" t="s">
        <v>1581</v>
      </c>
      <c r="I45" s="9" t="s">
        <v>1582</v>
      </c>
      <c r="J45" s="658">
        <v>0</v>
      </c>
      <c r="K45" s="116">
        <v>3000000</v>
      </c>
      <c r="L45" s="115">
        <f>K45*10%</f>
        <v>300000</v>
      </c>
      <c r="M45" s="9"/>
      <c r="N45" s="189">
        <f t="shared" si="12"/>
        <v>3300000</v>
      </c>
      <c r="O45" s="197" t="s">
        <v>194</v>
      </c>
      <c r="P45" s="197" t="s">
        <v>99</v>
      </c>
      <c r="Q45" s="175"/>
      <c r="R45" s="175"/>
      <c r="S45" s="116">
        <v>0</v>
      </c>
      <c r="T45" s="116">
        <f>-K45*2%</f>
        <v>-60000</v>
      </c>
      <c r="U45" s="115">
        <v>3240000</v>
      </c>
      <c r="V45" s="210">
        <f t="shared" si="14"/>
        <v>0</v>
      </c>
      <c r="W45" s="115">
        <f t="shared" si="15"/>
        <v>0</v>
      </c>
      <c r="X45" s="181" t="s">
        <v>237</v>
      </c>
      <c r="Y45" s="120"/>
      <c r="Z45" s="185"/>
      <c r="AA45" s="592">
        <f t="shared" si="4"/>
        <v>0</v>
      </c>
      <c r="AB45" s="185"/>
      <c r="AC45" s="9"/>
      <c r="AD45" s="297"/>
      <c r="AE45" s="297">
        <f t="shared" si="16"/>
        <v>60000</v>
      </c>
      <c r="AF45" s="9"/>
      <c r="AG45" s="9" t="s">
        <v>1395</v>
      </c>
      <c r="AH45" s="300">
        <v>42711</v>
      </c>
      <c r="AI45" s="9" t="s">
        <v>1598</v>
      </c>
      <c r="AJ45" s="300">
        <v>42711</v>
      </c>
      <c r="AK45" s="73" t="str">
        <f t="shared" si="3"/>
        <v>INDOSAT, PTJAN</v>
      </c>
    </row>
    <row r="46" spans="1:37" s="114" customFormat="1" ht="12" hidden="1" customHeight="1">
      <c r="A46" s="9">
        <v>41</v>
      </c>
      <c r="B46" s="9" t="s">
        <v>140</v>
      </c>
      <c r="C46" s="9">
        <v>22</v>
      </c>
      <c r="D46" s="8" t="s">
        <v>35</v>
      </c>
      <c r="E46" s="9" t="s">
        <v>62</v>
      </c>
      <c r="F46" s="8"/>
      <c r="G46" s="9"/>
      <c r="H46" s="9" t="s">
        <v>1629</v>
      </c>
      <c r="I46" s="9" t="s">
        <v>1630</v>
      </c>
      <c r="J46" s="658">
        <v>0</v>
      </c>
      <c r="K46" s="116">
        <v>35564200</v>
      </c>
      <c r="L46" s="115">
        <f>K46*10%</f>
        <v>3556420</v>
      </c>
      <c r="M46" s="9"/>
      <c r="N46" s="189">
        <f t="shared" si="12"/>
        <v>39120620</v>
      </c>
      <c r="O46" s="197" t="s">
        <v>194</v>
      </c>
      <c r="P46" s="197" t="s">
        <v>101</v>
      </c>
      <c r="Q46" s="175"/>
      <c r="R46" s="175"/>
      <c r="S46" s="116">
        <v>0</v>
      </c>
      <c r="T46" s="116">
        <f>-K46*2%</f>
        <v>-711284</v>
      </c>
      <c r="U46" s="115">
        <v>38409336</v>
      </c>
      <c r="V46" s="210">
        <f t="shared" si="14"/>
        <v>0</v>
      </c>
      <c r="W46" s="115">
        <f t="shared" si="15"/>
        <v>0</v>
      </c>
      <c r="X46" s="181" t="s">
        <v>237</v>
      </c>
      <c r="Y46" s="120"/>
      <c r="Z46" s="185"/>
      <c r="AA46" s="592">
        <f t="shared" si="4"/>
        <v>0</v>
      </c>
      <c r="AB46" s="185"/>
      <c r="AC46" s="9"/>
      <c r="AD46" s="297"/>
      <c r="AE46" s="297">
        <f t="shared" si="16"/>
        <v>711284</v>
      </c>
      <c r="AF46" s="9"/>
      <c r="AG46" s="9"/>
      <c r="AH46" s="300"/>
      <c r="AI46" s="9"/>
      <c r="AJ46" s="300"/>
      <c r="AK46" s="73" t="str">
        <f t="shared" si="3"/>
        <v>INDOSAT, PTJAN</v>
      </c>
    </row>
    <row r="47" spans="1:37" s="114" customFormat="1" ht="12" hidden="1" customHeight="1">
      <c r="A47" s="9">
        <v>42</v>
      </c>
      <c r="B47" s="9" t="s">
        <v>244</v>
      </c>
      <c r="C47" s="9">
        <v>1</v>
      </c>
      <c r="D47" s="8" t="s">
        <v>131</v>
      </c>
      <c r="E47" s="9" t="s">
        <v>147</v>
      </c>
      <c r="F47" s="8"/>
      <c r="G47" s="9"/>
      <c r="H47" s="9" t="s">
        <v>573</v>
      </c>
      <c r="I47" s="9" t="s">
        <v>353</v>
      </c>
      <c r="J47" s="658">
        <v>0</v>
      </c>
      <c r="K47" s="116">
        <v>1718400000</v>
      </c>
      <c r="L47" s="115">
        <f>K47*10%</f>
        <v>171840000</v>
      </c>
      <c r="M47" s="9"/>
      <c r="N47" s="189">
        <f t="shared" si="12"/>
        <v>1890240000</v>
      </c>
      <c r="O47" s="197" t="s">
        <v>241</v>
      </c>
      <c r="P47" s="197" t="s">
        <v>42</v>
      </c>
      <c r="Q47" s="175"/>
      <c r="R47" s="175"/>
      <c r="S47" s="116">
        <v>0</v>
      </c>
      <c r="T47" s="116">
        <f>-K47*2%</f>
        <v>-34368000</v>
      </c>
      <c r="U47" s="115">
        <v>2574692390</v>
      </c>
      <c r="V47" s="210">
        <f t="shared" si="14"/>
        <v>0</v>
      </c>
      <c r="W47" s="115">
        <f>N47+S47+T47-U47</f>
        <v>-718820390</v>
      </c>
      <c r="X47" s="181" t="s">
        <v>237</v>
      </c>
      <c r="Y47" s="120"/>
      <c r="Z47" s="185"/>
      <c r="AA47" s="592">
        <f t="shared" si="4"/>
        <v>0</v>
      </c>
      <c r="AB47" s="185"/>
      <c r="AC47" s="9"/>
      <c r="AD47" s="297"/>
      <c r="AE47" s="297">
        <f t="shared" si="16"/>
        <v>34368000</v>
      </c>
      <c r="AF47" s="9"/>
      <c r="AG47" s="9"/>
      <c r="AH47" s="9"/>
      <c r="AI47" s="9"/>
      <c r="AJ47" s="476"/>
      <c r="AK47" s="73" t="str">
        <f t="shared" si="3"/>
        <v>INTICOM SENTRALINDO, PTJUN</v>
      </c>
    </row>
    <row r="48" spans="1:37" s="73" customFormat="1" ht="15" hidden="1" customHeight="1">
      <c r="A48" s="9">
        <v>43</v>
      </c>
      <c r="B48" s="211" t="s">
        <v>239</v>
      </c>
      <c r="C48" s="211">
        <v>20</v>
      </c>
      <c r="D48" s="186" t="s">
        <v>112</v>
      </c>
      <c r="E48" s="10" t="s">
        <v>144</v>
      </c>
      <c r="F48" s="356"/>
      <c r="G48" s="10"/>
      <c r="H48" s="10" t="s">
        <v>254</v>
      </c>
      <c r="I48" s="218"/>
      <c r="J48" s="126">
        <v>300</v>
      </c>
      <c r="K48" s="218"/>
      <c r="L48" s="785">
        <f>J48*10%*10000</f>
        <v>300000</v>
      </c>
      <c r="M48" s="128">
        <f>J48+(J48*10%)</f>
        <v>330</v>
      </c>
      <c r="N48" s="189">
        <v>0</v>
      </c>
      <c r="O48" s="211"/>
      <c r="P48" s="211"/>
      <c r="Q48" s="218"/>
      <c r="R48" s="218"/>
      <c r="S48" s="116">
        <v>0</v>
      </c>
      <c r="T48" s="116">
        <v>0</v>
      </c>
      <c r="U48" s="218"/>
      <c r="V48" s="510">
        <f t="shared" si="14"/>
        <v>330</v>
      </c>
      <c r="W48" s="115">
        <f>N48+S48-U48</f>
        <v>0</v>
      </c>
      <c r="X48" s="211"/>
      <c r="Y48" s="218"/>
      <c r="Z48" s="224"/>
      <c r="AA48" s="592">
        <f t="shared" si="4"/>
        <v>0</v>
      </c>
      <c r="AB48" s="224"/>
      <c r="AC48" s="9" t="s">
        <v>14</v>
      </c>
      <c r="AD48" s="297">
        <v>0</v>
      </c>
      <c r="AE48" s="297">
        <f t="shared" si="16"/>
        <v>0</v>
      </c>
      <c r="AF48" s="9" t="s">
        <v>14</v>
      </c>
      <c r="AG48" s="9"/>
      <c r="AH48" s="9"/>
      <c r="AI48" s="9"/>
      <c r="AJ48" s="211"/>
      <c r="AK48" s="73" t="str">
        <f t="shared" si="3"/>
        <v>J RESOURCES BOOLANG MONGONDOW, PT</v>
      </c>
    </row>
    <row r="49" spans="1:37" s="40" customFormat="1" ht="12" hidden="1" customHeight="1">
      <c r="A49" s="9">
        <v>44</v>
      </c>
      <c r="B49" s="9" t="s">
        <v>238</v>
      </c>
      <c r="C49" s="9">
        <v>4</v>
      </c>
      <c r="D49" s="8" t="s">
        <v>121</v>
      </c>
      <c r="E49" s="10" t="s">
        <v>1568</v>
      </c>
      <c r="F49" s="356"/>
      <c r="G49" s="10"/>
      <c r="H49" s="127" t="s">
        <v>662</v>
      </c>
      <c r="I49" s="10" t="s">
        <v>663</v>
      </c>
      <c r="J49" s="658">
        <v>0</v>
      </c>
      <c r="K49" s="116">
        <v>58500000</v>
      </c>
      <c r="L49" s="116">
        <f>K49*10%</f>
        <v>5850000</v>
      </c>
      <c r="M49" s="10"/>
      <c r="N49" s="189">
        <f t="shared" ref="N49:N57" si="17">K49+L49</f>
        <v>64350000</v>
      </c>
      <c r="O49" s="197" t="s">
        <v>194</v>
      </c>
      <c r="P49" s="197" t="s">
        <v>114</v>
      </c>
      <c r="Q49" s="175"/>
      <c r="R49" s="175"/>
      <c r="S49" s="116">
        <v>0</v>
      </c>
      <c r="T49" s="116">
        <f>-K49*2%</f>
        <v>-1170000</v>
      </c>
      <c r="U49" s="116">
        <v>63180000</v>
      </c>
      <c r="V49" s="210">
        <f t="shared" si="14"/>
        <v>0</v>
      </c>
      <c r="W49" s="115">
        <f>N49+S49+T49-U49</f>
        <v>0</v>
      </c>
      <c r="X49" s="181" t="s">
        <v>237</v>
      </c>
      <c r="Y49" s="116"/>
      <c r="Z49" s="186"/>
      <c r="AA49" s="592">
        <f t="shared" si="4"/>
        <v>0</v>
      </c>
      <c r="AB49" s="186"/>
      <c r="AC49" s="300">
        <v>42731</v>
      </c>
      <c r="AD49" s="297">
        <v>1170000</v>
      </c>
      <c r="AE49" s="297">
        <f t="shared" si="16"/>
        <v>0</v>
      </c>
      <c r="AF49" s="9" t="s">
        <v>1914</v>
      </c>
      <c r="AG49" s="9" t="s">
        <v>1395</v>
      </c>
      <c r="AH49" s="300">
        <v>42683</v>
      </c>
      <c r="AI49" s="9" t="s">
        <v>1428</v>
      </c>
      <c r="AJ49" s="300">
        <v>42684</v>
      </c>
      <c r="AK49" s="73" t="str">
        <f t="shared" si="3"/>
        <v>KALIMANTAN PRIMA PERSADA, PTJAN</v>
      </c>
    </row>
    <row r="50" spans="1:37" s="40" customFormat="1" ht="12" hidden="1" customHeight="1">
      <c r="A50" s="9">
        <v>45</v>
      </c>
      <c r="B50" s="9" t="s">
        <v>140</v>
      </c>
      <c r="C50" s="9">
        <v>1</v>
      </c>
      <c r="D50" s="8" t="s">
        <v>121</v>
      </c>
      <c r="E50" s="435" t="s">
        <v>1568</v>
      </c>
      <c r="F50" s="1511"/>
      <c r="G50" s="435"/>
      <c r="H50" s="127" t="s">
        <v>1567</v>
      </c>
      <c r="I50" s="10" t="s">
        <v>1569</v>
      </c>
      <c r="J50" s="658">
        <v>0</v>
      </c>
      <c r="K50" s="116">
        <v>52000000</v>
      </c>
      <c r="L50" s="116">
        <f>K50*10%</f>
        <v>5200000</v>
      </c>
      <c r="M50" s="10"/>
      <c r="N50" s="189">
        <f t="shared" si="17"/>
        <v>57200000</v>
      </c>
      <c r="O50" s="197" t="s">
        <v>194</v>
      </c>
      <c r="P50" s="197" t="s">
        <v>113</v>
      </c>
      <c r="Q50" s="175"/>
      <c r="R50" s="175"/>
      <c r="S50" s="116">
        <v>0</v>
      </c>
      <c r="T50" s="116">
        <f>-K50*2%</f>
        <v>-1040000</v>
      </c>
      <c r="U50" s="116">
        <v>56160000</v>
      </c>
      <c r="V50" s="210">
        <f t="shared" si="14"/>
        <v>0</v>
      </c>
      <c r="W50" s="115">
        <f>N50+S50+T50-U50</f>
        <v>0</v>
      </c>
      <c r="X50" s="181" t="s">
        <v>237</v>
      </c>
      <c r="Y50" s="116"/>
      <c r="Z50" s="186"/>
      <c r="AA50" s="592">
        <f t="shared" si="4"/>
        <v>0</v>
      </c>
      <c r="AB50" s="186"/>
      <c r="AC50" s="300">
        <v>42731</v>
      </c>
      <c r="AD50" s="297">
        <v>1040000</v>
      </c>
      <c r="AE50" s="297">
        <f t="shared" si="16"/>
        <v>0</v>
      </c>
      <c r="AF50" s="9" t="s">
        <v>1915</v>
      </c>
      <c r="AG50" s="9" t="s">
        <v>1395</v>
      </c>
      <c r="AH50" s="300">
        <v>42709</v>
      </c>
      <c r="AI50" s="9" t="s">
        <v>1594</v>
      </c>
      <c r="AJ50" s="300">
        <v>42709</v>
      </c>
      <c r="AK50" s="73" t="str">
        <f t="shared" si="3"/>
        <v>KALIMANTAN PRIMA PERSADA, PTJAN</v>
      </c>
    </row>
    <row r="51" spans="1:37" s="114" customFormat="1" ht="12" hidden="1" customHeight="1">
      <c r="A51" s="9">
        <v>46</v>
      </c>
      <c r="B51" s="53" t="s">
        <v>140</v>
      </c>
      <c r="C51" s="9">
        <v>22</v>
      </c>
      <c r="D51" s="11" t="s">
        <v>1655</v>
      </c>
      <c r="E51" s="10" t="s">
        <v>147</v>
      </c>
      <c r="F51" s="356"/>
      <c r="G51" s="10"/>
      <c r="H51" s="435" t="s">
        <v>2218</v>
      </c>
      <c r="I51" s="10" t="s">
        <v>353</v>
      </c>
      <c r="J51" s="658">
        <v>0</v>
      </c>
      <c r="K51" s="118">
        <v>18000000</v>
      </c>
      <c r="L51" s="118">
        <v>0</v>
      </c>
      <c r="M51" s="658">
        <v>0</v>
      </c>
      <c r="N51" s="189">
        <f t="shared" si="17"/>
        <v>18000000</v>
      </c>
      <c r="O51" s="197" t="s">
        <v>194</v>
      </c>
      <c r="P51" s="197" t="s">
        <v>89</v>
      </c>
      <c r="Q51" s="175"/>
      <c r="R51" s="175"/>
      <c r="S51" s="116">
        <f>-K51*10%</f>
        <v>-1800000</v>
      </c>
      <c r="T51" s="116">
        <f>-K51*1.5%</f>
        <v>-270000</v>
      </c>
      <c r="U51" s="116">
        <v>15930000</v>
      </c>
      <c r="V51" s="210">
        <f>M51+Q51-R51</f>
        <v>0</v>
      </c>
      <c r="W51" s="115">
        <f>N51+S51+T51-U51</f>
        <v>0</v>
      </c>
      <c r="X51" s="181" t="s">
        <v>294</v>
      </c>
      <c r="Y51" s="116"/>
      <c r="Z51" s="185"/>
      <c r="AA51" s="592"/>
      <c r="AB51" s="186"/>
      <c r="AC51" s="9"/>
      <c r="AD51" s="297"/>
      <c r="AE51" s="297">
        <f>-T51-AD51</f>
        <v>270000</v>
      </c>
      <c r="AF51" s="9"/>
      <c r="AG51" s="9"/>
      <c r="AH51" s="300"/>
      <c r="AI51" s="9"/>
      <c r="AJ51" s="300"/>
      <c r="AK51" s="73" t="str">
        <f t="shared" si="3"/>
        <v>KEMENTRIAN KOORDINATOR BIDANG KEMARITIMANJAN</v>
      </c>
    </row>
    <row r="52" spans="1:37" s="73" customFormat="1" ht="15" hidden="1" customHeight="1">
      <c r="A52" s="9">
        <v>47</v>
      </c>
      <c r="B52" s="211" t="s">
        <v>241</v>
      </c>
      <c r="C52" s="211">
        <v>19</v>
      </c>
      <c r="D52" s="186" t="s">
        <v>207</v>
      </c>
      <c r="E52" s="211" t="s">
        <v>256</v>
      </c>
      <c r="F52" s="219"/>
      <c r="G52" s="211"/>
      <c r="H52" s="127" t="s">
        <v>255</v>
      </c>
      <c r="I52" s="828" t="s">
        <v>14</v>
      </c>
      <c r="J52" s="658">
        <v>0</v>
      </c>
      <c r="K52" s="116">
        <v>13640000</v>
      </c>
      <c r="L52" s="116"/>
      <c r="M52" s="218"/>
      <c r="N52" s="711">
        <f t="shared" si="17"/>
        <v>13640000</v>
      </c>
      <c r="O52" s="211"/>
      <c r="P52" s="211"/>
      <c r="Q52" s="218"/>
      <c r="R52" s="218"/>
      <c r="S52" s="116">
        <v>0</v>
      </c>
      <c r="T52" s="116">
        <v>0</v>
      </c>
      <c r="U52" s="218"/>
      <c r="V52" s="210">
        <f t="shared" ref="V52:V83" si="18">M52+Q52-R52</f>
        <v>0</v>
      </c>
      <c r="W52" s="511">
        <f>N52+S52-U52</f>
        <v>13640000</v>
      </c>
      <c r="X52" s="211"/>
      <c r="Y52" s="218"/>
      <c r="Z52" s="224"/>
      <c r="AA52" s="592">
        <f t="shared" si="4"/>
        <v>0</v>
      </c>
      <c r="AB52" s="224"/>
      <c r="AC52" s="9" t="s">
        <v>14</v>
      </c>
      <c r="AD52" s="297">
        <v>0</v>
      </c>
      <c r="AE52" s="297">
        <f t="shared" si="16"/>
        <v>0</v>
      </c>
      <c r="AF52" s="9" t="s">
        <v>14</v>
      </c>
      <c r="AG52" s="9"/>
      <c r="AH52" s="9"/>
      <c r="AI52" s="9"/>
      <c r="AJ52" s="211"/>
      <c r="AK52" s="73" t="str">
        <f t="shared" si="3"/>
        <v>KENCANA MANDIRI SEJAHTERA TELECOM, PT</v>
      </c>
    </row>
    <row r="53" spans="1:37" s="114" customFormat="1" ht="12" hidden="1" customHeight="1">
      <c r="A53" s="9">
        <v>48</v>
      </c>
      <c r="B53" s="9" t="s">
        <v>140</v>
      </c>
      <c r="C53" s="9">
        <v>1</v>
      </c>
      <c r="D53" s="8" t="s">
        <v>151</v>
      </c>
      <c r="E53" s="9" t="s">
        <v>354</v>
      </c>
      <c r="F53" s="8"/>
      <c r="G53" s="9"/>
      <c r="H53" s="10" t="s">
        <v>1552</v>
      </c>
      <c r="I53" s="9" t="s">
        <v>1556</v>
      </c>
      <c r="J53" s="658">
        <v>0</v>
      </c>
      <c r="K53" s="119">
        <v>22000000</v>
      </c>
      <c r="L53" s="115">
        <f>K53*10%</f>
        <v>2200000</v>
      </c>
      <c r="M53" s="9"/>
      <c r="N53" s="189">
        <f t="shared" si="17"/>
        <v>24200000</v>
      </c>
      <c r="O53" s="55" t="s">
        <v>194</v>
      </c>
      <c r="P53" s="55" t="s">
        <v>37</v>
      </c>
      <c r="Q53" s="55"/>
      <c r="R53" s="55"/>
      <c r="S53" s="116">
        <v>0</v>
      </c>
      <c r="T53" s="116">
        <f>-K53*2%</f>
        <v>-440000</v>
      </c>
      <c r="U53" s="117">
        <v>23760000</v>
      </c>
      <c r="V53" s="210">
        <f t="shared" si="18"/>
        <v>0</v>
      </c>
      <c r="W53" s="115">
        <f t="shared" ref="W53:W75" si="19">N53+S53+T53-U53</f>
        <v>0</v>
      </c>
      <c r="X53" s="181" t="s">
        <v>237</v>
      </c>
      <c r="Y53" s="115"/>
      <c r="Z53" s="185"/>
      <c r="AA53" s="592">
        <f t="shared" si="4"/>
        <v>0</v>
      </c>
      <c r="AB53" s="185"/>
      <c r="AC53" s="300">
        <v>42748</v>
      </c>
      <c r="AD53" s="297">
        <v>440000</v>
      </c>
      <c r="AE53" s="297">
        <f t="shared" si="16"/>
        <v>0</v>
      </c>
      <c r="AF53" s="9" t="s">
        <v>2205</v>
      </c>
      <c r="AG53" s="9" t="s">
        <v>1395</v>
      </c>
      <c r="AH53" s="300">
        <v>42710</v>
      </c>
      <c r="AI53" s="9" t="s">
        <v>1592</v>
      </c>
      <c r="AJ53" s="300">
        <v>42710</v>
      </c>
      <c r="AK53" s="73" t="str">
        <f t="shared" si="3"/>
        <v>KUSUMA MENTARI MAKMUR, PTJAN</v>
      </c>
    </row>
    <row r="54" spans="1:37" s="114" customFormat="1" ht="12" hidden="1" customHeight="1">
      <c r="A54" s="9">
        <v>49</v>
      </c>
      <c r="B54" s="9" t="s">
        <v>194</v>
      </c>
      <c r="C54" s="9">
        <v>4</v>
      </c>
      <c r="D54" s="8" t="s">
        <v>387</v>
      </c>
      <c r="E54" s="9" t="s">
        <v>388</v>
      </c>
      <c r="F54" s="8"/>
      <c r="G54" s="9"/>
      <c r="H54" s="10" t="s">
        <v>389</v>
      </c>
      <c r="I54" s="9" t="s">
        <v>14</v>
      </c>
      <c r="J54" s="658">
        <v>0</v>
      </c>
      <c r="K54" s="119">
        <f>1638000000-342000000-600000000</f>
        <v>696000000</v>
      </c>
      <c r="L54" s="115">
        <v>0</v>
      </c>
      <c r="M54" s="9"/>
      <c r="N54" s="711">
        <f t="shared" si="17"/>
        <v>696000000</v>
      </c>
      <c r="O54" s="55"/>
      <c r="P54" s="55"/>
      <c r="Q54" s="55"/>
      <c r="R54" s="55"/>
      <c r="S54" s="116">
        <v>0</v>
      </c>
      <c r="T54" s="116">
        <v>0</v>
      </c>
      <c r="U54" s="115"/>
      <c r="V54" s="210">
        <f t="shared" si="18"/>
        <v>0</v>
      </c>
      <c r="W54" s="481">
        <f t="shared" si="19"/>
        <v>696000000</v>
      </c>
      <c r="X54" s="181"/>
      <c r="Y54" s="115"/>
      <c r="Z54" s="185"/>
      <c r="AA54" s="592">
        <f t="shared" si="4"/>
        <v>0</v>
      </c>
      <c r="AB54" s="185"/>
      <c r="AC54" s="9" t="s">
        <v>14</v>
      </c>
      <c r="AD54" s="297">
        <v>0</v>
      </c>
      <c r="AE54" s="297">
        <f t="shared" si="16"/>
        <v>0</v>
      </c>
      <c r="AF54" s="9" t="s">
        <v>14</v>
      </c>
      <c r="AG54" s="9"/>
      <c r="AH54" s="9"/>
      <c r="AI54" s="9"/>
      <c r="AJ54" s="476"/>
      <c r="AK54" s="73" t="str">
        <f t="shared" si="3"/>
        <v>LINE INTER CIKARA, PT</v>
      </c>
    </row>
    <row r="55" spans="1:37" s="114" customFormat="1" ht="12" hidden="1" customHeight="1">
      <c r="A55" s="9">
        <v>50</v>
      </c>
      <c r="B55" s="9" t="s">
        <v>14</v>
      </c>
      <c r="C55" s="9" t="s">
        <v>14</v>
      </c>
      <c r="D55" s="8" t="s">
        <v>40</v>
      </c>
      <c r="E55" s="9" t="s">
        <v>14</v>
      </c>
      <c r="F55" s="8"/>
      <c r="G55" s="9"/>
      <c r="H55" s="10" t="s">
        <v>1728</v>
      </c>
      <c r="I55" s="9" t="s">
        <v>14</v>
      </c>
      <c r="J55" s="658">
        <v>0</v>
      </c>
      <c r="K55" s="119">
        <v>-4923130</v>
      </c>
      <c r="L55" s="115">
        <v>0</v>
      </c>
      <c r="M55" s="9"/>
      <c r="N55" s="189">
        <f t="shared" si="17"/>
        <v>-4923130</v>
      </c>
      <c r="O55" s="197" t="s">
        <v>194</v>
      </c>
      <c r="P55" s="197" t="s">
        <v>114</v>
      </c>
      <c r="Q55" s="55"/>
      <c r="R55" s="55"/>
      <c r="S55" s="116">
        <v>0</v>
      </c>
      <c r="T55" s="116">
        <v>0</v>
      </c>
      <c r="U55" s="819">
        <v>-4923130</v>
      </c>
      <c r="V55" s="210">
        <f>M55+Q55-R55</f>
        <v>0</v>
      </c>
      <c r="W55" s="115">
        <f t="shared" si="19"/>
        <v>0</v>
      </c>
      <c r="X55" s="181"/>
      <c r="Y55" s="115"/>
      <c r="Z55" s="701"/>
      <c r="AA55" s="592">
        <f t="shared" si="4"/>
        <v>0</v>
      </c>
      <c r="AB55" s="185"/>
      <c r="AC55" s="9"/>
      <c r="AD55" s="297"/>
      <c r="AE55" s="297">
        <f t="shared" si="16"/>
        <v>0</v>
      </c>
      <c r="AF55" s="9"/>
      <c r="AG55" s="9"/>
      <c r="AH55" s="9"/>
      <c r="AI55" s="9"/>
      <c r="AJ55" s="476"/>
      <c r="AK55" s="73" t="str">
        <f t="shared" si="3"/>
        <v>MADHANI TALATAH NUSANTARA, PTJAN</v>
      </c>
    </row>
    <row r="56" spans="1:37" s="40" customFormat="1" ht="12" hidden="1" customHeight="1">
      <c r="A56" s="9">
        <v>51</v>
      </c>
      <c r="B56" s="9" t="s">
        <v>238</v>
      </c>
      <c r="C56" s="9">
        <v>15</v>
      </c>
      <c r="D56" s="8" t="s">
        <v>40</v>
      </c>
      <c r="E56" s="9" t="s">
        <v>118</v>
      </c>
      <c r="F56" s="8"/>
      <c r="G56" s="9"/>
      <c r="H56" s="9" t="s">
        <v>1390</v>
      </c>
      <c r="I56" s="9" t="s">
        <v>14</v>
      </c>
      <c r="J56" s="658">
        <v>0</v>
      </c>
      <c r="K56" s="117">
        <v>1650979</v>
      </c>
      <c r="L56" s="117">
        <v>0</v>
      </c>
      <c r="M56" s="9"/>
      <c r="N56" s="120">
        <f t="shared" si="17"/>
        <v>1650979</v>
      </c>
      <c r="O56" s="197" t="s">
        <v>194</v>
      </c>
      <c r="P56" s="197" t="s">
        <v>114</v>
      </c>
      <c r="Q56" s="175"/>
      <c r="R56" s="175"/>
      <c r="S56" s="116">
        <v>0</v>
      </c>
      <c r="T56" s="116">
        <v>0</v>
      </c>
      <c r="U56" s="820">
        <f>1650979+220000</f>
        <v>1870979</v>
      </c>
      <c r="V56" s="210">
        <f t="shared" si="18"/>
        <v>0</v>
      </c>
      <c r="W56" s="115">
        <f t="shared" si="19"/>
        <v>-220000</v>
      </c>
      <c r="X56" s="119" t="s">
        <v>237</v>
      </c>
      <c r="Y56" s="117"/>
      <c r="Z56" s="345"/>
      <c r="AA56" s="592">
        <f t="shared" si="4"/>
        <v>0</v>
      </c>
      <c r="AB56" s="186"/>
      <c r="AC56" s="9"/>
      <c r="AD56" s="297"/>
      <c r="AE56" s="297">
        <f t="shared" si="16"/>
        <v>0</v>
      </c>
      <c r="AF56" s="9"/>
      <c r="AG56" s="9" t="s">
        <v>1422</v>
      </c>
      <c r="AH56" s="300">
        <v>42689</v>
      </c>
      <c r="AI56" s="9" t="s">
        <v>1423</v>
      </c>
      <c r="AJ56" s="300">
        <v>42690</v>
      </c>
      <c r="AK56" s="73" t="str">
        <f t="shared" si="3"/>
        <v>MADHANI TALATAH NUSANTARA, PTJAN</v>
      </c>
    </row>
    <row r="57" spans="1:37" s="40" customFormat="1" ht="12" hidden="1" customHeight="1">
      <c r="A57" s="9">
        <v>52</v>
      </c>
      <c r="B57" s="9" t="s">
        <v>238</v>
      </c>
      <c r="C57" s="9">
        <v>15</v>
      </c>
      <c r="D57" s="8" t="s">
        <v>40</v>
      </c>
      <c r="E57" s="9" t="s">
        <v>118</v>
      </c>
      <c r="F57" s="8"/>
      <c r="G57" s="9"/>
      <c r="H57" s="9" t="s">
        <v>1391</v>
      </c>
      <c r="I57" s="9" t="s">
        <v>14</v>
      </c>
      <c r="J57" s="658">
        <v>0</v>
      </c>
      <c r="K57" s="117">
        <v>1037300</v>
      </c>
      <c r="L57" s="117">
        <v>0</v>
      </c>
      <c r="M57" s="9"/>
      <c r="N57" s="120">
        <f t="shared" si="17"/>
        <v>1037300</v>
      </c>
      <c r="O57" s="197" t="s">
        <v>194</v>
      </c>
      <c r="P57" s="197" t="s">
        <v>114</v>
      </c>
      <c r="Q57" s="175"/>
      <c r="R57" s="175"/>
      <c r="S57" s="116">
        <v>0</v>
      </c>
      <c r="T57" s="116">
        <v>0</v>
      </c>
      <c r="U57" s="820">
        <v>1037300</v>
      </c>
      <c r="V57" s="210">
        <f t="shared" si="18"/>
        <v>0</v>
      </c>
      <c r="W57" s="115">
        <f t="shared" si="19"/>
        <v>0</v>
      </c>
      <c r="X57" s="119" t="s">
        <v>237</v>
      </c>
      <c r="Y57" s="117"/>
      <c r="Z57" s="297"/>
      <c r="AA57" s="592">
        <f t="shared" si="4"/>
        <v>0</v>
      </c>
      <c r="AB57" s="186"/>
      <c r="AC57" s="9"/>
      <c r="AD57" s="297"/>
      <c r="AE57" s="297">
        <f t="shared" si="16"/>
        <v>0</v>
      </c>
      <c r="AF57" s="9"/>
      <c r="AG57" s="9" t="s">
        <v>1422</v>
      </c>
      <c r="AH57" s="300">
        <v>42689</v>
      </c>
      <c r="AI57" s="9" t="s">
        <v>1423</v>
      </c>
      <c r="AJ57" s="300">
        <v>42690</v>
      </c>
      <c r="AK57" s="73" t="str">
        <f t="shared" si="3"/>
        <v>MADHANI TALATAH NUSANTARA, PTJAN</v>
      </c>
    </row>
    <row r="58" spans="1:37" s="40" customFormat="1" ht="12" hidden="1" customHeight="1">
      <c r="A58" s="9">
        <v>53</v>
      </c>
      <c r="B58" s="9" t="s">
        <v>140</v>
      </c>
      <c r="C58" s="9">
        <v>6</v>
      </c>
      <c r="D58" s="8" t="s">
        <v>40</v>
      </c>
      <c r="E58" s="9" t="s">
        <v>144</v>
      </c>
      <c r="F58" s="8"/>
      <c r="G58" s="9"/>
      <c r="H58" s="9" t="s">
        <v>1587</v>
      </c>
      <c r="I58" s="9" t="s">
        <v>1590</v>
      </c>
      <c r="J58" s="658">
        <v>0</v>
      </c>
      <c r="K58" s="117">
        <v>13500000</v>
      </c>
      <c r="L58" s="117">
        <f>K58*10%</f>
        <v>1350000</v>
      </c>
      <c r="M58" s="9"/>
      <c r="N58" s="120">
        <f t="shared" ref="N58:N75" si="20">K58+L58</f>
        <v>14850000</v>
      </c>
      <c r="O58" s="197" t="s">
        <v>194</v>
      </c>
      <c r="P58" s="197" t="s">
        <v>114</v>
      </c>
      <c r="Q58" s="175"/>
      <c r="R58" s="175"/>
      <c r="S58" s="116">
        <v>0</v>
      </c>
      <c r="T58" s="116">
        <f t="shared" ref="T58:T73" si="21">-K58*2%</f>
        <v>-270000</v>
      </c>
      <c r="U58" s="820">
        <v>14580000</v>
      </c>
      <c r="V58" s="210">
        <f t="shared" si="18"/>
        <v>0</v>
      </c>
      <c r="W58" s="115">
        <f t="shared" si="19"/>
        <v>0</v>
      </c>
      <c r="X58" s="119" t="s">
        <v>237</v>
      </c>
      <c r="Y58" s="117"/>
      <c r="Z58" s="186"/>
      <c r="AA58" s="592">
        <f t="shared" si="4"/>
        <v>0</v>
      </c>
      <c r="AB58" s="186"/>
      <c r="AC58" s="300">
        <v>42735</v>
      </c>
      <c r="AD58" s="297">
        <v>270000</v>
      </c>
      <c r="AE58" s="297">
        <f t="shared" si="16"/>
        <v>0</v>
      </c>
      <c r="AF58" s="9" t="s">
        <v>1916</v>
      </c>
      <c r="AG58" s="9" t="s">
        <v>1395</v>
      </c>
      <c r="AH58" s="300">
        <v>42713</v>
      </c>
      <c r="AI58" s="9" t="s">
        <v>1423</v>
      </c>
      <c r="AJ58" s="300">
        <v>42713</v>
      </c>
      <c r="AK58" s="73" t="str">
        <f t="shared" si="3"/>
        <v>MADHANI TALATAH NUSANTARA, PTJAN</v>
      </c>
    </row>
    <row r="59" spans="1:37" s="40" customFormat="1" ht="12" hidden="1" customHeight="1">
      <c r="A59" s="9">
        <v>54</v>
      </c>
      <c r="B59" s="9" t="s">
        <v>140</v>
      </c>
      <c r="C59" s="9">
        <v>6</v>
      </c>
      <c r="D59" s="8" t="s">
        <v>40</v>
      </c>
      <c r="E59" s="9" t="s">
        <v>118</v>
      </c>
      <c r="F59" s="8"/>
      <c r="G59" s="9"/>
      <c r="H59" s="9" t="s">
        <v>1588</v>
      </c>
      <c r="I59" s="9" t="s">
        <v>14</v>
      </c>
      <c r="J59" s="658">
        <v>0</v>
      </c>
      <c r="K59" s="117">
        <v>1397300</v>
      </c>
      <c r="L59" s="117">
        <v>0</v>
      </c>
      <c r="M59" s="9"/>
      <c r="N59" s="120">
        <f t="shared" si="20"/>
        <v>1397300</v>
      </c>
      <c r="O59" s="197" t="s">
        <v>194</v>
      </c>
      <c r="P59" s="197" t="s">
        <v>114</v>
      </c>
      <c r="Q59" s="175"/>
      <c r="R59" s="175"/>
      <c r="S59" s="116">
        <v>0</v>
      </c>
      <c r="T59" s="116">
        <v>0</v>
      </c>
      <c r="U59" s="820">
        <v>1397300</v>
      </c>
      <c r="V59" s="210">
        <f t="shared" si="18"/>
        <v>0</v>
      </c>
      <c r="W59" s="115">
        <f t="shared" si="19"/>
        <v>0</v>
      </c>
      <c r="X59" s="119" t="s">
        <v>237</v>
      </c>
      <c r="Y59" s="117"/>
      <c r="Z59" s="186"/>
      <c r="AA59" s="592">
        <f t="shared" si="4"/>
        <v>0</v>
      </c>
      <c r="AB59" s="186"/>
      <c r="AC59" s="9"/>
      <c r="AD59" s="297"/>
      <c r="AE59" s="297">
        <f t="shared" si="16"/>
        <v>0</v>
      </c>
      <c r="AF59" s="9"/>
      <c r="AG59" s="9" t="s">
        <v>1395</v>
      </c>
      <c r="AH59" s="300">
        <v>42713</v>
      </c>
      <c r="AI59" s="9" t="s">
        <v>1423</v>
      </c>
      <c r="AJ59" s="300">
        <v>42713</v>
      </c>
      <c r="AK59" s="73" t="str">
        <f t="shared" si="3"/>
        <v>MADHANI TALATAH NUSANTARA, PTJAN</v>
      </c>
    </row>
    <row r="60" spans="1:37" s="40" customFormat="1" ht="12" hidden="1" customHeight="1">
      <c r="A60" s="9">
        <v>55</v>
      </c>
      <c r="B60" s="9" t="s">
        <v>140</v>
      </c>
      <c r="C60" s="9">
        <v>6</v>
      </c>
      <c r="D60" s="8" t="s">
        <v>40</v>
      </c>
      <c r="E60" s="9" t="s">
        <v>118</v>
      </c>
      <c r="F60" s="8"/>
      <c r="G60" s="9"/>
      <c r="H60" s="9" t="s">
        <v>1589</v>
      </c>
      <c r="I60" s="9" t="s">
        <v>14</v>
      </c>
      <c r="J60" s="658">
        <v>0</v>
      </c>
      <c r="K60" s="117">
        <v>1264800</v>
      </c>
      <c r="L60" s="117">
        <v>0</v>
      </c>
      <c r="M60" s="9"/>
      <c r="N60" s="120">
        <f t="shared" si="20"/>
        <v>1264800</v>
      </c>
      <c r="O60" s="197" t="s">
        <v>194</v>
      </c>
      <c r="P60" s="197" t="s">
        <v>114</v>
      </c>
      <c r="Q60" s="175"/>
      <c r="R60" s="175"/>
      <c r="S60" s="116">
        <v>0</v>
      </c>
      <c r="T60" s="116">
        <v>0</v>
      </c>
      <c r="U60" s="820">
        <v>1264800</v>
      </c>
      <c r="V60" s="210">
        <f t="shared" si="18"/>
        <v>0</v>
      </c>
      <c r="W60" s="115">
        <f t="shared" si="19"/>
        <v>0</v>
      </c>
      <c r="X60" s="119" t="s">
        <v>237</v>
      </c>
      <c r="Y60" s="117"/>
      <c r="Z60" s="186"/>
      <c r="AA60" s="592">
        <f t="shared" si="4"/>
        <v>0</v>
      </c>
      <c r="AB60" s="186"/>
      <c r="AC60" s="9"/>
      <c r="AD60" s="297"/>
      <c r="AE60" s="297">
        <f t="shared" si="16"/>
        <v>0</v>
      </c>
      <c r="AF60" s="9"/>
      <c r="AG60" s="9" t="s">
        <v>1395</v>
      </c>
      <c r="AH60" s="300">
        <v>42713</v>
      </c>
      <c r="AI60" s="9" t="s">
        <v>1423</v>
      </c>
      <c r="AJ60" s="300">
        <v>42713</v>
      </c>
      <c r="AK60" s="73" t="str">
        <f t="shared" si="3"/>
        <v>MADHANI TALATAH NUSANTARA, PTJAN</v>
      </c>
    </row>
    <row r="61" spans="1:37" s="40" customFormat="1" ht="12" hidden="1" customHeight="1">
      <c r="A61" s="9">
        <v>56</v>
      </c>
      <c r="B61" s="9" t="s">
        <v>140</v>
      </c>
      <c r="C61" s="9">
        <v>28</v>
      </c>
      <c r="D61" s="8" t="s">
        <v>40</v>
      </c>
      <c r="E61" s="9" t="s">
        <v>354</v>
      </c>
      <c r="F61" s="8"/>
      <c r="G61" s="9"/>
      <c r="H61" s="9" t="s">
        <v>1631</v>
      </c>
      <c r="I61" s="9" t="s">
        <v>1642</v>
      </c>
      <c r="J61" s="658">
        <v>0</v>
      </c>
      <c r="K61" s="117">
        <v>27937900</v>
      </c>
      <c r="L61" s="117">
        <f t="shared" ref="L61:L75" si="22">K61*10%</f>
        <v>2793790</v>
      </c>
      <c r="M61" s="9"/>
      <c r="N61" s="120">
        <f t="shared" si="20"/>
        <v>30731690</v>
      </c>
      <c r="O61" s="197" t="s">
        <v>194</v>
      </c>
      <c r="P61" s="197" t="s">
        <v>114</v>
      </c>
      <c r="Q61" s="175"/>
      <c r="R61" s="175"/>
      <c r="S61" s="116">
        <v>0</v>
      </c>
      <c r="T61" s="116">
        <f t="shared" si="21"/>
        <v>-558758</v>
      </c>
      <c r="U61" s="820">
        <v>30172932</v>
      </c>
      <c r="V61" s="210">
        <f t="shared" si="18"/>
        <v>0</v>
      </c>
      <c r="W61" s="115">
        <f t="shared" si="19"/>
        <v>0</v>
      </c>
      <c r="X61" s="119" t="s">
        <v>237</v>
      </c>
      <c r="Y61" s="117"/>
      <c r="Z61" s="186"/>
      <c r="AA61" s="592">
        <f t="shared" si="4"/>
        <v>0</v>
      </c>
      <c r="AB61" s="186"/>
      <c r="AC61" s="300">
        <v>42735</v>
      </c>
      <c r="AD61" s="297">
        <v>558758</v>
      </c>
      <c r="AE61" s="297">
        <f t="shared" si="16"/>
        <v>0</v>
      </c>
      <c r="AF61" s="9" t="s">
        <v>1916</v>
      </c>
      <c r="AG61" s="9" t="s">
        <v>1395</v>
      </c>
      <c r="AH61" s="300">
        <v>42732</v>
      </c>
      <c r="AI61" s="9" t="s">
        <v>1663</v>
      </c>
      <c r="AJ61" s="300">
        <v>42733</v>
      </c>
      <c r="AK61" s="73" t="str">
        <f t="shared" si="3"/>
        <v>MADHANI TALATAH NUSANTARA, PTJAN</v>
      </c>
    </row>
    <row r="62" spans="1:37" s="40" customFormat="1" ht="12" hidden="1" customHeight="1">
      <c r="A62" s="9">
        <v>57</v>
      </c>
      <c r="B62" s="9" t="s">
        <v>140</v>
      </c>
      <c r="C62" s="9">
        <v>28</v>
      </c>
      <c r="D62" s="8" t="s">
        <v>40</v>
      </c>
      <c r="E62" s="9" t="s">
        <v>354</v>
      </c>
      <c r="F62" s="8"/>
      <c r="G62" s="9"/>
      <c r="H62" s="9" t="s">
        <v>1632</v>
      </c>
      <c r="I62" s="9" t="s">
        <v>1643</v>
      </c>
      <c r="J62" s="658">
        <v>0</v>
      </c>
      <c r="K62" s="117">
        <v>27937900</v>
      </c>
      <c r="L62" s="117">
        <f t="shared" si="22"/>
        <v>2793790</v>
      </c>
      <c r="M62" s="9"/>
      <c r="N62" s="120">
        <f t="shared" si="20"/>
        <v>30731690</v>
      </c>
      <c r="O62" s="197" t="s">
        <v>194</v>
      </c>
      <c r="P62" s="197" t="s">
        <v>114</v>
      </c>
      <c r="Q62" s="175"/>
      <c r="R62" s="175"/>
      <c r="S62" s="116">
        <v>0</v>
      </c>
      <c r="T62" s="116">
        <f t="shared" si="21"/>
        <v>-558758</v>
      </c>
      <c r="U62" s="820">
        <v>30172932</v>
      </c>
      <c r="V62" s="210">
        <f t="shared" si="18"/>
        <v>0</v>
      </c>
      <c r="W62" s="115">
        <f t="shared" si="19"/>
        <v>0</v>
      </c>
      <c r="X62" s="119" t="s">
        <v>237</v>
      </c>
      <c r="Y62" s="117"/>
      <c r="Z62" s="186"/>
      <c r="AA62" s="592">
        <f t="shared" si="4"/>
        <v>0</v>
      </c>
      <c r="AB62" s="186"/>
      <c r="AC62" s="300">
        <v>42735</v>
      </c>
      <c r="AD62" s="297">
        <v>558758</v>
      </c>
      <c r="AE62" s="297">
        <f t="shared" si="16"/>
        <v>0</v>
      </c>
      <c r="AF62" s="9" t="s">
        <v>1916</v>
      </c>
      <c r="AG62" s="9" t="s">
        <v>1395</v>
      </c>
      <c r="AH62" s="300">
        <v>42732</v>
      </c>
      <c r="AI62" s="9" t="s">
        <v>1663</v>
      </c>
      <c r="AJ62" s="300">
        <v>42733</v>
      </c>
      <c r="AK62" s="73" t="str">
        <f t="shared" si="3"/>
        <v>MADHANI TALATAH NUSANTARA, PTJAN</v>
      </c>
    </row>
    <row r="63" spans="1:37" s="40" customFormat="1" ht="12" hidden="1" customHeight="1">
      <c r="A63" s="9">
        <v>58</v>
      </c>
      <c r="B63" s="9" t="s">
        <v>140</v>
      </c>
      <c r="C63" s="9">
        <v>28</v>
      </c>
      <c r="D63" s="8" t="s">
        <v>40</v>
      </c>
      <c r="E63" s="9" t="s">
        <v>354</v>
      </c>
      <c r="F63" s="8"/>
      <c r="G63" s="9"/>
      <c r="H63" s="9" t="s">
        <v>1633</v>
      </c>
      <c r="I63" s="9" t="s">
        <v>1644</v>
      </c>
      <c r="J63" s="658">
        <v>0</v>
      </c>
      <c r="K63" s="117">
        <v>27937900</v>
      </c>
      <c r="L63" s="117">
        <f t="shared" si="22"/>
        <v>2793790</v>
      </c>
      <c r="M63" s="9"/>
      <c r="N63" s="120">
        <f t="shared" si="20"/>
        <v>30731690</v>
      </c>
      <c r="O63" s="197" t="s">
        <v>194</v>
      </c>
      <c r="P63" s="197" t="s">
        <v>114</v>
      </c>
      <c r="Q63" s="175"/>
      <c r="R63" s="175"/>
      <c r="S63" s="116">
        <v>0</v>
      </c>
      <c r="T63" s="116">
        <f t="shared" si="21"/>
        <v>-558758</v>
      </c>
      <c r="U63" s="820">
        <v>30172932</v>
      </c>
      <c r="V63" s="210">
        <f t="shared" si="18"/>
        <v>0</v>
      </c>
      <c r="W63" s="115">
        <f t="shared" si="19"/>
        <v>0</v>
      </c>
      <c r="X63" s="119" t="s">
        <v>237</v>
      </c>
      <c r="Y63" s="117"/>
      <c r="Z63" s="186"/>
      <c r="AA63" s="592">
        <f t="shared" si="4"/>
        <v>0</v>
      </c>
      <c r="AB63" s="186"/>
      <c r="AC63" s="300">
        <v>42735</v>
      </c>
      <c r="AD63" s="297">
        <v>558758</v>
      </c>
      <c r="AE63" s="297">
        <f t="shared" si="16"/>
        <v>0</v>
      </c>
      <c r="AF63" s="9" t="s">
        <v>1916</v>
      </c>
      <c r="AG63" s="9" t="s">
        <v>1395</v>
      </c>
      <c r="AH63" s="300">
        <v>42732</v>
      </c>
      <c r="AI63" s="9" t="s">
        <v>1663</v>
      </c>
      <c r="AJ63" s="300">
        <v>42733</v>
      </c>
      <c r="AK63" s="73" t="str">
        <f t="shared" si="3"/>
        <v>MADHANI TALATAH NUSANTARA, PTJAN</v>
      </c>
    </row>
    <row r="64" spans="1:37" s="40" customFormat="1" ht="12" hidden="1" customHeight="1">
      <c r="A64" s="9">
        <v>59</v>
      </c>
      <c r="B64" s="9" t="s">
        <v>140</v>
      </c>
      <c r="C64" s="9">
        <v>28</v>
      </c>
      <c r="D64" s="8" t="s">
        <v>40</v>
      </c>
      <c r="E64" s="9" t="s">
        <v>355</v>
      </c>
      <c r="F64" s="8"/>
      <c r="G64" s="9"/>
      <c r="H64" s="9" t="s">
        <v>1634</v>
      </c>
      <c r="I64" s="9" t="s">
        <v>1645</v>
      </c>
      <c r="J64" s="658">
        <v>0</v>
      </c>
      <c r="K64" s="117">
        <v>28580900</v>
      </c>
      <c r="L64" s="117">
        <f t="shared" si="22"/>
        <v>2858090</v>
      </c>
      <c r="M64" s="9"/>
      <c r="N64" s="120">
        <f t="shared" si="20"/>
        <v>31438990</v>
      </c>
      <c r="O64" s="197" t="s">
        <v>194</v>
      </c>
      <c r="P64" s="197" t="s">
        <v>114</v>
      </c>
      <c r="Q64" s="175"/>
      <c r="R64" s="175"/>
      <c r="S64" s="116">
        <v>0</v>
      </c>
      <c r="T64" s="116">
        <f t="shared" si="21"/>
        <v>-571618</v>
      </c>
      <c r="U64" s="820">
        <v>30867372</v>
      </c>
      <c r="V64" s="210">
        <f t="shared" si="18"/>
        <v>0</v>
      </c>
      <c r="W64" s="115">
        <f t="shared" si="19"/>
        <v>0</v>
      </c>
      <c r="X64" s="119" t="s">
        <v>237</v>
      </c>
      <c r="Y64" s="117"/>
      <c r="Z64" s="186"/>
      <c r="AA64" s="592">
        <f t="shared" si="4"/>
        <v>0</v>
      </c>
      <c r="AB64" s="186"/>
      <c r="AC64" s="300">
        <v>42735</v>
      </c>
      <c r="AD64" s="297">
        <v>571618</v>
      </c>
      <c r="AE64" s="297">
        <f t="shared" si="16"/>
        <v>0</v>
      </c>
      <c r="AF64" s="9" t="s">
        <v>1916</v>
      </c>
      <c r="AG64" s="9" t="s">
        <v>1395</v>
      </c>
      <c r="AH64" s="300">
        <v>42732</v>
      </c>
      <c r="AI64" s="9" t="s">
        <v>1663</v>
      </c>
      <c r="AJ64" s="300">
        <v>42733</v>
      </c>
      <c r="AK64" s="73" t="str">
        <f t="shared" si="3"/>
        <v>MADHANI TALATAH NUSANTARA, PTJAN</v>
      </c>
    </row>
    <row r="65" spans="1:37" s="40" customFormat="1" ht="12" hidden="1" customHeight="1">
      <c r="A65" s="9">
        <v>60</v>
      </c>
      <c r="B65" s="9" t="s">
        <v>140</v>
      </c>
      <c r="C65" s="9">
        <v>28</v>
      </c>
      <c r="D65" s="8" t="s">
        <v>40</v>
      </c>
      <c r="E65" s="9" t="s">
        <v>355</v>
      </c>
      <c r="F65" s="8"/>
      <c r="G65" s="9"/>
      <c r="H65" s="9" t="s">
        <v>1635</v>
      </c>
      <c r="I65" s="9" t="s">
        <v>1646</v>
      </c>
      <c r="J65" s="658">
        <v>0</v>
      </c>
      <c r="K65" s="117">
        <v>28580900</v>
      </c>
      <c r="L65" s="117">
        <f t="shared" si="22"/>
        <v>2858090</v>
      </c>
      <c r="M65" s="9"/>
      <c r="N65" s="120">
        <f t="shared" si="20"/>
        <v>31438990</v>
      </c>
      <c r="O65" s="197" t="s">
        <v>194</v>
      </c>
      <c r="P65" s="197" t="s">
        <v>114</v>
      </c>
      <c r="Q65" s="175"/>
      <c r="R65" s="175"/>
      <c r="S65" s="116">
        <v>0</v>
      </c>
      <c r="T65" s="116">
        <f t="shared" si="21"/>
        <v>-571618</v>
      </c>
      <c r="U65" s="820">
        <v>30867372</v>
      </c>
      <c r="V65" s="210">
        <f t="shared" si="18"/>
        <v>0</v>
      </c>
      <c r="W65" s="115">
        <f t="shared" si="19"/>
        <v>0</v>
      </c>
      <c r="X65" s="119" t="s">
        <v>237</v>
      </c>
      <c r="Y65" s="117"/>
      <c r="Z65" s="186"/>
      <c r="AA65" s="592">
        <f t="shared" si="4"/>
        <v>0</v>
      </c>
      <c r="AB65" s="186"/>
      <c r="AC65" s="300">
        <v>42735</v>
      </c>
      <c r="AD65" s="297">
        <v>571618</v>
      </c>
      <c r="AE65" s="297">
        <f t="shared" si="16"/>
        <v>0</v>
      </c>
      <c r="AF65" s="9" t="s">
        <v>1916</v>
      </c>
      <c r="AG65" s="9" t="s">
        <v>1395</v>
      </c>
      <c r="AH65" s="300">
        <v>42732</v>
      </c>
      <c r="AI65" s="9" t="s">
        <v>1663</v>
      </c>
      <c r="AJ65" s="300">
        <v>42733</v>
      </c>
      <c r="AK65" s="73" t="str">
        <f t="shared" si="3"/>
        <v>MADHANI TALATAH NUSANTARA, PTJAN</v>
      </c>
    </row>
    <row r="66" spans="1:37" s="40" customFormat="1" ht="12" hidden="1" customHeight="1">
      <c r="A66" s="9">
        <v>61</v>
      </c>
      <c r="B66" s="9" t="s">
        <v>140</v>
      </c>
      <c r="C66" s="9">
        <v>28</v>
      </c>
      <c r="D66" s="8" t="s">
        <v>40</v>
      </c>
      <c r="E66" s="9" t="s">
        <v>355</v>
      </c>
      <c r="F66" s="8"/>
      <c r="G66" s="9"/>
      <c r="H66" s="9" t="s">
        <v>1636</v>
      </c>
      <c r="I66" s="9" t="s">
        <v>1647</v>
      </c>
      <c r="J66" s="658">
        <v>0</v>
      </c>
      <c r="K66" s="117">
        <v>28580900</v>
      </c>
      <c r="L66" s="117">
        <f t="shared" si="22"/>
        <v>2858090</v>
      </c>
      <c r="M66" s="9"/>
      <c r="N66" s="120">
        <f t="shared" si="20"/>
        <v>31438990</v>
      </c>
      <c r="O66" s="197" t="s">
        <v>194</v>
      </c>
      <c r="P66" s="197" t="s">
        <v>114</v>
      </c>
      <c r="Q66" s="175"/>
      <c r="R66" s="175"/>
      <c r="S66" s="116">
        <v>0</v>
      </c>
      <c r="T66" s="116">
        <f t="shared" si="21"/>
        <v>-571618</v>
      </c>
      <c r="U66" s="820">
        <v>30867372</v>
      </c>
      <c r="V66" s="210">
        <f t="shared" si="18"/>
        <v>0</v>
      </c>
      <c r="W66" s="115">
        <f t="shared" si="19"/>
        <v>0</v>
      </c>
      <c r="X66" s="119" t="s">
        <v>237</v>
      </c>
      <c r="Y66" s="117"/>
      <c r="Z66" s="186"/>
      <c r="AA66" s="592">
        <f t="shared" si="4"/>
        <v>0</v>
      </c>
      <c r="AB66" s="186"/>
      <c r="AC66" s="300">
        <v>42735</v>
      </c>
      <c r="AD66" s="297">
        <v>571618</v>
      </c>
      <c r="AE66" s="297">
        <f t="shared" si="16"/>
        <v>0</v>
      </c>
      <c r="AF66" s="9" t="s">
        <v>1916</v>
      </c>
      <c r="AG66" s="9" t="s">
        <v>1395</v>
      </c>
      <c r="AH66" s="300">
        <v>42732</v>
      </c>
      <c r="AI66" s="9" t="s">
        <v>1663</v>
      </c>
      <c r="AJ66" s="300">
        <v>42733</v>
      </c>
      <c r="AK66" s="73" t="str">
        <f t="shared" si="3"/>
        <v>MADHANI TALATAH NUSANTARA, PTJAN</v>
      </c>
    </row>
    <row r="67" spans="1:37" s="40" customFormat="1" ht="12" hidden="1" customHeight="1">
      <c r="A67" s="9">
        <v>62</v>
      </c>
      <c r="B67" s="9" t="s">
        <v>140</v>
      </c>
      <c r="C67" s="9">
        <v>28</v>
      </c>
      <c r="D67" s="8" t="s">
        <v>40</v>
      </c>
      <c r="E67" s="9" t="s">
        <v>448</v>
      </c>
      <c r="F67" s="8"/>
      <c r="G67" s="9"/>
      <c r="H67" s="9" t="s">
        <v>1637</v>
      </c>
      <c r="I67" s="9" t="s">
        <v>1648</v>
      </c>
      <c r="J67" s="658">
        <v>0</v>
      </c>
      <c r="K67" s="117">
        <f>28580900+6583500</f>
        <v>35164400</v>
      </c>
      <c r="L67" s="117">
        <f t="shared" si="22"/>
        <v>3516440</v>
      </c>
      <c r="M67" s="9"/>
      <c r="N67" s="120">
        <f t="shared" si="20"/>
        <v>38680840</v>
      </c>
      <c r="O67" s="197" t="s">
        <v>194</v>
      </c>
      <c r="P67" s="197" t="s">
        <v>114</v>
      </c>
      <c r="Q67" s="175"/>
      <c r="R67" s="175"/>
      <c r="S67" s="116">
        <v>0</v>
      </c>
      <c r="T67" s="116">
        <f t="shared" si="21"/>
        <v>-703288</v>
      </c>
      <c r="U67" s="820">
        <v>37977552</v>
      </c>
      <c r="V67" s="210">
        <f t="shared" si="18"/>
        <v>0</v>
      </c>
      <c r="W67" s="115">
        <f t="shared" si="19"/>
        <v>0</v>
      </c>
      <c r="X67" s="119" t="s">
        <v>237</v>
      </c>
      <c r="Y67" s="117"/>
      <c r="Z67" s="186"/>
      <c r="AA67" s="592">
        <f t="shared" si="4"/>
        <v>0</v>
      </c>
      <c r="AB67" s="186"/>
      <c r="AC67" s="300">
        <v>42735</v>
      </c>
      <c r="AD67" s="297">
        <v>703288</v>
      </c>
      <c r="AE67" s="297">
        <f t="shared" si="16"/>
        <v>0</v>
      </c>
      <c r="AF67" s="9" t="s">
        <v>1916</v>
      </c>
      <c r="AG67" s="9" t="s">
        <v>1395</v>
      </c>
      <c r="AH67" s="300">
        <v>42732</v>
      </c>
      <c r="AI67" s="9" t="s">
        <v>1663</v>
      </c>
      <c r="AJ67" s="300">
        <v>42733</v>
      </c>
      <c r="AK67" s="73" t="str">
        <f t="shared" si="3"/>
        <v>MADHANI TALATAH NUSANTARA, PTJAN</v>
      </c>
    </row>
    <row r="68" spans="1:37" s="40" customFormat="1" ht="12" hidden="1" customHeight="1">
      <c r="A68" s="9">
        <v>63</v>
      </c>
      <c r="B68" s="9" t="s">
        <v>140</v>
      </c>
      <c r="C68" s="9">
        <v>28</v>
      </c>
      <c r="D68" s="8" t="s">
        <v>40</v>
      </c>
      <c r="E68" s="9" t="s">
        <v>355</v>
      </c>
      <c r="F68" s="8"/>
      <c r="G68" s="9"/>
      <c r="H68" s="9" t="s">
        <v>1638</v>
      </c>
      <c r="I68" s="9" t="s">
        <v>1649</v>
      </c>
      <c r="J68" s="658">
        <v>0</v>
      </c>
      <c r="K68" s="117">
        <v>28580900</v>
      </c>
      <c r="L68" s="117">
        <f t="shared" si="22"/>
        <v>2858090</v>
      </c>
      <c r="M68" s="9"/>
      <c r="N68" s="120">
        <f t="shared" si="20"/>
        <v>31438990</v>
      </c>
      <c r="O68" s="197" t="s">
        <v>194</v>
      </c>
      <c r="P68" s="197" t="s">
        <v>114</v>
      </c>
      <c r="Q68" s="175"/>
      <c r="R68" s="175"/>
      <c r="S68" s="116">
        <v>0</v>
      </c>
      <c r="T68" s="116">
        <f t="shared" si="21"/>
        <v>-571618</v>
      </c>
      <c r="U68" s="820">
        <v>30867372</v>
      </c>
      <c r="V68" s="210">
        <f t="shared" si="18"/>
        <v>0</v>
      </c>
      <c r="W68" s="115">
        <f t="shared" si="19"/>
        <v>0</v>
      </c>
      <c r="X68" s="119" t="s">
        <v>237</v>
      </c>
      <c r="Y68" s="117"/>
      <c r="Z68" s="186"/>
      <c r="AA68" s="592">
        <f t="shared" si="4"/>
        <v>0</v>
      </c>
      <c r="AB68" s="186"/>
      <c r="AC68" s="300">
        <v>42735</v>
      </c>
      <c r="AD68" s="297">
        <v>571618</v>
      </c>
      <c r="AE68" s="297">
        <f t="shared" si="16"/>
        <v>0</v>
      </c>
      <c r="AF68" s="9" t="s">
        <v>1916</v>
      </c>
      <c r="AG68" s="9" t="s">
        <v>1395</v>
      </c>
      <c r="AH68" s="300">
        <v>42732</v>
      </c>
      <c r="AI68" s="9" t="s">
        <v>1663</v>
      </c>
      <c r="AJ68" s="300">
        <v>42733</v>
      </c>
      <c r="AK68" s="73" t="str">
        <f t="shared" si="3"/>
        <v>MADHANI TALATAH NUSANTARA, PTJAN</v>
      </c>
    </row>
    <row r="69" spans="1:37" s="40" customFormat="1" ht="12" hidden="1" customHeight="1">
      <c r="A69" s="9">
        <v>64</v>
      </c>
      <c r="B69" s="9" t="s">
        <v>140</v>
      </c>
      <c r="C69" s="9">
        <v>28</v>
      </c>
      <c r="D69" s="8" t="s">
        <v>40</v>
      </c>
      <c r="E69" s="9" t="s">
        <v>364</v>
      </c>
      <c r="F69" s="8"/>
      <c r="G69" s="9"/>
      <c r="H69" s="9" t="s">
        <v>1639</v>
      </c>
      <c r="I69" s="9" t="s">
        <v>1650</v>
      </c>
      <c r="J69" s="658">
        <v>0</v>
      </c>
      <c r="K69" s="117">
        <v>9500000</v>
      </c>
      <c r="L69" s="117">
        <f t="shared" si="22"/>
        <v>950000</v>
      </c>
      <c r="M69" s="9"/>
      <c r="N69" s="120">
        <f t="shared" si="20"/>
        <v>10450000</v>
      </c>
      <c r="O69" s="197" t="s">
        <v>194</v>
      </c>
      <c r="P69" s="197" t="s">
        <v>114</v>
      </c>
      <c r="Q69" s="175"/>
      <c r="R69" s="175"/>
      <c r="S69" s="116">
        <v>0</v>
      </c>
      <c r="T69" s="116">
        <f t="shared" si="21"/>
        <v>-190000</v>
      </c>
      <c r="U69" s="820">
        <v>10260000</v>
      </c>
      <c r="V69" s="210">
        <f t="shared" si="18"/>
        <v>0</v>
      </c>
      <c r="W69" s="115">
        <f t="shared" si="19"/>
        <v>0</v>
      </c>
      <c r="X69" s="119" t="s">
        <v>237</v>
      </c>
      <c r="Y69" s="117"/>
      <c r="Z69" s="186"/>
      <c r="AA69" s="592">
        <f t="shared" si="4"/>
        <v>0</v>
      </c>
      <c r="AB69" s="186"/>
      <c r="AC69" s="300">
        <v>42735</v>
      </c>
      <c r="AD69" s="297">
        <v>190000</v>
      </c>
      <c r="AE69" s="297">
        <f t="shared" si="16"/>
        <v>0</v>
      </c>
      <c r="AF69" s="9" t="s">
        <v>1916</v>
      </c>
      <c r="AG69" s="9" t="s">
        <v>1395</v>
      </c>
      <c r="AH69" s="300">
        <v>42732</v>
      </c>
      <c r="AI69" s="9" t="s">
        <v>1663</v>
      </c>
      <c r="AJ69" s="300">
        <v>42733</v>
      </c>
      <c r="AK69" s="73" t="str">
        <f t="shared" si="3"/>
        <v>MADHANI TALATAH NUSANTARA, PTJAN</v>
      </c>
    </row>
    <row r="70" spans="1:37" s="40" customFormat="1" ht="12" hidden="1" customHeight="1">
      <c r="A70" s="9">
        <v>65</v>
      </c>
      <c r="B70" s="9" t="s">
        <v>140</v>
      </c>
      <c r="C70" s="9">
        <v>29</v>
      </c>
      <c r="D70" s="8" t="s">
        <v>40</v>
      </c>
      <c r="E70" s="9" t="s">
        <v>1652</v>
      </c>
      <c r="F70" s="8"/>
      <c r="G70" s="9"/>
      <c r="H70" s="9" t="s">
        <v>1653</v>
      </c>
      <c r="I70" s="9" t="s">
        <v>1654</v>
      </c>
      <c r="J70" s="658">
        <v>0</v>
      </c>
      <c r="K70" s="117">
        <v>11000000</v>
      </c>
      <c r="L70" s="117">
        <f t="shared" si="22"/>
        <v>1100000</v>
      </c>
      <c r="M70" s="9"/>
      <c r="N70" s="120">
        <f t="shared" si="20"/>
        <v>12100000</v>
      </c>
      <c r="O70" s="197" t="s">
        <v>194</v>
      </c>
      <c r="P70" s="197" t="s">
        <v>114</v>
      </c>
      <c r="Q70" s="175"/>
      <c r="R70" s="175"/>
      <c r="S70" s="116">
        <v>0</v>
      </c>
      <c r="T70" s="116">
        <f t="shared" si="21"/>
        <v>-220000</v>
      </c>
      <c r="U70" s="820">
        <v>11880000</v>
      </c>
      <c r="V70" s="210">
        <f t="shared" si="18"/>
        <v>0</v>
      </c>
      <c r="W70" s="115">
        <f t="shared" si="19"/>
        <v>0</v>
      </c>
      <c r="X70" s="119" t="s">
        <v>237</v>
      </c>
      <c r="Y70" s="117"/>
      <c r="Z70" s="186"/>
      <c r="AA70" s="592">
        <f t="shared" si="4"/>
        <v>0</v>
      </c>
      <c r="AB70" s="186"/>
      <c r="AC70" s="9"/>
      <c r="AD70" s="297"/>
      <c r="AE70" s="297">
        <f t="shared" si="16"/>
        <v>220000</v>
      </c>
      <c r="AF70" s="9"/>
      <c r="AG70" s="9" t="s">
        <v>1395</v>
      </c>
      <c r="AH70" s="300">
        <v>42734</v>
      </c>
      <c r="AI70" s="9"/>
      <c r="AJ70" s="300"/>
      <c r="AK70" s="73" t="str">
        <f t="shared" si="3"/>
        <v>MADHANI TALATAH NUSANTARA, PTJAN</v>
      </c>
    </row>
    <row r="71" spans="1:37" s="40" customFormat="1" ht="12" hidden="1" customHeight="1">
      <c r="A71" s="9">
        <v>66</v>
      </c>
      <c r="B71" s="9" t="s">
        <v>140</v>
      </c>
      <c r="C71" s="9">
        <v>30</v>
      </c>
      <c r="D71" s="8" t="s">
        <v>159</v>
      </c>
      <c r="E71" s="9" t="s">
        <v>355</v>
      </c>
      <c r="F71" s="8"/>
      <c r="G71" s="9"/>
      <c r="H71" s="9" t="s">
        <v>1722</v>
      </c>
      <c r="I71" s="9" t="s">
        <v>1723</v>
      </c>
      <c r="J71" s="658">
        <v>0</v>
      </c>
      <c r="K71" s="117">
        <v>13300000</v>
      </c>
      <c r="L71" s="117">
        <f t="shared" si="22"/>
        <v>1330000</v>
      </c>
      <c r="M71" s="9"/>
      <c r="N71" s="120">
        <f t="shared" si="20"/>
        <v>14630000</v>
      </c>
      <c r="O71" s="197" t="s">
        <v>194</v>
      </c>
      <c r="P71" s="197" t="s">
        <v>101</v>
      </c>
      <c r="Q71" s="175"/>
      <c r="R71" s="175"/>
      <c r="S71" s="116">
        <v>0</v>
      </c>
      <c r="T71" s="116">
        <f t="shared" si="21"/>
        <v>-266000</v>
      </c>
      <c r="U71" s="117">
        <v>14364000</v>
      </c>
      <c r="V71" s="210">
        <f t="shared" si="18"/>
        <v>0</v>
      </c>
      <c r="W71" s="115">
        <f t="shared" si="19"/>
        <v>0</v>
      </c>
      <c r="X71" s="119" t="s">
        <v>237</v>
      </c>
      <c r="Y71" s="117"/>
      <c r="Z71" s="186"/>
      <c r="AA71" s="592">
        <f t="shared" si="4"/>
        <v>0</v>
      </c>
      <c r="AB71" s="186"/>
      <c r="AC71" s="300">
        <v>42735</v>
      </c>
      <c r="AD71" s="297">
        <v>266000</v>
      </c>
      <c r="AE71" s="297">
        <f t="shared" si="16"/>
        <v>0</v>
      </c>
      <c r="AF71" s="9" t="s">
        <v>2030</v>
      </c>
      <c r="AG71" s="9"/>
      <c r="AH71" s="300">
        <v>42746</v>
      </c>
      <c r="AI71" s="9"/>
      <c r="AJ71" s="300"/>
      <c r="AK71" s="73" t="str">
        <f t="shared" ref="AK71:AK99" si="23">CONCATENATE(D71,O71)</f>
        <v>MANDIRI HERINDO ADIPERKASA, PTJAN</v>
      </c>
    </row>
    <row r="72" spans="1:37" s="40" customFormat="1" ht="12" hidden="1" customHeight="1">
      <c r="A72" s="9">
        <v>67</v>
      </c>
      <c r="B72" s="9" t="s">
        <v>140</v>
      </c>
      <c r="C72" s="9">
        <v>30</v>
      </c>
      <c r="D72" s="8" t="s">
        <v>159</v>
      </c>
      <c r="E72" s="9" t="s">
        <v>364</v>
      </c>
      <c r="F72" s="8"/>
      <c r="G72" s="9"/>
      <c r="H72" s="9" t="s">
        <v>1724</v>
      </c>
      <c r="I72" s="9" t="s">
        <v>1725</v>
      </c>
      <c r="J72" s="658">
        <v>0</v>
      </c>
      <c r="K72" s="117">
        <v>500000</v>
      </c>
      <c r="L72" s="117">
        <f t="shared" si="22"/>
        <v>50000</v>
      </c>
      <c r="M72" s="9"/>
      <c r="N72" s="120">
        <f t="shared" si="20"/>
        <v>550000</v>
      </c>
      <c r="O72" s="197" t="s">
        <v>194</v>
      </c>
      <c r="P72" s="197" t="s">
        <v>101</v>
      </c>
      <c r="Q72" s="175"/>
      <c r="R72" s="175"/>
      <c r="S72" s="116">
        <v>0</v>
      </c>
      <c r="T72" s="116">
        <f t="shared" si="21"/>
        <v>-10000</v>
      </c>
      <c r="U72" s="117">
        <v>540000</v>
      </c>
      <c r="V72" s="210">
        <f t="shared" si="18"/>
        <v>0</v>
      </c>
      <c r="W72" s="115">
        <f t="shared" si="19"/>
        <v>0</v>
      </c>
      <c r="X72" s="119" t="s">
        <v>237</v>
      </c>
      <c r="Y72" s="117"/>
      <c r="Z72" s="186"/>
      <c r="AA72" s="592">
        <f t="shared" si="4"/>
        <v>0</v>
      </c>
      <c r="AB72" s="186"/>
      <c r="AC72" s="300">
        <v>42735</v>
      </c>
      <c r="AD72" s="297">
        <v>10000</v>
      </c>
      <c r="AE72" s="297">
        <f t="shared" si="16"/>
        <v>0</v>
      </c>
      <c r="AF72" s="9" t="s">
        <v>2031</v>
      </c>
      <c r="AG72" s="9"/>
      <c r="AH72" s="300">
        <v>42746</v>
      </c>
      <c r="AI72" s="9"/>
      <c r="AJ72" s="300"/>
      <c r="AK72" s="73" t="str">
        <f t="shared" si="23"/>
        <v>MANDIRI HERINDO ADIPERKASA, PTJAN</v>
      </c>
    </row>
    <row r="73" spans="1:37" s="40" customFormat="1" ht="12" hidden="1" customHeight="1">
      <c r="A73" s="9">
        <v>68</v>
      </c>
      <c r="B73" s="9" t="s">
        <v>140</v>
      </c>
      <c r="C73" s="9">
        <v>30</v>
      </c>
      <c r="D73" s="8" t="s">
        <v>159</v>
      </c>
      <c r="E73" s="9" t="s">
        <v>357</v>
      </c>
      <c r="F73" s="8"/>
      <c r="G73" s="9"/>
      <c r="H73" s="9" t="s">
        <v>1727</v>
      </c>
      <c r="I73" s="9" t="s">
        <v>1726</v>
      </c>
      <c r="J73" s="658">
        <v>0</v>
      </c>
      <c r="K73" s="117">
        <v>1000000</v>
      </c>
      <c r="L73" s="117">
        <f t="shared" si="22"/>
        <v>100000</v>
      </c>
      <c r="M73" s="9"/>
      <c r="N73" s="120">
        <f t="shared" si="20"/>
        <v>1100000</v>
      </c>
      <c r="O73" s="197" t="s">
        <v>194</v>
      </c>
      <c r="P73" s="197" t="s">
        <v>101</v>
      </c>
      <c r="Q73" s="175"/>
      <c r="R73" s="175"/>
      <c r="S73" s="116">
        <v>0</v>
      </c>
      <c r="T73" s="116">
        <f t="shared" si="21"/>
        <v>-20000</v>
      </c>
      <c r="U73" s="117">
        <v>1080000</v>
      </c>
      <c r="V73" s="210">
        <f t="shared" si="18"/>
        <v>0</v>
      </c>
      <c r="W73" s="115">
        <f t="shared" si="19"/>
        <v>0</v>
      </c>
      <c r="X73" s="119" t="s">
        <v>237</v>
      </c>
      <c r="Y73" s="117"/>
      <c r="Z73" s="186"/>
      <c r="AA73" s="592">
        <f t="shared" ref="AA73:AA138" si="24">-S73-Z73</f>
        <v>0</v>
      </c>
      <c r="AB73" s="186"/>
      <c r="AC73" s="300">
        <v>42735</v>
      </c>
      <c r="AD73" s="297">
        <v>20000</v>
      </c>
      <c r="AE73" s="297">
        <f t="shared" si="16"/>
        <v>0</v>
      </c>
      <c r="AF73" s="9" t="s">
        <v>2032</v>
      </c>
      <c r="AG73" s="9"/>
      <c r="AH73" s="300">
        <v>42746</v>
      </c>
      <c r="AI73" s="9"/>
      <c r="AJ73" s="300"/>
      <c r="AK73" s="73" t="str">
        <f t="shared" si="23"/>
        <v>MANDIRI HERINDO ADIPERKASA, PTJAN</v>
      </c>
    </row>
    <row r="74" spans="1:37" s="40" customFormat="1" ht="12" hidden="1" customHeight="1">
      <c r="A74" s="9">
        <v>69</v>
      </c>
      <c r="B74" s="9" t="s">
        <v>238</v>
      </c>
      <c r="C74" s="9">
        <v>4</v>
      </c>
      <c r="D74" s="11" t="s">
        <v>45</v>
      </c>
      <c r="E74" s="9" t="s">
        <v>354</v>
      </c>
      <c r="F74" s="8"/>
      <c r="G74" s="9"/>
      <c r="H74" s="9" t="s">
        <v>649</v>
      </c>
      <c r="I74" s="9" t="s">
        <v>650</v>
      </c>
      <c r="J74" s="658">
        <v>0</v>
      </c>
      <c r="K74" s="116">
        <v>12000000</v>
      </c>
      <c r="L74" s="116">
        <f t="shared" si="22"/>
        <v>1200000</v>
      </c>
      <c r="M74" s="9"/>
      <c r="N74" s="189">
        <f t="shared" si="20"/>
        <v>13200000</v>
      </c>
      <c r="O74" s="197" t="s">
        <v>194</v>
      </c>
      <c r="P74" s="197" t="s">
        <v>114</v>
      </c>
      <c r="Q74" s="175"/>
      <c r="R74" s="175"/>
      <c r="S74" s="116">
        <v>0</v>
      </c>
      <c r="T74" s="116">
        <f>-K74*2%</f>
        <v>-240000</v>
      </c>
      <c r="U74" s="116">
        <v>12960000</v>
      </c>
      <c r="V74" s="210">
        <f t="shared" si="18"/>
        <v>0</v>
      </c>
      <c r="W74" s="115">
        <f t="shared" si="19"/>
        <v>0</v>
      </c>
      <c r="X74" s="181" t="s">
        <v>294</v>
      </c>
      <c r="Y74" s="116"/>
      <c r="Z74" s="186"/>
      <c r="AA74" s="592">
        <f t="shared" si="24"/>
        <v>0</v>
      </c>
      <c r="AB74" s="186"/>
      <c r="AC74" s="9"/>
      <c r="AD74" s="297"/>
      <c r="AE74" s="297">
        <f t="shared" si="16"/>
        <v>240000</v>
      </c>
      <c r="AF74" s="9"/>
      <c r="AG74" s="9" t="s">
        <v>1395</v>
      </c>
      <c r="AH74" s="300">
        <v>42682</v>
      </c>
      <c r="AI74" s="9" t="s">
        <v>1427</v>
      </c>
      <c r="AJ74" s="300">
        <v>42685</v>
      </c>
      <c r="AK74" s="73" t="str">
        <f t="shared" si="23"/>
        <v>MEDCO PAPUA INDUSTRI LESTARI, PTJAN</v>
      </c>
    </row>
    <row r="75" spans="1:37" s="40" customFormat="1" ht="12" hidden="1" customHeight="1">
      <c r="A75" s="9">
        <v>70</v>
      </c>
      <c r="B75" s="9" t="s">
        <v>140</v>
      </c>
      <c r="C75" s="9">
        <v>1</v>
      </c>
      <c r="D75" s="11" t="s">
        <v>45</v>
      </c>
      <c r="E75" s="9" t="s">
        <v>354</v>
      </c>
      <c r="F75" s="8"/>
      <c r="G75" s="9"/>
      <c r="H75" s="9" t="s">
        <v>1545</v>
      </c>
      <c r="I75" s="9" t="s">
        <v>1546</v>
      </c>
      <c r="J75" s="658">
        <v>0</v>
      </c>
      <c r="K75" s="116">
        <v>12000000</v>
      </c>
      <c r="L75" s="116">
        <f t="shared" si="22"/>
        <v>1200000</v>
      </c>
      <c r="M75" s="9"/>
      <c r="N75" s="189">
        <f t="shared" si="20"/>
        <v>13200000</v>
      </c>
      <c r="O75" s="197" t="s">
        <v>195</v>
      </c>
      <c r="P75" s="197" t="s">
        <v>87</v>
      </c>
      <c r="Q75" s="175"/>
      <c r="R75" s="175"/>
      <c r="S75" s="116">
        <v>0</v>
      </c>
      <c r="T75" s="116">
        <f>-K75*2%</f>
        <v>-240000</v>
      </c>
      <c r="U75" s="116">
        <v>12960000</v>
      </c>
      <c r="V75" s="210">
        <f t="shared" si="18"/>
        <v>0</v>
      </c>
      <c r="W75" s="115">
        <f t="shared" si="19"/>
        <v>0</v>
      </c>
      <c r="X75" s="181" t="s">
        <v>294</v>
      </c>
      <c r="Y75" s="116"/>
      <c r="Z75" s="186"/>
      <c r="AA75" s="592">
        <f t="shared" si="24"/>
        <v>0</v>
      </c>
      <c r="AB75" s="186"/>
      <c r="AC75" s="9"/>
      <c r="AD75" s="297"/>
      <c r="AE75" s="297">
        <f t="shared" si="16"/>
        <v>240000</v>
      </c>
      <c r="AF75" s="9"/>
      <c r="AG75" s="9" t="s">
        <v>1395</v>
      </c>
      <c r="AH75" s="300">
        <v>42706</v>
      </c>
      <c r="AI75" s="9" t="s">
        <v>1427</v>
      </c>
      <c r="AJ75" s="300">
        <v>42709</v>
      </c>
      <c r="AK75" s="73" t="str">
        <f t="shared" si="23"/>
        <v>MEDCO PAPUA INDUSTRI LESTARI, PTFEB</v>
      </c>
    </row>
    <row r="76" spans="1:37" s="73" customFormat="1" ht="15" hidden="1" customHeight="1">
      <c r="A76" s="9">
        <v>71</v>
      </c>
      <c r="B76" s="211" t="s">
        <v>241</v>
      </c>
      <c r="C76" s="211">
        <v>1</v>
      </c>
      <c r="D76" s="8" t="s">
        <v>208</v>
      </c>
      <c r="E76" s="9" t="s">
        <v>118</v>
      </c>
      <c r="F76" s="8"/>
      <c r="G76" s="9"/>
      <c r="H76" s="10" t="s">
        <v>258</v>
      </c>
      <c r="I76" s="218"/>
      <c r="J76" s="658">
        <v>0</v>
      </c>
      <c r="K76" s="116">
        <v>1400000</v>
      </c>
      <c r="L76" s="116">
        <v>0</v>
      </c>
      <c r="M76" s="218"/>
      <c r="N76" s="711">
        <f t="shared" ref="N76:N86" si="25">K76+L76</f>
        <v>1400000</v>
      </c>
      <c r="O76" s="211"/>
      <c r="P76" s="211"/>
      <c r="Q76" s="218"/>
      <c r="R76" s="218"/>
      <c r="S76" s="116">
        <v>0</v>
      </c>
      <c r="T76" s="116">
        <v>0</v>
      </c>
      <c r="U76" s="218"/>
      <c r="V76" s="210">
        <f t="shared" si="18"/>
        <v>0</v>
      </c>
      <c r="W76" s="511">
        <f>N76+S76-U76</f>
        <v>1400000</v>
      </c>
      <c r="X76" s="211"/>
      <c r="Y76" s="218"/>
      <c r="Z76" s="224"/>
      <c r="AA76" s="592">
        <f t="shared" si="24"/>
        <v>0</v>
      </c>
      <c r="AB76" s="224"/>
      <c r="AC76" s="9" t="s">
        <v>14</v>
      </c>
      <c r="AD76" s="297">
        <v>0</v>
      </c>
      <c r="AE76" s="297">
        <f t="shared" si="16"/>
        <v>0</v>
      </c>
      <c r="AF76" s="9" t="s">
        <v>14</v>
      </c>
      <c r="AG76" s="9"/>
      <c r="AH76" s="9"/>
      <c r="AI76" s="9"/>
      <c r="AJ76" s="211"/>
      <c r="AK76" s="73" t="str">
        <f t="shared" si="23"/>
        <v>MEDITERANIAN MEGA TRAVEL, PT</v>
      </c>
    </row>
    <row r="77" spans="1:37" s="114" customFormat="1" ht="12" hidden="1" customHeight="1">
      <c r="A77" s="9">
        <v>72</v>
      </c>
      <c r="B77" s="9" t="s">
        <v>140</v>
      </c>
      <c r="C77" s="9">
        <v>1</v>
      </c>
      <c r="D77" s="8" t="s">
        <v>133</v>
      </c>
      <c r="E77" s="9" t="s">
        <v>364</v>
      </c>
      <c r="F77" s="8"/>
      <c r="G77" s="9"/>
      <c r="H77" s="9" t="s">
        <v>1547</v>
      </c>
      <c r="I77" s="9" t="s">
        <v>1769</v>
      </c>
      <c r="J77" s="658">
        <v>0</v>
      </c>
      <c r="K77" s="118">
        <v>28991989.25</v>
      </c>
      <c r="L77" s="118">
        <f>K77*10%</f>
        <v>2899198.9250000003</v>
      </c>
      <c r="M77" s="9"/>
      <c r="N77" s="189">
        <f t="shared" si="25"/>
        <v>31891188.175000001</v>
      </c>
      <c r="O77" s="55" t="s">
        <v>194</v>
      </c>
      <c r="P77" s="55" t="s">
        <v>66</v>
      </c>
      <c r="Q77" s="176"/>
      <c r="R77" s="176"/>
      <c r="S77" s="116">
        <v>0</v>
      </c>
      <c r="T77" s="116">
        <f>-K77*2%</f>
        <v>-579839.78500000003</v>
      </c>
      <c r="U77" s="118">
        <v>31311348</v>
      </c>
      <c r="V77" s="210">
        <f>M77+Q77-R77</f>
        <v>0</v>
      </c>
      <c r="W77" s="115">
        <f>N77+S77+T77-U77</f>
        <v>0.39000000059604645</v>
      </c>
      <c r="X77" s="119" t="s">
        <v>237</v>
      </c>
      <c r="Y77" s="118"/>
      <c r="Z77" s="185"/>
      <c r="AA77" s="592">
        <f t="shared" si="24"/>
        <v>0</v>
      </c>
      <c r="AB77" s="185"/>
      <c r="AC77" s="9"/>
      <c r="AD77" s="297"/>
      <c r="AE77" s="297">
        <f t="shared" si="16"/>
        <v>579839.78500000003</v>
      </c>
      <c r="AF77" s="9"/>
      <c r="AG77" s="9" t="s">
        <v>1422</v>
      </c>
      <c r="AH77" s="300">
        <v>42706</v>
      </c>
      <c r="AI77" s="9"/>
      <c r="AJ77" s="476"/>
      <c r="AK77" s="73" t="str">
        <f t="shared" si="23"/>
        <v>METALINDO BUMI RAYA, PTJAN</v>
      </c>
    </row>
    <row r="78" spans="1:37" s="73" customFormat="1" ht="15" hidden="1" customHeight="1">
      <c r="A78" s="9">
        <v>73</v>
      </c>
      <c r="B78" s="211" t="s">
        <v>243</v>
      </c>
      <c r="C78" s="211">
        <v>28</v>
      </c>
      <c r="D78" s="8" t="s">
        <v>209</v>
      </c>
      <c r="E78" s="9" t="s">
        <v>63</v>
      </c>
      <c r="F78" s="8"/>
      <c r="G78" s="9"/>
      <c r="H78" s="10" t="s">
        <v>259</v>
      </c>
      <c r="I78" s="218"/>
      <c r="J78" s="658">
        <v>0</v>
      </c>
      <c r="K78" s="118">
        <v>35000000</v>
      </c>
      <c r="L78" s="116">
        <v>0</v>
      </c>
      <c r="M78" s="218"/>
      <c r="N78" s="711">
        <f t="shared" si="25"/>
        <v>35000000</v>
      </c>
      <c r="O78" s="211"/>
      <c r="P78" s="211"/>
      <c r="Q78" s="218"/>
      <c r="R78" s="218"/>
      <c r="S78" s="116">
        <v>0</v>
      </c>
      <c r="T78" s="116">
        <v>0</v>
      </c>
      <c r="U78" s="218"/>
      <c r="V78" s="210">
        <f t="shared" si="18"/>
        <v>0</v>
      </c>
      <c r="W78" s="511">
        <f>N78+S78-U78</f>
        <v>35000000</v>
      </c>
      <c r="X78" s="211"/>
      <c r="Y78" s="218"/>
      <c r="Z78" s="224"/>
      <c r="AA78" s="592">
        <f t="shared" si="24"/>
        <v>0</v>
      </c>
      <c r="AB78" s="224"/>
      <c r="AC78" s="9" t="s">
        <v>14</v>
      </c>
      <c r="AD78" s="297">
        <v>0</v>
      </c>
      <c r="AE78" s="297">
        <f t="shared" si="16"/>
        <v>0</v>
      </c>
      <c r="AF78" s="9" t="s">
        <v>14</v>
      </c>
      <c r="AG78" s="9"/>
      <c r="AH78" s="9"/>
      <c r="AI78" s="9"/>
      <c r="AJ78" s="211"/>
      <c r="AK78" s="73" t="str">
        <f t="shared" si="23"/>
        <v>MOBITEL ANDALAN KOMUNIKASI, PT</v>
      </c>
    </row>
    <row r="79" spans="1:37" s="73" customFormat="1" ht="15" hidden="1" customHeight="1">
      <c r="A79" s="9">
        <v>74</v>
      </c>
      <c r="B79" s="211" t="s">
        <v>238</v>
      </c>
      <c r="C79" s="211">
        <v>20</v>
      </c>
      <c r="D79" s="8" t="s">
        <v>209</v>
      </c>
      <c r="E79" s="9" t="s">
        <v>63</v>
      </c>
      <c r="F79" s="8"/>
      <c r="G79" s="9"/>
      <c r="H79" s="10" t="s">
        <v>260</v>
      </c>
      <c r="I79" s="218"/>
      <c r="J79" s="658">
        <v>0</v>
      </c>
      <c r="K79" s="118">
        <v>40500000</v>
      </c>
      <c r="L79" s="116">
        <v>0</v>
      </c>
      <c r="M79" s="218"/>
      <c r="N79" s="711">
        <f t="shared" si="25"/>
        <v>40500000</v>
      </c>
      <c r="O79" s="211"/>
      <c r="P79" s="211"/>
      <c r="Q79" s="218"/>
      <c r="R79" s="218"/>
      <c r="S79" s="116">
        <v>0</v>
      </c>
      <c r="T79" s="116">
        <v>0</v>
      </c>
      <c r="U79" s="218"/>
      <c r="V79" s="210">
        <f t="shared" si="18"/>
        <v>0</v>
      </c>
      <c r="W79" s="511">
        <f>N79+S79-U79</f>
        <v>40500000</v>
      </c>
      <c r="X79" s="211"/>
      <c r="Y79" s="218"/>
      <c r="Z79" s="224"/>
      <c r="AA79" s="592">
        <f t="shared" si="24"/>
        <v>0</v>
      </c>
      <c r="AB79" s="224"/>
      <c r="AC79" s="9" t="s">
        <v>14</v>
      </c>
      <c r="AD79" s="297">
        <v>0</v>
      </c>
      <c r="AE79" s="297">
        <f t="shared" si="16"/>
        <v>0</v>
      </c>
      <c r="AF79" s="9" t="s">
        <v>14</v>
      </c>
      <c r="AG79" s="9"/>
      <c r="AH79" s="9"/>
      <c r="AI79" s="9"/>
      <c r="AJ79" s="211"/>
      <c r="AK79" s="73" t="str">
        <f t="shared" si="23"/>
        <v>MOBITEL ANDALAN KOMUNIKASI, PT</v>
      </c>
    </row>
    <row r="80" spans="1:37" s="73" customFormat="1" ht="15" hidden="1" customHeight="1">
      <c r="A80" s="9">
        <v>75</v>
      </c>
      <c r="B80" s="211" t="s">
        <v>194</v>
      </c>
      <c r="C80" s="211">
        <v>7</v>
      </c>
      <c r="D80" s="8" t="s">
        <v>210</v>
      </c>
      <c r="E80" s="9" t="s">
        <v>262</v>
      </c>
      <c r="F80" s="8"/>
      <c r="G80" s="9"/>
      <c r="H80" s="9" t="s">
        <v>261</v>
      </c>
      <c r="I80" s="218"/>
      <c r="J80" s="658">
        <v>0</v>
      </c>
      <c r="K80" s="116">
        <v>8000000</v>
      </c>
      <c r="L80" s="116">
        <f>K80*10%</f>
        <v>800000</v>
      </c>
      <c r="M80" s="218"/>
      <c r="N80" s="711">
        <f t="shared" si="25"/>
        <v>8800000</v>
      </c>
      <c r="O80" s="211"/>
      <c r="P80" s="211"/>
      <c r="Q80" s="218"/>
      <c r="R80" s="218"/>
      <c r="S80" s="116">
        <v>0</v>
      </c>
      <c r="T80" s="116">
        <v>0</v>
      </c>
      <c r="U80" s="218"/>
      <c r="V80" s="210">
        <f t="shared" si="18"/>
        <v>0</v>
      </c>
      <c r="W80" s="511">
        <f>N80+S80-U80</f>
        <v>8800000</v>
      </c>
      <c r="X80" s="211"/>
      <c r="Y80" s="218"/>
      <c r="Z80" s="224"/>
      <c r="AA80" s="592">
        <f t="shared" si="24"/>
        <v>0</v>
      </c>
      <c r="AB80" s="224"/>
      <c r="AC80" s="9" t="s">
        <v>14</v>
      </c>
      <c r="AD80" s="297">
        <v>0</v>
      </c>
      <c r="AE80" s="297">
        <f t="shared" si="16"/>
        <v>0</v>
      </c>
      <c r="AF80" s="9" t="s">
        <v>14</v>
      </c>
      <c r="AG80" s="9"/>
      <c r="AH80" s="9"/>
      <c r="AI80" s="9"/>
      <c r="AJ80" s="211"/>
      <c r="AK80" s="73" t="str">
        <f t="shared" si="23"/>
        <v>NEXWAVE, PT</v>
      </c>
    </row>
    <row r="81" spans="1:37" s="40" customFormat="1" ht="12" hidden="1" customHeight="1">
      <c r="A81" s="9">
        <v>76</v>
      </c>
      <c r="B81" s="9" t="s">
        <v>195</v>
      </c>
      <c r="C81" s="9">
        <v>12</v>
      </c>
      <c r="D81" s="8" t="s">
        <v>111</v>
      </c>
      <c r="E81" s="10" t="s">
        <v>147</v>
      </c>
      <c r="F81" s="356"/>
      <c r="G81" s="10"/>
      <c r="H81" s="10" t="s">
        <v>160</v>
      </c>
      <c r="I81" s="10" t="s">
        <v>192</v>
      </c>
      <c r="J81" s="658">
        <v>0</v>
      </c>
      <c r="K81" s="121">
        <v>76800000</v>
      </c>
      <c r="L81" s="116">
        <f>K81*10%</f>
        <v>7680000</v>
      </c>
      <c r="M81" s="10"/>
      <c r="N81" s="189">
        <f t="shared" si="25"/>
        <v>84480000</v>
      </c>
      <c r="O81" s="198"/>
      <c r="P81" s="198"/>
      <c r="Q81" s="177"/>
      <c r="R81" s="177"/>
      <c r="S81" s="116">
        <v>0</v>
      </c>
      <c r="T81" s="116">
        <v>0</v>
      </c>
      <c r="U81" s="116"/>
      <c r="V81" s="210">
        <f t="shared" si="18"/>
        <v>0</v>
      </c>
      <c r="W81" s="481">
        <f t="shared" ref="W81:W86" si="26">N81+S81+T81-U81</f>
        <v>84480000</v>
      </c>
      <c r="X81" s="181"/>
      <c r="Y81" s="116"/>
      <c r="Z81" s="186"/>
      <c r="AA81" s="592">
        <f t="shared" si="24"/>
        <v>0</v>
      </c>
      <c r="AB81" s="186"/>
      <c r="AC81" s="9"/>
      <c r="AD81" s="297"/>
      <c r="AE81" s="297">
        <f t="shared" si="16"/>
        <v>0</v>
      </c>
      <c r="AF81" s="9"/>
      <c r="AG81" s="9"/>
      <c r="AH81" s="9"/>
      <c r="AI81" s="9"/>
      <c r="AJ81" s="9"/>
      <c r="AK81" s="73" t="str">
        <f t="shared" si="23"/>
        <v>PASIFIK SATELIT NUSANTARA, PT</v>
      </c>
    </row>
    <row r="82" spans="1:37" s="40" customFormat="1" ht="12" hidden="1" customHeight="1">
      <c r="A82" s="9">
        <v>77</v>
      </c>
      <c r="B82" s="9" t="s">
        <v>14</v>
      </c>
      <c r="C82" s="9" t="s">
        <v>14</v>
      </c>
      <c r="D82" s="8" t="s">
        <v>430</v>
      </c>
      <c r="E82" s="10" t="s">
        <v>14</v>
      </c>
      <c r="F82" s="356"/>
      <c r="G82" s="10"/>
      <c r="H82" s="10" t="s">
        <v>1728</v>
      </c>
      <c r="I82" s="10" t="s">
        <v>14</v>
      </c>
      <c r="J82" s="658">
        <v>0</v>
      </c>
      <c r="K82" s="121">
        <v>-7738700</v>
      </c>
      <c r="L82" s="116">
        <v>0</v>
      </c>
      <c r="M82" s="10"/>
      <c r="N82" s="189">
        <f t="shared" si="25"/>
        <v>-7738700</v>
      </c>
      <c r="O82" s="198"/>
      <c r="P82" s="198"/>
      <c r="Q82" s="177"/>
      <c r="R82" s="177"/>
      <c r="S82" s="116">
        <v>0</v>
      </c>
      <c r="T82" s="116">
        <v>0</v>
      </c>
      <c r="U82" s="116"/>
      <c r="V82" s="210">
        <f>M82+Q82-R82</f>
        <v>0</v>
      </c>
      <c r="W82" s="481">
        <f t="shared" si="26"/>
        <v>-7738700</v>
      </c>
      <c r="X82" s="181"/>
      <c r="Y82" s="116"/>
      <c r="Z82" s="186"/>
      <c r="AA82" s="592">
        <f t="shared" si="24"/>
        <v>0</v>
      </c>
      <c r="AB82" s="186"/>
      <c r="AC82" s="9"/>
      <c r="AD82" s="297"/>
      <c r="AE82" s="297">
        <f t="shared" si="16"/>
        <v>0</v>
      </c>
      <c r="AF82" s="9"/>
      <c r="AG82" s="9"/>
      <c r="AH82" s="9"/>
      <c r="AI82" s="9"/>
      <c r="AJ82" s="9"/>
      <c r="AK82" s="73" t="str">
        <f t="shared" si="23"/>
        <v>PEMBANGUNAN PERUMAHAN (PERSERO), PT</v>
      </c>
    </row>
    <row r="83" spans="1:37" s="40" customFormat="1" ht="12" hidden="1" customHeight="1">
      <c r="A83" s="9">
        <v>78</v>
      </c>
      <c r="B83" s="9" t="s">
        <v>140</v>
      </c>
      <c r="C83" s="9">
        <v>1</v>
      </c>
      <c r="D83" s="11" t="s">
        <v>108</v>
      </c>
      <c r="E83" s="9" t="s">
        <v>354</v>
      </c>
      <c r="F83" s="8"/>
      <c r="G83" s="9"/>
      <c r="H83" s="9" t="s">
        <v>1554</v>
      </c>
      <c r="I83" s="9" t="s">
        <v>1563</v>
      </c>
      <c r="J83" s="658">
        <v>0</v>
      </c>
      <c r="K83" s="116">
        <v>22000000</v>
      </c>
      <c r="L83" s="116">
        <f>K83*10%</f>
        <v>2200000</v>
      </c>
      <c r="M83" s="9"/>
      <c r="N83" s="189">
        <f t="shared" si="25"/>
        <v>24200000</v>
      </c>
      <c r="O83" s="197" t="s">
        <v>194</v>
      </c>
      <c r="P83" s="197" t="s">
        <v>37</v>
      </c>
      <c r="Q83" s="175"/>
      <c r="R83" s="175"/>
      <c r="S83" s="116">
        <v>0</v>
      </c>
      <c r="T83" s="116">
        <f>-K83*2%</f>
        <v>-440000</v>
      </c>
      <c r="U83" s="116">
        <v>23760000</v>
      </c>
      <c r="V83" s="210">
        <f t="shared" si="18"/>
        <v>0</v>
      </c>
      <c r="W83" s="115">
        <f t="shared" si="26"/>
        <v>0</v>
      </c>
      <c r="X83" s="181" t="s">
        <v>237</v>
      </c>
      <c r="Y83" s="116"/>
      <c r="Z83" s="186"/>
      <c r="AA83" s="592">
        <f t="shared" si="24"/>
        <v>0</v>
      </c>
      <c r="AB83" s="186"/>
      <c r="AC83" s="300">
        <v>42748</v>
      </c>
      <c r="AD83" s="297">
        <v>440000</v>
      </c>
      <c r="AE83" s="297">
        <f t="shared" si="16"/>
        <v>0</v>
      </c>
      <c r="AF83" s="9" t="s">
        <v>2207</v>
      </c>
      <c r="AG83" s="9" t="s">
        <v>1395</v>
      </c>
      <c r="AH83" s="300">
        <v>42710</v>
      </c>
      <c r="AI83" s="9" t="s">
        <v>1592</v>
      </c>
      <c r="AJ83" s="300">
        <v>42710</v>
      </c>
      <c r="AK83" s="73" t="str">
        <f t="shared" si="23"/>
        <v>PERTIWI AGRO SEJAHTERA, PTJAN</v>
      </c>
    </row>
    <row r="84" spans="1:37" s="40" customFormat="1" ht="12" hidden="1" customHeight="1">
      <c r="A84" s="9">
        <v>79</v>
      </c>
      <c r="B84" s="9" t="s">
        <v>245</v>
      </c>
      <c r="C84" s="9">
        <v>11</v>
      </c>
      <c r="D84" s="11" t="s">
        <v>606</v>
      </c>
      <c r="E84" s="9" t="s">
        <v>354</v>
      </c>
      <c r="F84" s="8"/>
      <c r="G84" s="9"/>
      <c r="H84" s="9" t="s">
        <v>637</v>
      </c>
      <c r="I84" s="9" t="s">
        <v>638</v>
      </c>
      <c r="J84" s="658">
        <v>0</v>
      </c>
      <c r="K84" s="116">
        <v>22000000</v>
      </c>
      <c r="L84" s="116">
        <f>K84*10%</f>
        <v>2200000</v>
      </c>
      <c r="M84" s="9"/>
      <c r="N84" s="189">
        <f t="shared" si="25"/>
        <v>24200000</v>
      </c>
      <c r="O84" s="197" t="s">
        <v>195</v>
      </c>
      <c r="P84" s="197" t="s">
        <v>87</v>
      </c>
      <c r="Q84" s="175"/>
      <c r="R84" s="175"/>
      <c r="S84" s="116">
        <v>0</v>
      </c>
      <c r="T84" s="116">
        <f>-K84*2%</f>
        <v>-440000</v>
      </c>
      <c r="U84" s="116">
        <v>23760000</v>
      </c>
      <c r="V84" s="210">
        <f>M84+Q84-R84</f>
        <v>0</v>
      </c>
      <c r="W84" s="115">
        <f t="shared" si="26"/>
        <v>0</v>
      </c>
      <c r="X84" s="181" t="s">
        <v>237</v>
      </c>
      <c r="Y84" s="116"/>
      <c r="Z84" s="186"/>
      <c r="AA84" s="592">
        <f t="shared" si="24"/>
        <v>0</v>
      </c>
      <c r="AB84" s="186"/>
      <c r="AC84" s="300">
        <v>42735</v>
      </c>
      <c r="AD84" s="297">
        <v>440000</v>
      </c>
      <c r="AE84" s="297">
        <f t="shared" si="16"/>
        <v>0</v>
      </c>
      <c r="AF84" s="9" t="s">
        <v>2039</v>
      </c>
      <c r="AG84" s="9"/>
      <c r="AH84" s="9"/>
      <c r="AI84" s="9"/>
      <c r="AJ84" s="9"/>
      <c r="AK84" s="73" t="str">
        <f t="shared" si="23"/>
        <v>PERTIWI LENGGARA AGROMAS, PTFEB</v>
      </c>
    </row>
    <row r="85" spans="1:37" s="40" customFormat="1" ht="12" hidden="1" customHeight="1">
      <c r="A85" s="9">
        <v>80</v>
      </c>
      <c r="B85" s="9" t="s">
        <v>238</v>
      </c>
      <c r="C85" s="9">
        <v>4</v>
      </c>
      <c r="D85" s="11" t="s">
        <v>606</v>
      </c>
      <c r="E85" s="9" t="s">
        <v>354</v>
      </c>
      <c r="F85" s="8"/>
      <c r="G85" s="9"/>
      <c r="H85" s="9" t="s">
        <v>660</v>
      </c>
      <c r="I85" s="9" t="s">
        <v>661</v>
      </c>
      <c r="J85" s="658">
        <v>0</v>
      </c>
      <c r="K85" s="116">
        <v>22000000</v>
      </c>
      <c r="L85" s="116">
        <f>K85*10%</f>
        <v>2200000</v>
      </c>
      <c r="M85" s="9"/>
      <c r="N85" s="189">
        <f t="shared" si="25"/>
        <v>24200000</v>
      </c>
      <c r="O85" s="197" t="s">
        <v>195</v>
      </c>
      <c r="P85" s="197" t="s">
        <v>87</v>
      </c>
      <c r="Q85" s="175"/>
      <c r="R85" s="175"/>
      <c r="S85" s="116">
        <v>0</v>
      </c>
      <c r="T85" s="116">
        <f>-K85*2%</f>
        <v>-440000</v>
      </c>
      <c r="U85" s="116">
        <v>23760000</v>
      </c>
      <c r="V85" s="210">
        <f>M85+Q85-R85</f>
        <v>0</v>
      </c>
      <c r="W85" s="115">
        <f t="shared" si="26"/>
        <v>0</v>
      </c>
      <c r="X85" s="181" t="s">
        <v>237</v>
      </c>
      <c r="Y85" s="116"/>
      <c r="Z85" s="186"/>
      <c r="AA85" s="592">
        <f t="shared" si="24"/>
        <v>0</v>
      </c>
      <c r="AB85" s="186"/>
      <c r="AC85" s="300">
        <v>42735</v>
      </c>
      <c r="AD85" s="297">
        <v>440000</v>
      </c>
      <c r="AE85" s="297">
        <f t="shared" si="16"/>
        <v>0</v>
      </c>
      <c r="AF85" s="9" t="s">
        <v>2040</v>
      </c>
      <c r="AG85" s="9" t="s">
        <v>1395</v>
      </c>
      <c r="AH85" s="300">
        <v>42683</v>
      </c>
      <c r="AI85" s="9" t="s">
        <v>1426</v>
      </c>
      <c r="AJ85" s="300">
        <v>42683</v>
      </c>
      <c r="AK85" s="73" t="str">
        <f t="shared" si="23"/>
        <v>PERTIWI LENGGARA AGROMAS, PTFEB</v>
      </c>
    </row>
    <row r="86" spans="1:37" s="40" customFormat="1" ht="12" hidden="1" customHeight="1">
      <c r="A86" s="9">
        <v>81</v>
      </c>
      <c r="B86" s="9" t="s">
        <v>140</v>
      </c>
      <c r="C86" s="9">
        <v>1</v>
      </c>
      <c r="D86" s="11" t="s">
        <v>606</v>
      </c>
      <c r="E86" s="9" t="s">
        <v>354</v>
      </c>
      <c r="F86" s="8"/>
      <c r="G86" s="9"/>
      <c r="H86" s="9" t="s">
        <v>1555</v>
      </c>
      <c r="I86" s="9" t="s">
        <v>1561</v>
      </c>
      <c r="J86" s="658">
        <v>0</v>
      </c>
      <c r="K86" s="116">
        <v>22000000</v>
      </c>
      <c r="L86" s="116">
        <f>K86*10%</f>
        <v>2200000</v>
      </c>
      <c r="M86" s="9"/>
      <c r="N86" s="189">
        <f t="shared" si="25"/>
        <v>24200000</v>
      </c>
      <c r="O86" s="197" t="s">
        <v>195</v>
      </c>
      <c r="P86" s="197" t="s">
        <v>87</v>
      </c>
      <c r="Q86" s="175"/>
      <c r="R86" s="175"/>
      <c r="S86" s="116">
        <v>0</v>
      </c>
      <c r="T86" s="116">
        <f>-K86*2%</f>
        <v>-440000</v>
      </c>
      <c r="U86" s="116">
        <v>23760000</v>
      </c>
      <c r="V86" s="210">
        <f>M86+Q86-R86</f>
        <v>0</v>
      </c>
      <c r="W86" s="115">
        <f t="shared" si="26"/>
        <v>0</v>
      </c>
      <c r="X86" s="181" t="s">
        <v>237</v>
      </c>
      <c r="Y86" s="116"/>
      <c r="Z86" s="186"/>
      <c r="AA86" s="592">
        <f t="shared" si="24"/>
        <v>0</v>
      </c>
      <c r="AB86" s="186"/>
      <c r="AC86" s="9"/>
      <c r="AD86" s="297"/>
      <c r="AE86" s="297">
        <f t="shared" si="16"/>
        <v>440000</v>
      </c>
      <c r="AF86" s="9"/>
      <c r="AG86" s="9" t="s">
        <v>1395</v>
      </c>
      <c r="AH86" s="300">
        <v>42710</v>
      </c>
      <c r="AI86" s="9" t="s">
        <v>1592</v>
      </c>
      <c r="AJ86" s="300">
        <v>42710</v>
      </c>
      <c r="AK86" s="73" t="str">
        <f t="shared" si="23"/>
        <v>PERTIWI LENGGARA AGROMAS, PTFEB</v>
      </c>
    </row>
    <row r="87" spans="1:37" s="40" customFormat="1" ht="12" hidden="1" customHeight="1">
      <c r="A87" s="9">
        <v>82</v>
      </c>
      <c r="B87" s="9" t="s">
        <v>140</v>
      </c>
      <c r="C87" s="9">
        <v>8</v>
      </c>
      <c r="D87" s="11" t="s">
        <v>639</v>
      </c>
      <c r="E87" s="9" t="s">
        <v>147</v>
      </c>
      <c r="F87" s="8"/>
      <c r="G87" s="9"/>
      <c r="H87" s="9" t="s">
        <v>1596</v>
      </c>
      <c r="I87" s="9" t="s">
        <v>1597</v>
      </c>
      <c r="J87" s="658">
        <v>0</v>
      </c>
      <c r="K87" s="116">
        <v>8895285</v>
      </c>
      <c r="L87" s="116">
        <f t="shared" ref="L87:L92" si="27">K87*10%</f>
        <v>889528.5</v>
      </c>
      <c r="M87" s="9"/>
      <c r="N87" s="189">
        <f t="shared" ref="N87:N101" si="28">K87+L87</f>
        <v>9784813.5</v>
      </c>
      <c r="O87" s="197" t="s">
        <v>194</v>
      </c>
      <c r="P87" s="197" t="s">
        <v>105</v>
      </c>
      <c r="Q87" s="175"/>
      <c r="R87" s="175"/>
      <c r="S87" s="116">
        <f>-K87*10%</f>
        <v>-889528.5</v>
      </c>
      <c r="T87" s="116">
        <v>0</v>
      </c>
      <c r="U87" s="116">
        <v>8895285</v>
      </c>
      <c r="V87" s="210">
        <f t="shared" ref="V87:V99" si="29">M87+Q87-R87</f>
        <v>0</v>
      </c>
      <c r="W87" s="115">
        <f t="shared" ref="W87:W99" si="30">N87+S87+T87-U87</f>
        <v>0</v>
      </c>
      <c r="X87" s="181" t="s">
        <v>237</v>
      </c>
      <c r="Y87" s="116"/>
      <c r="Z87" s="186"/>
      <c r="AA87" s="592">
        <f>-S87-Z87</f>
        <v>889528.5</v>
      </c>
      <c r="AB87" s="186"/>
      <c r="AC87" s="9"/>
      <c r="AD87" s="297"/>
      <c r="AE87" s="297">
        <f t="shared" si="16"/>
        <v>0</v>
      </c>
      <c r="AF87" s="9"/>
      <c r="AG87" s="9" t="s">
        <v>1395</v>
      </c>
      <c r="AH87" s="300">
        <v>42712</v>
      </c>
      <c r="AI87" s="9" t="s">
        <v>1610</v>
      </c>
      <c r="AJ87" s="300">
        <v>42712</v>
      </c>
      <c r="AK87" s="73" t="str">
        <f t="shared" si="23"/>
        <v>PERUM LEMBAGA PENYELENGGARA PELAYANAN NAVIGASI PENERBANGAN INDONESIAJAN</v>
      </c>
    </row>
    <row r="88" spans="1:37" s="40" customFormat="1" ht="12" hidden="1" customHeight="1">
      <c r="A88" s="9">
        <v>83</v>
      </c>
      <c r="B88" s="9" t="s">
        <v>140</v>
      </c>
      <c r="C88" s="9">
        <v>1</v>
      </c>
      <c r="D88" s="8" t="s">
        <v>136</v>
      </c>
      <c r="E88" s="10" t="s">
        <v>354</v>
      </c>
      <c r="F88" s="356"/>
      <c r="G88" s="10"/>
      <c r="H88" s="9" t="s">
        <v>1600</v>
      </c>
      <c r="I88" s="10" t="s">
        <v>1601</v>
      </c>
      <c r="J88" s="658">
        <v>0</v>
      </c>
      <c r="K88" s="116">
        <v>49500000</v>
      </c>
      <c r="L88" s="116">
        <f t="shared" si="27"/>
        <v>4950000</v>
      </c>
      <c r="M88" s="10"/>
      <c r="N88" s="189">
        <f t="shared" si="28"/>
        <v>54450000</v>
      </c>
      <c r="O88" s="197" t="s">
        <v>194</v>
      </c>
      <c r="P88" s="197" t="s">
        <v>99</v>
      </c>
      <c r="Q88" s="175"/>
      <c r="R88" s="175"/>
      <c r="S88" s="116">
        <v>0</v>
      </c>
      <c r="T88" s="116">
        <f>-K88*2%</f>
        <v>-990000</v>
      </c>
      <c r="U88" s="116">
        <v>53460000</v>
      </c>
      <c r="V88" s="210">
        <f t="shared" si="29"/>
        <v>0</v>
      </c>
      <c r="W88" s="115">
        <f t="shared" si="30"/>
        <v>0</v>
      </c>
      <c r="X88" s="181" t="s">
        <v>237</v>
      </c>
      <c r="Y88" s="116"/>
      <c r="Z88" s="186"/>
      <c r="AA88" s="592">
        <f t="shared" si="24"/>
        <v>0</v>
      </c>
      <c r="AB88" s="186"/>
      <c r="AC88" s="300">
        <v>43100</v>
      </c>
      <c r="AD88" s="297">
        <v>990000</v>
      </c>
      <c r="AE88" s="297">
        <f t="shared" si="16"/>
        <v>0</v>
      </c>
      <c r="AF88" s="9" t="s">
        <v>2579</v>
      </c>
      <c r="AG88" s="9" t="s">
        <v>1395</v>
      </c>
      <c r="AH88" s="300">
        <v>42719</v>
      </c>
      <c r="AI88" s="9" t="s">
        <v>560</v>
      </c>
      <c r="AJ88" s="300">
        <v>42719</v>
      </c>
      <c r="AK88" s="73" t="str">
        <f t="shared" si="23"/>
        <v>PETROSEA, PTJAN</v>
      </c>
    </row>
    <row r="89" spans="1:37" s="40" customFormat="1" ht="12" hidden="1" customHeight="1">
      <c r="A89" s="9">
        <v>84</v>
      </c>
      <c r="B89" s="9" t="s">
        <v>140</v>
      </c>
      <c r="C89" s="9">
        <v>5</v>
      </c>
      <c r="D89" s="8" t="s">
        <v>136</v>
      </c>
      <c r="E89" s="10" t="s">
        <v>354</v>
      </c>
      <c r="F89" s="356"/>
      <c r="G89" s="10"/>
      <c r="H89" s="9" t="s">
        <v>1605</v>
      </c>
      <c r="I89" s="10" t="s">
        <v>1602</v>
      </c>
      <c r="J89" s="658">
        <v>0</v>
      </c>
      <c r="K89" s="116">
        <v>49500000</v>
      </c>
      <c r="L89" s="116">
        <f t="shared" si="27"/>
        <v>4950000</v>
      </c>
      <c r="M89" s="10"/>
      <c r="N89" s="189">
        <f t="shared" si="28"/>
        <v>54450000</v>
      </c>
      <c r="O89" s="197" t="s">
        <v>194</v>
      </c>
      <c r="P89" s="197" t="s">
        <v>99</v>
      </c>
      <c r="Q89" s="175"/>
      <c r="R89" s="175"/>
      <c r="S89" s="116">
        <v>0</v>
      </c>
      <c r="T89" s="116">
        <f>-K89*2%</f>
        <v>-990000</v>
      </c>
      <c r="U89" s="116">
        <v>53460000</v>
      </c>
      <c r="V89" s="210">
        <f t="shared" si="29"/>
        <v>0</v>
      </c>
      <c r="W89" s="115">
        <f t="shared" si="30"/>
        <v>0</v>
      </c>
      <c r="X89" s="181" t="s">
        <v>237</v>
      </c>
      <c r="Y89" s="116"/>
      <c r="Z89" s="186"/>
      <c r="AA89" s="592">
        <f t="shared" si="24"/>
        <v>0</v>
      </c>
      <c r="AB89" s="186"/>
      <c r="AC89" s="300">
        <v>43100</v>
      </c>
      <c r="AD89" s="297">
        <v>990000</v>
      </c>
      <c r="AE89" s="297">
        <f t="shared" si="16"/>
        <v>0</v>
      </c>
      <c r="AF89" s="9" t="s">
        <v>2579</v>
      </c>
      <c r="AG89" s="9" t="s">
        <v>1395</v>
      </c>
      <c r="AH89" s="300">
        <v>42719</v>
      </c>
      <c r="AI89" s="9" t="s">
        <v>560</v>
      </c>
      <c r="AJ89" s="300">
        <v>42719</v>
      </c>
      <c r="AK89" s="73" t="str">
        <f t="shared" si="23"/>
        <v>PETROSEA, PTJAN</v>
      </c>
    </row>
    <row r="90" spans="1:37" s="40" customFormat="1" ht="12" hidden="1" customHeight="1">
      <c r="A90" s="9">
        <v>85</v>
      </c>
      <c r="B90" s="9" t="s">
        <v>140</v>
      </c>
      <c r="C90" s="9">
        <v>5</v>
      </c>
      <c r="D90" s="8" t="s">
        <v>136</v>
      </c>
      <c r="E90" s="10" t="s">
        <v>354</v>
      </c>
      <c r="F90" s="356"/>
      <c r="G90" s="10"/>
      <c r="H90" s="9" t="s">
        <v>1606</v>
      </c>
      <c r="I90" s="10" t="s">
        <v>1603</v>
      </c>
      <c r="J90" s="658">
        <v>0</v>
      </c>
      <c r="K90" s="116">
        <v>27000000</v>
      </c>
      <c r="L90" s="116">
        <f t="shared" si="27"/>
        <v>2700000</v>
      </c>
      <c r="M90" s="10"/>
      <c r="N90" s="189">
        <f t="shared" si="28"/>
        <v>29700000</v>
      </c>
      <c r="O90" s="197" t="s">
        <v>194</v>
      </c>
      <c r="P90" s="197" t="s">
        <v>99</v>
      </c>
      <c r="Q90" s="175"/>
      <c r="R90" s="175"/>
      <c r="S90" s="116">
        <v>0</v>
      </c>
      <c r="T90" s="116">
        <f>-K90*2%</f>
        <v>-540000</v>
      </c>
      <c r="U90" s="116">
        <v>29160000</v>
      </c>
      <c r="V90" s="210">
        <f t="shared" si="29"/>
        <v>0</v>
      </c>
      <c r="W90" s="115">
        <f t="shared" si="30"/>
        <v>0</v>
      </c>
      <c r="X90" s="181" t="s">
        <v>237</v>
      </c>
      <c r="Y90" s="116"/>
      <c r="Z90" s="186"/>
      <c r="AA90" s="592">
        <f t="shared" si="24"/>
        <v>0</v>
      </c>
      <c r="AB90" s="186"/>
      <c r="AC90" s="300">
        <v>43100</v>
      </c>
      <c r="AD90" s="297">
        <v>540000</v>
      </c>
      <c r="AE90" s="297">
        <f t="shared" si="16"/>
        <v>0</v>
      </c>
      <c r="AF90" s="9" t="s">
        <v>2579</v>
      </c>
      <c r="AG90" s="9" t="s">
        <v>1395</v>
      </c>
      <c r="AH90" s="300">
        <v>42719</v>
      </c>
      <c r="AI90" s="9" t="s">
        <v>560</v>
      </c>
      <c r="AJ90" s="300">
        <v>42719</v>
      </c>
      <c r="AK90" s="73" t="str">
        <f t="shared" si="23"/>
        <v>PETROSEA, PTJAN</v>
      </c>
    </row>
    <row r="91" spans="1:37" s="40" customFormat="1" ht="12" hidden="1" customHeight="1">
      <c r="A91" s="9">
        <v>86</v>
      </c>
      <c r="B91" s="9" t="s">
        <v>140</v>
      </c>
      <c r="C91" s="9">
        <v>6</v>
      </c>
      <c r="D91" s="8" t="s">
        <v>136</v>
      </c>
      <c r="E91" s="10" t="s">
        <v>354</v>
      </c>
      <c r="F91" s="356"/>
      <c r="G91" s="10"/>
      <c r="H91" s="9" t="s">
        <v>1607</v>
      </c>
      <c r="I91" s="10" t="s">
        <v>1604</v>
      </c>
      <c r="J91" s="658">
        <v>0</v>
      </c>
      <c r="K91" s="116">
        <v>49500000</v>
      </c>
      <c r="L91" s="116">
        <f t="shared" si="27"/>
        <v>4950000</v>
      </c>
      <c r="M91" s="10"/>
      <c r="N91" s="189">
        <f t="shared" si="28"/>
        <v>54450000</v>
      </c>
      <c r="O91" s="197" t="s">
        <v>194</v>
      </c>
      <c r="P91" s="197" t="s">
        <v>99</v>
      </c>
      <c r="Q91" s="175"/>
      <c r="R91" s="175"/>
      <c r="S91" s="116">
        <v>0</v>
      </c>
      <c r="T91" s="116">
        <f>-K91*2%</f>
        <v>-990000</v>
      </c>
      <c r="U91" s="116">
        <v>53460000</v>
      </c>
      <c r="V91" s="210">
        <f t="shared" si="29"/>
        <v>0</v>
      </c>
      <c r="W91" s="115">
        <f t="shared" si="30"/>
        <v>0</v>
      </c>
      <c r="X91" s="181" t="s">
        <v>237</v>
      </c>
      <c r="Y91" s="116"/>
      <c r="Z91" s="186"/>
      <c r="AA91" s="592">
        <f t="shared" si="24"/>
        <v>0</v>
      </c>
      <c r="AB91" s="186"/>
      <c r="AC91" s="300">
        <v>43100</v>
      </c>
      <c r="AD91" s="297">
        <v>990000</v>
      </c>
      <c r="AE91" s="297">
        <f t="shared" si="16"/>
        <v>0</v>
      </c>
      <c r="AF91" s="9" t="s">
        <v>2579</v>
      </c>
      <c r="AG91" s="9" t="s">
        <v>1395</v>
      </c>
      <c r="AH91" s="300">
        <v>42719</v>
      </c>
      <c r="AI91" s="9" t="s">
        <v>560</v>
      </c>
      <c r="AJ91" s="300">
        <v>42719</v>
      </c>
      <c r="AK91" s="73" t="str">
        <f t="shared" si="23"/>
        <v>PETROSEA, PTJAN</v>
      </c>
    </row>
    <row r="92" spans="1:37" s="40" customFormat="1" ht="12" hidden="1" customHeight="1">
      <c r="A92" s="9">
        <v>87</v>
      </c>
      <c r="B92" s="9" t="s">
        <v>140</v>
      </c>
      <c r="C92" s="9">
        <v>30</v>
      </c>
      <c r="D92" s="8" t="s">
        <v>136</v>
      </c>
      <c r="E92" s="10" t="s">
        <v>354</v>
      </c>
      <c r="F92" s="356"/>
      <c r="G92" s="10"/>
      <c r="H92" s="9" t="s">
        <v>1884</v>
      </c>
      <c r="I92" s="10" t="s">
        <v>1885</v>
      </c>
      <c r="J92" s="658">
        <v>0</v>
      </c>
      <c r="K92" s="116">
        <v>27000000</v>
      </c>
      <c r="L92" s="116">
        <f t="shared" si="27"/>
        <v>2700000</v>
      </c>
      <c r="M92" s="10"/>
      <c r="N92" s="189">
        <f t="shared" si="28"/>
        <v>29700000</v>
      </c>
      <c r="O92" s="197" t="s">
        <v>195</v>
      </c>
      <c r="P92" s="197" t="s">
        <v>106</v>
      </c>
      <c r="Q92" s="175"/>
      <c r="R92" s="175"/>
      <c r="S92" s="116">
        <v>0</v>
      </c>
      <c r="T92" s="116">
        <f>-K92*2%</f>
        <v>-540000</v>
      </c>
      <c r="U92" s="116">
        <v>29160000</v>
      </c>
      <c r="V92" s="210">
        <f t="shared" si="29"/>
        <v>0</v>
      </c>
      <c r="W92" s="115">
        <f t="shared" si="30"/>
        <v>0</v>
      </c>
      <c r="X92" s="181" t="s">
        <v>237</v>
      </c>
      <c r="Y92" s="116"/>
      <c r="Z92" s="186"/>
      <c r="AA92" s="592">
        <f t="shared" si="24"/>
        <v>0</v>
      </c>
      <c r="AB92" s="186"/>
      <c r="AC92" s="300">
        <v>42766</v>
      </c>
      <c r="AD92" s="297">
        <v>540000</v>
      </c>
      <c r="AE92" s="297">
        <f t="shared" si="16"/>
        <v>0</v>
      </c>
      <c r="AF92" s="9" t="s">
        <v>2580</v>
      </c>
      <c r="AG92" s="9" t="s">
        <v>1395</v>
      </c>
      <c r="AH92" s="300">
        <v>42751</v>
      </c>
      <c r="AI92" s="9" t="s">
        <v>560</v>
      </c>
      <c r="AJ92" s="300">
        <v>42752</v>
      </c>
      <c r="AK92" s="73" t="str">
        <f t="shared" si="23"/>
        <v>PETROSEA, PTFEB</v>
      </c>
    </row>
    <row r="93" spans="1:37" s="73" customFormat="1" ht="15" hidden="1" customHeight="1">
      <c r="A93" s="9">
        <v>88</v>
      </c>
      <c r="B93" s="211" t="s">
        <v>244</v>
      </c>
      <c r="C93" s="211">
        <v>24</v>
      </c>
      <c r="D93" s="8" t="s">
        <v>212</v>
      </c>
      <c r="E93" s="10" t="s">
        <v>62</v>
      </c>
      <c r="F93" s="356"/>
      <c r="G93" s="10"/>
      <c r="H93" s="10" t="s">
        <v>264</v>
      </c>
      <c r="I93" s="218"/>
      <c r="J93" s="658">
        <v>0</v>
      </c>
      <c r="K93" s="116">
        <f>45900000-26100000-12000000</f>
        <v>7800000</v>
      </c>
      <c r="L93" s="115">
        <v>0</v>
      </c>
      <c r="M93" s="218"/>
      <c r="N93" s="189">
        <f>K93+L93</f>
        <v>7800000</v>
      </c>
      <c r="O93" s="211" t="s">
        <v>194</v>
      </c>
      <c r="P93" s="211">
        <v>20</v>
      </c>
      <c r="Q93" s="218"/>
      <c r="R93" s="218"/>
      <c r="S93" s="116">
        <v>0</v>
      </c>
      <c r="T93" s="116">
        <v>0</v>
      </c>
      <c r="U93" s="115">
        <v>5000000</v>
      </c>
      <c r="V93" s="210">
        <f t="shared" ref="V93:V98" si="31">M93+Q93-R93</f>
        <v>0</v>
      </c>
      <c r="W93" s="115">
        <f t="shared" ref="W93:W98" si="32">N93+S93-U93</f>
        <v>2800000</v>
      </c>
      <c r="X93" s="181" t="s">
        <v>1913</v>
      </c>
      <c r="Y93" s="218"/>
      <c r="Z93" s="224"/>
      <c r="AA93" s="592">
        <f t="shared" si="24"/>
        <v>0</v>
      </c>
      <c r="AB93" s="224"/>
      <c r="AC93" s="9"/>
      <c r="AD93" s="297"/>
      <c r="AE93" s="297">
        <f t="shared" si="16"/>
        <v>0</v>
      </c>
      <c r="AF93" s="9"/>
      <c r="AG93" s="9"/>
      <c r="AH93" s="9"/>
      <c r="AI93" s="9"/>
      <c r="AJ93" s="211"/>
      <c r="AK93" s="73" t="str">
        <f t="shared" si="23"/>
        <v>POCA JARINGAN SAMANDHAU, PTJAN</v>
      </c>
    </row>
    <row r="94" spans="1:37" s="73" customFormat="1" ht="15" hidden="1" customHeight="1">
      <c r="A94" s="9">
        <v>89</v>
      </c>
      <c r="B94" s="211" t="s">
        <v>244</v>
      </c>
      <c r="C94" s="211">
        <v>24</v>
      </c>
      <c r="D94" s="8" t="s">
        <v>212</v>
      </c>
      <c r="E94" s="10" t="s">
        <v>62</v>
      </c>
      <c r="F94" s="356"/>
      <c r="G94" s="10"/>
      <c r="H94" s="10" t="s">
        <v>265</v>
      </c>
      <c r="I94" s="218"/>
      <c r="J94" s="658">
        <v>0</v>
      </c>
      <c r="K94" s="195">
        <v>900000</v>
      </c>
      <c r="L94" s="115">
        <v>0</v>
      </c>
      <c r="M94" s="218"/>
      <c r="N94" s="189">
        <f>K94+L94</f>
        <v>900000</v>
      </c>
      <c r="O94" s="211" t="s">
        <v>195</v>
      </c>
      <c r="P94" s="211">
        <v>10</v>
      </c>
      <c r="Q94" s="218"/>
      <c r="R94" s="218"/>
      <c r="S94" s="116">
        <v>0</v>
      </c>
      <c r="T94" s="116">
        <v>0</v>
      </c>
      <c r="U94" s="115">
        <v>5000000</v>
      </c>
      <c r="V94" s="210">
        <f t="shared" si="31"/>
        <v>0</v>
      </c>
      <c r="W94" s="115">
        <f t="shared" si="32"/>
        <v>-4100000</v>
      </c>
      <c r="X94" s="181" t="s">
        <v>1913</v>
      </c>
      <c r="Y94" s="218"/>
      <c r="Z94" s="224"/>
      <c r="AA94" s="592">
        <f t="shared" si="24"/>
        <v>0</v>
      </c>
      <c r="AB94" s="224"/>
      <c r="AC94" s="9"/>
      <c r="AD94" s="297"/>
      <c r="AE94" s="297">
        <f t="shared" si="16"/>
        <v>0</v>
      </c>
      <c r="AF94" s="9"/>
      <c r="AG94" s="9"/>
      <c r="AH94" s="9"/>
      <c r="AI94" s="9"/>
      <c r="AJ94" s="211"/>
      <c r="AK94" s="73" t="str">
        <f t="shared" si="23"/>
        <v>POCA JARINGAN SAMANDHAU, PTFEB</v>
      </c>
    </row>
    <row r="95" spans="1:37" s="73" customFormat="1" ht="15" hidden="1" customHeight="1">
      <c r="A95" s="9">
        <v>90</v>
      </c>
      <c r="B95" s="211" t="s">
        <v>244</v>
      </c>
      <c r="C95" s="211">
        <v>24</v>
      </c>
      <c r="D95" s="8" t="s">
        <v>212</v>
      </c>
      <c r="E95" s="10" t="s">
        <v>62</v>
      </c>
      <c r="F95" s="356"/>
      <c r="G95" s="10"/>
      <c r="H95" s="10" t="s">
        <v>266</v>
      </c>
      <c r="I95" s="218"/>
      <c r="J95" s="658">
        <v>0</v>
      </c>
      <c r="K95" s="116">
        <v>4500000</v>
      </c>
      <c r="L95" s="115">
        <v>0</v>
      </c>
      <c r="M95" s="218"/>
      <c r="N95" s="189">
        <f>K95+L95</f>
        <v>4500000</v>
      </c>
      <c r="O95" s="894" t="s">
        <v>239</v>
      </c>
      <c r="P95" s="894">
        <v>13</v>
      </c>
      <c r="Q95" s="218"/>
      <c r="R95" s="218"/>
      <c r="S95" s="116">
        <v>0</v>
      </c>
      <c r="T95" s="116">
        <v>0</v>
      </c>
      <c r="U95" s="115">
        <f>4500000-1300000</f>
        <v>3200000</v>
      </c>
      <c r="V95" s="210">
        <f t="shared" si="31"/>
        <v>0</v>
      </c>
      <c r="W95" s="115">
        <f t="shared" si="32"/>
        <v>1300000</v>
      </c>
      <c r="X95" s="211" t="s">
        <v>1913</v>
      </c>
      <c r="Y95" s="218"/>
      <c r="Z95" s="224"/>
      <c r="AA95" s="592">
        <f t="shared" si="24"/>
        <v>0</v>
      </c>
      <c r="AB95" s="224"/>
      <c r="AC95" s="9"/>
      <c r="AD95" s="297"/>
      <c r="AE95" s="297">
        <f t="shared" si="16"/>
        <v>0</v>
      </c>
      <c r="AF95" s="9"/>
      <c r="AG95" s="9"/>
      <c r="AH95" s="9"/>
      <c r="AI95" s="9"/>
      <c r="AJ95" s="211"/>
      <c r="AK95" s="73" t="str">
        <f t="shared" si="23"/>
        <v>POCA JARINGAN SAMANDHAU, PTMAR</v>
      </c>
    </row>
    <row r="96" spans="1:37" s="73" customFormat="1" ht="15" hidden="1" customHeight="1">
      <c r="A96" s="9">
        <v>91</v>
      </c>
      <c r="B96" s="211" t="s">
        <v>244</v>
      </c>
      <c r="C96" s="211">
        <v>24</v>
      </c>
      <c r="D96" s="8" t="s">
        <v>212</v>
      </c>
      <c r="E96" s="10" t="s">
        <v>62</v>
      </c>
      <c r="F96" s="356"/>
      <c r="G96" s="10"/>
      <c r="H96" s="10" t="s">
        <v>267</v>
      </c>
      <c r="I96" s="218"/>
      <c r="J96" s="658">
        <v>0</v>
      </c>
      <c r="K96" s="189">
        <f>27900000-9000000</f>
        <v>18900000</v>
      </c>
      <c r="L96" s="115">
        <v>0</v>
      </c>
      <c r="M96" s="218"/>
      <c r="N96" s="189">
        <f>K96</f>
        <v>18900000</v>
      </c>
      <c r="O96" s="894" t="s">
        <v>239</v>
      </c>
      <c r="P96" s="894">
        <v>31</v>
      </c>
      <c r="Q96" s="218"/>
      <c r="R96" s="218"/>
      <c r="S96" s="116">
        <v>0</v>
      </c>
      <c r="T96" s="116">
        <v>0</v>
      </c>
      <c r="U96" s="115">
        <v>5000000</v>
      </c>
      <c r="V96" s="210">
        <f t="shared" si="31"/>
        <v>0</v>
      </c>
      <c r="W96" s="115">
        <f t="shared" si="32"/>
        <v>13900000</v>
      </c>
      <c r="X96" s="211" t="s">
        <v>1913</v>
      </c>
      <c r="Y96" s="218"/>
      <c r="Z96" s="224"/>
      <c r="AA96" s="592">
        <f t="shared" si="24"/>
        <v>0</v>
      </c>
      <c r="AB96" s="224"/>
      <c r="AC96" s="9"/>
      <c r="AD96" s="297"/>
      <c r="AE96" s="297">
        <f t="shared" si="16"/>
        <v>0</v>
      </c>
      <c r="AF96" s="9"/>
      <c r="AG96" s="9"/>
      <c r="AH96" s="9"/>
      <c r="AI96" s="9"/>
      <c r="AJ96" s="211"/>
      <c r="AK96" s="73" t="str">
        <f t="shared" si="23"/>
        <v>POCA JARINGAN SAMANDHAU, PTMAR</v>
      </c>
    </row>
    <row r="97" spans="1:37" s="73" customFormat="1" ht="15" hidden="1" customHeight="1">
      <c r="A97" s="9"/>
      <c r="B97" s="211"/>
      <c r="C97" s="211"/>
      <c r="D97" s="8" t="s">
        <v>212</v>
      </c>
      <c r="E97" s="10"/>
      <c r="F97" s="356"/>
      <c r="G97" s="10"/>
      <c r="H97" s="10"/>
      <c r="I97" s="218"/>
      <c r="J97" s="658"/>
      <c r="K97" s="189"/>
      <c r="L97" s="115"/>
      <c r="M97" s="218"/>
      <c r="N97" s="189"/>
      <c r="O97" s="894" t="s">
        <v>240</v>
      </c>
      <c r="P97" s="894">
        <v>26</v>
      </c>
      <c r="Q97" s="218"/>
      <c r="R97" s="218"/>
      <c r="S97" s="116">
        <v>0</v>
      </c>
      <c r="T97" s="116">
        <v>0</v>
      </c>
      <c r="U97" s="115">
        <v>8900000</v>
      </c>
      <c r="V97" s="210">
        <f t="shared" si="31"/>
        <v>0</v>
      </c>
      <c r="W97" s="115">
        <f t="shared" si="32"/>
        <v>-8900000</v>
      </c>
      <c r="X97" s="211" t="s">
        <v>1913</v>
      </c>
      <c r="Y97" s="218"/>
      <c r="Z97" s="224"/>
      <c r="AA97" s="592"/>
      <c r="AB97" s="224"/>
      <c r="AC97" s="9"/>
      <c r="AD97" s="297"/>
      <c r="AE97" s="297"/>
      <c r="AF97" s="9"/>
      <c r="AG97" s="9"/>
      <c r="AH97" s="9"/>
      <c r="AI97" s="9"/>
      <c r="AJ97" s="211"/>
      <c r="AK97" s="73" t="str">
        <f t="shared" si="23"/>
        <v>POCA JARINGAN SAMANDHAU, PTAPR</v>
      </c>
    </row>
    <row r="98" spans="1:37" s="73" customFormat="1" ht="15" hidden="1" customHeight="1">
      <c r="A98" s="9"/>
      <c r="B98" s="211"/>
      <c r="C98" s="211"/>
      <c r="D98" s="8" t="s">
        <v>212</v>
      </c>
      <c r="E98" s="10"/>
      <c r="F98" s="356"/>
      <c r="G98" s="10"/>
      <c r="H98" s="10"/>
      <c r="I98" s="218"/>
      <c r="J98" s="658"/>
      <c r="K98" s="189"/>
      <c r="L98" s="115"/>
      <c r="M98" s="218"/>
      <c r="N98" s="189"/>
      <c r="O98" s="894" t="s">
        <v>58</v>
      </c>
      <c r="P98" s="894">
        <v>9</v>
      </c>
      <c r="Q98" s="218"/>
      <c r="R98" s="218"/>
      <c r="S98" s="116">
        <v>0</v>
      </c>
      <c r="T98" s="116">
        <v>0</v>
      </c>
      <c r="U98" s="115">
        <v>5000000</v>
      </c>
      <c r="V98" s="210">
        <f t="shared" si="31"/>
        <v>0</v>
      </c>
      <c r="W98" s="115">
        <f t="shared" si="32"/>
        <v>-5000000</v>
      </c>
      <c r="X98" s="211" t="s">
        <v>1913</v>
      </c>
      <c r="Y98" s="218"/>
      <c r="Z98" s="224"/>
      <c r="AA98" s="592"/>
      <c r="AB98" s="224"/>
      <c r="AC98" s="9"/>
      <c r="AD98" s="297"/>
      <c r="AE98" s="297"/>
      <c r="AF98" s="9"/>
      <c r="AG98" s="9"/>
      <c r="AH98" s="9"/>
      <c r="AI98" s="9"/>
      <c r="AJ98" s="211"/>
      <c r="AK98" s="73" t="str">
        <f t="shared" si="23"/>
        <v>POCA JARINGAN SAMANDHAU, PTMEI</v>
      </c>
    </row>
    <row r="99" spans="1:37" s="40" customFormat="1" ht="12" hidden="1" customHeight="1">
      <c r="A99" s="9">
        <v>92</v>
      </c>
      <c r="B99" s="9" t="s">
        <v>239</v>
      </c>
      <c r="C99" s="9">
        <v>7</v>
      </c>
      <c r="D99" s="8" t="s">
        <v>212</v>
      </c>
      <c r="E99" s="10" t="s">
        <v>62</v>
      </c>
      <c r="F99" s="356"/>
      <c r="G99" s="10"/>
      <c r="H99" s="9" t="s">
        <v>392</v>
      </c>
      <c r="I99" s="10" t="s">
        <v>14</v>
      </c>
      <c r="J99" s="658">
        <v>0</v>
      </c>
      <c r="K99" s="116">
        <f>124200000-30000000-60000000-32400000</f>
        <v>1800000</v>
      </c>
      <c r="L99" s="116">
        <v>0</v>
      </c>
      <c r="M99" s="10"/>
      <c r="N99" s="189">
        <f t="shared" si="28"/>
        <v>1800000</v>
      </c>
      <c r="O99" s="894" t="s">
        <v>239</v>
      </c>
      <c r="P99" s="894">
        <v>13</v>
      </c>
      <c r="Q99" s="175"/>
      <c r="R99" s="175"/>
      <c r="S99" s="116">
        <v>0</v>
      </c>
      <c r="T99" s="116">
        <v>0</v>
      </c>
      <c r="U99" s="117">
        <v>1800000</v>
      </c>
      <c r="V99" s="210">
        <f t="shared" si="29"/>
        <v>0</v>
      </c>
      <c r="W99" s="115">
        <f t="shared" si="30"/>
        <v>0</v>
      </c>
      <c r="X99" s="181" t="s">
        <v>1913</v>
      </c>
      <c r="Y99" s="116"/>
      <c r="Z99" s="186"/>
      <c r="AA99" s="592">
        <f t="shared" si="24"/>
        <v>0</v>
      </c>
      <c r="AB99" s="186"/>
      <c r="AC99" s="9"/>
      <c r="AD99" s="297"/>
      <c r="AE99" s="297">
        <f t="shared" si="16"/>
        <v>0</v>
      </c>
      <c r="AF99" s="9"/>
      <c r="AG99" s="9"/>
      <c r="AH99" s="9"/>
      <c r="AI99" s="9"/>
      <c r="AJ99" s="9"/>
      <c r="AK99" s="73" t="str">
        <f t="shared" si="23"/>
        <v>POCA JARINGAN SAMANDHAU, PTMAR</v>
      </c>
    </row>
    <row r="100" spans="1:37" s="40" customFormat="1" ht="12" hidden="1" customHeight="1">
      <c r="A100" s="9">
        <v>93</v>
      </c>
      <c r="B100" s="9" t="s">
        <v>238</v>
      </c>
      <c r="C100" s="9">
        <v>15</v>
      </c>
      <c r="D100" s="8" t="s">
        <v>764</v>
      </c>
      <c r="E100" s="10" t="s">
        <v>1564</v>
      </c>
      <c r="F100" s="356"/>
      <c r="G100" s="10"/>
      <c r="H100" s="9" t="s">
        <v>783</v>
      </c>
      <c r="I100" s="10" t="s">
        <v>784</v>
      </c>
      <c r="J100" s="658">
        <v>0</v>
      </c>
      <c r="K100" s="116">
        <v>23000000</v>
      </c>
      <c r="L100" s="116">
        <f t="shared" ref="L100:L109" si="33">K100*10%</f>
        <v>2300000</v>
      </c>
      <c r="M100" s="10"/>
      <c r="N100" s="189">
        <f t="shared" si="28"/>
        <v>25300000</v>
      </c>
      <c r="O100" s="197" t="s">
        <v>195</v>
      </c>
      <c r="P100" s="197" t="s">
        <v>31</v>
      </c>
      <c r="Q100" s="175"/>
      <c r="R100" s="175"/>
      <c r="S100" s="116">
        <v>0</v>
      </c>
      <c r="T100" s="116">
        <f>-K100*2%</f>
        <v>-460000</v>
      </c>
      <c r="U100" s="116">
        <v>24840000</v>
      </c>
      <c r="V100" s="210">
        <f t="shared" ref="V100:V111" si="34">M100+Q100-R100</f>
        <v>0</v>
      </c>
      <c r="W100" s="115">
        <f>N100+S100+T100-U100</f>
        <v>0</v>
      </c>
      <c r="X100" s="181" t="s">
        <v>2071</v>
      </c>
      <c r="Y100" s="116"/>
      <c r="Z100" s="186"/>
      <c r="AA100" s="592">
        <f t="shared" si="24"/>
        <v>0</v>
      </c>
      <c r="AB100" s="186"/>
      <c r="AC100" s="9"/>
      <c r="AD100" s="297"/>
      <c r="AE100" s="297">
        <f t="shared" si="16"/>
        <v>460000</v>
      </c>
      <c r="AF100" s="9"/>
      <c r="AG100" s="9" t="s">
        <v>1395</v>
      </c>
      <c r="AH100" s="300">
        <v>42689</v>
      </c>
      <c r="AI100" s="9" t="s">
        <v>1425</v>
      </c>
      <c r="AJ100" s="300">
        <v>42690</v>
      </c>
      <c r="AK100" s="73" t="str">
        <f t="shared" ref="AK100:AK136" si="35">CONCATENATE(D100,O100)</f>
        <v>PUNCAK KEEMASAN LUMBUNG DUNIA, PTFEB</v>
      </c>
    </row>
    <row r="101" spans="1:37" s="40" customFormat="1" ht="12" hidden="1" customHeight="1">
      <c r="A101" s="9">
        <v>94</v>
      </c>
      <c r="B101" s="9" t="s">
        <v>140</v>
      </c>
      <c r="C101" s="9">
        <v>1</v>
      </c>
      <c r="D101" s="8" t="s">
        <v>764</v>
      </c>
      <c r="E101" s="10" t="s">
        <v>1564</v>
      </c>
      <c r="F101" s="356"/>
      <c r="G101" s="10"/>
      <c r="H101" s="9" t="s">
        <v>1565</v>
      </c>
      <c r="I101" s="10" t="s">
        <v>1566</v>
      </c>
      <c r="J101" s="658">
        <v>0</v>
      </c>
      <c r="K101" s="116">
        <v>23000000</v>
      </c>
      <c r="L101" s="116">
        <f t="shared" si="33"/>
        <v>2300000</v>
      </c>
      <c r="M101" s="10"/>
      <c r="N101" s="189">
        <f t="shared" si="28"/>
        <v>25300000</v>
      </c>
      <c r="O101" s="197" t="s">
        <v>195</v>
      </c>
      <c r="P101" s="197" t="s">
        <v>31</v>
      </c>
      <c r="Q101" s="175"/>
      <c r="R101" s="175"/>
      <c r="S101" s="116">
        <v>0</v>
      </c>
      <c r="T101" s="116">
        <f>-K101*2%</f>
        <v>-460000</v>
      </c>
      <c r="U101" s="116">
        <v>24840000</v>
      </c>
      <c r="V101" s="210">
        <f t="shared" si="34"/>
        <v>0</v>
      </c>
      <c r="W101" s="115">
        <f>N101+S101+T101-U101</f>
        <v>0</v>
      </c>
      <c r="X101" s="181" t="s">
        <v>2071</v>
      </c>
      <c r="Y101" s="116"/>
      <c r="Z101" s="186"/>
      <c r="AA101" s="592">
        <f t="shared" si="24"/>
        <v>0</v>
      </c>
      <c r="AB101" s="186"/>
      <c r="AC101" s="9"/>
      <c r="AD101" s="297"/>
      <c r="AE101" s="297">
        <f t="shared" si="16"/>
        <v>460000</v>
      </c>
      <c r="AF101" s="9"/>
      <c r="AG101" s="9" t="s">
        <v>1395</v>
      </c>
      <c r="AH101" s="300">
        <v>42711</v>
      </c>
      <c r="AI101" s="9" t="s">
        <v>1599</v>
      </c>
      <c r="AJ101" s="300">
        <v>42711</v>
      </c>
      <c r="AK101" s="73" t="str">
        <f t="shared" si="35"/>
        <v>PUNCAK KEEMASAN LUMBUNG DUNIA, PTFEB</v>
      </c>
    </row>
    <row r="102" spans="1:37" s="73" customFormat="1" ht="15" hidden="1" customHeight="1">
      <c r="A102" s="9">
        <v>95</v>
      </c>
      <c r="B102" s="211" t="s">
        <v>243</v>
      </c>
      <c r="C102" s="211">
        <v>14</v>
      </c>
      <c r="D102" s="8" t="s">
        <v>213</v>
      </c>
      <c r="E102" s="10" t="s">
        <v>355</v>
      </c>
      <c r="F102" s="356"/>
      <c r="G102" s="10"/>
      <c r="H102" s="10" t="s">
        <v>268</v>
      </c>
      <c r="I102" s="218"/>
      <c r="J102" s="658">
        <v>0</v>
      </c>
      <c r="K102" s="118">
        <v>18500000</v>
      </c>
      <c r="L102" s="118">
        <f t="shared" si="33"/>
        <v>1850000</v>
      </c>
      <c r="M102" s="218"/>
      <c r="N102" s="711">
        <f t="shared" ref="N102:N109" si="36">K102+L102</f>
        <v>20350000</v>
      </c>
      <c r="O102" s="211"/>
      <c r="P102" s="211"/>
      <c r="Q102" s="218"/>
      <c r="R102" s="218"/>
      <c r="S102" s="116">
        <v>0</v>
      </c>
      <c r="T102" s="116">
        <v>0</v>
      </c>
      <c r="U102" s="218"/>
      <c r="V102" s="210">
        <f t="shared" si="34"/>
        <v>0</v>
      </c>
      <c r="W102" s="511">
        <f>N102+S102-U102</f>
        <v>20350000</v>
      </c>
      <c r="X102" s="211"/>
      <c r="Y102" s="218"/>
      <c r="Z102" s="224"/>
      <c r="AA102" s="592">
        <f t="shared" si="24"/>
        <v>0</v>
      </c>
      <c r="AB102" s="224"/>
      <c r="AC102" s="9" t="s">
        <v>14</v>
      </c>
      <c r="AD102" s="297">
        <v>0</v>
      </c>
      <c r="AE102" s="297">
        <f t="shared" si="16"/>
        <v>0</v>
      </c>
      <c r="AF102" s="9" t="s">
        <v>14</v>
      </c>
      <c r="AG102" s="9"/>
      <c r="AH102" s="9"/>
      <c r="AI102" s="9"/>
      <c r="AJ102" s="211"/>
      <c r="AK102" s="73" t="str">
        <f t="shared" si="35"/>
        <v>REALITA JAYA MANDIRI, PT</v>
      </c>
    </row>
    <row r="103" spans="1:37" s="73" customFormat="1" ht="15" hidden="1" customHeight="1">
      <c r="A103" s="9">
        <v>96</v>
      </c>
      <c r="B103" s="211" t="s">
        <v>244</v>
      </c>
      <c r="C103" s="211">
        <v>4</v>
      </c>
      <c r="D103" s="8" t="s">
        <v>213</v>
      </c>
      <c r="E103" s="10" t="s">
        <v>355</v>
      </c>
      <c r="F103" s="356"/>
      <c r="G103" s="10"/>
      <c r="H103" s="10" t="s">
        <v>269</v>
      </c>
      <c r="I103" s="218"/>
      <c r="J103" s="658">
        <v>0</v>
      </c>
      <c r="K103" s="118">
        <v>18500000</v>
      </c>
      <c r="L103" s="118">
        <f t="shared" si="33"/>
        <v>1850000</v>
      </c>
      <c r="M103" s="218"/>
      <c r="N103" s="711">
        <f t="shared" si="36"/>
        <v>20350000</v>
      </c>
      <c r="O103" s="211"/>
      <c r="P103" s="211"/>
      <c r="Q103" s="218"/>
      <c r="R103" s="218"/>
      <c r="S103" s="116">
        <v>0</v>
      </c>
      <c r="T103" s="116">
        <v>0</v>
      </c>
      <c r="U103" s="218"/>
      <c r="V103" s="210">
        <f t="shared" si="34"/>
        <v>0</v>
      </c>
      <c r="W103" s="511">
        <f>N103+S103-U103</f>
        <v>20350000</v>
      </c>
      <c r="X103" s="211"/>
      <c r="Y103" s="218"/>
      <c r="Z103" s="224"/>
      <c r="AA103" s="592">
        <f t="shared" si="24"/>
        <v>0</v>
      </c>
      <c r="AB103" s="224"/>
      <c r="AC103" s="9" t="s">
        <v>14</v>
      </c>
      <c r="AD103" s="297">
        <v>0</v>
      </c>
      <c r="AE103" s="297">
        <f t="shared" si="16"/>
        <v>0</v>
      </c>
      <c r="AF103" s="9" t="s">
        <v>14</v>
      </c>
      <c r="AG103" s="9"/>
      <c r="AH103" s="9"/>
      <c r="AI103" s="9"/>
      <c r="AJ103" s="211"/>
      <c r="AK103" s="73" t="str">
        <f t="shared" si="35"/>
        <v>REALITA JAYA MANDIRI, PT</v>
      </c>
    </row>
    <row r="104" spans="1:37" s="73" customFormat="1" ht="15" hidden="1" customHeight="1">
      <c r="A104" s="9">
        <v>97</v>
      </c>
      <c r="B104" s="211" t="s">
        <v>245</v>
      </c>
      <c r="C104" s="211">
        <v>21</v>
      </c>
      <c r="D104" s="8" t="s">
        <v>213</v>
      </c>
      <c r="E104" s="10" t="s">
        <v>355</v>
      </c>
      <c r="F104" s="356"/>
      <c r="G104" s="10"/>
      <c r="H104" s="10" t="s">
        <v>270</v>
      </c>
      <c r="I104" s="218"/>
      <c r="J104" s="658">
        <v>0</v>
      </c>
      <c r="K104" s="118">
        <v>18500000</v>
      </c>
      <c r="L104" s="118">
        <f t="shared" si="33"/>
        <v>1850000</v>
      </c>
      <c r="M104" s="218"/>
      <c r="N104" s="711">
        <f t="shared" si="36"/>
        <v>20350000</v>
      </c>
      <c r="O104" s="211"/>
      <c r="P104" s="211"/>
      <c r="Q104" s="218"/>
      <c r="R104" s="218"/>
      <c r="S104" s="116">
        <v>0</v>
      </c>
      <c r="T104" s="116">
        <v>0</v>
      </c>
      <c r="U104" s="218"/>
      <c r="V104" s="210">
        <f t="shared" si="34"/>
        <v>0</v>
      </c>
      <c r="W104" s="511">
        <f>N104+S104-U104</f>
        <v>20350000</v>
      </c>
      <c r="X104" s="211"/>
      <c r="Y104" s="218"/>
      <c r="Z104" s="224"/>
      <c r="AA104" s="592">
        <f t="shared" si="24"/>
        <v>0</v>
      </c>
      <c r="AB104" s="224"/>
      <c r="AC104" s="9" t="s">
        <v>14</v>
      </c>
      <c r="AD104" s="297">
        <v>0</v>
      </c>
      <c r="AE104" s="297">
        <f t="shared" si="16"/>
        <v>0</v>
      </c>
      <c r="AF104" s="9" t="s">
        <v>14</v>
      </c>
      <c r="AG104" s="9"/>
      <c r="AH104" s="9"/>
      <c r="AI104" s="9"/>
      <c r="AJ104" s="211"/>
      <c r="AK104" s="73" t="str">
        <f t="shared" si="35"/>
        <v>REALITA JAYA MANDIRI, PT</v>
      </c>
    </row>
    <row r="105" spans="1:37" s="73" customFormat="1" ht="15" hidden="1" customHeight="1">
      <c r="A105" s="9">
        <v>98</v>
      </c>
      <c r="B105" s="211" t="s">
        <v>238</v>
      </c>
      <c r="C105" s="211">
        <v>4</v>
      </c>
      <c r="D105" s="8" t="s">
        <v>213</v>
      </c>
      <c r="E105" s="10" t="s">
        <v>355</v>
      </c>
      <c r="F105" s="356"/>
      <c r="G105" s="10"/>
      <c r="H105" s="10" t="s">
        <v>271</v>
      </c>
      <c r="I105" s="218"/>
      <c r="J105" s="658">
        <v>0</v>
      </c>
      <c r="K105" s="118">
        <v>18500000</v>
      </c>
      <c r="L105" s="118">
        <f t="shared" si="33"/>
        <v>1850000</v>
      </c>
      <c r="M105" s="218"/>
      <c r="N105" s="711">
        <f t="shared" si="36"/>
        <v>20350000</v>
      </c>
      <c r="O105" s="211"/>
      <c r="P105" s="211"/>
      <c r="Q105" s="218"/>
      <c r="R105" s="218"/>
      <c r="S105" s="116">
        <v>0</v>
      </c>
      <c r="T105" s="116">
        <v>0</v>
      </c>
      <c r="U105" s="218"/>
      <c r="V105" s="210">
        <f t="shared" si="34"/>
        <v>0</v>
      </c>
      <c r="W105" s="511">
        <f>N105+S105-U105</f>
        <v>20350000</v>
      </c>
      <c r="X105" s="211"/>
      <c r="Y105" s="218"/>
      <c r="Z105" s="224"/>
      <c r="AA105" s="592">
        <f t="shared" si="24"/>
        <v>0</v>
      </c>
      <c r="AB105" s="224"/>
      <c r="AC105" s="9" t="s">
        <v>14</v>
      </c>
      <c r="AD105" s="297">
        <v>0</v>
      </c>
      <c r="AE105" s="297">
        <f t="shared" si="16"/>
        <v>0</v>
      </c>
      <c r="AF105" s="9" t="s">
        <v>14</v>
      </c>
      <c r="AG105" s="9"/>
      <c r="AH105" s="9"/>
      <c r="AI105" s="9"/>
      <c r="AJ105" s="211"/>
      <c r="AK105" s="73" t="str">
        <f t="shared" si="35"/>
        <v>REALITA JAYA MANDIRI, PT</v>
      </c>
    </row>
    <row r="106" spans="1:37" s="73" customFormat="1" ht="15" hidden="1" customHeight="1">
      <c r="A106" s="9">
        <v>99</v>
      </c>
      <c r="B106" s="211" t="s">
        <v>140</v>
      </c>
      <c r="C106" s="211">
        <v>3</v>
      </c>
      <c r="D106" s="8" t="s">
        <v>213</v>
      </c>
      <c r="E106" s="10" t="s">
        <v>355</v>
      </c>
      <c r="F106" s="356"/>
      <c r="G106" s="10"/>
      <c r="H106" s="10" t="s">
        <v>272</v>
      </c>
      <c r="I106" s="218"/>
      <c r="J106" s="658">
        <v>0</v>
      </c>
      <c r="K106" s="118">
        <v>18500000</v>
      </c>
      <c r="L106" s="118">
        <f t="shared" si="33"/>
        <v>1850000</v>
      </c>
      <c r="M106" s="218"/>
      <c r="N106" s="711">
        <f t="shared" si="36"/>
        <v>20350000</v>
      </c>
      <c r="O106" s="211"/>
      <c r="P106" s="211"/>
      <c r="Q106" s="218"/>
      <c r="R106" s="218"/>
      <c r="S106" s="116">
        <v>0</v>
      </c>
      <c r="T106" s="116">
        <v>0</v>
      </c>
      <c r="U106" s="218"/>
      <c r="V106" s="210">
        <f t="shared" si="34"/>
        <v>0</v>
      </c>
      <c r="W106" s="511">
        <f>N106+S106-U106</f>
        <v>20350000</v>
      </c>
      <c r="X106" s="211"/>
      <c r="Y106" s="218"/>
      <c r="Z106" s="224"/>
      <c r="AA106" s="592">
        <f t="shared" si="24"/>
        <v>0</v>
      </c>
      <c r="AB106" s="224"/>
      <c r="AC106" s="9" t="s">
        <v>14</v>
      </c>
      <c r="AD106" s="297">
        <v>0</v>
      </c>
      <c r="AE106" s="297">
        <f t="shared" si="16"/>
        <v>0</v>
      </c>
      <c r="AF106" s="9" t="s">
        <v>14</v>
      </c>
      <c r="AG106" s="9"/>
      <c r="AH106" s="9"/>
      <c r="AI106" s="9"/>
      <c r="AJ106" s="211"/>
      <c r="AK106" s="73" t="str">
        <f t="shared" si="35"/>
        <v>REALITA JAYA MANDIRI, PT</v>
      </c>
    </row>
    <row r="107" spans="1:37" s="40" customFormat="1" ht="12" hidden="1" customHeight="1">
      <c r="A107" s="9">
        <v>100</v>
      </c>
      <c r="B107" s="9" t="s">
        <v>238</v>
      </c>
      <c r="C107" s="9">
        <v>4</v>
      </c>
      <c r="D107" s="8" t="s">
        <v>445</v>
      </c>
      <c r="E107" s="10" t="s">
        <v>357</v>
      </c>
      <c r="F107" s="356"/>
      <c r="G107" s="10"/>
      <c r="H107" s="9" t="s">
        <v>647</v>
      </c>
      <c r="I107" s="10" t="s">
        <v>648</v>
      </c>
      <c r="J107" s="658">
        <v>0</v>
      </c>
      <c r="K107" s="116">
        <v>10000000</v>
      </c>
      <c r="L107" s="116">
        <f t="shared" si="33"/>
        <v>1000000</v>
      </c>
      <c r="M107" s="10"/>
      <c r="N107" s="189">
        <f t="shared" si="36"/>
        <v>11000000</v>
      </c>
      <c r="O107" s="197" t="s">
        <v>194</v>
      </c>
      <c r="P107" s="197" t="s">
        <v>18</v>
      </c>
      <c r="Q107" s="175"/>
      <c r="R107" s="175"/>
      <c r="S107" s="116">
        <v>0</v>
      </c>
      <c r="T107" s="116">
        <v>0</v>
      </c>
      <c r="U107" s="116">
        <v>11000000</v>
      </c>
      <c r="V107" s="210">
        <f t="shared" si="34"/>
        <v>0</v>
      </c>
      <c r="W107" s="115">
        <f>N107+S107+T107-U107</f>
        <v>0</v>
      </c>
      <c r="X107" s="181" t="s">
        <v>237</v>
      </c>
      <c r="Y107" s="116"/>
      <c r="Z107" s="186"/>
      <c r="AA107" s="592">
        <f t="shared" si="24"/>
        <v>0</v>
      </c>
      <c r="AB107" s="186"/>
      <c r="AC107" s="9"/>
      <c r="AD107" s="297"/>
      <c r="AE107" s="297">
        <f t="shared" si="16"/>
        <v>0</v>
      </c>
      <c r="AF107" s="9"/>
      <c r="AG107" s="9" t="s">
        <v>1395</v>
      </c>
      <c r="AH107" s="300">
        <v>42682</v>
      </c>
      <c r="AI107" s="9" t="s">
        <v>1429</v>
      </c>
      <c r="AJ107" s="300">
        <v>42682</v>
      </c>
      <c r="AK107" s="73" t="str">
        <f t="shared" si="35"/>
        <v>RIUNG MITRA LESTARI, PTJAN</v>
      </c>
    </row>
    <row r="108" spans="1:37" s="40" customFormat="1" ht="12" hidden="1" customHeight="1">
      <c r="A108" s="9">
        <v>101</v>
      </c>
      <c r="B108" s="9" t="s">
        <v>140</v>
      </c>
      <c r="C108" s="9">
        <v>1</v>
      </c>
      <c r="D108" s="8" t="s">
        <v>445</v>
      </c>
      <c r="E108" s="10" t="s">
        <v>357</v>
      </c>
      <c r="F108" s="356"/>
      <c r="G108" s="10"/>
      <c r="H108" s="9" t="s">
        <v>1558</v>
      </c>
      <c r="I108" s="10" t="s">
        <v>1560</v>
      </c>
      <c r="J108" s="658">
        <v>0</v>
      </c>
      <c r="K108" s="116">
        <v>10000000</v>
      </c>
      <c r="L108" s="116">
        <f t="shared" si="33"/>
        <v>1000000</v>
      </c>
      <c r="M108" s="10"/>
      <c r="N108" s="189">
        <f t="shared" si="36"/>
        <v>11000000</v>
      </c>
      <c r="O108" s="197" t="s">
        <v>194</v>
      </c>
      <c r="P108" s="197" t="s">
        <v>18</v>
      </c>
      <c r="Q108" s="175"/>
      <c r="R108" s="175"/>
      <c r="S108" s="116">
        <v>0</v>
      </c>
      <c r="T108" s="116">
        <v>0</v>
      </c>
      <c r="U108" s="116">
        <v>11000000</v>
      </c>
      <c r="V108" s="210">
        <f t="shared" si="34"/>
        <v>0</v>
      </c>
      <c r="W108" s="115">
        <f>N108+S108+T108-U108</f>
        <v>0</v>
      </c>
      <c r="X108" s="181" t="s">
        <v>237</v>
      </c>
      <c r="Y108" s="116"/>
      <c r="Z108" s="186"/>
      <c r="AA108" s="592">
        <f t="shared" si="24"/>
        <v>0</v>
      </c>
      <c r="AB108" s="186"/>
      <c r="AC108" s="9"/>
      <c r="AD108" s="297"/>
      <c r="AE108" s="297">
        <f t="shared" si="16"/>
        <v>0</v>
      </c>
      <c r="AF108" s="9"/>
      <c r="AG108" s="9" t="s">
        <v>1395</v>
      </c>
      <c r="AH108" s="300">
        <v>42710</v>
      </c>
      <c r="AI108" s="9" t="s">
        <v>1429</v>
      </c>
      <c r="AJ108" s="300">
        <v>42712</v>
      </c>
      <c r="AK108" s="73" t="str">
        <f t="shared" si="35"/>
        <v>RIUNG MITRA LESTARI, PTJAN</v>
      </c>
    </row>
    <row r="109" spans="1:37" s="729" customFormat="1" ht="12" hidden="1" customHeight="1">
      <c r="A109" s="714">
        <v>102</v>
      </c>
      <c r="B109" s="714" t="s">
        <v>140</v>
      </c>
      <c r="C109" s="714">
        <v>15</v>
      </c>
      <c r="D109" s="715" t="s">
        <v>1623</v>
      </c>
      <c r="E109" s="716" t="s">
        <v>144</v>
      </c>
      <c r="F109" s="1512"/>
      <c r="G109" s="716"/>
      <c r="H109" s="714" t="s">
        <v>1624</v>
      </c>
      <c r="I109" s="716" t="s">
        <v>2196</v>
      </c>
      <c r="J109" s="821">
        <v>0</v>
      </c>
      <c r="K109" s="717">
        <v>0</v>
      </c>
      <c r="L109" s="717">
        <f t="shared" si="33"/>
        <v>0</v>
      </c>
      <c r="M109" s="716"/>
      <c r="N109" s="718">
        <f t="shared" si="36"/>
        <v>0</v>
      </c>
      <c r="O109" s="719"/>
      <c r="P109" s="719"/>
      <c r="Q109" s="720"/>
      <c r="R109" s="720"/>
      <c r="S109" s="717">
        <v>0</v>
      </c>
      <c r="T109" s="717">
        <v>0</v>
      </c>
      <c r="U109" s="717">
        <v>0</v>
      </c>
      <c r="V109" s="721">
        <f t="shared" si="34"/>
        <v>0</v>
      </c>
      <c r="W109" s="722">
        <f>N109+S109+T109-U109</f>
        <v>0</v>
      </c>
      <c r="X109" s="723"/>
      <c r="Y109" s="717"/>
      <c r="Z109" s="724"/>
      <c r="AA109" s="725">
        <f t="shared" si="24"/>
        <v>0</v>
      </c>
      <c r="AB109" s="724"/>
      <c r="AC109" s="714"/>
      <c r="AD109" s="726"/>
      <c r="AE109" s="726">
        <f t="shared" si="16"/>
        <v>0</v>
      </c>
      <c r="AF109" s="714"/>
      <c r="AG109" s="714" t="s">
        <v>1395</v>
      </c>
      <c r="AH109" s="727">
        <v>42719</v>
      </c>
      <c r="AI109" s="714" t="s">
        <v>1628</v>
      </c>
      <c r="AJ109" s="727">
        <v>42719</v>
      </c>
      <c r="AK109" s="728" t="str">
        <f t="shared" si="35"/>
        <v>ROKA LANE ASIA, PT</v>
      </c>
    </row>
    <row r="110" spans="1:37" s="73" customFormat="1" ht="15" hidden="1" customHeight="1">
      <c r="A110" s="9">
        <v>103</v>
      </c>
      <c r="B110" s="211" t="s">
        <v>242</v>
      </c>
      <c r="C110" s="211">
        <v>29</v>
      </c>
      <c r="D110" s="8" t="s">
        <v>215</v>
      </c>
      <c r="E110" s="10" t="s">
        <v>118</v>
      </c>
      <c r="F110" s="356"/>
      <c r="G110" s="10"/>
      <c r="H110" s="9" t="s">
        <v>273</v>
      </c>
      <c r="I110" s="218"/>
      <c r="J110" s="126">
        <v>99</v>
      </c>
      <c r="K110" s="119"/>
      <c r="L110" s="115">
        <v>0</v>
      </c>
      <c r="M110" s="712">
        <f>J110</f>
        <v>99</v>
      </c>
      <c r="N110" s="189">
        <v>0</v>
      </c>
      <c r="O110" s="211"/>
      <c r="P110" s="211"/>
      <c r="Q110" s="218"/>
      <c r="R110" s="218"/>
      <c r="S110" s="116">
        <v>0</v>
      </c>
      <c r="T110" s="116">
        <v>0</v>
      </c>
      <c r="U110" s="218"/>
      <c r="V110" s="510">
        <f t="shared" si="34"/>
        <v>99</v>
      </c>
      <c r="W110" s="115">
        <f>N110+S110-U110</f>
        <v>0</v>
      </c>
      <c r="X110" s="211"/>
      <c r="Y110" s="218"/>
      <c r="Z110" s="224"/>
      <c r="AA110" s="592">
        <f t="shared" si="24"/>
        <v>0</v>
      </c>
      <c r="AB110" s="224"/>
      <c r="AC110" s="9"/>
      <c r="AD110" s="297"/>
      <c r="AE110" s="297">
        <f t="shared" si="16"/>
        <v>0</v>
      </c>
      <c r="AF110" s="9"/>
      <c r="AG110" s="9"/>
      <c r="AH110" s="9"/>
      <c r="AI110" s="9"/>
      <c r="AJ110" s="211"/>
      <c r="AK110" s="73" t="str">
        <f t="shared" si="35"/>
        <v>SARANA MANDIRI UTAMA, PT</v>
      </c>
    </row>
    <row r="111" spans="1:37" s="114" customFormat="1" ht="12" hidden="1" customHeight="1">
      <c r="A111" s="9">
        <v>104</v>
      </c>
      <c r="B111" s="9" t="s">
        <v>140</v>
      </c>
      <c r="C111" s="9">
        <v>1</v>
      </c>
      <c r="D111" s="8" t="s">
        <v>412</v>
      </c>
      <c r="E111" s="9" t="s">
        <v>354</v>
      </c>
      <c r="F111" s="8"/>
      <c r="G111" s="9"/>
      <c r="H111" s="9" t="s">
        <v>1559</v>
      </c>
      <c r="I111" s="9" t="s">
        <v>1562</v>
      </c>
      <c r="J111" s="658">
        <v>0</v>
      </c>
      <c r="K111" s="116">
        <v>22000000</v>
      </c>
      <c r="L111" s="116">
        <f>K111*10%</f>
        <v>2200000</v>
      </c>
      <c r="M111" s="8"/>
      <c r="N111" s="189">
        <f>K111+L111</f>
        <v>24200000</v>
      </c>
      <c r="O111" s="197" t="s">
        <v>194</v>
      </c>
      <c r="P111" s="197" t="s">
        <v>37</v>
      </c>
      <c r="Q111" s="175"/>
      <c r="R111" s="175"/>
      <c r="S111" s="116">
        <v>0</v>
      </c>
      <c r="T111" s="116">
        <f>-K111*2%</f>
        <v>-440000</v>
      </c>
      <c r="U111" s="116">
        <v>23760000</v>
      </c>
      <c r="V111" s="210">
        <f t="shared" si="34"/>
        <v>0</v>
      </c>
      <c r="W111" s="115">
        <f>N111+S111+T111-U111</f>
        <v>0</v>
      </c>
      <c r="X111" s="181" t="s">
        <v>237</v>
      </c>
      <c r="Y111" s="116"/>
      <c r="Z111" s="185"/>
      <c r="AA111" s="592">
        <f t="shared" si="24"/>
        <v>0</v>
      </c>
      <c r="AB111" s="185"/>
      <c r="AC111" s="300">
        <v>42748</v>
      </c>
      <c r="AD111" s="297">
        <v>440000</v>
      </c>
      <c r="AE111" s="297">
        <f t="shared" ref="AE111:AE143" si="37">-T111-AD111</f>
        <v>0</v>
      </c>
      <c r="AF111" s="9" t="s">
        <v>2206</v>
      </c>
      <c r="AG111" s="9" t="s">
        <v>1395</v>
      </c>
      <c r="AH111" s="300">
        <v>42710</v>
      </c>
      <c r="AI111" s="9" t="s">
        <v>1592</v>
      </c>
      <c r="AJ111" s="300">
        <v>42710</v>
      </c>
      <c r="AK111" s="73" t="str">
        <f t="shared" si="35"/>
        <v>TEBAR TANDAN TENERA, PTJAN</v>
      </c>
    </row>
    <row r="112" spans="1:37" s="73" customFormat="1" ht="15" hidden="1" customHeight="1">
      <c r="A112" s="9">
        <v>105</v>
      </c>
      <c r="B112" s="211" t="s">
        <v>140</v>
      </c>
      <c r="C112" s="211">
        <v>1</v>
      </c>
      <c r="D112" s="8" t="s">
        <v>216</v>
      </c>
      <c r="E112" s="9" t="s">
        <v>354</v>
      </c>
      <c r="F112" s="8"/>
      <c r="G112" s="9"/>
      <c r="H112" s="9" t="s">
        <v>275</v>
      </c>
      <c r="I112" s="218"/>
      <c r="J112" s="126">
        <v>620</v>
      </c>
      <c r="K112" s="119"/>
      <c r="L112" s="115">
        <v>0</v>
      </c>
      <c r="M112" s="712">
        <f>J112</f>
        <v>620</v>
      </c>
      <c r="N112" s="189">
        <v>0</v>
      </c>
      <c r="O112" s="211"/>
      <c r="P112" s="211"/>
      <c r="Q112" s="218"/>
      <c r="R112" s="218"/>
      <c r="S112" s="116">
        <v>0</v>
      </c>
      <c r="T112" s="116">
        <v>0</v>
      </c>
      <c r="U112" s="218"/>
      <c r="V112" s="510">
        <f t="shared" ref="V112:V126" si="38">M112+Q112-R112</f>
        <v>620</v>
      </c>
      <c r="W112" s="115">
        <f t="shared" ref="W112:W124" si="39">N112+S112-U112</f>
        <v>0</v>
      </c>
      <c r="X112" s="211"/>
      <c r="Y112" s="218"/>
      <c r="Z112" s="224"/>
      <c r="AA112" s="592">
        <f t="shared" si="24"/>
        <v>0</v>
      </c>
      <c r="AB112" s="224"/>
      <c r="AC112" s="9" t="s">
        <v>14</v>
      </c>
      <c r="AD112" s="297">
        <v>0</v>
      </c>
      <c r="AE112" s="297">
        <f>-T112-AD112</f>
        <v>0</v>
      </c>
      <c r="AF112" s="9" t="s">
        <v>14</v>
      </c>
      <c r="AG112" s="9"/>
      <c r="AH112" s="9"/>
      <c r="AI112" s="9"/>
      <c r="AJ112" s="211"/>
      <c r="AK112" s="73" t="str">
        <f t="shared" si="35"/>
        <v>TIGA BAJI, PT</v>
      </c>
    </row>
    <row r="113" spans="1:37" s="73" customFormat="1" ht="15" hidden="1" customHeight="1">
      <c r="A113" s="9">
        <v>106</v>
      </c>
      <c r="B113" s="211" t="s">
        <v>194</v>
      </c>
      <c r="C113" s="211">
        <v>10</v>
      </c>
      <c r="D113" s="8" t="s">
        <v>216</v>
      </c>
      <c r="E113" s="9" t="s">
        <v>354</v>
      </c>
      <c r="F113" s="8"/>
      <c r="G113" s="9"/>
      <c r="H113" s="9" t="s">
        <v>276</v>
      </c>
      <c r="I113" s="218"/>
      <c r="J113" s="126">
        <v>1500</v>
      </c>
      <c r="K113" s="119"/>
      <c r="L113" s="785">
        <f>J113*10%*10000</f>
        <v>1500000</v>
      </c>
      <c r="M113" s="712">
        <f>J113+(J113*10%)</f>
        <v>1650</v>
      </c>
      <c r="N113" s="189">
        <v>0</v>
      </c>
      <c r="O113" s="211"/>
      <c r="P113" s="211"/>
      <c r="Q113" s="218"/>
      <c r="R113" s="218"/>
      <c r="S113" s="116">
        <v>0</v>
      </c>
      <c r="T113" s="116">
        <v>0</v>
      </c>
      <c r="U113" s="218"/>
      <c r="V113" s="510">
        <f t="shared" si="38"/>
        <v>1650</v>
      </c>
      <c r="W113" s="115">
        <f t="shared" si="39"/>
        <v>0</v>
      </c>
      <c r="X113" s="211"/>
      <c r="Y113" s="218"/>
      <c r="Z113" s="224"/>
      <c r="AA113" s="592">
        <f t="shared" si="24"/>
        <v>0</v>
      </c>
      <c r="AB113" s="224"/>
      <c r="AC113" s="9" t="s">
        <v>14</v>
      </c>
      <c r="AD113" s="297">
        <v>0</v>
      </c>
      <c r="AE113" s="297">
        <f>-T113-AD113</f>
        <v>0</v>
      </c>
      <c r="AF113" s="9" t="s">
        <v>14</v>
      </c>
      <c r="AG113" s="9"/>
      <c r="AH113" s="9"/>
      <c r="AI113" s="9"/>
      <c r="AJ113" s="211"/>
      <c r="AK113" s="73" t="str">
        <f t="shared" si="35"/>
        <v>TIGA BAJI, PT</v>
      </c>
    </row>
    <row r="114" spans="1:37" s="73" customFormat="1" ht="15" hidden="1" customHeight="1">
      <c r="A114" s="9">
        <v>107</v>
      </c>
      <c r="B114" s="211" t="s">
        <v>195</v>
      </c>
      <c r="C114" s="211">
        <v>2</v>
      </c>
      <c r="D114" s="8" t="s">
        <v>216</v>
      </c>
      <c r="E114" s="9" t="s">
        <v>354</v>
      </c>
      <c r="F114" s="8"/>
      <c r="G114" s="9"/>
      <c r="H114" s="9" t="s">
        <v>277</v>
      </c>
      <c r="I114" s="218"/>
      <c r="J114" s="126">
        <v>1500</v>
      </c>
      <c r="K114" s="119"/>
      <c r="L114" s="785">
        <f>J114*10%*10000</f>
        <v>1500000</v>
      </c>
      <c r="M114" s="712">
        <f>J114+(J114*10%)</f>
        <v>1650</v>
      </c>
      <c r="N114" s="189">
        <v>0</v>
      </c>
      <c r="O114" s="211"/>
      <c r="P114" s="211"/>
      <c r="Q114" s="218"/>
      <c r="R114" s="218"/>
      <c r="S114" s="116">
        <v>0</v>
      </c>
      <c r="T114" s="116">
        <v>0</v>
      </c>
      <c r="U114" s="218"/>
      <c r="V114" s="510">
        <f t="shared" si="38"/>
        <v>1650</v>
      </c>
      <c r="W114" s="115">
        <f t="shared" si="39"/>
        <v>0</v>
      </c>
      <c r="X114" s="211"/>
      <c r="Y114" s="218"/>
      <c r="Z114" s="224"/>
      <c r="AA114" s="592">
        <f t="shared" si="24"/>
        <v>0</v>
      </c>
      <c r="AB114" s="224"/>
      <c r="AC114" s="9" t="s">
        <v>14</v>
      </c>
      <c r="AD114" s="297">
        <v>0</v>
      </c>
      <c r="AE114" s="297">
        <f>-T114-AD114</f>
        <v>0</v>
      </c>
      <c r="AF114" s="9" t="s">
        <v>14</v>
      </c>
      <c r="AG114" s="9"/>
      <c r="AH114" s="9"/>
      <c r="AI114" s="9"/>
      <c r="AJ114" s="211"/>
      <c r="AK114" s="73" t="str">
        <f t="shared" si="35"/>
        <v>TIGA BAJI, PT</v>
      </c>
    </row>
    <row r="115" spans="1:37" s="73" customFormat="1" ht="15" hidden="1" customHeight="1">
      <c r="A115" s="9">
        <v>108</v>
      </c>
      <c r="B115" s="211" t="s">
        <v>240</v>
      </c>
      <c r="C115" s="211">
        <v>3</v>
      </c>
      <c r="D115" s="8" t="s">
        <v>216</v>
      </c>
      <c r="E115" s="9" t="s">
        <v>354</v>
      </c>
      <c r="F115" s="8"/>
      <c r="G115" s="9"/>
      <c r="H115" s="9" t="s">
        <v>278</v>
      </c>
      <c r="I115" s="218"/>
      <c r="J115" s="126">
        <v>1500</v>
      </c>
      <c r="K115" s="119"/>
      <c r="L115" s="785">
        <f>J115*10%*10000</f>
        <v>1500000</v>
      </c>
      <c r="M115" s="712">
        <f>J115+(J115*10%)</f>
        <v>1650</v>
      </c>
      <c r="N115" s="189">
        <v>0</v>
      </c>
      <c r="O115" s="211"/>
      <c r="P115" s="211"/>
      <c r="Q115" s="218"/>
      <c r="R115" s="218"/>
      <c r="S115" s="116">
        <v>0</v>
      </c>
      <c r="T115" s="116">
        <v>0</v>
      </c>
      <c r="U115" s="218"/>
      <c r="V115" s="510">
        <f t="shared" si="38"/>
        <v>1650</v>
      </c>
      <c r="W115" s="115">
        <f t="shared" si="39"/>
        <v>0</v>
      </c>
      <c r="X115" s="211"/>
      <c r="Y115" s="218"/>
      <c r="Z115" s="224"/>
      <c r="AA115" s="592">
        <f t="shared" si="24"/>
        <v>0</v>
      </c>
      <c r="AB115" s="224"/>
      <c r="AC115" s="9" t="s">
        <v>14</v>
      </c>
      <c r="AD115" s="297">
        <v>0</v>
      </c>
      <c r="AE115" s="297">
        <f>-T115-AD115</f>
        <v>0</v>
      </c>
      <c r="AF115" s="9" t="s">
        <v>14</v>
      </c>
      <c r="AG115" s="9"/>
      <c r="AH115" s="9"/>
      <c r="AI115" s="9"/>
      <c r="AJ115" s="211"/>
      <c r="AK115" s="73" t="str">
        <f t="shared" si="35"/>
        <v>TIGA BAJI, PT</v>
      </c>
    </row>
    <row r="116" spans="1:37" s="73" customFormat="1" ht="15" hidden="1" customHeight="1">
      <c r="A116" s="9">
        <v>109</v>
      </c>
      <c r="B116" s="211" t="s">
        <v>194</v>
      </c>
      <c r="C116" s="211">
        <v>18</v>
      </c>
      <c r="D116" s="8" t="s">
        <v>217</v>
      </c>
      <c r="E116" s="9" t="s">
        <v>144</v>
      </c>
      <c r="F116" s="8"/>
      <c r="G116" s="9"/>
      <c r="H116" s="9" t="s">
        <v>279</v>
      </c>
      <c r="I116" s="218"/>
      <c r="J116" s="658">
        <v>0</v>
      </c>
      <c r="K116" s="116">
        <v>8503500</v>
      </c>
      <c r="L116" s="116">
        <f>K116*10%</f>
        <v>850350</v>
      </c>
      <c r="M116" s="128"/>
      <c r="N116" s="711">
        <f t="shared" ref="N116:N126" si="40">K116+L116</f>
        <v>9353850</v>
      </c>
      <c r="O116" s="211"/>
      <c r="P116" s="211"/>
      <c r="Q116" s="218"/>
      <c r="R116" s="218"/>
      <c r="S116" s="116">
        <v>0</v>
      </c>
      <c r="T116" s="116">
        <v>0</v>
      </c>
      <c r="U116" s="218"/>
      <c r="V116" s="210">
        <f t="shared" si="38"/>
        <v>0</v>
      </c>
      <c r="W116" s="511">
        <f t="shared" si="39"/>
        <v>9353850</v>
      </c>
      <c r="X116" s="211"/>
      <c r="Y116" s="218"/>
      <c r="Z116" s="224"/>
      <c r="AA116" s="592">
        <f t="shared" si="24"/>
        <v>0</v>
      </c>
      <c r="AB116" s="224"/>
      <c r="AC116" s="9" t="s">
        <v>14</v>
      </c>
      <c r="AD116" s="297">
        <v>0</v>
      </c>
      <c r="AE116" s="297">
        <f t="shared" ref="AE116:AE126" si="41">-T116-AD116</f>
        <v>0</v>
      </c>
      <c r="AF116" s="9" t="s">
        <v>14</v>
      </c>
      <c r="AG116" s="9"/>
      <c r="AH116" s="9"/>
      <c r="AI116" s="9"/>
      <c r="AJ116" s="211"/>
      <c r="AK116" s="73" t="str">
        <f t="shared" si="35"/>
        <v>TRANSNETWORK, PT</v>
      </c>
    </row>
    <row r="117" spans="1:37" s="73" customFormat="1" ht="15" hidden="1" customHeight="1">
      <c r="A117" s="9">
        <v>110</v>
      </c>
      <c r="B117" s="211" t="s">
        <v>194</v>
      </c>
      <c r="C117" s="211">
        <v>8</v>
      </c>
      <c r="D117" s="8" t="s">
        <v>217</v>
      </c>
      <c r="E117" s="9" t="s">
        <v>118</v>
      </c>
      <c r="F117" s="8"/>
      <c r="G117" s="9"/>
      <c r="H117" s="9" t="s">
        <v>280</v>
      </c>
      <c r="I117" s="218"/>
      <c r="J117" s="658">
        <v>0</v>
      </c>
      <c r="K117" s="116">
        <v>3750000</v>
      </c>
      <c r="L117" s="116">
        <v>0</v>
      </c>
      <c r="M117" s="128"/>
      <c r="N117" s="711">
        <f t="shared" si="40"/>
        <v>3750000</v>
      </c>
      <c r="O117" s="211"/>
      <c r="P117" s="211"/>
      <c r="Q117" s="218"/>
      <c r="R117" s="218"/>
      <c r="S117" s="116">
        <v>0</v>
      </c>
      <c r="T117" s="116">
        <v>0</v>
      </c>
      <c r="U117" s="218"/>
      <c r="V117" s="210">
        <f t="shared" si="38"/>
        <v>0</v>
      </c>
      <c r="W117" s="511">
        <f t="shared" si="39"/>
        <v>3750000</v>
      </c>
      <c r="X117" s="211"/>
      <c r="Y117" s="218"/>
      <c r="Z117" s="224"/>
      <c r="AA117" s="592">
        <f t="shared" si="24"/>
        <v>0</v>
      </c>
      <c r="AB117" s="224"/>
      <c r="AC117" s="9" t="s">
        <v>14</v>
      </c>
      <c r="AD117" s="297">
        <v>0</v>
      </c>
      <c r="AE117" s="297">
        <f t="shared" si="41"/>
        <v>0</v>
      </c>
      <c r="AF117" s="9" t="s">
        <v>14</v>
      </c>
      <c r="AG117" s="9"/>
      <c r="AH117" s="9"/>
      <c r="AI117" s="9"/>
      <c r="AJ117" s="211"/>
      <c r="AK117" s="73" t="str">
        <f t="shared" si="35"/>
        <v>TRANSNETWORK, PT</v>
      </c>
    </row>
    <row r="118" spans="1:37" s="73" customFormat="1" ht="15" hidden="1" customHeight="1">
      <c r="A118" s="9">
        <v>111</v>
      </c>
      <c r="B118" s="211" t="s">
        <v>194</v>
      </c>
      <c r="C118" s="211">
        <v>14</v>
      </c>
      <c r="D118" s="8" t="s">
        <v>217</v>
      </c>
      <c r="E118" s="9" t="s">
        <v>63</v>
      </c>
      <c r="F118" s="8"/>
      <c r="G118" s="9"/>
      <c r="H118" s="9" t="s">
        <v>281</v>
      </c>
      <c r="I118" s="218"/>
      <c r="J118" s="658">
        <v>0</v>
      </c>
      <c r="K118" s="116">
        <v>3000000</v>
      </c>
      <c r="L118" s="116">
        <f t="shared" ref="L118:L126" si="42">K118*10%</f>
        <v>300000</v>
      </c>
      <c r="M118" s="128"/>
      <c r="N118" s="711">
        <f t="shared" si="40"/>
        <v>3300000</v>
      </c>
      <c r="O118" s="211"/>
      <c r="P118" s="211"/>
      <c r="Q118" s="218"/>
      <c r="R118" s="218"/>
      <c r="S118" s="116">
        <v>0</v>
      </c>
      <c r="T118" s="116">
        <v>0</v>
      </c>
      <c r="U118" s="218"/>
      <c r="V118" s="210">
        <f t="shared" si="38"/>
        <v>0</v>
      </c>
      <c r="W118" s="511">
        <f t="shared" si="39"/>
        <v>3300000</v>
      </c>
      <c r="X118" s="211"/>
      <c r="Y118" s="218"/>
      <c r="Z118" s="224"/>
      <c r="AA118" s="592">
        <f t="shared" si="24"/>
        <v>0</v>
      </c>
      <c r="AB118" s="224"/>
      <c r="AC118" s="9" t="s">
        <v>14</v>
      </c>
      <c r="AD118" s="297">
        <v>0</v>
      </c>
      <c r="AE118" s="297">
        <f t="shared" si="41"/>
        <v>0</v>
      </c>
      <c r="AF118" s="9" t="s">
        <v>14</v>
      </c>
      <c r="AG118" s="9"/>
      <c r="AH118" s="9"/>
      <c r="AI118" s="9"/>
      <c r="AJ118" s="211"/>
      <c r="AK118" s="73" t="str">
        <f t="shared" si="35"/>
        <v>TRANSNETWORK, PT</v>
      </c>
    </row>
    <row r="119" spans="1:37" s="73" customFormat="1" ht="15" hidden="1" customHeight="1">
      <c r="A119" s="9">
        <v>112</v>
      </c>
      <c r="B119" s="211" t="s">
        <v>194</v>
      </c>
      <c r="C119" s="211">
        <v>14</v>
      </c>
      <c r="D119" s="8" t="s">
        <v>217</v>
      </c>
      <c r="E119" s="9" t="s">
        <v>63</v>
      </c>
      <c r="F119" s="8"/>
      <c r="G119" s="9"/>
      <c r="H119" s="9" t="s">
        <v>282</v>
      </c>
      <c r="I119" s="218"/>
      <c r="J119" s="658">
        <v>0</v>
      </c>
      <c r="K119" s="116">
        <v>4000000</v>
      </c>
      <c r="L119" s="116">
        <f t="shared" si="42"/>
        <v>400000</v>
      </c>
      <c r="M119" s="128"/>
      <c r="N119" s="711">
        <f t="shared" si="40"/>
        <v>4400000</v>
      </c>
      <c r="O119" s="211"/>
      <c r="P119" s="211"/>
      <c r="Q119" s="218"/>
      <c r="R119" s="218"/>
      <c r="S119" s="116">
        <v>0</v>
      </c>
      <c r="T119" s="116">
        <v>0</v>
      </c>
      <c r="U119" s="218"/>
      <c r="V119" s="210">
        <f t="shared" si="38"/>
        <v>0</v>
      </c>
      <c r="W119" s="511">
        <f t="shared" si="39"/>
        <v>4400000</v>
      </c>
      <c r="X119" s="211"/>
      <c r="Y119" s="218"/>
      <c r="Z119" s="224"/>
      <c r="AA119" s="592">
        <f t="shared" si="24"/>
        <v>0</v>
      </c>
      <c r="AB119" s="224"/>
      <c r="AC119" s="9" t="s">
        <v>14</v>
      </c>
      <c r="AD119" s="297">
        <v>0</v>
      </c>
      <c r="AE119" s="297">
        <f t="shared" si="41"/>
        <v>0</v>
      </c>
      <c r="AF119" s="9" t="s">
        <v>14</v>
      </c>
      <c r="AG119" s="9"/>
      <c r="AH119" s="9"/>
      <c r="AI119" s="9"/>
      <c r="AJ119" s="211"/>
      <c r="AK119" s="73" t="str">
        <f t="shared" si="35"/>
        <v>TRANSNETWORK, PT</v>
      </c>
    </row>
    <row r="120" spans="1:37" s="73" customFormat="1" ht="15" hidden="1" customHeight="1">
      <c r="A120" s="9">
        <v>113</v>
      </c>
      <c r="B120" s="211" t="s">
        <v>194</v>
      </c>
      <c r="C120" s="211">
        <v>18</v>
      </c>
      <c r="D120" s="8" t="s">
        <v>217</v>
      </c>
      <c r="E120" s="9" t="s">
        <v>63</v>
      </c>
      <c r="F120" s="8"/>
      <c r="G120" s="9"/>
      <c r="H120" s="9" t="s">
        <v>283</v>
      </c>
      <c r="I120" s="218"/>
      <c r="J120" s="658">
        <v>0</v>
      </c>
      <c r="K120" s="116">
        <v>3000000</v>
      </c>
      <c r="L120" s="116">
        <f t="shared" si="42"/>
        <v>300000</v>
      </c>
      <c r="M120" s="128"/>
      <c r="N120" s="711">
        <f t="shared" si="40"/>
        <v>3300000</v>
      </c>
      <c r="O120" s="211"/>
      <c r="P120" s="211"/>
      <c r="Q120" s="218"/>
      <c r="R120" s="218"/>
      <c r="S120" s="116">
        <v>0</v>
      </c>
      <c r="T120" s="116">
        <v>0</v>
      </c>
      <c r="U120" s="218"/>
      <c r="V120" s="210">
        <f t="shared" si="38"/>
        <v>0</v>
      </c>
      <c r="W120" s="511">
        <f t="shared" si="39"/>
        <v>3300000</v>
      </c>
      <c r="X120" s="211"/>
      <c r="Y120" s="218"/>
      <c r="Z120" s="224"/>
      <c r="AA120" s="592">
        <f t="shared" si="24"/>
        <v>0</v>
      </c>
      <c r="AB120" s="224"/>
      <c r="AC120" s="9" t="s">
        <v>14</v>
      </c>
      <c r="AD120" s="297">
        <v>0</v>
      </c>
      <c r="AE120" s="297">
        <f t="shared" si="41"/>
        <v>0</v>
      </c>
      <c r="AF120" s="9" t="s">
        <v>14</v>
      </c>
      <c r="AG120" s="9"/>
      <c r="AH120" s="9"/>
      <c r="AI120" s="9"/>
      <c r="AJ120" s="211"/>
      <c r="AK120" s="73" t="str">
        <f t="shared" si="35"/>
        <v>TRANSNETWORK, PT</v>
      </c>
    </row>
    <row r="121" spans="1:37" s="73" customFormat="1" ht="15" hidden="1" customHeight="1">
      <c r="A121" s="9">
        <v>114</v>
      </c>
      <c r="B121" s="211" t="s">
        <v>195</v>
      </c>
      <c r="C121" s="211">
        <v>15</v>
      </c>
      <c r="D121" s="8" t="s">
        <v>217</v>
      </c>
      <c r="E121" s="9" t="s">
        <v>63</v>
      </c>
      <c r="F121" s="8"/>
      <c r="G121" s="9"/>
      <c r="H121" s="9" t="s">
        <v>284</v>
      </c>
      <c r="I121" s="218"/>
      <c r="J121" s="658">
        <v>0</v>
      </c>
      <c r="K121" s="116">
        <v>4000000</v>
      </c>
      <c r="L121" s="116">
        <f t="shared" si="42"/>
        <v>400000</v>
      </c>
      <c r="M121" s="128"/>
      <c r="N121" s="711">
        <f t="shared" si="40"/>
        <v>4400000</v>
      </c>
      <c r="O121" s="211"/>
      <c r="P121" s="211"/>
      <c r="Q121" s="218"/>
      <c r="R121" s="218"/>
      <c r="S121" s="116">
        <v>0</v>
      </c>
      <c r="T121" s="116">
        <v>0</v>
      </c>
      <c r="U121" s="218"/>
      <c r="V121" s="210">
        <f t="shared" si="38"/>
        <v>0</v>
      </c>
      <c r="W121" s="511">
        <f t="shared" si="39"/>
        <v>4400000</v>
      </c>
      <c r="X121" s="211"/>
      <c r="Y121" s="218"/>
      <c r="Z121" s="224"/>
      <c r="AA121" s="592">
        <f t="shared" si="24"/>
        <v>0</v>
      </c>
      <c r="AB121" s="224"/>
      <c r="AC121" s="9" t="s">
        <v>14</v>
      </c>
      <c r="AD121" s="297">
        <v>0</v>
      </c>
      <c r="AE121" s="297">
        <f t="shared" si="41"/>
        <v>0</v>
      </c>
      <c r="AF121" s="9" t="s">
        <v>14</v>
      </c>
      <c r="AG121" s="9"/>
      <c r="AH121" s="9"/>
      <c r="AI121" s="9"/>
      <c r="AJ121" s="211"/>
      <c r="AK121" s="73" t="str">
        <f t="shared" si="35"/>
        <v>TRANSNETWORK, PT</v>
      </c>
    </row>
    <row r="122" spans="1:37" s="73" customFormat="1" ht="15" hidden="1" customHeight="1">
      <c r="A122" s="9">
        <v>115</v>
      </c>
      <c r="B122" s="211" t="s">
        <v>239</v>
      </c>
      <c r="C122" s="211">
        <v>3</v>
      </c>
      <c r="D122" s="8" t="s">
        <v>217</v>
      </c>
      <c r="E122" s="9" t="s">
        <v>63</v>
      </c>
      <c r="F122" s="8"/>
      <c r="G122" s="9"/>
      <c r="H122" s="9" t="s">
        <v>285</v>
      </c>
      <c r="I122" s="218"/>
      <c r="J122" s="658">
        <v>0</v>
      </c>
      <c r="K122" s="116">
        <v>4000000</v>
      </c>
      <c r="L122" s="116">
        <f t="shared" si="42"/>
        <v>400000</v>
      </c>
      <c r="M122" s="128"/>
      <c r="N122" s="711">
        <f t="shared" si="40"/>
        <v>4400000</v>
      </c>
      <c r="O122" s="211"/>
      <c r="P122" s="211"/>
      <c r="Q122" s="218"/>
      <c r="R122" s="218"/>
      <c r="S122" s="116">
        <v>0</v>
      </c>
      <c r="T122" s="116">
        <v>0</v>
      </c>
      <c r="U122" s="218"/>
      <c r="V122" s="210">
        <f t="shared" si="38"/>
        <v>0</v>
      </c>
      <c r="W122" s="511">
        <f t="shared" si="39"/>
        <v>4400000</v>
      </c>
      <c r="X122" s="211"/>
      <c r="Y122" s="218"/>
      <c r="Z122" s="224"/>
      <c r="AA122" s="592">
        <f t="shared" si="24"/>
        <v>0</v>
      </c>
      <c r="AB122" s="224"/>
      <c r="AC122" s="9" t="s">
        <v>14</v>
      </c>
      <c r="AD122" s="297">
        <v>0</v>
      </c>
      <c r="AE122" s="297">
        <f t="shared" si="41"/>
        <v>0</v>
      </c>
      <c r="AF122" s="9" t="s">
        <v>14</v>
      </c>
      <c r="AG122" s="9"/>
      <c r="AH122" s="9"/>
      <c r="AI122" s="9"/>
      <c r="AJ122" s="211"/>
      <c r="AK122" s="73" t="str">
        <f t="shared" si="35"/>
        <v>TRANSNETWORK, PT</v>
      </c>
    </row>
    <row r="123" spans="1:37" s="73" customFormat="1" ht="15" hidden="1" customHeight="1">
      <c r="A123" s="9">
        <v>116</v>
      </c>
      <c r="B123" s="211" t="s">
        <v>239</v>
      </c>
      <c r="C123" s="211">
        <v>3</v>
      </c>
      <c r="D123" s="8" t="s">
        <v>217</v>
      </c>
      <c r="E123" s="9" t="s">
        <v>63</v>
      </c>
      <c r="F123" s="8"/>
      <c r="G123" s="9"/>
      <c r="H123" s="9" t="s">
        <v>286</v>
      </c>
      <c r="I123" s="218"/>
      <c r="J123" s="658">
        <v>0</v>
      </c>
      <c r="K123" s="116">
        <v>3000000</v>
      </c>
      <c r="L123" s="116">
        <f t="shared" si="42"/>
        <v>300000</v>
      </c>
      <c r="M123" s="128"/>
      <c r="N123" s="711">
        <f t="shared" si="40"/>
        <v>3300000</v>
      </c>
      <c r="O123" s="211"/>
      <c r="P123" s="211"/>
      <c r="Q123" s="218"/>
      <c r="R123" s="218"/>
      <c r="S123" s="116">
        <v>0</v>
      </c>
      <c r="T123" s="116">
        <v>0</v>
      </c>
      <c r="U123" s="218"/>
      <c r="V123" s="210">
        <f t="shared" si="38"/>
        <v>0</v>
      </c>
      <c r="W123" s="511">
        <f t="shared" si="39"/>
        <v>3300000</v>
      </c>
      <c r="X123" s="211"/>
      <c r="Y123" s="218"/>
      <c r="Z123" s="224"/>
      <c r="AA123" s="592">
        <f t="shared" si="24"/>
        <v>0</v>
      </c>
      <c r="AB123" s="224"/>
      <c r="AC123" s="9" t="s">
        <v>14</v>
      </c>
      <c r="AD123" s="297">
        <v>0</v>
      </c>
      <c r="AE123" s="297">
        <f t="shared" si="41"/>
        <v>0</v>
      </c>
      <c r="AF123" s="9" t="s">
        <v>14</v>
      </c>
      <c r="AG123" s="211"/>
      <c r="AH123" s="211"/>
      <c r="AI123" s="211"/>
      <c r="AJ123" s="211"/>
      <c r="AK123" s="73" t="str">
        <f t="shared" si="35"/>
        <v>TRANSNETWORK, PT</v>
      </c>
    </row>
    <row r="124" spans="1:37" s="73" customFormat="1" ht="15" hidden="1" customHeight="1">
      <c r="A124" s="9">
        <v>117</v>
      </c>
      <c r="B124" s="211" t="s">
        <v>240</v>
      </c>
      <c r="C124" s="211">
        <v>1</v>
      </c>
      <c r="D124" s="8" t="s">
        <v>217</v>
      </c>
      <c r="E124" s="9" t="s">
        <v>63</v>
      </c>
      <c r="F124" s="8"/>
      <c r="G124" s="9"/>
      <c r="H124" s="9" t="s">
        <v>287</v>
      </c>
      <c r="I124" s="218"/>
      <c r="J124" s="658">
        <v>0</v>
      </c>
      <c r="K124" s="116">
        <v>4000000</v>
      </c>
      <c r="L124" s="116">
        <f t="shared" si="42"/>
        <v>400000</v>
      </c>
      <c r="M124" s="128"/>
      <c r="N124" s="711">
        <f t="shared" si="40"/>
        <v>4400000</v>
      </c>
      <c r="O124" s="211"/>
      <c r="P124" s="211"/>
      <c r="Q124" s="218"/>
      <c r="R124" s="218"/>
      <c r="S124" s="116">
        <v>0</v>
      </c>
      <c r="T124" s="116">
        <v>0</v>
      </c>
      <c r="U124" s="218"/>
      <c r="V124" s="210">
        <f t="shared" si="38"/>
        <v>0</v>
      </c>
      <c r="W124" s="511">
        <f t="shared" si="39"/>
        <v>4400000</v>
      </c>
      <c r="X124" s="211"/>
      <c r="Y124" s="218"/>
      <c r="Z124" s="224"/>
      <c r="AA124" s="592">
        <f t="shared" si="24"/>
        <v>0</v>
      </c>
      <c r="AB124" s="224"/>
      <c r="AC124" s="9" t="s">
        <v>14</v>
      </c>
      <c r="AD124" s="297">
        <v>0</v>
      </c>
      <c r="AE124" s="297">
        <f t="shared" si="41"/>
        <v>0</v>
      </c>
      <c r="AF124" s="9" t="s">
        <v>14</v>
      </c>
      <c r="AG124" s="211"/>
      <c r="AH124" s="211"/>
      <c r="AI124" s="211"/>
      <c r="AJ124" s="211"/>
      <c r="AK124" s="73" t="str">
        <f t="shared" si="35"/>
        <v>TRANSNETWORK, PT</v>
      </c>
    </row>
    <row r="125" spans="1:37" s="73" customFormat="1" ht="15" hidden="1" customHeight="1">
      <c r="A125" s="9">
        <v>118</v>
      </c>
      <c r="B125" s="211" t="s">
        <v>58</v>
      </c>
      <c r="C125" s="211">
        <v>5</v>
      </c>
      <c r="D125" s="8" t="s">
        <v>217</v>
      </c>
      <c r="E125" s="9" t="s">
        <v>63</v>
      </c>
      <c r="F125" s="8"/>
      <c r="G125" s="9"/>
      <c r="H125" s="9" t="s">
        <v>288</v>
      </c>
      <c r="I125" s="218"/>
      <c r="J125" s="658">
        <v>0</v>
      </c>
      <c r="K125" s="116">
        <v>4000000</v>
      </c>
      <c r="L125" s="116">
        <f t="shared" si="42"/>
        <v>400000</v>
      </c>
      <c r="M125" s="128"/>
      <c r="N125" s="711">
        <f t="shared" si="40"/>
        <v>4400000</v>
      </c>
      <c r="O125" s="211"/>
      <c r="P125" s="211"/>
      <c r="Q125" s="218"/>
      <c r="R125" s="218"/>
      <c r="S125" s="116">
        <v>0</v>
      </c>
      <c r="T125" s="116">
        <v>0</v>
      </c>
      <c r="U125" s="218"/>
      <c r="V125" s="210">
        <f t="shared" si="38"/>
        <v>0</v>
      </c>
      <c r="W125" s="511">
        <f>N125+S125-U125</f>
        <v>4400000</v>
      </c>
      <c r="X125" s="211"/>
      <c r="Y125" s="218"/>
      <c r="Z125" s="224"/>
      <c r="AA125" s="592">
        <f t="shared" si="24"/>
        <v>0</v>
      </c>
      <c r="AB125" s="224"/>
      <c r="AC125" s="9" t="s">
        <v>14</v>
      </c>
      <c r="AD125" s="297">
        <v>0</v>
      </c>
      <c r="AE125" s="297">
        <f t="shared" si="41"/>
        <v>0</v>
      </c>
      <c r="AF125" s="9" t="s">
        <v>14</v>
      </c>
      <c r="AG125" s="211"/>
      <c r="AH125" s="211"/>
      <c r="AI125" s="211"/>
      <c r="AJ125" s="211"/>
      <c r="AK125" s="73" t="str">
        <f t="shared" si="35"/>
        <v>TRANSNETWORK, PT</v>
      </c>
    </row>
    <row r="126" spans="1:37" s="73" customFormat="1" ht="15" hidden="1" customHeight="1">
      <c r="A126" s="9">
        <v>119</v>
      </c>
      <c r="B126" s="211" t="s">
        <v>241</v>
      </c>
      <c r="C126" s="211">
        <v>2</v>
      </c>
      <c r="D126" s="8" t="s">
        <v>217</v>
      </c>
      <c r="E126" s="9" t="s">
        <v>63</v>
      </c>
      <c r="F126" s="8"/>
      <c r="G126" s="9"/>
      <c r="H126" s="9" t="s">
        <v>289</v>
      </c>
      <c r="I126" s="218"/>
      <c r="J126" s="658">
        <v>0</v>
      </c>
      <c r="K126" s="116">
        <v>4000000</v>
      </c>
      <c r="L126" s="116">
        <f t="shared" si="42"/>
        <v>400000</v>
      </c>
      <c r="M126" s="128"/>
      <c r="N126" s="711">
        <f t="shared" si="40"/>
        <v>4400000</v>
      </c>
      <c r="O126" s="211"/>
      <c r="P126" s="211"/>
      <c r="Q126" s="218"/>
      <c r="R126" s="218"/>
      <c r="S126" s="116">
        <v>0</v>
      </c>
      <c r="T126" s="116">
        <v>0</v>
      </c>
      <c r="U126" s="218"/>
      <c r="V126" s="210">
        <f t="shared" si="38"/>
        <v>0</v>
      </c>
      <c r="W126" s="511">
        <f>N126+S126-U126</f>
        <v>4400000</v>
      </c>
      <c r="X126" s="211"/>
      <c r="Y126" s="218"/>
      <c r="Z126" s="224"/>
      <c r="AA126" s="592">
        <f t="shared" si="24"/>
        <v>0</v>
      </c>
      <c r="AB126" s="224"/>
      <c r="AC126" s="9" t="s">
        <v>14</v>
      </c>
      <c r="AD126" s="297">
        <v>0</v>
      </c>
      <c r="AE126" s="297">
        <f t="shared" si="41"/>
        <v>0</v>
      </c>
      <c r="AF126" s="9" t="s">
        <v>14</v>
      </c>
      <c r="AG126" s="211"/>
      <c r="AH126" s="211"/>
      <c r="AI126" s="211"/>
      <c r="AJ126" s="211"/>
      <c r="AK126" s="73" t="str">
        <f t="shared" si="35"/>
        <v>TRANSNETWORK, PT</v>
      </c>
    </row>
    <row r="127" spans="1:37" s="73" customFormat="1" ht="15" hidden="1" customHeight="1">
      <c r="A127" s="9">
        <v>120</v>
      </c>
      <c r="B127" s="211" t="s">
        <v>238</v>
      </c>
      <c r="C127" s="211">
        <v>2</v>
      </c>
      <c r="D127" s="8" t="s">
        <v>47</v>
      </c>
      <c r="E127" s="9" t="s">
        <v>378</v>
      </c>
      <c r="F127" s="8"/>
      <c r="G127" s="9"/>
      <c r="H127" s="9" t="s">
        <v>290</v>
      </c>
      <c r="I127" s="218"/>
      <c r="J127" s="658">
        <v>0</v>
      </c>
      <c r="K127" s="118">
        <f>150000000-55208350-55208350</f>
        <v>39583300</v>
      </c>
      <c r="L127" s="118">
        <v>0</v>
      </c>
      <c r="M127" s="128"/>
      <c r="N127" s="189">
        <f>K127+L127</f>
        <v>39583300</v>
      </c>
      <c r="O127" s="211" t="s">
        <v>194</v>
      </c>
      <c r="P127" s="211">
        <v>31</v>
      </c>
      <c r="Q127" s="218"/>
      <c r="R127" s="218"/>
      <c r="S127" s="116">
        <v>0</v>
      </c>
      <c r="T127" s="116">
        <v>0</v>
      </c>
      <c r="U127" s="115">
        <v>55208350</v>
      </c>
      <c r="V127" s="210">
        <f>M127+Q127-R127</f>
        <v>0</v>
      </c>
      <c r="W127" s="115">
        <f>N127+S127-U127</f>
        <v>-15625050</v>
      </c>
      <c r="X127" s="211" t="s">
        <v>2001</v>
      </c>
      <c r="Y127" s="218"/>
      <c r="Z127" s="224"/>
      <c r="AA127" s="592">
        <f t="shared" si="24"/>
        <v>0</v>
      </c>
      <c r="AB127" s="224"/>
      <c r="AC127" s="9" t="s">
        <v>14</v>
      </c>
      <c r="AD127" s="297">
        <v>0</v>
      </c>
      <c r="AE127" s="297">
        <f t="shared" si="37"/>
        <v>0</v>
      </c>
      <c r="AF127" s="9" t="s">
        <v>14</v>
      </c>
      <c r="AG127" s="211"/>
      <c r="AH127" s="211"/>
      <c r="AI127" s="211"/>
      <c r="AJ127" s="211"/>
      <c r="AK127" s="73" t="str">
        <f t="shared" si="35"/>
        <v>TRILOGI MEDIA SINEMA, PTJAN</v>
      </c>
    </row>
    <row r="128" spans="1:37" s="73" customFormat="1" ht="15" hidden="1" customHeight="1">
      <c r="A128" s="9">
        <v>121</v>
      </c>
      <c r="B128" s="211" t="s">
        <v>140</v>
      </c>
      <c r="C128" s="211">
        <v>1</v>
      </c>
      <c r="D128" s="8" t="s">
        <v>47</v>
      </c>
      <c r="E128" s="9" t="s">
        <v>378</v>
      </c>
      <c r="F128" s="8"/>
      <c r="G128" s="9"/>
      <c r="H128" s="9" t="s">
        <v>291</v>
      </c>
      <c r="I128" s="9" t="s">
        <v>14</v>
      </c>
      <c r="J128" s="658">
        <v>0</v>
      </c>
      <c r="K128" s="118">
        <v>150000000</v>
      </c>
      <c r="L128" s="118">
        <v>0</v>
      </c>
      <c r="M128" s="9"/>
      <c r="N128" s="189">
        <f>K128+L128</f>
        <v>150000000</v>
      </c>
      <c r="O128" s="55" t="s">
        <v>243</v>
      </c>
      <c r="P128" s="55" t="s">
        <v>19</v>
      </c>
      <c r="Q128" s="176"/>
      <c r="R128" s="176"/>
      <c r="S128" s="116">
        <v>0</v>
      </c>
      <c r="T128" s="116">
        <v>0</v>
      </c>
      <c r="U128" s="115">
        <v>55208350</v>
      </c>
      <c r="V128" s="210">
        <f>M128+Q128-R128</f>
        <v>0</v>
      </c>
      <c r="W128" s="115">
        <f>N128+S128+T128-U128</f>
        <v>94791650</v>
      </c>
      <c r="X128" s="211" t="s">
        <v>3020</v>
      </c>
      <c r="Y128" s="218"/>
      <c r="Z128" s="224"/>
      <c r="AA128" s="592"/>
      <c r="AB128" s="224"/>
      <c r="AC128" s="9" t="s">
        <v>14</v>
      </c>
      <c r="AD128" s="297">
        <v>0</v>
      </c>
      <c r="AE128" s="297">
        <f t="shared" si="37"/>
        <v>0</v>
      </c>
      <c r="AF128" s="9" t="s">
        <v>14</v>
      </c>
      <c r="AG128" s="211"/>
      <c r="AH128" s="211"/>
      <c r="AI128" s="211"/>
      <c r="AJ128" s="211"/>
      <c r="AK128" s="73" t="str">
        <f t="shared" si="35"/>
        <v>TRILOGI MEDIA SINEMA, PTAGS</v>
      </c>
    </row>
    <row r="129" spans="1:37" s="114" customFormat="1" ht="12" hidden="1" customHeight="1">
      <c r="A129" s="9">
        <v>122</v>
      </c>
      <c r="B129" s="9" t="s">
        <v>194</v>
      </c>
      <c r="C129" s="9">
        <v>6</v>
      </c>
      <c r="D129" s="8" t="s">
        <v>47</v>
      </c>
      <c r="E129" s="9" t="s">
        <v>378</v>
      </c>
      <c r="F129" s="8"/>
      <c r="G129" s="9"/>
      <c r="H129" s="9" t="s">
        <v>161</v>
      </c>
      <c r="I129" s="9" t="s">
        <v>14</v>
      </c>
      <c r="J129" s="658">
        <v>0</v>
      </c>
      <c r="K129" s="118">
        <v>150000000</v>
      </c>
      <c r="L129" s="118">
        <v>0</v>
      </c>
      <c r="M129" s="9"/>
      <c r="N129" s="189">
        <f t="shared" ref="N129:N138" si="43">K129+L129</f>
        <v>150000000</v>
      </c>
      <c r="O129" s="55"/>
      <c r="P129" s="55"/>
      <c r="Q129" s="176"/>
      <c r="R129" s="176"/>
      <c r="S129" s="116">
        <v>0</v>
      </c>
      <c r="T129" s="116">
        <v>0</v>
      </c>
      <c r="U129" s="118"/>
      <c r="V129" s="210">
        <f t="shared" ref="V129:V138" si="44">M129+Q129-R129</f>
        <v>0</v>
      </c>
      <c r="W129" s="115">
        <f t="shared" ref="W129:W138" si="45">N129+S129+T129-U129</f>
        <v>150000000</v>
      </c>
      <c r="X129" s="119"/>
      <c r="Y129" s="118"/>
      <c r="Z129" s="185"/>
      <c r="AA129" s="592">
        <f t="shared" si="24"/>
        <v>0</v>
      </c>
      <c r="AB129" s="185"/>
      <c r="AC129" s="9" t="s">
        <v>14</v>
      </c>
      <c r="AD129" s="297">
        <v>0</v>
      </c>
      <c r="AE129" s="297">
        <f t="shared" si="37"/>
        <v>0</v>
      </c>
      <c r="AF129" s="9" t="s">
        <v>14</v>
      </c>
      <c r="AG129" s="9"/>
      <c r="AH129" s="9"/>
      <c r="AI129" s="9"/>
      <c r="AJ129" s="476"/>
      <c r="AK129" s="73" t="str">
        <f t="shared" si="35"/>
        <v>TRILOGI MEDIA SINEMA, PT</v>
      </c>
    </row>
    <row r="130" spans="1:37" s="114" customFormat="1" ht="12" hidden="1" customHeight="1">
      <c r="A130" s="9">
        <v>123</v>
      </c>
      <c r="B130" s="9" t="s">
        <v>195</v>
      </c>
      <c r="C130" s="9">
        <v>1</v>
      </c>
      <c r="D130" s="8" t="s">
        <v>47</v>
      </c>
      <c r="E130" s="9" t="s">
        <v>378</v>
      </c>
      <c r="F130" s="8"/>
      <c r="G130" s="9"/>
      <c r="H130" s="9" t="s">
        <v>162</v>
      </c>
      <c r="I130" s="9" t="s">
        <v>14</v>
      </c>
      <c r="J130" s="658">
        <v>0</v>
      </c>
      <c r="K130" s="118">
        <v>150000000</v>
      </c>
      <c r="L130" s="118">
        <v>0</v>
      </c>
      <c r="M130" s="9"/>
      <c r="N130" s="189">
        <f t="shared" si="43"/>
        <v>150000000</v>
      </c>
      <c r="O130" s="55"/>
      <c r="P130" s="55"/>
      <c r="Q130" s="176"/>
      <c r="R130" s="176"/>
      <c r="S130" s="116">
        <v>0</v>
      </c>
      <c r="T130" s="116">
        <v>0</v>
      </c>
      <c r="U130" s="118"/>
      <c r="V130" s="210">
        <f t="shared" si="44"/>
        <v>0</v>
      </c>
      <c r="W130" s="115">
        <f t="shared" si="45"/>
        <v>150000000</v>
      </c>
      <c r="X130" s="119"/>
      <c r="Y130" s="118"/>
      <c r="Z130" s="185"/>
      <c r="AA130" s="592">
        <f t="shared" si="24"/>
        <v>0</v>
      </c>
      <c r="AB130" s="185"/>
      <c r="AC130" s="9" t="s">
        <v>14</v>
      </c>
      <c r="AD130" s="297">
        <v>0</v>
      </c>
      <c r="AE130" s="297">
        <f t="shared" si="37"/>
        <v>0</v>
      </c>
      <c r="AF130" s="9" t="s">
        <v>14</v>
      </c>
      <c r="AG130" s="9"/>
      <c r="AH130" s="9"/>
      <c r="AI130" s="9"/>
      <c r="AJ130" s="476"/>
      <c r="AK130" s="73" t="str">
        <f t="shared" si="35"/>
        <v>TRILOGI MEDIA SINEMA, PT</v>
      </c>
    </row>
    <row r="131" spans="1:37" s="114" customFormat="1" ht="12" hidden="1" customHeight="1">
      <c r="A131" s="9">
        <v>124</v>
      </c>
      <c r="B131" s="9" t="s">
        <v>239</v>
      </c>
      <c r="C131" s="9">
        <v>1</v>
      </c>
      <c r="D131" s="8" t="s">
        <v>47</v>
      </c>
      <c r="E131" s="9" t="s">
        <v>378</v>
      </c>
      <c r="F131" s="8"/>
      <c r="G131" s="9"/>
      <c r="H131" s="9" t="s">
        <v>393</v>
      </c>
      <c r="I131" s="9" t="s">
        <v>14</v>
      </c>
      <c r="J131" s="658">
        <v>0</v>
      </c>
      <c r="K131" s="118">
        <v>150000000</v>
      </c>
      <c r="L131" s="118">
        <v>0</v>
      </c>
      <c r="M131" s="9"/>
      <c r="N131" s="189">
        <f t="shared" si="43"/>
        <v>150000000</v>
      </c>
      <c r="O131" s="55"/>
      <c r="P131" s="55"/>
      <c r="Q131" s="176"/>
      <c r="R131" s="176"/>
      <c r="S131" s="116">
        <v>0</v>
      </c>
      <c r="T131" s="116">
        <v>0</v>
      </c>
      <c r="U131" s="118"/>
      <c r="V131" s="210">
        <f t="shared" si="44"/>
        <v>0</v>
      </c>
      <c r="W131" s="115">
        <f t="shared" si="45"/>
        <v>150000000</v>
      </c>
      <c r="X131" s="119"/>
      <c r="Y131" s="118"/>
      <c r="Z131" s="185"/>
      <c r="AA131" s="592">
        <f t="shared" si="24"/>
        <v>0</v>
      </c>
      <c r="AB131" s="185"/>
      <c r="AC131" s="9" t="s">
        <v>14</v>
      </c>
      <c r="AD131" s="297">
        <v>0</v>
      </c>
      <c r="AE131" s="297">
        <f t="shared" si="37"/>
        <v>0</v>
      </c>
      <c r="AF131" s="9" t="s">
        <v>14</v>
      </c>
      <c r="AG131" s="9"/>
      <c r="AH131" s="9"/>
      <c r="AI131" s="9"/>
      <c r="AJ131" s="476"/>
      <c r="AK131" s="73" t="str">
        <f t="shared" si="35"/>
        <v>TRILOGI MEDIA SINEMA, PT</v>
      </c>
    </row>
    <row r="132" spans="1:37" s="114" customFormat="1" ht="12" hidden="1" customHeight="1">
      <c r="A132" s="9">
        <v>125</v>
      </c>
      <c r="B132" s="9" t="s">
        <v>240</v>
      </c>
      <c r="C132" s="9">
        <v>1</v>
      </c>
      <c r="D132" s="8" t="s">
        <v>47</v>
      </c>
      <c r="E132" s="9" t="s">
        <v>378</v>
      </c>
      <c r="F132" s="8"/>
      <c r="G132" s="9"/>
      <c r="H132" s="9" t="s">
        <v>408</v>
      </c>
      <c r="I132" s="9" t="s">
        <v>14</v>
      </c>
      <c r="J132" s="658">
        <v>0</v>
      </c>
      <c r="K132" s="118">
        <v>150000000</v>
      </c>
      <c r="L132" s="118">
        <v>0</v>
      </c>
      <c r="M132" s="9"/>
      <c r="N132" s="189">
        <f t="shared" si="43"/>
        <v>150000000</v>
      </c>
      <c r="O132" s="55"/>
      <c r="P132" s="55"/>
      <c r="Q132" s="176"/>
      <c r="R132" s="176"/>
      <c r="S132" s="116">
        <v>0</v>
      </c>
      <c r="T132" s="116">
        <v>0</v>
      </c>
      <c r="U132" s="118"/>
      <c r="V132" s="210">
        <f t="shared" si="44"/>
        <v>0</v>
      </c>
      <c r="W132" s="115">
        <f t="shared" si="45"/>
        <v>150000000</v>
      </c>
      <c r="X132" s="119"/>
      <c r="Y132" s="118"/>
      <c r="Z132" s="185"/>
      <c r="AA132" s="592">
        <f t="shared" si="24"/>
        <v>0</v>
      </c>
      <c r="AB132" s="185"/>
      <c r="AC132" s="9" t="s">
        <v>14</v>
      </c>
      <c r="AD132" s="297">
        <v>0</v>
      </c>
      <c r="AE132" s="297">
        <f t="shared" si="37"/>
        <v>0</v>
      </c>
      <c r="AF132" s="9" t="s">
        <v>14</v>
      </c>
      <c r="AG132" s="9"/>
      <c r="AH132" s="9"/>
      <c r="AI132" s="9"/>
      <c r="AJ132" s="476"/>
      <c r="AK132" s="73" t="str">
        <f t="shared" si="35"/>
        <v>TRILOGI MEDIA SINEMA, PT</v>
      </c>
    </row>
    <row r="133" spans="1:37" s="114" customFormat="1" ht="12" hidden="1" customHeight="1">
      <c r="A133" s="9">
        <v>126</v>
      </c>
      <c r="B133" s="9" t="s">
        <v>241</v>
      </c>
      <c r="C133" s="9">
        <v>1</v>
      </c>
      <c r="D133" s="8" t="s">
        <v>47</v>
      </c>
      <c r="E133" s="9" t="s">
        <v>378</v>
      </c>
      <c r="F133" s="8"/>
      <c r="G133" s="9"/>
      <c r="H133" s="9" t="s">
        <v>465</v>
      </c>
      <c r="I133" s="9" t="s">
        <v>14</v>
      </c>
      <c r="J133" s="658">
        <v>0</v>
      </c>
      <c r="K133" s="118">
        <v>85000000</v>
      </c>
      <c r="L133" s="118">
        <v>0</v>
      </c>
      <c r="M133" s="9"/>
      <c r="N133" s="189">
        <f t="shared" si="43"/>
        <v>85000000</v>
      </c>
      <c r="O133" s="55"/>
      <c r="P133" s="55"/>
      <c r="Q133" s="176"/>
      <c r="R133" s="176"/>
      <c r="S133" s="116">
        <v>0</v>
      </c>
      <c r="T133" s="116">
        <v>0</v>
      </c>
      <c r="U133" s="118"/>
      <c r="V133" s="210">
        <f t="shared" si="44"/>
        <v>0</v>
      </c>
      <c r="W133" s="115">
        <f t="shared" si="45"/>
        <v>85000000</v>
      </c>
      <c r="X133" s="119"/>
      <c r="Y133" s="118"/>
      <c r="Z133" s="185"/>
      <c r="AA133" s="592">
        <f t="shared" si="24"/>
        <v>0</v>
      </c>
      <c r="AB133" s="185"/>
      <c r="AC133" s="9" t="s">
        <v>14</v>
      </c>
      <c r="AD133" s="297">
        <v>0</v>
      </c>
      <c r="AE133" s="297">
        <f t="shared" si="37"/>
        <v>0</v>
      </c>
      <c r="AF133" s="9" t="s">
        <v>14</v>
      </c>
      <c r="AG133" s="9"/>
      <c r="AH133" s="9"/>
      <c r="AI133" s="9"/>
      <c r="AJ133" s="476"/>
      <c r="AK133" s="73" t="str">
        <f t="shared" si="35"/>
        <v>TRILOGI MEDIA SINEMA, PT</v>
      </c>
    </row>
    <row r="134" spans="1:37" s="114" customFormat="1" ht="12" hidden="1" customHeight="1">
      <c r="A134" s="9">
        <v>127</v>
      </c>
      <c r="B134" s="9" t="s">
        <v>242</v>
      </c>
      <c r="C134" s="9">
        <v>11</v>
      </c>
      <c r="D134" s="8" t="s">
        <v>47</v>
      </c>
      <c r="E134" s="9" t="s">
        <v>378</v>
      </c>
      <c r="F134" s="8"/>
      <c r="G134" s="9"/>
      <c r="H134" s="9" t="s">
        <v>494</v>
      </c>
      <c r="I134" s="9" t="s">
        <v>14</v>
      </c>
      <c r="J134" s="658">
        <v>0</v>
      </c>
      <c r="K134" s="118">
        <v>85000000</v>
      </c>
      <c r="L134" s="118">
        <v>0</v>
      </c>
      <c r="M134" s="9"/>
      <c r="N134" s="189">
        <f t="shared" si="43"/>
        <v>85000000</v>
      </c>
      <c r="O134" s="55"/>
      <c r="P134" s="55"/>
      <c r="Q134" s="176"/>
      <c r="R134" s="176"/>
      <c r="S134" s="116">
        <v>0</v>
      </c>
      <c r="T134" s="116">
        <v>0</v>
      </c>
      <c r="U134" s="118"/>
      <c r="V134" s="210">
        <f t="shared" si="44"/>
        <v>0</v>
      </c>
      <c r="W134" s="115">
        <f t="shared" si="45"/>
        <v>85000000</v>
      </c>
      <c r="X134" s="119"/>
      <c r="Y134" s="118"/>
      <c r="Z134" s="185"/>
      <c r="AA134" s="592">
        <f t="shared" si="24"/>
        <v>0</v>
      </c>
      <c r="AB134" s="185"/>
      <c r="AC134" s="9" t="s">
        <v>14</v>
      </c>
      <c r="AD134" s="297">
        <v>0</v>
      </c>
      <c r="AE134" s="297">
        <f t="shared" si="37"/>
        <v>0</v>
      </c>
      <c r="AF134" s="9" t="s">
        <v>14</v>
      </c>
      <c r="AG134" s="9"/>
      <c r="AH134" s="9"/>
      <c r="AI134" s="9"/>
      <c r="AJ134" s="476"/>
      <c r="AK134" s="73" t="str">
        <f t="shared" si="35"/>
        <v>TRILOGI MEDIA SINEMA, PT</v>
      </c>
    </row>
    <row r="135" spans="1:37" s="114" customFormat="1" ht="12" hidden="1" customHeight="1">
      <c r="A135" s="9">
        <v>128</v>
      </c>
      <c r="B135" s="9" t="s">
        <v>243</v>
      </c>
      <c r="C135" s="9">
        <v>2</v>
      </c>
      <c r="D135" s="8" t="s">
        <v>47</v>
      </c>
      <c r="E135" s="9" t="s">
        <v>378</v>
      </c>
      <c r="F135" s="8"/>
      <c r="G135" s="9"/>
      <c r="H135" s="9" t="s">
        <v>529</v>
      </c>
      <c r="I135" s="9" t="s">
        <v>14</v>
      </c>
      <c r="J135" s="658">
        <v>0</v>
      </c>
      <c r="K135" s="118">
        <v>85000000</v>
      </c>
      <c r="L135" s="118">
        <v>0</v>
      </c>
      <c r="M135" s="9"/>
      <c r="N135" s="189">
        <f t="shared" si="43"/>
        <v>85000000</v>
      </c>
      <c r="O135" s="55"/>
      <c r="P135" s="55"/>
      <c r="Q135" s="176"/>
      <c r="R135" s="176"/>
      <c r="S135" s="116">
        <v>0</v>
      </c>
      <c r="T135" s="116">
        <v>0</v>
      </c>
      <c r="U135" s="118"/>
      <c r="V135" s="210">
        <f t="shared" si="44"/>
        <v>0</v>
      </c>
      <c r="W135" s="115">
        <f t="shared" si="45"/>
        <v>85000000</v>
      </c>
      <c r="X135" s="119"/>
      <c r="Y135" s="118"/>
      <c r="Z135" s="185"/>
      <c r="AA135" s="592">
        <f t="shared" si="24"/>
        <v>0</v>
      </c>
      <c r="AB135" s="185"/>
      <c r="AC135" s="9" t="s">
        <v>14</v>
      </c>
      <c r="AD135" s="297">
        <v>0</v>
      </c>
      <c r="AE135" s="297">
        <f t="shared" si="37"/>
        <v>0</v>
      </c>
      <c r="AF135" s="9" t="s">
        <v>14</v>
      </c>
      <c r="AG135" s="9"/>
      <c r="AH135" s="9"/>
      <c r="AI135" s="9"/>
      <c r="AJ135" s="476"/>
      <c r="AK135" s="73" t="str">
        <f t="shared" si="35"/>
        <v>TRILOGI MEDIA SINEMA, PT</v>
      </c>
    </row>
    <row r="136" spans="1:37" s="114" customFormat="1" ht="12" hidden="1" customHeight="1">
      <c r="A136" s="9">
        <v>129</v>
      </c>
      <c r="B136" s="9" t="s">
        <v>244</v>
      </c>
      <c r="C136" s="9">
        <v>1</v>
      </c>
      <c r="D136" s="8" t="s">
        <v>47</v>
      </c>
      <c r="E136" s="9" t="s">
        <v>378</v>
      </c>
      <c r="F136" s="8"/>
      <c r="G136" s="9"/>
      <c r="H136" s="9" t="s">
        <v>574</v>
      </c>
      <c r="I136" s="9" t="s">
        <v>14</v>
      </c>
      <c r="J136" s="658">
        <v>0</v>
      </c>
      <c r="K136" s="118">
        <v>85000000</v>
      </c>
      <c r="L136" s="118">
        <v>0</v>
      </c>
      <c r="M136" s="9"/>
      <c r="N136" s="189">
        <f t="shared" si="43"/>
        <v>85000000</v>
      </c>
      <c r="O136" s="55"/>
      <c r="P136" s="55"/>
      <c r="Q136" s="176"/>
      <c r="R136" s="176"/>
      <c r="S136" s="116">
        <v>0</v>
      </c>
      <c r="T136" s="116">
        <v>0</v>
      </c>
      <c r="U136" s="118"/>
      <c r="V136" s="210">
        <f t="shared" si="44"/>
        <v>0</v>
      </c>
      <c r="W136" s="115">
        <f t="shared" si="45"/>
        <v>85000000</v>
      </c>
      <c r="X136" s="119"/>
      <c r="Y136" s="118"/>
      <c r="Z136" s="185"/>
      <c r="AA136" s="592">
        <f t="shared" si="24"/>
        <v>0</v>
      </c>
      <c r="AB136" s="185"/>
      <c r="AC136" s="9" t="s">
        <v>14</v>
      </c>
      <c r="AD136" s="297">
        <v>0</v>
      </c>
      <c r="AE136" s="297">
        <f t="shared" si="37"/>
        <v>0</v>
      </c>
      <c r="AF136" s="9" t="s">
        <v>14</v>
      </c>
      <c r="AG136" s="9"/>
      <c r="AH136" s="9"/>
      <c r="AI136" s="9"/>
      <c r="AJ136" s="476"/>
      <c r="AK136" s="73" t="str">
        <f t="shared" si="35"/>
        <v>TRILOGI MEDIA SINEMA, PT</v>
      </c>
    </row>
    <row r="137" spans="1:37" s="114" customFormat="1" ht="12" hidden="1" customHeight="1">
      <c r="A137" s="9">
        <v>130</v>
      </c>
      <c r="B137" s="9" t="s">
        <v>245</v>
      </c>
      <c r="C137" s="9">
        <v>5</v>
      </c>
      <c r="D137" s="8" t="s">
        <v>47</v>
      </c>
      <c r="E137" s="9" t="s">
        <v>378</v>
      </c>
      <c r="F137" s="8"/>
      <c r="G137" s="9"/>
      <c r="H137" s="9" t="s">
        <v>636</v>
      </c>
      <c r="I137" s="9" t="s">
        <v>14</v>
      </c>
      <c r="J137" s="658">
        <v>0</v>
      </c>
      <c r="K137" s="118">
        <v>85000000</v>
      </c>
      <c r="L137" s="118">
        <v>0</v>
      </c>
      <c r="M137" s="9"/>
      <c r="N137" s="189">
        <f t="shared" si="43"/>
        <v>85000000</v>
      </c>
      <c r="O137" s="55"/>
      <c r="P137" s="55"/>
      <c r="Q137" s="176"/>
      <c r="R137" s="176"/>
      <c r="S137" s="116">
        <v>0</v>
      </c>
      <c r="T137" s="116">
        <v>0</v>
      </c>
      <c r="U137" s="118"/>
      <c r="V137" s="210">
        <f t="shared" si="44"/>
        <v>0</v>
      </c>
      <c r="W137" s="115">
        <f t="shared" si="45"/>
        <v>85000000</v>
      </c>
      <c r="X137" s="119"/>
      <c r="Y137" s="118"/>
      <c r="Z137" s="185"/>
      <c r="AA137" s="592">
        <f t="shared" si="24"/>
        <v>0</v>
      </c>
      <c r="AB137" s="185"/>
      <c r="AC137" s="9" t="s">
        <v>14</v>
      </c>
      <c r="AD137" s="297">
        <v>0</v>
      </c>
      <c r="AE137" s="297">
        <f t="shared" si="37"/>
        <v>0</v>
      </c>
      <c r="AF137" s="9" t="s">
        <v>14</v>
      </c>
      <c r="AG137" s="9"/>
      <c r="AH137" s="9"/>
      <c r="AI137" s="9"/>
      <c r="AJ137" s="476"/>
      <c r="AK137" s="73" t="str">
        <f t="shared" ref="AK137:AK143" si="46">CONCATENATE(D137,O137)</f>
        <v>TRILOGI MEDIA SINEMA, PT</v>
      </c>
    </row>
    <row r="138" spans="1:37" s="114" customFormat="1" ht="12" hidden="1" customHeight="1">
      <c r="A138" s="9">
        <v>131</v>
      </c>
      <c r="B138" s="9" t="s">
        <v>238</v>
      </c>
      <c r="C138" s="9">
        <v>2</v>
      </c>
      <c r="D138" s="8" t="s">
        <v>47</v>
      </c>
      <c r="E138" s="9" t="s">
        <v>378</v>
      </c>
      <c r="F138" s="8"/>
      <c r="G138" s="9"/>
      <c r="H138" s="9" t="s">
        <v>656</v>
      </c>
      <c r="I138" s="9" t="s">
        <v>14</v>
      </c>
      <c r="J138" s="658">
        <v>0</v>
      </c>
      <c r="K138" s="118">
        <f>107000000-100000000</f>
        <v>7000000</v>
      </c>
      <c r="L138" s="118">
        <v>0</v>
      </c>
      <c r="M138" s="9"/>
      <c r="N138" s="189">
        <f t="shared" si="43"/>
        <v>7000000</v>
      </c>
      <c r="O138" s="55"/>
      <c r="P138" s="55"/>
      <c r="Q138" s="176"/>
      <c r="R138" s="176"/>
      <c r="S138" s="116">
        <v>0</v>
      </c>
      <c r="T138" s="116">
        <v>0</v>
      </c>
      <c r="U138" s="118"/>
      <c r="V138" s="210">
        <f t="shared" si="44"/>
        <v>0</v>
      </c>
      <c r="W138" s="115">
        <f t="shared" si="45"/>
        <v>7000000</v>
      </c>
      <c r="X138" s="119"/>
      <c r="Y138" s="118"/>
      <c r="Z138" s="185"/>
      <c r="AA138" s="592">
        <f t="shared" si="24"/>
        <v>0</v>
      </c>
      <c r="AB138" s="185"/>
      <c r="AC138" s="9" t="s">
        <v>14</v>
      </c>
      <c r="AD138" s="297">
        <v>0</v>
      </c>
      <c r="AE138" s="297">
        <f t="shared" si="37"/>
        <v>0</v>
      </c>
      <c r="AF138" s="9" t="s">
        <v>14</v>
      </c>
      <c r="AG138" s="9"/>
      <c r="AH138" s="9"/>
      <c r="AI138" s="9"/>
      <c r="AJ138" s="476"/>
      <c r="AK138" s="73" t="str">
        <f t="shared" si="46"/>
        <v>TRILOGI MEDIA SINEMA, PT</v>
      </c>
    </row>
    <row r="139" spans="1:37" s="73" customFormat="1" ht="15" hidden="1" customHeight="1">
      <c r="A139" s="9">
        <v>132</v>
      </c>
      <c r="B139" s="211" t="s">
        <v>243</v>
      </c>
      <c r="C139" s="211">
        <v>2</v>
      </c>
      <c r="D139" s="8" t="s">
        <v>218</v>
      </c>
      <c r="E139" s="10" t="s">
        <v>118</v>
      </c>
      <c r="F139" s="356"/>
      <c r="G139" s="10"/>
      <c r="H139" s="9" t="s">
        <v>292</v>
      </c>
      <c r="I139" s="9" t="s">
        <v>14</v>
      </c>
      <c r="J139" s="658">
        <v>0</v>
      </c>
      <c r="K139" s="116">
        <v>8223100</v>
      </c>
      <c r="L139" s="118">
        <v>0</v>
      </c>
      <c r="M139" s="218"/>
      <c r="N139" s="711">
        <f>K139+L139</f>
        <v>8223100</v>
      </c>
      <c r="O139" s="211"/>
      <c r="P139" s="211"/>
      <c r="Q139" s="218"/>
      <c r="R139" s="218"/>
      <c r="S139" s="116">
        <v>0</v>
      </c>
      <c r="T139" s="116">
        <v>0</v>
      </c>
      <c r="U139" s="218"/>
      <c r="V139" s="210">
        <f>M139+Q139-R139</f>
        <v>0</v>
      </c>
      <c r="W139" s="511">
        <f>N139+S139-U139</f>
        <v>8223100</v>
      </c>
      <c r="X139" s="211"/>
      <c r="Y139" s="218"/>
      <c r="Z139" s="224"/>
      <c r="AA139" s="592">
        <f>-S139-Z139</f>
        <v>0</v>
      </c>
      <c r="AB139" s="224"/>
      <c r="AC139" s="9" t="s">
        <v>14</v>
      </c>
      <c r="AD139" s="297">
        <v>0</v>
      </c>
      <c r="AE139" s="297">
        <f t="shared" si="37"/>
        <v>0</v>
      </c>
      <c r="AF139" s="9" t="s">
        <v>14</v>
      </c>
      <c r="AG139" s="211"/>
      <c r="AH139" s="211"/>
      <c r="AI139" s="211"/>
      <c r="AJ139" s="211"/>
      <c r="AK139" s="73" t="str">
        <f t="shared" si="46"/>
        <v>UPTRANS TEKNOLOGI, PT</v>
      </c>
    </row>
    <row r="140" spans="1:37" s="73" customFormat="1" ht="15" hidden="1" customHeight="1">
      <c r="A140" s="9">
        <v>133</v>
      </c>
      <c r="B140" s="9" t="s">
        <v>140</v>
      </c>
      <c r="C140" s="9">
        <v>9</v>
      </c>
      <c r="D140" s="8" t="s">
        <v>219</v>
      </c>
      <c r="E140" s="9" t="s">
        <v>63</v>
      </c>
      <c r="F140" s="8"/>
      <c r="G140" s="9"/>
      <c r="H140" s="9" t="s">
        <v>293</v>
      </c>
      <c r="I140" s="9" t="s">
        <v>14</v>
      </c>
      <c r="J140" s="658">
        <v>0</v>
      </c>
      <c r="K140" s="116">
        <v>5000000</v>
      </c>
      <c r="L140" s="116">
        <v>0</v>
      </c>
      <c r="M140" s="218"/>
      <c r="N140" s="711">
        <f>K140+L140</f>
        <v>5000000</v>
      </c>
      <c r="O140" s="211"/>
      <c r="P140" s="211"/>
      <c r="Q140" s="218"/>
      <c r="R140" s="218"/>
      <c r="S140" s="116">
        <v>0</v>
      </c>
      <c r="T140" s="116">
        <v>0</v>
      </c>
      <c r="U140" s="218"/>
      <c r="V140" s="210">
        <f>M140+Q140-R140</f>
        <v>0</v>
      </c>
      <c r="W140" s="511">
        <f>N140+S140-U140</f>
        <v>5000000</v>
      </c>
      <c r="X140" s="211"/>
      <c r="Y140" s="218"/>
      <c r="Z140" s="224"/>
      <c r="AA140" s="592">
        <f>-S140-Z140</f>
        <v>0</v>
      </c>
      <c r="AB140" s="224"/>
      <c r="AC140" s="9" t="s">
        <v>14</v>
      </c>
      <c r="AD140" s="297">
        <v>0</v>
      </c>
      <c r="AE140" s="297">
        <f t="shared" si="37"/>
        <v>0</v>
      </c>
      <c r="AF140" s="9" t="s">
        <v>14</v>
      </c>
      <c r="AG140" s="211"/>
      <c r="AH140" s="211"/>
      <c r="AI140" s="211"/>
      <c r="AJ140" s="211"/>
      <c r="AK140" s="73" t="str">
        <f t="shared" si="46"/>
        <v>WILBES, PT</v>
      </c>
    </row>
    <row r="141" spans="1:37" s="40" customFormat="1" ht="12" hidden="1" customHeight="1">
      <c r="A141" s="9">
        <v>134</v>
      </c>
      <c r="B141" s="9" t="s">
        <v>238</v>
      </c>
      <c r="C141" s="9">
        <v>1</v>
      </c>
      <c r="D141" s="8" t="s">
        <v>98</v>
      </c>
      <c r="E141" s="10" t="s">
        <v>62</v>
      </c>
      <c r="F141" s="356"/>
      <c r="G141" s="10"/>
      <c r="H141" s="9" t="s">
        <v>657</v>
      </c>
      <c r="I141" s="10" t="s">
        <v>658</v>
      </c>
      <c r="J141" s="658">
        <v>0</v>
      </c>
      <c r="K141" s="116">
        <v>33900000</v>
      </c>
      <c r="L141" s="116">
        <f>K141*10%</f>
        <v>3390000</v>
      </c>
      <c r="M141" s="10"/>
      <c r="N141" s="189">
        <f>K141+L141</f>
        <v>37290000</v>
      </c>
      <c r="O141" s="197" t="s">
        <v>194</v>
      </c>
      <c r="P141" s="197" t="s">
        <v>104</v>
      </c>
      <c r="Q141" s="175"/>
      <c r="R141" s="175"/>
      <c r="S141" s="116">
        <v>0</v>
      </c>
      <c r="T141" s="116">
        <v>0</v>
      </c>
      <c r="U141" s="116">
        <v>37290000</v>
      </c>
      <c r="V141" s="210">
        <f>M141+Q141-R141</f>
        <v>0</v>
      </c>
      <c r="W141" s="115">
        <f>N141+S141+T141-U141</f>
        <v>0</v>
      </c>
      <c r="X141" s="119" t="s">
        <v>237</v>
      </c>
      <c r="Y141" s="116"/>
      <c r="Z141" s="186"/>
      <c r="AA141" s="592">
        <f>-S141-Z141</f>
        <v>0</v>
      </c>
      <c r="AB141" s="186"/>
      <c r="AC141" s="9" t="s">
        <v>14</v>
      </c>
      <c r="AD141" s="297">
        <v>0</v>
      </c>
      <c r="AE141" s="297">
        <f t="shared" si="37"/>
        <v>0</v>
      </c>
      <c r="AF141" s="9" t="s">
        <v>14</v>
      </c>
      <c r="AG141" s="9"/>
      <c r="AH141" s="9"/>
      <c r="AI141" s="9"/>
      <c r="AJ141" s="9"/>
      <c r="AK141" s="73" t="str">
        <f t="shared" si="46"/>
        <v>ZTE INDONESIA, PTJAN</v>
      </c>
    </row>
    <row r="142" spans="1:37" s="40" customFormat="1" ht="12" hidden="1" customHeight="1">
      <c r="A142" s="9">
        <v>135</v>
      </c>
      <c r="B142" s="9" t="s">
        <v>238</v>
      </c>
      <c r="C142" s="9">
        <v>24</v>
      </c>
      <c r="D142" s="8" t="s">
        <v>98</v>
      </c>
      <c r="E142" s="10" t="s">
        <v>62</v>
      </c>
      <c r="F142" s="356"/>
      <c r="G142" s="10"/>
      <c r="H142" s="9" t="s">
        <v>1608</v>
      </c>
      <c r="I142" s="10" t="s">
        <v>1609</v>
      </c>
      <c r="J142" s="658">
        <v>0</v>
      </c>
      <c r="K142" s="116">
        <v>82279914</v>
      </c>
      <c r="L142" s="116">
        <f>K142*10%</f>
        <v>8227991.4000000004</v>
      </c>
      <c r="M142" s="10"/>
      <c r="N142" s="189">
        <f>K142+L142</f>
        <v>90507905.400000006</v>
      </c>
      <c r="O142" s="197" t="s">
        <v>194</v>
      </c>
      <c r="P142" s="197" t="s">
        <v>101</v>
      </c>
      <c r="Q142" s="175"/>
      <c r="R142" s="175"/>
      <c r="S142" s="116">
        <v>0</v>
      </c>
      <c r="T142" s="116">
        <f>-K142*3%</f>
        <v>-2468397.42</v>
      </c>
      <c r="U142" s="116">
        <v>88039508</v>
      </c>
      <c r="V142" s="210">
        <f>M142+Q142-R142</f>
        <v>0</v>
      </c>
      <c r="W142" s="115">
        <f>N142+S142+T142-U142</f>
        <v>-1.9999995827674866E-2</v>
      </c>
      <c r="X142" s="181" t="s">
        <v>294</v>
      </c>
      <c r="Y142" s="116"/>
      <c r="Z142" s="186"/>
      <c r="AA142" s="592">
        <f>-S142-Z142</f>
        <v>0</v>
      </c>
      <c r="AB142" s="186"/>
      <c r="AC142" s="9"/>
      <c r="AD142" s="297"/>
      <c r="AE142" s="297">
        <f t="shared" si="37"/>
        <v>2468397.42</v>
      </c>
      <c r="AF142" s="9"/>
      <c r="AG142" s="9" t="s">
        <v>1395</v>
      </c>
      <c r="AH142" s="300">
        <v>42717</v>
      </c>
      <c r="AI142" s="9" t="s">
        <v>1613</v>
      </c>
      <c r="AJ142" s="300">
        <v>42717</v>
      </c>
      <c r="AK142" s="73" t="str">
        <f t="shared" si="46"/>
        <v>ZTE INDONESIA, PTJAN</v>
      </c>
    </row>
    <row r="143" spans="1:37" s="40" customFormat="1" ht="12" hidden="1" customHeight="1" thickBot="1">
      <c r="A143" s="145">
        <v>136</v>
      </c>
      <c r="B143" s="145" t="s">
        <v>140</v>
      </c>
      <c r="C143" s="145">
        <v>21</v>
      </c>
      <c r="D143" s="146" t="s">
        <v>98</v>
      </c>
      <c r="E143" s="147" t="s">
        <v>62</v>
      </c>
      <c r="F143" s="1513"/>
      <c r="G143" s="147"/>
      <c r="H143" s="145" t="s">
        <v>1640</v>
      </c>
      <c r="I143" s="147" t="s">
        <v>1641</v>
      </c>
      <c r="J143" s="658">
        <v>0</v>
      </c>
      <c r="K143" s="148">
        <v>239185534</v>
      </c>
      <c r="L143" s="148">
        <f>K143*10%</f>
        <v>23918553.400000002</v>
      </c>
      <c r="M143" s="147"/>
      <c r="N143" s="202">
        <f>K143+L143</f>
        <v>263104087.40000001</v>
      </c>
      <c r="O143" s="199" t="s">
        <v>195</v>
      </c>
      <c r="P143" s="199" t="s">
        <v>34</v>
      </c>
      <c r="Q143" s="178"/>
      <c r="R143" s="178"/>
      <c r="S143" s="116">
        <v>0</v>
      </c>
      <c r="T143" s="116">
        <f>-K143*3%</f>
        <v>-7175566.0199999996</v>
      </c>
      <c r="U143" s="148">
        <v>255928521</v>
      </c>
      <c r="V143" s="212">
        <f>M143+Q143-R143</f>
        <v>0</v>
      </c>
      <c r="W143" s="115">
        <f>N143+S143+T143-U143</f>
        <v>0.37999999523162842</v>
      </c>
      <c r="X143" s="515" t="s">
        <v>294</v>
      </c>
      <c r="Y143" s="148"/>
      <c r="Z143" s="187"/>
      <c r="AA143" s="592">
        <f>-S143-Z143</f>
        <v>0</v>
      </c>
      <c r="AB143" s="187"/>
      <c r="AC143" s="145"/>
      <c r="AD143" s="298"/>
      <c r="AE143" s="297">
        <f t="shared" si="37"/>
        <v>7175566.0199999996</v>
      </c>
      <c r="AF143" s="145"/>
      <c r="AG143" s="100" t="s">
        <v>1395</v>
      </c>
      <c r="AH143" s="396">
        <v>42732</v>
      </c>
      <c r="AI143" s="100" t="s">
        <v>1662</v>
      </c>
      <c r="AJ143" s="396">
        <v>42732</v>
      </c>
      <c r="AK143" s="73" t="str">
        <f t="shared" si="46"/>
        <v>ZTE INDONESIA, PTFEB</v>
      </c>
    </row>
    <row r="144" spans="1:37" s="73" customFormat="1" ht="17.25" hidden="1" thickTop="1" thickBot="1">
      <c r="A144" s="1545" t="s">
        <v>61</v>
      </c>
      <c r="B144" s="1545"/>
      <c r="C144" s="1545"/>
      <c r="D144" s="1545"/>
      <c r="E144" s="1545"/>
      <c r="F144" s="1545"/>
      <c r="G144" s="1545"/>
      <c r="H144" s="1545"/>
      <c r="I144" s="1545"/>
      <c r="J144" s="593">
        <f>SUM(J6:J143)</f>
        <v>11019</v>
      </c>
      <c r="K144" s="594">
        <f>SUM(K6:K143)</f>
        <v>7284980000.2700005</v>
      </c>
      <c r="L144" s="594">
        <f>SUM(L6:L143)</f>
        <v>510062075.12699997</v>
      </c>
      <c r="M144" s="593">
        <f>SUM(M6:M143)</f>
        <v>12049</v>
      </c>
      <c r="N144" s="594">
        <f>SUM(N6:N143)</f>
        <v>7784742075.3969994</v>
      </c>
      <c r="O144" s="209"/>
      <c r="P144" s="209"/>
      <c r="Q144" s="593">
        <f>SUM(Q6:Q140)</f>
        <v>0</v>
      </c>
      <c r="R144" s="593">
        <f>SUM(R6:R140)</f>
        <v>0</v>
      </c>
      <c r="S144" s="594">
        <f>SUM(S6:S143)</f>
        <v>-2689528.5</v>
      </c>
      <c r="T144" s="594">
        <f>SUM(T6:T143)</f>
        <v>-97177443.805399999</v>
      </c>
      <c r="U144" s="594">
        <f>SUM(U6:U143)</f>
        <v>6039680541</v>
      </c>
      <c r="V144" s="606">
        <f>SUM(V6:V143)</f>
        <v>12049</v>
      </c>
      <c r="W144" s="602">
        <f>SUM(W6:W143)</f>
        <v>1645194562.0915999</v>
      </c>
      <c r="X144" s="209"/>
      <c r="Y144" s="112"/>
      <c r="Z144" s="594">
        <f>SUM(Z6:Z140)</f>
        <v>0</v>
      </c>
      <c r="AA144" s="602">
        <f>SUM(AA6:AA140)</f>
        <v>889528.5</v>
      </c>
      <c r="AB144" s="33"/>
      <c r="AC144" s="474"/>
      <c r="AD144" s="594">
        <f>SUM(AD6:AD140)</f>
        <v>48144155</v>
      </c>
      <c r="AE144" s="602">
        <f>SUM(AE6:AE140)</f>
        <v>39389325.365400001</v>
      </c>
      <c r="AF144" s="607"/>
      <c r="AG144" s="165"/>
      <c r="AH144" s="165"/>
      <c r="AI144" s="165"/>
      <c r="AJ144" s="206"/>
      <c r="AK144" s="73" t="str">
        <f>CONCATENATE(D144,O144)</f>
        <v/>
      </c>
    </row>
    <row r="145" spans="1:37" s="73" customFormat="1" ht="16.5" hidden="1" customHeight="1" thickTop="1" thickBot="1">
      <c r="F145" s="1514"/>
      <c r="K145" s="1541">
        <f>SUM(K144:L144)</f>
        <v>7795042075.3970003</v>
      </c>
      <c r="L145" s="1542"/>
      <c r="M145" s="600" t="s">
        <v>1684</v>
      </c>
      <c r="N145" s="594">
        <f>K145-N144</f>
        <v>10300000.000000954</v>
      </c>
      <c r="O145" s="209"/>
      <c r="P145" s="209"/>
      <c r="Q145" s="1288">
        <f>R144-Q144</f>
        <v>0</v>
      </c>
      <c r="R145" s="1289"/>
      <c r="S145" s="1280">
        <f>U144-T144-S144</f>
        <v>6139547513.3053999</v>
      </c>
      <c r="T145" s="1290"/>
      <c r="U145" s="1281"/>
      <c r="V145" s="601" t="s">
        <v>1687</v>
      </c>
      <c r="W145" s="594">
        <f>N144-S145-W144</f>
        <v>0</v>
      </c>
      <c r="X145" s="206"/>
      <c r="Y145" s="33"/>
      <c r="Z145" s="1280">
        <f>SUM(Z144:AA144)</f>
        <v>889528.5</v>
      </c>
      <c r="AA145" s="1281"/>
      <c r="AB145" s="33"/>
      <c r="AC145" s="474"/>
      <c r="AD145" s="1280">
        <f>SUM(AD144:AE144)</f>
        <v>87533480.365400001</v>
      </c>
      <c r="AE145" s="1281"/>
      <c r="AF145" s="608"/>
      <c r="AG145" s="165"/>
      <c r="AH145" s="165"/>
      <c r="AI145" s="165"/>
      <c r="AJ145" s="206"/>
      <c r="AK145" s="73" t="str">
        <f>CONCATENATE(D145,O145)</f>
        <v/>
      </c>
    </row>
    <row r="146" spans="1:37" s="73" customFormat="1" ht="15.75" hidden="1" customHeight="1" thickTop="1">
      <c r="A146" s="204"/>
      <c r="B146" s="204"/>
      <c r="C146" s="204"/>
      <c r="D146" s="696"/>
      <c r="E146" s="696"/>
      <c r="F146" s="1515"/>
      <c r="G146" s="696"/>
      <c r="H146" s="204"/>
      <c r="I146" s="204"/>
      <c r="J146" s="204"/>
      <c r="K146" s="1557" t="s">
        <v>1686</v>
      </c>
      <c r="L146" s="1558"/>
      <c r="M146" s="1559"/>
      <c r="N146" s="598">
        <f>-SUM(L13:L23,L48,L112:L115)</f>
        <v>-10300000</v>
      </c>
      <c r="O146" s="205"/>
      <c r="P146" s="205"/>
      <c r="Q146" s="204"/>
      <c r="R146" s="204"/>
      <c r="S146" s="204"/>
      <c r="T146" s="204"/>
      <c r="U146" s="204"/>
      <c r="V146" s="204"/>
      <c r="W146" s="204"/>
      <c r="X146" s="206"/>
      <c r="Y146" s="204"/>
      <c r="AC146" s="206"/>
      <c r="AD146" s="296"/>
      <c r="AE146" s="296"/>
      <c r="AF146" s="206"/>
      <c r="AG146" s="206"/>
      <c r="AH146" s="206"/>
      <c r="AI146" s="206"/>
      <c r="AJ146" s="206"/>
    </row>
    <row r="147" spans="1:37" s="73" customFormat="1" ht="15" hidden="1" customHeight="1">
      <c r="A147" s="204"/>
      <c r="B147" s="204"/>
      <c r="C147" s="204"/>
      <c r="D147" s="204"/>
      <c r="E147" s="204"/>
      <c r="F147" s="1516"/>
      <c r="G147" s="204"/>
      <c r="H147" s="204"/>
      <c r="I147" s="204"/>
      <c r="J147" s="204"/>
      <c r="K147" s="1563" t="s">
        <v>1619</v>
      </c>
      <c r="L147" s="1564"/>
      <c r="M147" s="1565"/>
      <c r="N147" s="597">
        <f>SUM(N145:N146)</f>
        <v>9.5367431640625E-7</v>
      </c>
      <c r="O147" s="205"/>
      <c r="P147" s="205"/>
      <c r="Q147" s="204"/>
      <c r="R147" s="204"/>
      <c r="S147" s="204"/>
      <c r="T147" s="204"/>
      <c r="U147" s="204"/>
      <c r="V147" s="204"/>
      <c r="W147" s="204"/>
      <c r="X147" s="206"/>
      <c r="Y147" s="204"/>
      <c r="AC147" s="206"/>
      <c r="AD147" s="296"/>
      <c r="AE147" s="296"/>
      <c r="AF147" s="206"/>
      <c r="AG147" s="206"/>
      <c r="AH147" s="206"/>
      <c r="AI147" s="206"/>
      <c r="AJ147" s="206"/>
    </row>
    <row r="148" spans="1:37" s="73" customFormat="1" ht="15" hidden="1" customHeight="1">
      <c r="B148" s="204" t="s">
        <v>1812</v>
      </c>
      <c r="C148" s="204"/>
      <c r="D148" s="204"/>
      <c r="E148" s="204"/>
      <c r="F148" s="1516"/>
      <c r="G148" s="204"/>
      <c r="H148" s="204"/>
      <c r="I148" s="204"/>
      <c r="J148" s="204"/>
      <c r="K148" s="204"/>
      <c r="L148" s="204"/>
      <c r="M148" s="204"/>
      <c r="N148" s="204"/>
      <c r="O148" s="205"/>
      <c r="P148" s="205"/>
      <c r="Q148" s="204"/>
      <c r="R148" s="204"/>
      <c r="S148" s="204"/>
      <c r="T148" s="204"/>
      <c r="U148" s="204"/>
      <c r="V148" s="204"/>
      <c r="W148" s="204"/>
      <c r="X148" s="206"/>
      <c r="Y148" s="204"/>
      <c r="AC148" s="206"/>
      <c r="AD148" s="296"/>
      <c r="AE148" s="296"/>
      <c r="AF148" s="206"/>
      <c r="AG148" s="206"/>
      <c r="AH148" s="206"/>
      <c r="AI148" s="206"/>
      <c r="AJ148" s="206"/>
    </row>
    <row r="149" spans="1:37" s="73" customFormat="1" ht="15" hidden="1" customHeight="1">
      <c r="A149" s="206"/>
      <c r="B149" s="206"/>
      <c r="C149" s="206"/>
      <c r="E149" s="207"/>
      <c r="F149" s="1517"/>
      <c r="G149" s="207"/>
      <c r="H149" s="206"/>
      <c r="I149" s="207"/>
      <c r="J149" s="207"/>
      <c r="K149" s="208"/>
      <c r="L149" s="208"/>
      <c r="M149" s="207"/>
      <c r="N149" s="207"/>
      <c r="O149" s="209"/>
      <c r="P149" s="209"/>
      <c r="Q149" s="208"/>
      <c r="R149" s="208"/>
      <c r="S149" s="208"/>
      <c r="T149" s="208"/>
      <c r="U149" s="208"/>
      <c r="V149" s="208"/>
      <c r="W149" s="208"/>
      <c r="X149" s="209"/>
      <c r="Y149" s="208"/>
      <c r="AC149" s="206"/>
      <c r="AD149" s="296"/>
      <c r="AE149" s="296"/>
      <c r="AF149" s="206"/>
      <c r="AG149" s="206"/>
      <c r="AH149" s="206"/>
      <c r="AI149" s="206"/>
      <c r="AJ149" s="206"/>
    </row>
    <row r="150" spans="1:37" s="122" customFormat="1" ht="18" hidden="1" customHeight="1">
      <c r="A150" s="1550" t="s">
        <v>6</v>
      </c>
      <c r="B150" s="1550" t="s">
        <v>236</v>
      </c>
      <c r="C150" s="1550" t="s">
        <v>15</v>
      </c>
      <c r="D150" s="1550" t="s">
        <v>3</v>
      </c>
      <c r="E150" s="1553" t="s">
        <v>141</v>
      </c>
      <c r="F150" s="1573" t="s">
        <v>3043</v>
      </c>
      <c r="G150" s="1556" t="s">
        <v>3714</v>
      </c>
      <c r="H150" s="1550" t="s">
        <v>51</v>
      </c>
      <c r="I150" s="1553" t="s">
        <v>12</v>
      </c>
      <c r="J150" s="1556" t="s">
        <v>165</v>
      </c>
      <c r="K150" s="1553" t="s">
        <v>166</v>
      </c>
      <c r="L150" s="1566" t="s">
        <v>1</v>
      </c>
      <c r="M150" s="1569" t="s">
        <v>50</v>
      </c>
      <c r="N150" s="1570"/>
      <c r="O150" s="1274" t="s">
        <v>169</v>
      </c>
      <c r="P150" s="1275"/>
      <c r="Q150" s="1275"/>
      <c r="R150" s="1275"/>
      <c r="S150" s="1275"/>
      <c r="T150" s="1275"/>
      <c r="U150" s="1275"/>
      <c r="V150" s="1275"/>
      <c r="W150" s="1275"/>
      <c r="X150" s="1276"/>
      <c r="Y150" s="1282" t="s">
        <v>170</v>
      </c>
      <c r="Z150" s="1283"/>
      <c r="AA150" s="1283"/>
      <c r="AB150" s="1284"/>
      <c r="AC150" s="1282" t="s">
        <v>172</v>
      </c>
      <c r="AD150" s="1283"/>
      <c r="AE150" s="1283"/>
      <c r="AF150" s="1284"/>
      <c r="AG150" s="1580" t="s">
        <v>1392</v>
      </c>
      <c r="AH150" s="1580"/>
      <c r="AI150" s="1580"/>
      <c r="AJ150" s="1580"/>
    </row>
    <row r="151" spans="1:37" s="122" customFormat="1" ht="17.25" hidden="1" customHeight="1">
      <c r="A151" s="1551"/>
      <c r="B151" s="1551"/>
      <c r="C151" s="1551"/>
      <c r="D151" s="1551"/>
      <c r="E151" s="1554"/>
      <c r="F151" s="1574"/>
      <c r="G151" s="1554"/>
      <c r="H151" s="1551"/>
      <c r="I151" s="1554"/>
      <c r="J151" s="1554"/>
      <c r="K151" s="1554"/>
      <c r="L151" s="1567"/>
      <c r="M151" s="1553" t="s">
        <v>54</v>
      </c>
      <c r="N151" s="1555" t="s">
        <v>55</v>
      </c>
      <c r="O151" s="1277" t="s">
        <v>236</v>
      </c>
      <c r="P151" s="1309" t="s">
        <v>15</v>
      </c>
      <c r="Q151" s="1274" t="s">
        <v>54</v>
      </c>
      <c r="R151" s="1275"/>
      <c r="S151" s="1277" t="s">
        <v>55</v>
      </c>
      <c r="T151" s="1277"/>
      <c r="U151" s="1277"/>
      <c r="V151" s="1277" t="s">
        <v>296</v>
      </c>
      <c r="W151" s="1277"/>
      <c r="X151" s="1295" t="s">
        <v>168</v>
      </c>
      <c r="Y151" s="1285"/>
      <c r="Z151" s="1286"/>
      <c r="AA151" s="1286"/>
      <c r="AB151" s="1287"/>
      <c r="AC151" s="1285"/>
      <c r="AD151" s="1286"/>
      <c r="AE151" s="1286"/>
      <c r="AF151" s="1287"/>
      <c r="AG151" s="1580" t="s">
        <v>1393</v>
      </c>
      <c r="AH151" s="1580"/>
      <c r="AI151" s="1581" t="s">
        <v>1394</v>
      </c>
      <c r="AJ151" s="1581"/>
    </row>
    <row r="152" spans="1:37" s="122" customFormat="1" ht="18" hidden="1" customHeight="1">
      <c r="A152" s="1552"/>
      <c r="B152" s="1552"/>
      <c r="C152" s="1552"/>
      <c r="D152" s="1552"/>
      <c r="E152" s="1555"/>
      <c r="F152" s="1575"/>
      <c r="G152" s="1555"/>
      <c r="H152" s="1552"/>
      <c r="I152" s="1555"/>
      <c r="J152" s="1555"/>
      <c r="K152" s="1555"/>
      <c r="L152" s="1568"/>
      <c r="M152" s="1553"/>
      <c r="N152" s="1553"/>
      <c r="O152" s="1277"/>
      <c r="P152" s="1310"/>
      <c r="Q152" s="680" t="s">
        <v>263</v>
      </c>
      <c r="R152" s="1277" t="s">
        <v>78</v>
      </c>
      <c r="S152" s="1277" t="s">
        <v>1661</v>
      </c>
      <c r="T152" s="1277" t="s">
        <v>263</v>
      </c>
      <c r="U152" s="1277" t="s">
        <v>78</v>
      </c>
      <c r="V152" s="1277" t="s">
        <v>54</v>
      </c>
      <c r="W152" s="1277" t="s">
        <v>55</v>
      </c>
      <c r="X152" s="1296"/>
      <c r="Y152" s="1272" t="s">
        <v>15</v>
      </c>
      <c r="Z152" s="1273" t="s">
        <v>167</v>
      </c>
      <c r="AA152" s="1273" t="s">
        <v>9</v>
      </c>
      <c r="AB152" s="1273" t="s">
        <v>171</v>
      </c>
      <c r="AC152" s="1272" t="s">
        <v>15</v>
      </c>
      <c r="AD152" s="1298" t="s">
        <v>167</v>
      </c>
      <c r="AE152" s="1273" t="s">
        <v>9</v>
      </c>
      <c r="AF152" s="1273" t="s">
        <v>171</v>
      </c>
      <c r="AG152" s="436" t="s">
        <v>193</v>
      </c>
      <c r="AH152" s="467" t="s">
        <v>1396</v>
      </c>
      <c r="AI152" s="471" t="s">
        <v>193</v>
      </c>
      <c r="AJ152" s="471" t="s">
        <v>15</v>
      </c>
    </row>
    <row r="153" spans="1:37" s="114" customFormat="1" ht="12" hidden="1" customHeight="1">
      <c r="A153" s="53"/>
      <c r="B153" s="53" t="s">
        <v>239</v>
      </c>
      <c r="C153" s="53">
        <v>6</v>
      </c>
      <c r="D153" s="193" t="s">
        <v>126</v>
      </c>
      <c r="E153" s="672" t="s">
        <v>62</v>
      </c>
      <c r="F153" s="1518"/>
      <c r="G153" s="672"/>
      <c r="H153" s="672" t="s">
        <v>2179</v>
      </c>
      <c r="I153" s="672" t="s">
        <v>2222</v>
      </c>
      <c r="J153" s="673">
        <v>0</v>
      </c>
      <c r="K153" s="674">
        <v>40450000</v>
      </c>
      <c r="L153" s="675">
        <f t="shared" ref="L153:L211" si="47">K153*10%</f>
        <v>4045000</v>
      </c>
      <c r="M153" s="658">
        <v>0</v>
      </c>
      <c r="N153" s="676">
        <f t="shared" ref="N153:N215" si="48">K153+L153</f>
        <v>44495000</v>
      </c>
      <c r="O153" s="678" t="s">
        <v>240</v>
      </c>
      <c r="P153" s="678" t="s">
        <v>99</v>
      </c>
      <c r="Q153" s="677"/>
      <c r="R153" s="677"/>
      <c r="S153" s="116">
        <v>0</v>
      </c>
      <c r="T153" s="116">
        <f>-K153*2%</f>
        <v>-809000</v>
      </c>
      <c r="U153" s="194">
        <v>43686000</v>
      </c>
      <c r="V153" s="210">
        <f t="shared" ref="V153:V242" si="49">M153+Q153-R153</f>
        <v>0</v>
      </c>
      <c r="W153" s="115">
        <f t="shared" ref="W153:W169" si="50">N153+S153+T153-U153</f>
        <v>0</v>
      </c>
      <c r="X153" s="679" t="s">
        <v>237</v>
      </c>
      <c r="Y153" s="116"/>
      <c r="Z153" s="185"/>
      <c r="AA153" s="592">
        <f>-S153-Z153</f>
        <v>0</v>
      </c>
      <c r="AB153" s="186"/>
      <c r="AC153" s="9"/>
      <c r="AD153" s="297"/>
      <c r="AE153" s="1065">
        <f t="shared" ref="AE153:AE363" si="51">-T153-AD153</f>
        <v>809000</v>
      </c>
      <c r="AF153" s="9"/>
      <c r="AG153" s="9" t="s">
        <v>1395</v>
      </c>
      <c r="AH153" s="300">
        <v>42769</v>
      </c>
      <c r="AI153" s="9" t="s">
        <v>2034</v>
      </c>
      <c r="AJ153" s="300">
        <v>42769</v>
      </c>
      <c r="AK153" s="73" t="str">
        <f t="shared" ref="AK153:AK251" si="52">CONCATENATE(D153,O153)</f>
        <v>APLIKANUSA LINTASARTA, PTAPR</v>
      </c>
    </row>
    <row r="154" spans="1:37" s="114" customFormat="1" ht="12" hidden="1" customHeight="1">
      <c r="A154" s="53"/>
      <c r="B154" s="53" t="s">
        <v>239</v>
      </c>
      <c r="C154" s="53">
        <v>6</v>
      </c>
      <c r="D154" s="8" t="s">
        <v>126</v>
      </c>
      <c r="E154" s="10" t="s">
        <v>62</v>
      </c>
      <c r="F154" s="356"/>
      <c r="G154" s="10"/>
      <c r="H154" s="10" t="s">
        <v>2180</v>
      </c>
      <c r="I154" s="672" t="s">
        <v>2182</v>
      </c>
      <c r="J154" s="658">
        <v>0</v>
      </c>
      <c r="K154" s="118">
        <v>42100000</v>
      </c>
      <c r="L154" s="116">
        <f t="shared" si="47"/>
        <v>4210000</v>
      </c>
      <c r="M154" s="658">
        <v>0</v>
      </c>
      <c r="N154" s="189">
        <f t="shared" si="48"/>
        <v>46310000</v>
      </c>
      <c r="O154" s="197" t="s">
        <v>239</v>
      </c>
      <c r="P154" s="197" t="s">
        <v>66</v>
      </c>
      <c r="Q154" s="175"/>
      <c r="R154" s="175"/>
      <c r="S154" s="116">
        <v>0</v>
      </c>
      <c r="T154" s="116">
        <f>-K154*2%</f>
        <v>-842000</v>
      </c>
      <c r="U154" s="115">
        <v>45468000</v>
      </c>
      <c r="V154" s="210">
        <f t="shared" si="49"/>
        <v>0</v>
      </c>
      <c r="W154" s="115">
        <f>N154+S154+T154-U154</f>
        <v>0</v>
      </c>
      <c r="X154" s="679" t="s">
        <v>237</v>
      </c>
      <c r="Y154" s="116"/>
      <c r="Z154" s="185"/>
      <c r="AA154" s="592">
        <f>-S154-Z154</f>
        <v>0</v>
      </c>
      <c r="AB154" s="186"/>
      <c r="AC154" s="9"/>
      <c r="AD154" s="297"/>
      <c r="AE154" s="1065">
        <f t="shared" si="51"/>
        <v>842000</v>
      </c>
      <c r="AF154" s="9"/>
      <c r="AG154" s="9" t="s">
        <v>1395</v>
      </c>
      <c r="AH154" s="300">
        <v>42769</v>
      </c>
      <c r="AI154" s="9" t="s">
        <v>2034</v>
      </c>
      <c r="AJ154" s="300">
        <v>42769</v>
      </c>
      <c r="AK154" s="73" t="str">
        <f t="shared" si="52"/>
        <v>APLIKANUSA LINTASARTA, PTMAR</v>
      </c>
    </row>
    <row r="155" spans="1:37" s="114" customFormat="1" ht="12" hidden="1" customHeight="1">
      <c r="A155" s="53"/>
      <c r="B155" s="53" t="s">
        <v>239</v>
      </c>
      <c r="C155" s="53">
        <v>6</v>
      </c>
      <c r="D155" s="8" t="s">
        <v>126</v>
      </c>
      <c r="E155" s="10" t="s">
        <v>62</v>
      </c>
      <c r="F155" s="356"/>
      <c r="G155" s="10"/>
      <c r="H155" s="10" t="s">
        <v>2181</v>
      </c>
      <c r="I155" s="672" t="s">
        <v>2183</v>
      </c>
      <c r="J155" s="658">
        <v>0</v>
      </c>
      <c r="K155" s="674">
        <v>37400000</v>
      </c>
      <c r="L155" s="116">
        <f t="shared" si="47"/>
        <v>3740000</v>
      </c>
      <c r="M155" s="658">
        <v>0</v>
      </c>
      <c r="N155" s="189">
        <f t="shared" si="48"/>
        <v>41140000</v>
      </c>
      <c r="O155" s="197" t="s">
        <v>239</v>
      </c>
      <c r="P155" s="197" t="s">
        <v>66</v>
      </c>
      <c r="Q155" s="677"/>
      <c r="R155" s="677"/>
      <c r="S155" s="116">
        <v>0</v>
      </c>
      <c r="T155" s="116">
        <f>-K155*2%</f>
        <v>-748000</v>
      </c>
      <c r="U155" s="194">
        <v>40392000</v>
      </c>
      <c r="V155" s="210">
        <f t="shared" si="49"/>
        <v>0</v>
      </c>
      <c r="W155" s="115">
        <f t="shared" si="50"/>
        <v>0</v>
      </c>
      <c r="X155" s="679" t="s">
        <v>237</v>
      </c>
      <c r="Y155" s="116"/>
      <c r="Z155" s="185"/>
      <c r="AA155" s="592"/>
      <c r="AB155" s="186"/>
      <c r="AC155" s="9"/>
      <c r="AD155" s="297"/>
      <c r="AE155" s="1065">
        <f t="shared" si="51"/>
        <v>748000</v>
      </c>
      <c r="AF155" s="9"/>
      <c r="AG155" s="9" t="s">
        <v>1395</v>
      </c>
      <c r="AH155" s="300">
        <v>42801</v>
      </c>
      <c r="AI155" s="9" t="s">
        <v>2197</v>
      </c>
      <c r="AJ155" s="300">
        <v>42802</v>
      </c>
      <c r="AK155" s="73" t="str">
        <f t="shared" si="52"/>
        <v>APLIKANUSA LINTASARTA, PTMAR</v>
      </c>
    </row>
    <row r="156" spans="1:37" s="114" customFormat="1" ht="12" hidden="1" customHeight="1">
      <c r="A156" s="53"/>
      <c r="B156" s="758" t="s">
        <v>239</v>
      </c>
      <c r="C156" s="758">
        <v>18</v>
      </c>
      <c r="D156" s="1243" t="s">
        <v>3283</v>
      </c>
      <c r="E156" s="953" t="s">
        <v>364</v>
      </c>
      <c r="F156" s="1519" t="s">
        <v>3284</v>
      </c>
      <c r="G156" s="953" t="s">
        <v>3285</v>
      </c>
      <c r="H156" s="953" t="s">
        <v>3286</v>
      </c>
      <c r="I156" s="953" t="s">
        <v>3287</v>
      </c>
      <c r="J156" s="1054"/>
      <c r="K156" s="1244">
        <v>18181818.18</v>
      </c>
      <c r="L156" s="762">
        <f t="shared" si="47"/>
        <v>1818181.818</v>
      </c>
      <c r="M156" s="1054"/>
      <c r="N156" s="763">
        <f t="shared" si="48"/>
        <v>19999999.998</v>
      </c>
      <c r="O156" s="1245"/>
      <c r="P156" s="1245"/>
      <c r="Q156" s="677"/>
      <c r="R156" s="677"/>
      <c r="S156" s="116"/>
      <c r="T156" s="116"/>
      <c r="U156" s="194"/>
      <c r="V156" s="210"/>
      <c r="W156" s="115"/>
      <c r="X156" s="679"/>
      <c r="Y156" s="116"/>
      <c r="Z156" s="185"/>
      <c r="AA156" s="592"/>
      <c r="AB156" s="186"/>
      <c r="AC156" s="9"/>
      <c r="AD156" s="297"/>
      <c r="AE156" s="1065"/>
      <c r="AF156" s="9"/>
      <c r="AG156" s="9"/>
      <c r="AH156" s="300"/>
      <c r="AI156" s="9"/>
      <c r="AJ156" s="300"/>
      <c r="AK156" s="73"/>
    </row>
    <row r="157" spans="1:37" s="114" customFormat="1" ht="12" hidden="1" customHeight="1">
      <c r="A157" s="53"/>
      <c r="B157" s="758" t="s">
        <v>240</v>
      </c>
      <c r="C157" s="758">
        <v>18</v>
      </c>
      <c r="D157" s="1243" t="s">
        <v>3283</v>
      </c>
      <c r="E157" s="953" t="s">
        <v>364</v>
      </c>
      <c r="F157" s="1519" t="s">
        <v>3284</v>
      </c>
      <c r="G157" s="953" t="s">
        <v>3288</v>
      </c>
      <c r="H157" s="953" t="s">
        <v>3289</v>
      </c>
      <c r="I157" s="953" t="s">
        <v>3290</v>
      </c>
      <c r="J157" s="1054"/>
      <c r="K157" s="1244">
        <v>18181818.18</v>
      </c>
      <c r="L157" s="762">
        <f t="shared" ref="L157" si="53">K157*10%</f>
        <v>1818181.818</v>
      </c>
      <c r="M157" s="1054"/>
      <c r="N157" s="763">
        <f t="shared" ref="N157" si="54">K157+L157</f>
        <v>19999999.998</v>
      </c>
      <c r="O157" s="1245"/>
      <c r="P157" s="1245"/>
      <c r="Q157" s="677"/>
      <c r="R157" s="677"/>
      <c r="S157" s="116"/>
      <c r="T157" s="116"/>
      <c r="U157" s="194"/>
      <c r="V157" s="210"/>
      <c r="W157" s="115"/>
      <c r="X157" s="679"/>
      <c r="Y157" s="116"/>
      <c r="Z157" s="185"/>
      <c r="AA157" s="592"/>
      <c r="AB157" s="186"/>
      <c r="AC157" s="9"/>
      <c r="AD157" s="297"/>
      <c r="AE157" s="1065"/>
      <c r="AF157" s="9"/>
      <c r="AG157" s="9"/>
      <c r="AH157" s="300"/>
      <c r="AI157" s="9"/>
      <c r="AJ157" s="300"/>
      <c r="AK157" s="73"/>
    </row>
    <row r="158" spans="1:37" s="114" customFormat="1" ht="12" hidden="1" customHeight="1">
      <c r="A158" s="53"/>
      <c r="B158" s="758" t="s">
        <v>58</v>
      </c>
      <c r="C158" s="758">
        <v>18</v>
      </c>
      <c r="D158" s="1243" t="s">
        <v>3283</v>
      </c>
      <c r="E158" s="953" t="s">
        <v>364</v>
      </c>
      <c r="F158" s="1519" t="s">
        <v>3284</v>
      </c>
      <c r="G158" s="953" t="s">
        <v>3291</v>
      </c>
      <c r="H158" s="953" t="s">
        <v>3292</v>
      </c>
      <c r="I158" s="953" t="s">
        <v>3293</v>
      </c>
      <c r="J158" s="1054"/>
      <c r="K158" s="1244">
        <v>18181818.18</v>
      </c>
      <c r="L158" s="762">
        <f t="shared" ref="L158" si="55">K158*10%</f>
        <v>1818181.818</v>
      </c>
      <c r="M158" s="1054"/>
      <c r="N158" s="763">
        <f t="shared" ref="N158" si="56">K158+L158</f>
        <v>19999999.998</v>
      </c>
      <c r="O158" s="1245"/>
      <c r="P158" s="1245"/>
      <c r="Q158" s="677"/>
      <c r="R158" s="677"/>
      <c r="S158" s="116"/>
      <c r="T158" s="116"/>
      <c r="U158" s="194"/>
      <c r="V158" s="210"/>
      <c r="W158" s="115"/>
      <c r="X158" s="679"/>
      <c r="Y158" s="116"/>
      <c r="Z158" s="185"/>
      <c r="AA158" s="592"/>
      <c r="AB158" s="186"/>
      <c r="AC158" s="9"/>
      <c r="AD158" s="297"/>
      <c r="AE158" s="1065"/>
      <c r="AF158" s="9"/>
      <c r="AG158" s="9"/>
      <c r="AH158" s="300"/>
      <c r="AI158" s="9"/>
      <c r="AJ158" s="300"/>
      <c r="AK158" s="73"/>
    </row>
    <row r="159" spans="1:37" s="114" customFormat="1" ht="12" hidden="1" customHeight="1">
      <c r="A159" s="53"/>
      <c r="B159" s="758" t="s">
        <v>59</v>
      </c>
      <c r="C159" s="758">
        <v>18</v>
      </c>
      <c r="D159" s="1243" t="s">
        <v>3283</v>
      </c>
      <c r="E159" s="953" t="s">
        <v>364</v>
      </c>
      <c r="F159" s="1519" t="s">
        <v>3284</v>
      </c>
      <c r="G159" s="953" t="s">
        <v>3294</v>
      </c>
      <c r="H159" s="953" t="s">
        <v>3295</v>
      </c>
      <c r="I159" s="953" t="s">
        <v>3296</v>
      </c>
      <c r="J159" s="1054"/>
      <c r="K159" s="1244">
        <v>18181818.18</v>
      </c>
      <c r="L159" s="762">
        <f t="shared" ref="L159" si="57">K159*10%</f>
        <v>1818181.818</v>
      </c>
      <c r="M159" s="1054"/>
      <c r="N159" s="763">
        <f t="shared" ref="N159" si="58">K159+L159</f>
        <v>19999999.998</v>
      </c>
      <c r="O159" s="1245"/>
      <c r="P159" s="1245"/>
      <c r="Q159" s="677"/>
      <c r="R159" s="677"/>
      <c r="S159" s="116"/>
      <c r="T159" s="116"/>
      <c r="U159" s="194"/>
      <c r="V159" s="210"/>
      <c r="W159" s="115"/>
      <c r="X159" s="679"/>
      <c r="Y159" s="116"/>
      <c r="Z159" s="185"/>
      <c r="AA159" s="592"/>
      <c r="AB159" s="186"/>
      <c r="AC159" s="9"/>
      <c r="AD159" s="297"/>
      <c r="AE159" s="1065"/>
      <c r="AF159" s="9"/>
      <c r="AG159" s="9"/>
      <c r="AH159" s="300"/>
      <c r="AI159" s="9"/>
      <c r="AJ159" s="300"/>
      <c r="AK159" s="73"/>
    </row>
    <row r="160" spans="1:37" s="114" customFormat="1" ht="12" hidden="1" customHeight="1">
      <c r="A160" s="53"/>
      <c r="B160" s="758" t="s">
        <v>60</v>
      </c>
      <c r="C160" s="758">
        <v>18</v>
      </c>
      <c r="D160" s="1243" t="s">
        <v>3283</v>
      </c>
      <c r="E160" s="953" t="s">
        <v>364</v>
      </c>
      <c r="F160" s="1519" t="s">
        <v>3284</v>
      </c>
      <c r="G160" s="953" t="s">
        <v>3297</v>
      </c>
      <c r="H160" s="953" t="s">
        <v>3298</v>
      </c>
      <c r="I160" s="953" t="s">
        <v>3299</v>
      </c>
      <c r="J160" s="1054"/>
      <c r="K160" s="1244">
        <v>18181818.18</v>
      </c>
      <c r="L160" s="762">
        <f t="shared" ref="L160" si="59">K160*10%</f>
        <v>1818181.818</v>
      </c>
      <c r="M160" s="1054"/>
      <c r="N160" s="763">
        <f t="shared" ref="N160" si="60">K160+L160</f>
        <v>19999999.998</v>
      </c>
      <c r="O160" s="1245"/>
      <c r="P160" s="1245"/>
      <c r="Q160" s="677"/>
      <c r="R160" s="677"/>
      <c r="S160" s="116"/>
      <c r="T160" s="116"/>
      <c r="U160" s="194"/>
      <c r="V160" s="210"/>
      <c r="W160" s="115"/>
      <c r="X160" s="679"/>
      <c r="Y160" s="116"/>
      <c r="Z160" s="185"/>
      <c r="AA160" s="592"/>
      <c r="AB160" s="186"/>
      <c r="AC160" s="9"/>
      <c r="AD160" s="297"/>
      <c r="AE160" s="1065"/>
      <c r="AF160" s="9"/>
      <c r="AG160" s="9"/>
      <c r="AH160" s="300"/>
      <c r="AI160" s="9"/>
      <c r="AJ160" s="300"/>
      <c r="AK160" s="73"/>
    </row>
    <row r="161" spans="1:37" s="114" customFormat="1" ht="12" hidden="1" customHeight="1">
      <c r="A161" s="53"/>
      <c r="B161" s="758" t="s">
        <v>3300</v>
      </c>
      <c r="C161" s="758">
        <v>9</v>
      </c>
      <c r="D161" s="1243" t="s">
        <v>3283</v>
      </c>
      <c r="E161" s="953" t="s">
        <v>364</v>
      </c>
      <c r="F161" s="1519" t="s">
        <v>3284</v>
      </c>
      <c r="G161" s="953" t="s">
        <v>3301</v>
      </c>
      <c r="H161" s="953" t="s">
        <v>3302</v>
      </c>
      <c r="I161" s="953" t="s">
        <v>3303</v>
      </c>
      <c r="J161" s="1054"/>
      <c r="K161" s="1244">
        <v>18181818.18</v>
      </c>
      <c r="L161" s="762">
        <f t="shared" ref="L161" si="61">K161*10%</f>
        <v>1818181.818</v>
      </c>
      <c r="M161" s="1054"/>
      <c r="N161" s="763">
        <f t="shared" ref="N161" si="62">K161+L161</f>
        <v>19999999.998</v>
      </c>
      <c r="O161" s="1245"/>
      <c r="P161" s="1245"/>
      <c r="Q161" s="677"/>
      <c r="R161" s="677"/>
      <c r="S161" s="116"/>
      <c r="T161" s="116"/>
      <c r="U161" s="194"/>
      <c r="V161" s="210"/>
      <c r="W161" s="115"/>
      <c r="X161" s="679"/>
      <c r="Y161" s="116"/>
      <c r="Z161" s="185"/>
      <c r="AA161" s="592"/>
      <c r="AB161" s="186"/>
      <c r="AC161" s="9"/>
      <c r="AD161" s="297"/>
      <c r="AE161" s="1065"/>
      <c r="AF161" s="9"/>
      <c r="AG161" s="9"/>
      <c r="AH161" s="300"/>
      <c r="AI161" s="9"/>
      <c r="AJ161" s="300"/>
      <c r="AK161" s="73"/>
    </row>
    <row r="162" spans="1:37" s="114" customFormat="1" ht="12" hidden="1" customHeight="1">
      <c r="A162" s="53"/>
      <c r="B162" s="758" t="s">
        <v>244</v>
      </c>
      <c r="C162" s="758">
        <v>8</v>
      </c>
      <c r="D162" s="1243" t="s">
        <v>3283</v>
      </c>
      <c r="E162" s="953" t="s">
        <v>364</v>
      </c>
      <c r="F162" s="1519" t="s">
        <v>3284</v>
      </c>
      <c r="G162" s="953" t="s">
        <v>3304</v>
      </c>
      <c r="H162" s="953" t="s">
        <v>3305</v>
      </c>
      <c r="I162" s="953" t="s">
        <v>3306</v>
      </c>
      <c r="J162" s="1054"/>
      <c r="K162" s="1244">
        <v>18181818.18</v>
      </c>
      <c r="L162" s="762">
        <f t="shared" ref="L162" si="63">K162*10%</f>
        <v>1818181.818</v>
      </c>
      <c r="M162" s="1054"/>
      <c r="N162" s="763">
        <f t="shared" ref="N162" si="64">K162+L162</f>
        <v>19999999.998</v>
      </c>
      <c r="O162" s="1245"/>
      <c r="P162" s="1245"/>
      <c r="Q162" s="677"/>
      <c r="R162" s="677"/>
      <c r="S162" s="116"/>
      <c r="T162" s="116"/>
      <c r="U162" s="194"/>
      <c r="V162" s="210"/>
      <c r="W162" s="115"/>
      <c r="X162" s="679"/>
      <c r="Y162" s="116"/>
      <c r="Z162" s="185"/>
      <c r="AA162" s="592"/>
      <c r="AB162" s="186"/>
      <c r="AC162" s="9"/>
      <c r="AD162" s="297"/>
      <c r="AE162" s="1065"/>
      <c r="AF162" s="9"/>
      <c r="AG162" s="9"/>
      <c r="AH162" s="300"/>
      <c r="AI162" s="9"/>
      <c r="AJ162" s="300"/>
      <c r="AK162" s="73"/>
    </row>
    <row r="163" spans="1:37" s="114" customFormat="1" ht="12" hidden="1" customHeight="1">
      <c r="A163" s="53"/>
      <c r="B163" s="758" t="s">
        <v>244</v>
      </c>
      <c r="C163" s="758">
        <v>9</v>
      </c>
      <c r="D163" s="1243" t="s">
        <v>3283</v>
      </c>
      <c r="E163" s="953" t="s">
        <v>364</v>
      </c>
      <c r="F163" s="1519" t="s">
        <v>3284</v>
      </c>
      <c r="G163" s="953" t="s">
        <v>3307</v>
      </c>
      <c r="H163" s="953" t="s">
        <v>3308</v>
      </c>
      <c r="I163" s="953"/>
      <c r="J163" s="1054"/>
      <c r="K163" s="1244">
        <v>18181818.18</v>
      </c>
      <c r="L163" s="762">
        <f t="shared" ref="L163" si="65">K163*10%</f>
        <v>1818181.818</v>
      </c>
      <c r="M163" s="1054"/>
      <c r="N163" s="763">
        <f t="shared" ref="N163" si="66">K163+L163</f>
        <v>19999999.998</v>
      </c>
      <c r="O163" s="1245"/>
      <c r="P163" s="1245"/>
      <c r="Q163" s="677"/>
      <c r="R163" s="677"/>
      <c r="S163" s="116"/>
      <c r="T163" s="116"/>
      <c r="U163" s="194"/>
      <c r="V163" s="210"/>
      <c r="W163" s="115"/>
      <c r="X163" s="679"/>
      <c r="Y163" s="116"/>
      <c r="Z163" s="185"/>
      <c r="AA163" s="592"/>
      <c r="AB163" s="186"/>
      <c r="AC163" s="9"/>
      <c r="AD163" s="297"/>
      <c r="AE163" s="1065"/>
      <c r="AF163" s="9"/>
      <c r="AG163" s="9"/>
      <c r="AH163" s="300"/>
      <c r="AI163" s="9"/>
      <c r="AJ163" s="300"/>
      <c r="AK163" s="73"/>
    </row>
    <row r="164" spans="1:37" s="114" customFormat="1" ht="12" hidden="1" customHeight="1">
      <c r="A164" s="53"/>
      <c r="B164" s="758" t="s">
        <v>238</v>
      </c>
      <c r="C164" s="758">
        <v>9</v>
      </c>
      <c r="D164" s="1243" t="s">
        <v>3283</v>
      </c>
      <c r="E164" s="953" t="s">
        <v>364</v>
      </c>
      <c r="F164" s="1519" t="s">
        <v>3284</v>
      </c>
      <c r="G164" s="953" t="s">
        <v>3309</v>
      </c>
      <c r="H164" s="953" t="s">
        <v>3310</v>
      </c>
      <c r="I164" s="953"/>
      <c r="J164" s="1054"/>
      <c r="K164" s="1244">
        <v>18181818.18</v>
      </c>
      <c r="L164" s="762">
        <f t="shared" ref="L164" si="67">K164*10%</f>
        <v>1818181.818</v>
      </c>
      <c r="M164" s="1054"/>
      <c r="N164" s="763">
        <f t="shared" ref="N164" si="68">K164+L164</f>
        <v>19999999.998</v>
      </c>
      <c r="O164" s="1245"/>
      <c r="P164" s="1245"/>
      <c r="Q164" s="677"/>
      <c r="R164" s="677"/>
      <c r="S164" s="116"/>
      <c r="T164" s="116"/>
      <c r="U164" s="194"/>
      <c r="V164" s="210"/>
      <c r="W164" s="115"/>
      <c r="X164" s="679"/>
      <c r="Y164" s="116"/>
      <c r="Z164" s="185"/>
      <c r="AA164" s="592"/>
      <c r="AB164" s="186"/>
      <c r="AC164" s="9"/>
      <c r="AD164" s="297"/>
      <c r="AE164" s="1065"/>
      <c r="AF164" s="9"/>
      <c r="AG164" s="9"/>
      <c r="AH164" s="300"/>
      <c r="AI164" s="9"/>
      <c r="AJ164" s="300"/>
      <c r="AK164" s="73"/>
    </row>
    <row r="165" spans="1:37" s="114" customFormat="1" ht="12" hidden="1" customHeight="1">
      <c r="A165" s="53"/>
      <c r="B165" s="758" t="s">
        <v>140</v>
      </c>
      <c r="C165" s="758">
        <v>8</v>
      </c>
      <c r="D165" s="1243" t="s">
        <v>3283</v>
      </c>
      <c r="E165" s="953" t="s">
        <v>364</v>
      </c>
      <c r="F165" s="1519" t="s">
        <v>3284</v>
      </c>
      <c r="G165" s="953" t="s">
        <v>3311</v>
      </c>
      <c r="H165" s="953" t="s">
        <v>3567</v>
      </c>
      <c r="I165" s="953"/>
      <c r="J165" s="1054"/>
      <c r="K165" s="1244">
        <v>18181818.18</v>
      </c>
      <c r="L165" s="762">
        <f t="shared" ref="L165" si="69">K165*10%</f>
        <v>1818181.818</v>
      </c>
      <c r="M165" s="1054"/>
      <c r="N165" s="763">
        <f t="shared" ref="N165" si="70">K165+L165</f>
        <v>19999999.998</v>
      </c>
      <c r="O165" s="1245"/>
      <c r="P165" s="1245"/>
      <c r="Q165" s="677"/>
      <c r="R165" s="677"/>
      <c r="S165" s="116"/>
      <c r="T165" s="116"/>
      <c r="U165" s="194"/>
      <c r="V165" s="210"/>
      <c r="W165" s="115"/>
      <c r="X165" s="679"/>
      <c r="Y165" s="116"/>
      <c r="Z165" s="185"/>
      <c r="AA165" s="592"/>
      <c r="AB165" s="186"/>
      <c r="AC165" s="9"/>
      <c r="AD165" s="297"/>
      <c r="AE165" s="1065"/>
      <c r="AF165" s="9"/>
      <c r="AG165" s="9"/>
      <c r="AH165" s="300"/>
      <c r="AI165" s="9"/>
      <c r="AJ165" s="300"/>
      <c r="AK165" s="73"/>
    </row>
    <row r="166" spans="1:37" s="114" customFormat="1" ht="12" hidden="1" customHeight="1">
      <c r="A166" s="53"/>
      <c r="B166" s="53" t="s">
        <v>194</v>
      </c>
      <c r="C166" s="53">
        <v>30</v>
      </c>
      <c r="D166" s="193" t="s">
        <v>20</v>
      </c>
      <c r="E166" s="672" t="s">
        <v>354</v>
      </c>
      <c r="F166" s="1518"/>
      <c r="G166" s="672"/>
      <c r="H166" s="672" t="s">
        <v>2023</v>
      </c>
      <c r="I166" s="672" t="s">
        <v>2025</v>
      </c>
      <c r="J166" s="658">
        <v>0</v>
      </c>
      <c r="K166" s="674">
        <f>(2900+28160+26410)*13345.2</f>
        <v>766948644</v>
      </c>
      <c r="L166" s="675">
        <f t="shared" si="47"/>
        <v>76694864.400000006</v>
      </c>
      <c r="M166" s="658">
        <v>0</v>
      </c>
      <c r="N166" s="676">
        <f t="shared" si="48"/>
        <v>843643508.39999998</v>
      </c>
      <c r="O166" s="678" t="s">
        <v>195</v>
      </c>
      <c r="P166" s="678" t="s">
        <v>34</v>
      </c>
      <c r="Q166" s="677"/>
      <c r="R166" s="677"/>
      <c r="S166" s="116">
        <v>0</v>
      </c>
      <c r="T166" s="116">
        <f t="shared" ref="T166:T190" si="71">-K166*2%</f>
        <v>-15338972.880000001</v>
      </c>
      <c r="U166" s="194">
        <v>828304535.51999998</v>
      </c>
      <c r="V166" s="210">
        <f t="shared" si="49"/>
        <v>0</v>
      </c>
      <c r="W166" s="115">
        <f t="shared" si="50"/>
        <v>0</v>
      </c>
      <c r="X166" s="679" t="s">
        <v>237</v>
      </c>
      <c r="Y166" s="116"/>
      <c r="Z166" s="185"/>
      <c r="AA166" s="592">
        <f>-S166-Z166</f>
        <v>0</v>
      </c>
      <c r="AB166" s="186"/>
      <c r="AC166" s="300">
        <v>42794</v>
      </c>
      <c r="AD166" s="297">
        <f>15338973</f>
        <v>15338973</v>
      </c>
      <c r="AE166" s="297">
        <f t="shared" si="51"/>
        <v>-0.11999999918043613</v>
      </c>
      <c r="AF166" s="9" t="s">
        <v>2223</v>
      </c>
      <c r="AG166" s="9" t="s">
        <v>1395</v>
      </c>
      <c r="AH166" s="300">
        <v>42769</v>
      </c>
      <c r="AI166" s="9" t="s">
        <v>2034</v>
      </c>
      <c r="AJ166" s="300">
        <v>42769</v>
      </c>
      <c r="AK166" s="73" t="str">
        <f t="shared" si="52"/>
        <v>BUKIT MAKMUR MANDIRI UTAMA, PTFEB</v>
      </c>
    </row>
    <row r="167" spans="1:37" s="114" customFormat="1" ht="12" hidden="1" customHeight="1">
      <c r="A167" s="53"/>
      <c r="B167" s="53" t="s">
        <v>194</v>
      </c>
      <c r="C167" s="9">
        <v>30</v>
      </c>
      <c r="D167" s="8" t="s">
        <v>20</v>
      </c>
      <c r="E167" s="10" t="s">
        <v>346</v>
      </c>
      <c r="F167" s="356"/>
      <c r="G167" s="10"/>
      <c r="H167" s="10" t="s">
        <v>2024</v>
      </c>
      <c r="I167" s="10" t="s">
        <v>2026</v>
      </c>
      <c r="J167" s="658">
        <v>0</v>
      </c>
      <c r="K167" s="118">
        <f>4314.46*13345.2</f>
        <v>57577331.592</v>
      </c>
      <c r="L167" s="116">
        <f t="shared" si="47"/>
        <v>5757733.1592000006</v>
      </c>
      <c r="M167" s="658">
        <v>0</v>
      </c>
      <c r="N167" s="189">
        <f t="shared" si="48"/>
        <v>63335064.751199998</v>
      </c>
      <c r="O167" s="197" t="s">
        <v>195</v>
      </c>
      <c r="P167" s="197" t="s">
        <v>34</v>
      </c>
      <c r="Q167" s="175"/>
      <c r="R167" s="175"/>
      <c r="S167" s="116">
        <v>0</v>
      </c>
      <c r="T167" s="116">
        <f t="shared" si="71"/>
        <v>-1151546.6318399999</v>
      </c>
      <c r="U167" s="115">
        <f>62183518.12-1.64</f>
        <v>62183516.479999997</v>
      </c>
      <c r="V167" s="210">
        <f t="shared" si="49"/>
        <v>0</v>
      </c>
      <c r="W167" s="115">
        <f t="shared" si="50"/>
        <v>1.6393600031733513</v>
      </c>
      <c r="X167" s="181" t="s">
        <v>237</v>
      </c>
      <c r="Y167" s="116"/>
      <c r="Z167" s="185"/>
      <c r="AA167" s="592">
        <f>-S167-Z167</f>
        <v>0</v>
      </c>
      <c r="AB167" s="186"/>
      <c r="AC167" s="300">
        <v>42794</v>
      </c>
      <c r="AD167" s="297">
        <v>1151546</v>
      </c>
      <c r="AE167" s="297">
        <f t="shared" si="51"/>
        <v>0.63183999992907047</v>
      </c>
      <c r="AF167" s="9" t="s">
        <v>2223</v>
      </c>
      <c r="AG167" s="9" t="s">
        <v>1395</v>
      </c>
      <c r="AH167" s="300">
        <v>42769</v>
      </c>
      <c r="AI167" s="9" t="s">
        <v>2034</v>
      </c>
      <c r="AJ167" s="300">
        <v>42769</v>
      </c>
      <c r="AK167" s="73" t="str">
        <f t="shared" si="52"/>
        <v>BUKIT MAKMUR MANDIRI UTAMA, PTFEB</v>
      </c>
    </row>
    <row r="168" spans="1:37" s="114" customFormat="1" ht="12" hidden="1" customHeight="1">
      <c r="A168" s="53"/>
      <c r="B168" s="53" t="s">
        <v>195</v>
      </c>
      <c r="C168" s="53">
        <v>28</v>
      </c>
      <c r="D168" s="8" t="s">
        <v>20</v>
      </c>
      <c r="E168" s="10" t="s">
        <v>346</v>
      </c>
      <c r="F168" s="356"/>
      <c r="G168" s="10"/>
      <c r="H168" s="10" t="s">
        <v>2175</v>
      </c>
      <c r="I168" s="672" t="s">
        <v>2177</v>
      </c>
      <c r="J168" s="658">
        <v>0</v>
      </c>
      <c r="K168" s="674">
        <f>4314.46*13354.8</f>
        <v>57618750.408</v>
      </c>
      <c r="L168" s="116">
        <f t="shared" si="47"/>
        <v>5761875.0408000005</v>
      </c>
      <c r="M168" s="658">
        <v>0</v>
      </c>
      <c r="N168" s="189">
        <f t="shared" si="48"/>
        <v>63380625.448799998</v>
      </c>
      <c r="O168" s="678" t="s">
        <v>239</v>
      </c>
      <c r="P168" s="678" t="s">
        <v>103</v>
      </c>
      <c r="Q168" s="677"/>
      <c r="R168" s="677"/>
      <c r="S168" s="116">
        <v>0</v>
      </c>
      <c r="T168" s="116">
        <f t="shared" si="71"/>
        <v>-1152375.00816</v>
      </c>
      <c r="U168" s="194">
        <f>62228250.44-1.12</f>
        <v>62228249.32</v>
      </c>
      <c r="V168" s="210">
        <f t="shared" si="49"/>
        <v>0</v>
      </c>
      <c r="W168" s="115">
        <f t="shared" si="50"/>
        <v>1.1206399947404861</v>
      </c>
      <c r="X168" s="181" t="s">
        <v>237</v>
      </c>
      <c r="Y168" s="116"/>
      <c r="Z168" s="185"/>
      <c r="AA168" s="592"/>
      <c r="AB168" s="186"/>
      <c r="AC168" s="300">
        <v>42825</v>
      </c>
      <c r="AD168" s="297">
        <v>1152375</v>
      </c>
      <c r="AE168" s="297">
        <f t="shared" si="51"/>
        <v>8.1599999684840441E-3</v>
      </c>
      <c r="AF168" s="9" t="s">
        <v>2389</v>
      </c>
      <c r="AG168" s="9" t="s">
        <v>1395</v>
      </c>
      <c r="AH168" s="300">
        <v>42801</v>
      </c>
      <c r="AI168" s="9" t="s">
        <v>2034</v>
      </c>
      <c r="AJ168" s="300">
        <v>42802</v>
      </c>
      <c r="AK168" s="73" t="str">
        <f t="shared" si="52"/>
        <v>BUKIT MAKMUR MANDIRI UTAMA, PTMAR</v>
      </c>
    </row>
    <row r="169" spans="1:37" s="114" customFormat="1" ht="12" hidden="1" customHeight="1">
      <c r="A169" s="53"/>
      <c r="B169" s="53" t="s">
        <v>195</v>
      </c>
      <c r="C169" s="53">
        <v>28</v>
      </c>
      <c r="D169" s="8" t="s">
        <v>20</v>
      </c>
      <c r="E169" s="672" t="s">
        <v>354</v>
      </c>
      <c r="F169" s="1518"/>
      <c r="G169" s="672"/>
      <c r="H169" s="10" t="s">
        <v>2176</v>
      </c>
      <c r="I169" s="672" t="s">
        <v>2178</v>
      </c>
      <c r="J169" s="658">
        <v>0</v>
      </c>
      <c r="K169" s="674">
        <f>(2900+28160+25960)*13354.8</f>
        <v>761490696</v>
      </c>
      <c r="L169" s="116">
        <f t="shared" si="47"/>
        <v>76149069.600000009</v>
      </c>
      <c r="M169" s="658">
        <v>0</v>
      </c>
      <c r="N169" s="189">
        <f t="shared" si="48"/>
        <v>837639765.60000002</v>
      </c>
      <c r="O169" s="678" t="s">
        <v>239</v>
      </c>
      <c r="P169" s="678" t="s">
        <v>103</v>
      </c>
      <c r="Q169" s="677"/>
      <c r="R169" s="677"/>
      <c r="S169" s="116">
        <v>0</v>
      </c>
      <c r="T169" s="116">
        <f t="shared" si="71"/>
        <v>-15229813.92</v>
      </c>
      <c r="U169" s="194">
        <v>822409951.67999995</v>
      </c>
      <c r="V169" s="210">
        <f t="shared" si="49"/>
        <v>0</v>
      </c>
      <c r="W169" s="115">
        <f t="shared" si="50"/>
        <v>0</v>
      </c>
      <c r="X169" s="181" t="s">
        <v>237</v>
      </c>
      <c r="Y169" s="116"/>
      <c r="Z169" s="185"/>
      <c r="AA169" s="592"/>
      <c r="AB169" s="186"/>
      <c r="AC169" s="300">
        <v>42825</v>
      </c>
      <c r="AD169" s="297">
        <v>15229813</v>
      </c>
      <c r="AE169" s="297">
        <f t="shared" si="51"/>
        <v>0.91999999992549419</v>
      </c>
      <c r="AF169" s="9" t="s">
        <v>2389</v>
      </c>
      <c r="AG169" s="9" t="s">
        <v>1395</v>
      </c>
      <c r="AH169" s="300">
        <v>42801</v>
      </c>
      <c r="AI169" s="9" t="s">
        <v>2034</v>
      </c>
      <c r="AJ169" s="300">
        <v>42802</v>
      </c>
      <c r="AK169" s="73" t="str">
        <f t="shared" si="52"/>
        <v>BUKIT MAKMUR MANDIRI UTAMA, PTMAR</v>
      </c>
    </row>
    <row r="170" spans="1:37" s="114" customFormat="1" ht="12" hidden="1" customHeight="1">
      <c r="A170" s="53"/>
      <c r="B170" s="53" t="s">
        <v>239</v>
      </c>
      <c r="C170" s="53">
        <v>30</v>
      </c>
      <c r="D170" s="8" t="s">
        <v>20</v>
      </c>
      <c r="E170" s="672" t="s">
        <v>354</v>
      </c>
      <c r="F170" s="1518"/>
      <c r="G170" s="672"/>
      <c r="H170" s="10" t="s">
        <v>2232</v>
      </c>
      <c r="I170" s="672" t="s">
        <v>2230</v>
      </c>
      <c r="J170" s="658">
        <v>0</v>
      </c>
      <c r="K170" s="674">
        <f>4314.46*13326.6</f>
        <v>57497082.636</v>
      </c>
      <c r="L170" s="116">
        <f t="shared" si="47"/>
        <v>5749708.2636000002</v>
      </c>
      <c r="M170" s="658">
        <v>0</v>
      </c>
      <c r="N170" s="189">
        <f t="shared" si="48"/>
        <v>63246790.899599999</v>
      </c>
      <c r="O170" s="678" t="s">
        <v>58</v>
      </c>
      <c r="P170" s="678" t="s">
        <v>92</v>
      </c>
      <c r="Q170" s="677"/>
      <c r="R170" s="677"/>
      <c r="S170" s="116">
        <v>0</v>
      </c>
      <c r="T170" s="116">
        <f t="shared" si="71"/>
        <v>-1149941.6527200001</v>
      </c>
      <c r="U170" s="194">
        <v>62096847.439999998</v>
      </c>
      <c r="V170" s="210">
        <f t="shared" si="49"/>
        <v>0</v>
      </c>
      <c r="W170" s="115">
        <f>N170+S170+T170-U170</f>
        <v>1.8068800047039986</v>
      </c>
      <c r="X170" s="181" t="s">
        <v>237</v>
      </c>
      <c r="Y170" s="116"/>
      <c r="Z170" s="185"/>
      <c r="AA170" s="592"/>
      <c r="AB170" s="186"/>
      <c r="AC170" s="300">
        <v>42855</v>
      </c>
      <c r="AD170" s="297">
        <v>1149941</v>
      </c>
      <c r="AE170" s="297">
        <f t="shared" si="51"/>
        <v>0.65272000012919307</v>
      </c>
      <c r="AF170" s="9" t="s">
        <v>2575</v>
      </c>
      <c r="AG170" s="9" t="s">
        <v>1395</v>
      </c>
      <c r="AH170" s="300">
        <v>42829</v>
      </c>
      <c r="AI170" s="9" t="s">
        <v>2335</v>
      </c>
      <c r="AJ170" s="300">
        <v>42829</v>
      </c>
      <c r="AK170" s="73" t="str">
        <f t="shared" si="52"/>
        <v>BUKIT MAKMUR MANDIRI UTAMA, PTMEI</v>
      </c>
    </row>
    <row r="171" spans="1:37" s="114" customFormat="1" ht="12" hidden="1" customHeight="1">
      <c r="A171" s="53"/>
      <c r="B171" s="53" t="s">
        <v>239</v>
      </c>
      <c r="C171" s="53">
        <v>30</v>
      </c>
      <c r="D171" s="8" t="s">
        <v>20</v>
      </c>
      <c r="E171" s="10" t="s">
        <v>346</v>
      </c>
      <c r="F171" s="356"/>
      <c r="G171" s="10"/>
      <c r="H171" s="10" t="s">
        <v>2233</v>
      </c>
      <c r="I171" s="672" t="s">
        <v>2231</v>
      </c>
      <c r="J171" s="658">
        <v>0</v>
      </c>
      <c r="K171" s="674">
        <f>(2900+28160+25960)*13326.6</f>
        <v>759882732</v>
      </c>
      <c r="L171" s="116">
        <f t="shared" si="47"/>
        <v>75988273.200000003</v>
      </c>
      <c r="M171" s="658">
        <v>0</v>
      </c>
      <c r="N171" s="189">
        <f t="shared" si="48"/>
        <v>835871005.20000005</v>
      </c>
      <c r="O171" s="678" t="s">
        <v>58</v>
      </c>
      <c r="P171" s="678" t="s">
        <v>92</v>
      </c>
      <c r="Q171" s="677"/>
      <c r="R171" s="677"/>
      <c r="S171" s="116">
        <v>0</v>
      </c>
      <c r="T171" s="116">
        <f t="shared" si="71"/>
        <v>-15197654.640000001</v>
      </c>
      <c r="U171" s="194">
        <v>820673350.55999994</v>
      </c>
      <c r="V171" s="210">
        <f t="shared" si="49"/>
        <v>0</v>
      </c>
      <c r="W171" s="115">
        <f>N171+S171+T171-U171</f>
        <v>0</v>
      </c>
      <c r="X171" s="181" t="s">
        <v>237</v>
      </c>
      <c r="Y171" s="116"/>
      <c r="Z171" s="185"/>
      <c r="AA171" s="592"/>
      <c r="AB171" s="186"/>
      <c r="AC171" s="300">
        <v>42855</v>
      </c>
      <c r="AD171" s="297">
        <v>15197655</v>
      </c>
      <c r="AE171" s="297">
        <f t="shared" si="51"/>
        <v>-0.35999999940395355</v>
      </c>
      <c r="AF171" s="9" t="s">
        <v>2575</v>
      </c>
      <c r="AG171" s="9" t="s">
        <v>1395</v>
      </c>
      <c r="AH171" s="300">
        <v>42829</v>
      </c>
      <c r="AI171" s="9" t="s">
        <v>2335</v>
      </c>
      <c r="AJ171" s="300">
        <v>42829</v>
      </c>
      <c r="AK171" s="73" t="str">
        <f t="shared" si="52"/>
        <v>BUKIT MAKMUR MANDIRI UTAMA, PTMEI</v>
      </c>
    </row>
    <row r="172" spans="1:37" s="114" customFormat="1" ht="12" hidden="1" customHeight="1">
      <c r="A172" s="53"/>
      <c r="B172" s="899" t="s">
        <v>240</v>
      </c>
      <c r="C172" s="53">
        <v>28</v>
      </c>
      <c r="D172" s="8" t="s">
        <v>20</v>
      </c>
      <c r="E172" s="10" t="s">
        <v>346</v>
      </c>
      <c r="F172" s="356"/>
      <c r="G172" s="10"/>
      <c r="H172" s="10" t="s">
        <v>2411</v>
      </c>
      <c r="I172" s="672" t="s">
        <v>2412</v>
      </c>
      <c r="J172" s="658">
        <v>0</v>
      </c>
      <c r="K172" s="674">
        <f>4314.46*13300.2</f>
        <v>57383180.892000005</v>
      </c>
      <c r="L172" s="116">
        <f t="shared" si="47"/>
        <v>5738318.0892000012</v>
      </c>
      <c r="M172" s="658">
        <v>0</v>
      </c>
      <c r="N172" s="189">
        <f t="shared" si="48"/>
        <v>63121498.98120001</v>
      </c>
      <c r="O172" s="678" t="s">
        <v>241</v>
      </c>
      <c r="P172" s="678" t="s">
        <v>42</v>
      </c>
      <c r="Q172" s="677"/>
      <c r="R172" s="677"/>
      <c r="S172" s="116">
        <v>0</v>
      </c>
      <c r="T172" s="116">
        <f t="shared" si="71"/>
        <v>-1147663.6178400002</v>
      </c>
      <c r="U172" s="194">
        <v>61973833.68</v>
      </c>
      <c r="V172" s="210">
        <f t="shared" si="49"/>
        <v>0</v>
      </c>
      <c r="W172" s="115">
        <f>N172+S172+T172-U172</f>
        <v>1.6833600103855133</v>
      </c>
      <c r="X172" s="181" t="s">
        <v>237</v>
      </c>
      <c r="Y172" s="116"/>
      <c r="Z172" s="185"/>
      <c r="AA172" s="592"/>
      <c r="AB172" s="186"/>
      <c r="AC172" s="300">
        <v>42886</v>
      </c>
      <c r="AD172" s="297">
        <v>1147663</v>
      </c>
      <c r="AE172" s="297">
        <f t="shared" si="51"/>
        <v>0.61784000019542873</v>
      </c>
      <c r="AF172" s="9" t="s">
        <v>2861</v>
      </c>
      <c r="AG172" s="9" t="s">
        <v>1395</v>
      </c>
      <c r="AH172" s="300">
        <v>42863</v>
      </c>
      <c r="AI172" s="9" t="s">
        <v>2335</v>
      </c>
      <c r="AJ172" s="300">
        <v>42863</v>
      </c>
      <c r="AK172" s="73" t="str">
        <f t="shared" si="52"/>
        <v>BUKIT MAKMUR MANDIRI UTAMA, PTJUN</v>
      </c>
    </row>
    <row r="173" spans="1:37" s="114" customFormat="1" ht="12" hidden="1" customHeight="1">
      <c r="A173" s="53"/>
      <c r="B173" s="53" t="s">
        <v>240</v>
      </c>
      <c r="C173" s="53">
        <v>28</v>
      </c>
      <c r="D173" s="8" t="s">
        <v>20</v>
      </c>
      <c r="E173" s="672" t="s">
        <v>354</v>
      </c>
      <c r="F173" s="1518"/>
      <c r="G173" s="672"/>
      <c r="H173" s="10" t="s">
        <v>2413</v>
      </c>
      <c r="I173" s="672" t="s">
        <v>2414</v>
      </c>
      <c r="J173" s="658">
        <v>0</v>
      </c>
      <c r="K173" s="674">
        <f>(2900+28160+25960)*13300.2</f>
        <v>758377404</v>
      </c>
      <c r="L173" s="116">
        <f t="shared" si="47"/>
        <v>75837740.400000006</v>
      </c>
      <c r="M173" s="658">
        <v>0</v>
      </c>
      <c r="N173" s="189">
        <f t="shared" si="48"/>
        <v>834215144.39999998</v>
      </c>
      <c r="O173" s="678" t="s">
        <v>241</v>
      </c>
      <c r="P173" s="678" t="s">
        <v>42</v>
      </c>
      <c r="Q173" s="677"/>
      <c r="R173" s="677"/>
      <c r="S173" s="116">
        <v>0</v>
      </c>
      <c r="T173" s="116">
        <f t="shared" si="71"/>
        <v>-15167548.08</v>
      </c>
      <c r="U173" s="194">
        <v>819047596.32000005</v>
      </c>
      <c r="V173" s="210">
        <f t="shared" si="49"/>
        <v>0</v>
      </c>
      <c r="W173" s="115">
        <f>N173+S173+T173-U173</f>
        <v>0</v>
      </c>
      <c r="X173" s="181" t="s">
        <v>237</v>
      </c>
      <c r="Y173" s="116"/>
      <c r="Z173" s="185"/>
      <c r="AA173" s="592"/>
      <c r="AB173" s="186"/>
      <c r="AC173" s="300">
        <v>42886</v>
      </c>
      <c r="AD173" s="297">
        <v>15167548</v>
      </c>
      <c r="AE173" s="297">
        <f t="shared" si="51"/>
        <v>8.0000000074505806E-2</v>
      </c>
      <c r="AF173" s="9" t="s">
        <v>2861</v>
      </c>
      <c r="AG173" s="9" t="s">
        <v>1395</v>
      </c>
      <c r="AH173" s="300">
        <v>42863</v>
      </c>
      <c r="AI173" s="9" t="s">
        <v>2335</v>
      </c>
      <c r="AJ173" s="300">
        <v>42863</v>
      </c>
      <c r="AK173" s="73" t="str">
        <f t="shared" si="52"/>
        <v>BUKIT MAKMUR MANDIRI UTAMA, PTJUN</v>
      </c>
    </row>
    <row r="174" spans="1:37" s="114" customFormat="1" ht="12" hidden="1" customHeight="1">
      <c r="A174" s="53"/>
      <c r="B174" s="53" t="s">
        <v>58</v>
      </c>
      <c r="C174" s="53">
        <v>31</v>
      </c>
      <c r="D174" s="8" t="s">
        <v>20</v>
      </c>
      <c r="E174" s="672" t="s">
        <v>346</v>
      </c>
      <c r="F174" s="1518"/>
      <c r="G174" s="672"/>
      <c r="H174" s="10" t="s">
        <v>2679</v>
      </c>
      <c r="I174" s="672" t="s">
        <v>2680</v>
      </c>
      <c r="J174" s="658">
        <v>0</v>
      </c>
      <c r="K174" s="674">
        <v>40920000</v>
      </c>
      <c r="L174" s="116">
        <f t="shared" ref="L174:L185" si="72">K174*10%</f>
        <v>4092000</v>
      </c>
      <c r="M174" s="658">
        <v>0</v>
      </c>
      <c r="N174" s="189">
        <f t="shared" ref="N174:N185" si="73">K174+L174</f>
        <v>45012000</v>
      </c>
      <c r="O174" s="678" t="s">
        <v>241</v>
      </c>
      <c r="P174" s="678" t="s">
        <v>116</v>
      </c>
      <c r="Q174" s="677"/>
      <c r="R174" s="677"/>
      <c r="S174" s="116">
        <v>0</v>
      </c>
      <c r="T174" s="116">
        <f t="shared" si="71"/>
        <v>-818400</v>
      </c>
      <c r="U174" s="194">
        <v>44193600</v>
      </c>
      <c r="V174" s="210">
        <f t="shared" si="49"/>
        <v>0</v>
      </c>
      <c r="W174" s="115">
        <f t="shared" ref="W174:W253" si="74">N174+S174+T174-U174</f>
        <v>0</v>
      </c>
      <c r="X174" s="181" t="s">
        <v>237</v>
      </c>
      <c r="Y174" s="116"/>
      <c r="Z174" s="185"/>
      <c r="AA174" s="592"/>
      <c r="AB174" s="186"/>
      <c r="AC174" s="9"/>
      <c r="AD174" s="297"/>
      <c r="AE174" s="297">
        <f t="shared" si="51"/>
        <v>818400</v>
      </c>
      <c r="AF174" s="9"/>
      <c r="AG174" s="9" t="s">
        <v>1395</v>
      </c>
      <c r="AH174" s="300">
        <v>42892</v>
      </c>
      <c r="AI174" s="9" t="s">
        <v>2335</v>
      </c>
      <c r="AJ174" s="300">
        <v>42892</v>
      </c>
      <c r="AK174" s="73" t="str">
        <f t="shared" si="52"/>
        <v>BUKIT MAKMUR MANDIRI UTAMA, PTJUN</v>
      </c>
    </row>
    <row r="175" spans="1:37" s="114" customFormat="1" ht="12" hidden="1" customHeight="1">
      <c r="A175" s="53"/>
      <c r="B175" s="53" t="s">
        <v>241</v>
      </c>
      <c r="C175" s="53">
        <v>14</v>
      </c>
      <c r="D175" s="8" t="s">
        <v>20</v>
      </c>
      <c r="E175" s="672" t="s">
        <v>354</v>
      </c>
      <c r="F175" s="1518"/>
      <c r="G175" s="672"/>
      <c r="H175" s="10" t="s">
        <v>2681</v>
      </c>
      <c r="I175" s="672" t="s">
        <v>2752</v>
      </c>
      <c r="J175" s="658">
        <v>0</v>
      </c>
      <c r="K175" s="674">
        <v>758423020</v>
      </c>
      <c r="L175" s="116">
        <f t="shared" si="72"/>
        <v>75842302</v>
      </c>
      <c r="M175" s="658">
        <v>0</v>
      </c>
      <c r="N175" s="189">
        <f t="shared" si="73"/>
        <v>834265322</v>
      </c>
      <c r="O175" s="678" t="s">
        <v>242</v>
      </c>
      <c r="P175" s="678" t="s">
        <v>48</v>
      </c>
      <c r="Q175" s="677"/>
      <c r="R175" s="677"/>
      <c r="S175" s="116">
        <v>0</v>
      </c>
      <c r="T175" s="116">
        <f t="shared" si="71"/>
        <v>-15168460.4</v>
      </c>
      <c r="U175" s="194">
        <v>819096862</v>
      </c>
      <c r="V175" s="210">
        <f t="shared" si="49"/>
        <v>0</v>
      </c>
      <c r="W175" s="115">
        <f t="shared" si="74"/>
        <v>-0.39999997615814209</v>
      </c>
      <c r="X175" s="679" t="s">
        <v>237</v>
      </c>
      <c r="Y175" s="116"/>
      <c r="Z175" s="185"/>
      <c r="AA175" s="592"/>
      <c r="AB175" s="186"/>
      <c r="AC175" s="9"/>
      <c r="AD175" s="297"/>
      <c r="AE175" s="297">
        <f t="shared" si="51"/>
        <v>15168460.4</v>
      </c>
      <c r="AF175" s="9"/>
      <c r="AG175" s="9" t="s">
        <v>1395</v>
      </c>
      <c r="AH175" s="300">
        <v>42892</v>
      </c>
      <c r="AI175" s="9" t="s">
        <v>2335</v>
      </c>
      <c r="AJ175" s="300">
        <v>42892</v>
      </c>
      <c r="AK175" s="73" t="str">
        <f t="shared" si="52"/>
        <v>BUKIT MAKMUR MANDIRI UTAMA, PTJUL</v>
      </c>
    </row>
    <row r="176" spans="1:37" s="114" customFormat="1" ht="12" hidden="1" customHeight="1">
      <c r="A176" s="53"/>
      <c r="B176" s="53" t="s">
        <v>242</v>
      </c>
      <c r="C176" s="53">
        <v>11</v>
      </c>
      <c r="D176" s="193" t="s">
        <v>20</v>
      </c>
      <c r="E176" s="672" t="s">
        <v>354</v>
      </c>
      <c r="F176" s="1518" t="s">
        <v>3082</v>
      </c>
      <c r="G176" s="672" t="s">
        <v>59</v>
      </c>
      <c r="H176" s="672" t="s">
        <v>2845</v>
      </c>
      <c r="I176" s="672" t="s">
        <v>2846</v>
      </c>
      <c r="J176" s="658">
        <v>0</v>
      </c>
      <c r="K176" s="674">
        <f>(2900+19580+28160+5550)*13304.4</f>
        <v>747574236</v>
      </c>
      <c r="L176" s="116">
        <f t="shared" si="72"/>
        <v>74757423.600000009</v>
      </c>
      <c r="M176" s="658">
        <v>0</v>
      </c>
      <c r="N176" s="189">
        <f t="shared" si="73"/>
        <v>822331659.60000002</v>
      </c>
      <c r="O176" s="678" t="s">
        <v>243</v>
      </c>
      <c r="P176" s="678" t="s">
        <v>31</v>
      </c>
      <c r="Q176" s="677"/>
      <c r="R176" s="677"/>
      <c r="S176" s="116">
        <v>0</v>
      </c>
      <c r="T176" s="116">
        <f t="shared" si="71"/>
        <v>-14951484.720000001</v>
      </c>
      <c r="U176" s="194">
        <v>807380174</v>
      </c>
      <c r="V176" s="210">
        <f t="shared" si="49"/>
        <v>0</v>
      </c>
      <c r="W176" s="115">
        <f t="shared" si="74"/>
        <v>0.87999999523162842</v>
      </c>
      <c r="X176" s="679" t="s">
        <v>237</v>
      </c>
      <c r="Y176" s="116"/>
      <c r="Z176" s="185"/>
      <c r="AA176" s="592"/>
      <c r="AB176" s="186"/>
      <c r="AC176" s="9"/>
      <c r="AD176" s="297"/>
      <c r="AE176" s="297">
        <f t="shared" si="51"/>
        <v>14951484.720000001</v>
      </c>
      <c r="AF176" s="9"/>
      <c r="AG176" s="9" t="s">
        <v>1395</v>
      </c>
      <c r="AH176" s="300">
        <v>42929</v>
      </c>
      <c r="AI176" s="9" t="s">
        <v>2335</v>
      </c>
      <c r="AJ176" s="300">
        <v>42929</v>
      </c>
      <c r="AK176" s="73" t="str">
        <f t="shared" si="52"/>
        <v>BUKIT MAKMUR MANDIRI UTAMA, PTAGS</v>
      </c>
    </row>
    <row r="177" spans="1:37" s="114" customFormat="1" ht="12" hidden="1" customHeight="1">
      <c r="A177" s="53"/>
      <c r="B177" s="53" t="s">
        <v>242</v>
      </c>
      <c r="C177" s="53">
        <v>3</v>
      </c>
      <c r="D177" s="193" t="s">
        <v>20</v>
      </c>
      <c r="E177" s="672" t="s">
        <v>346</v>
      </c>
      <c r="F177" s="1518" t="s">
        <v>3083</v>
      </c>
      <c r="G177" s="672" t="s">
        <v>59</v>
      </c>
      <c r="H177" s="672" t="s">
        <v>2847</v>
      </c>
      <c r="I177" s="672" t="s">
        <v>2848</v>
      </c>
      <c r="J177" s="658">
        <v>0</v>
      </c>
      <c r="K177" s="674">
        <v>40920000</v>
      </c>
      <c r="L177" s="116">
        <f t="shared" si="72"/>
        <v>4092000</v>
      </c>
      <c r="M177" s="658">
        <v>0</v>
      </c>
      <c r="N177" s="189">
        <f t="shared" si="73"/>
        <v>45012000</v>
      </c>
      <c r="O177" s="678" t="s">
        <v>243</v>
      </c>
      <c r="P177" s="678" t="s">
        <v>31</v>
      </c>
      <c r="Q177" s="677"/>
      <c r="R177" s="677"/>
      <c r="S177" s="116">
        <v>0</v>
      </c>
      <c r="T177" s="116">
        <f t="shared" si="71"/>
        <v>-818400</v>
      </c>
      <c r="U177" s="194">
        <v>44193600</v>
      </c>
      <c r="V177" s="210">
        <f t="shared" si="49"/>
        <v>0</v>
      </c>
      <c r="W177" s="115">
        <f t="shared" si="74"/>
        <v>0</v>
      </c>
      <c r="X177" s="679" t="s">
        <v>237</v>
      </c>
      <c r="Y177" s="116"/>
      <c r="Z177" s="185"/>
      <c r="AA177" s="592"/>
      <c r="AB177" s="186"/>
      <c r="AC177" s="9"/>
      <c r="AD177" s="297"/>
      <c r="AE177" s="297">
        <f t="shared" si="51"/>
        <v>818400</v>
      </c>
      <c r="AF177" s="9"/>
      <c r="AG177" s="9" t="s">
        <v>1395</v>
      </c>
      <c r="AH177" s="300">
        <v>42929</v>
      </c>
      <c r="AI177" s="9" t="s">
        <v>2335</v>
      </c>
      <c r="AJ177" s="300">
        <v>42929</v>
      </c>
      <c r="AK177" s="73" t="str">
        <f t="shared" si="52"/>
        <v>BUKIT MAKMUR MANDIRI UTAMA, PTAGS</v>
      </c>
    </row>
    <row r="178" spans="1:37" s="114" customFormat="1" ht="12" hidden="1" customHeight="1">
      <c r="A178" s="53"/>
      <c r="B178" s="1220" t="s">
        <v>243</v>
      </c>
      <c r="C178" s="1220">
        <v>31</v>
      </c>
      <c r="D178" s="1238" t="s">
        <v>20</v>
      </c>
      <c r="E178" s="1239" t="s">
        <v>354</v>
      </c>
      <c r="F178" s="1520" t="s">
        <v>3263</v>
      </c>
      <c r="G178" s="1239" t="s">
        <v>60</v>
      </c>
      <c r="H178" s="1239" t="s">
        <v>2932</v>
      </c>
      <c r="I178" s="1239" t="s">
        <v>3264</v>
      </c>
      <c r="J178" s="1237"/>
      <c r="K178" s="1240">
        <v>732620772</v>
      </c>
      <c r="L178" s="1241">
        <f t="shared" si="72"/>
        <v>73262077.200000003</v>
      </c>
      <c r="M178" s="1237"/>
      <c r="N178" s="1242">
        <f t="shared" si="73"/>
        <v>805882849.20000005</v>
      </c>
      <c r="O178" s="678" t="s">
        <v>244</v>
      </c>
      <c r="P178" s="678" t="s">
        <v>38</v>
      </c>
      <c r="Q178" s="677"/>
      <c r="R178" s="677"/>
      <c r="S178" s="116">
        <v>0</v>
      </c>
      <c r="T178" s="116">
        <f t="shared" si="71"/>
        <v>-14652415.439999999</v>
      </c>
      <c r="U178" s="194">
        <f>K178+L178-T178</f>
        <v>820535264.6400001</v>
      </c>
      <c r="V178" s="210">
        <f t="shared" si="49"/>
        <v>0</v>
      </c>
      <c r="W178" s="115">
        <f t="shared" si="74"/>
        <v>-29304830.880000114</v>
      </c>
      <c r="X178" s="679"/>
      <c r="Y178" s="116"/>
      <c r="Z178" s="185"/>
      <c r="AA178" s="592"/>
      <c r="AB178" s="186"/>
      <c r="AC178" s="9"/>
      <c r="AD178" s="297"/>
      <c r="AE178" s="297"/>
      <c r="AF178" s="9"/>
      <c r="AG178" s="892"/>
      <c r="AH178" s="893"/>
      <c r="AI178" s="892"/>
      <c r="AJ178" s="893"/>
      <c r="AK178" s="73" t="str">
        <f t="shared" si="52"/>
        <v>BUKIT MAKMUR MANDIRI UTAMA, PTSEP</v>
      </c>
    </row>
    <row r="179" spans="1:37" s="1211" customFormat="1" ht="12" hidden="1" customHeight="1">
      <c r="A179" s="758"/>
      <c r="B179" s="1220" t="s">
        <v>243</v>
      </c>
      <c r="C179" s="1220">
        <v>31</v>
      </c>
      <c r="D179" s="1238" t="s">
        <v>20</v>
      </c>
      <c r="E179" s="1239" t="s">
        <v>354</v>
      </c>
      <c r="F179" s="1520" t="s">
        <v>3280</v>
      </c>
      <c r="G179" s="1239" t="s">
        <v>559</v>
      </c>
      <c r="H179" s="1239" t="s">
        <v>3281</v>
      </c>
      <c r="I179" s="1239" t="s">
        <v>3282</v>
      </c>
      <c r="J179" s="1237"/>
      <c r="K179" s="1240">
        <v>585950860</v>
      </c>
      <c r="L179" s="1241">
        <f t="shared" si="72"/>
        <v>58595086</v>
      </c>
      <c r="M179" s="1237"/>
      <c r="N179" s="1242">
        <f t="shared" si="73"/>
        <v>644545946</v>
      </c>
      <c r="O179" s="1313" t="s">
        <v>245</v>
      </c>
      <c r="P179" s="1313" t="s">
        <v>103</v>
      </c>
      <c r="Q179" s="1311"/>
      <c r="R179" s="1246"/>
      <c r="S179" s="762">
        <v>0</v>
      </c>
      <c r="T179" s="116">
        <f t="shared" si="71"/>
        <v>-11719017.200000001</v>
      </c>
      <c r="U179" s="1247">
        <v>632826929</v>
      </c>
      <c r="V179" s="1215"/>
      <c r="W179" s="1203"/>
      <c r="X179" s="1248"/>
      <c r="Y179" s="762"/>
      <c r="Z179" s="1205"/>
      <c r="AA179" s="1206"/>
      <c r="AB179" s="1207"/>
      <c r="AC179" s="759"/>
      <c r="AD179" s="1208"/>
      <c r="AE179" s="1208"/>
      <c r="AF179" s="759"/>
      <c r="AG179" s="759"/>
      <c r="AH179" s="1209"/>
      <c r="AI179" s="759"/>
      <c r="AJ179" s="1209"/>
      <c r="AK179" s="1210" t="str">
        <f t="shared" si="52"/>
        <v>BUKIT MAKMUR MANDIRI UTAMA, PTOKT</v>
      </c>
    </row>
    <row r="180" spans="1:37" s="1211" customFormat="1" ht="12" hidden="1" customHeight="1">
      <c r="A180" s="758"/>
      <c r="B180" s="1220" t="s">
        <v>245</v>
      </c>
      <c r="C180" s="1220">
        <v>3</v>
      </c>
      <c r="D180" s="1238" t="s">
        <v>20</v>
      </c>
      <c r="E180" s="1239" t="s">
        <v>354</v>
      </c>
      <c r="F180" s="1520" t="s">
        <v>3280</v>
      </c>
      <c r="G180" s="1239" t="s">
        <v>602</v>
      </c>
      <c r="H180" s="1239" t="s">
        <v>3549</v>
      </c>
      <c r="I180" s="1239" t="s">
        <v>3550</v>
      </c>
      <c r="J180" s="1237"/>
      <c r="K180" s="1240">
        <v>661974246.28999996</v>
      </c>
      <c r="L180" s="1241">
        <f t="shared" si="72"/>
        <v>66197424.629000001</v>
      </c>
      <c r="M180" s="1237"/>
      <c r="N180" s="1242">
        <v>728171670.90999997</v>
      </c>
      <c r="O180" s="1245" t="s">
        <v>140</v>
      </c>
      <c r="P180" s="1245" t="s">
        <v>97</v>
      </c>
      <c r="Q180" s="1246"/>
      <c r="R180" s="1246"/>
      <c r="S180" s="762"/>
      <c r="T180" s="762">
        <f t="shared" si="71"/>
        <v>-13239484.925799999</v>
      </c>
      <c r="U180" s="1247">
        <v>714932185.98000002</v>
      </c>
      <c r="V180" s="1215"/>
      <c r="W180" s="1203"/>
      <c r="X180" s="1248"/>
      <c r="Y180" s="762"/>
      <c r="Z180" s="1205"/>
      <c r="AA180" s="1206"/>
      <c r="AB180" s="1207"/>
      <c r="AC180" s="759"/>
      <c r="AD180" s="1208"/>
      <c r="AE180" s="1208"/>
      <c r="AF180" s="759"/>
      <c r="AG180" s="759"/>
      <c r="AH180" s="1209"/>
      <c r="AI180" s="759"/>
      <c r="AJ180" s="1209"/>
      <c r="AK180" s="1210" t="str">
        <f t="shared" si="52"/>
        <v>BUKIT MAKMUR MANDIRI UTAMA, PTDES</v>
      </c>
    </row>
    <row r="181" spans="1:37" s="1211" customFormat="1" ht="12" hidden="1" customHeight="1">
      <c r="A181" s="758"/>
      <c r="B181" s="758" t="s">
        <v>238</v>
      </c>
      <c r="C181" s="758">
        <v>1</v>
      </c>
      <c r="D181" s="1243" t="s">
        <v>20</v>
      </c>
      <c r="E181" s="953" t="s">
        <v>354</v>
      </c>
      <c r="F181" s="1519" t="s">
        <v>3617</v>
      </c>
      <c r="G181" s="953" t="s">
        <v>641</v>
      </c>
      <c r="H181" s="953" t="s">
        <v>3618</v>
      </c>
      <c r="I181" s="953" t="s">
        <v>3619</v>
      </c>
      <c r="J181" s="1054"/>
      <c r="K181" s="1244">
        <v>729876188.85000002</v>
      </c>
      <c r="L181" s="1086">
        <f t="shared" ref="L181:L183" si="75">K181*10%</f>
        <v>72987618.885000005</v>
      </c>
      <c r="M181" s="1054"/>
      <c r="N181" s="1087">
        <f>K181+L181</f>
        <v>802863807.73500001</v>
      </c>
      <c r="O181" s="1245"/>
      <c r="P181" s="1245"/>
      <c r="Q181" s="1246"/>
      <c r="R181" s="1246"/>
      <c r="S181" s="762"/>
      <c r="T181" s="762"/>
      <c r="U181" s="1247"/>
      <c r="V181" s="1215"/>
      <c r="W181" s="1203"/>
      <c r="X181" s="1248"/>
      <c r="Y181" s="762"/>
      <c r="Z181" s="1205"/>
      <c r="AA181" s="1206"/>
      <c r="AB181" s="1207"/>
      <c r="AC181" s="759"/>
      <c r="AD181" s="1208"/>
      <c r="AE181" s="1208"/>
      <c r="AF181" s="759"/>
      <c r="AG181" s="759"/>
      <c r="AH181" s="1209"/>
      <c r="AI181" s="759"/>
      <c r="AJ181" s="1209"/>
      <c r="AK181" s="1210"/>
    </row>
    <row r="182" spans="1:37" s="1211" customFormat="1" ht="12" hidden="1" customHeight="1">
      <c r="A182" s="758"/>
      <c r="B182" s="758" t="s">
        <v>140</v>
      </c>
      <c r="C182" s="758">
        <v>4</v>
      </c>
      <c r="D182" s="1243" t="s">
        <v>20</v>
      </c>
      <c r="E182" s="953" t="s">
        <v>354</v>
      </c>
      <c r="F182" s="1519" t="s">
        <v>3617</v>
      </c>
      <c r="G182" s="953" t="s">
        <v>1616</v>
      </c>
      <c r="H182" s="953" t="s">
        <v>3715</v>
      </c>
      <c r="I182" s="953" t="s">
        <v>3716</v>
      </c>
      <c r="J182" s="1054"/>
      <c r="K182" s="1244">
        <v>697881545.17999995</v>
      </c>
      <c r="L182" s="1086">
        <f t="shared" si="75"/>
        <v>69788154.517999992</v>
      </c>
      <c r="M182" s="1054"/>
      <c r="N182" s="1087">
        <f>K182+L182</f>
        <v>767669699.69799995</v>
      </c>
      <c r="O182" s="1245"/>
      <c r="P182" s="1245"/>
      <c r="Q182" s="1246"/>
      <c r="R182" s="1246"/>
      <c r="S182" s="762"/>
      <c r="T182" s="762"/>
      <c r="U182" s="1247"/>
      <c r="V182" s="1215"/>
      <c r="W182" s="1203"/>
      <c r="X182" s="1248"/>
      <c r="Y182" s="762"/>
      <c r="Z182" s="1205"/>
      <c r="AA182" s="1206"/>
      <c r="AB182" s="1207"/>
      <c r="AC182" s="759"/>
      <c r="AD182" s="1208"/>
      <c r="AE182" s="1208"/>
      <c r="AF182" s="759"/>
      <c r="AG182" s="759"/>
      <c r="AH182" s="1209"/>
      <c r="AI182" s="759"/>
      <c r="AJ182" s="1209"/>
      <c r="AK182" s="1210"/>
    </row>
    <row r="183" spans="1:37" s="1211" customFormat="1" ht="12" hidden="1" customHeight="1">
      <c r="A183" s="758"/>
      <c r="B183" s="758" t="s">
        <v>140</v>
      </c>
      <c r="C183" s="758">
        <v>29</v>
      </c>
      <c r="D183" s="1243" t="s">
        <v>20</v>
      </c>
      <c r="E183" s="953" t="s">
        <v>354</v>
      </c>
      <c r="F183" s="1519" t="s">
        <v>3617</v>
      </c>
      <c r="G183" s="953" t="s">
        <v>1617</v>
      </c>
      <c r="H183" s="953" t="s">
        <v>3795</v>
      </c>
      <c r="I183" s="953" t="s">
        <v>3796</v>
      </c>
      <c r="J183" s="1054"/>
      <c r="K183" s="1244">
        <v>705217800</v>
      </c>
      <c r="L183" s="1086">
        <f t="shared" si="75"/>
        <v>70521780</v>
      </c>
      <c r="M183" s="1054"/>
      <c r="N183" s="1087">
        <f>K183+L183</f>
        <v>775739580</v>
      </c>
      <c r="O183" s="1245"/>
      <c r="P183" s="1245"/>
      <c r="Q183" s="1246"/>
      <c r="R183" s="1246"/>
      <c r="S183" s="762"/>
      <c r="T183" s="762"/>
      <c r="U183" s="1247"/>
      <c r="V183" s="1215"/>
      <c r="W183" s="1203"/>
      <c r="X183" s="1248"/>
      <c r="Y183" s="762"/>
      <c r="Z183" s="1205"/>
      <c r="AA183" s="1206"/>
      <c r="AB183" s="1207"/>
      <c r="AC183" s="759"/>
      <c r="AD183" s="1208"/>
      <c r="AE183" s="1208"/>
      <c r="AF183" s="759"/>
      <c r="AG183" s="759"/>
      <c r="AH183" s="1209"/>
      <c r="AI183" s="759"/>
      <c r="AJ183" s="1209"/>
      <c r="AK183" s="1210"/>
    </row>
    <row r="184" spans="1:37" s="1211" customFormat="1" ht="12" hidden="1" customHeight="1">
      <c r="A184" s="758"/>
      <c r="B184" s="1220" t="s">
        <v>245</v>
      </c>
      <c r="C184" s="1220">
        <v>31</v>
      </c>
      <c r="D184" s="1238" t="s">
        <v>3478</v>
      </c>
      <c r="E184" s="1239" t="s">
        <v>3479</v>
      </c>
      <c r="F184" s="1520" t="s">
        <v>3480</v>
      </c>
      <c r="G184" s="1239"/>
      <c r="H184" s="1239" t="s">
        <v>3481</v>
      </c>
      <c r="I184" s="1239" t="s">
        <v>3482</v>
      </c>
      <c r="J184" s="1237"/>
      <c r="K184" s="1240">
        <v>1406906985.73</v>
      </c>
      <c r="L184" s="1241">
        <f t="shared" si="72"/>
        <v>140690698.57300001</v>
      </c>
      <c r="M184" s="1237"/>
      <c r="N184" s="1242">
        <f t="shared" si="73"/>
        <v>1547597684.303</v>
      </c>
      <c r="O184" s="1245" t="s">
        <v>140</v>
      </c>
      <c r="P184" s="1245" t="s">
        <v>97</v>
      </c>
      <c r="Q184" s="1311"/>
      <c r="R184" s="1246"/>
      <c r="S184" s="762"/>
      <c r="T184" s="116">
        <f t="shared" si="71"/>
        <v>-28138139.714600001</v>
      </c>
      <c r="U184" s="1247">
        <v>1378768846</v>
      </c>
      <c r="V184" s="1215"/>
      <c r="W184" s="1203"/>
      <c r="X184" s="1248"/>
      <c r="Y184" s="762"/>
      <c r="Z184" s="1205"/>
      <c r="AA184" s="1206"/>
      <c r="AB184" s="1207"/>
      <c r="AC184" s="759"/>
      <c r="AD184" s="1208"/>
      <c r="AE184" s="1208"/>
      <c r="AF184" s="759"/>
      <c r="AG184" s="759"/>
      <c r="AH184" s="1209"/>
      <c r="AI184" s="759"/>
      <c r="AJ184" s="1209"/>
      <c r="AK184" s="1210"/>
    </row>
    <row r="185" spans="1:37" s="1211" customFormat="1" ht="12" hidden="1" customHeight="1">
      <c r="A185" s="1220"/>
      <c r="B185" s="1220" t="s">
        <v>140</v>
      </c>
      <c r="C185" s="1220">
        <v>20</v>
      </c>
      <c r="D185" s="1238" t="s">
        <v>3478</v>
      </c>
      <c r="E185" s="1239" t="s">
        <v>3479</v>
      </c>
      <c r="F185" s="1520" t="s">
        <v>3750</v>
      </c>
      <c r="G185" s="1239"/>
      <c r="H185" s="1239" t="s">
        <v>3751</v>
      </c>
      <c r="I185" s="1239" t="s">
        <v>3752</v>
      </c>
      <c r="J185" s="1237"/>
      <c r="K185" s="1240">
        <v>6054107369</v>
      </c>
      <c r="L185" s="1241">
        <f t="shared" si="72"/>
        <v>605410736.89999998</v>
      </c>
      <c r="M185" s="1237"/>
      <c r="N185" s="1242">
        <f t="shared" si="73"/>
        <v>6659518105.8999996</v>
      </c>
      <c r="O185" s="1245" t="s">
        <v>140</v>
      </c>
      <c r="P185" s="1245" t="s">
        <v>106</v>
      </c>
      <c r="Q185" s="1246"/>
      <c r="R185" s="1246"/>
      <c r="S185" s="762"/>
      <c r="T185" s="116">
        <f t="shared" si="71"/>
        <v>-121082147.38</v>
      </c>
      <c r="U185" s="1247">
        <v>5769454312</v>
      </c>
      <c r="V185" s="1215"/>
      <c r="W185" s="1203"/>
      <c r="X185" s="1248"/>
      <c r="Y185" s="762"/>
      <c r="Z185" s="1205"/>
      <c r="AA185" s="1206"/>
      <c r="AB185" s="1207"/>
      <c r="AC185" s="759"/>
      <c r="AD185" s="1208"/>
      <c r="AE185" s="1208"/>
      <c r="AF185" s="759"/>
      <c r="AG185" s="759"/>
      <c r="AH185" s="1209"/>
      <c r="AI185" s="759"/>
      <c r="AJ185" s="1209"/>
      <c r="AK185" s="1210"/>
    </row>
    <row r="186" spans="1:37" s="114" customFormat="1" ht="12" hidden="1" customHeight="1">
      <c r="A186" s="53"/>
      <c r="B186" s="53" t="s">
        <v>194</v>
      </c>
      <c r="C186" s="53">
        <v>18</v>
      </c>
      <c r="D186" s="193" t="s">
        <v>22</v>
      </c>
      <c r="E186" s="672" t="s">
        <v>354</v>
      </c>
      <c r="F186" s="1518"/>
      <c r="G186" s="672"/>
      <c r="H186" s="672" t="s">
        <v>1776</v>
      </c>
      <c r="I186" s="672" t="s">
        <v>1777</v>
      </c>
      <c r="J186" s="658">
        <v>0</v>
      </c>
      <c r="K186" s="674">
        <f>1219.23*13000</f>
        <v>15849990</v>
      </c>
      <c r="L186" s="675">
        <f t="shared" si="47"/>
        <v>1584999</v>
      </c>
      <c r="M186" s="658">
        <v>0</v>
      </c>
      <c r="N186" s="676">
        <f t="shared" si="48"/>
        <v>17434989</v>
      </c>
      <c r="O186" s="678" t="s">
        <v>194</v>
      </c>
      <c r="P186" s="678" t="s">
        <v>103</v>
      </c>
      <c r="Q186" s="677"/>
      <c r="R186" s="677"/>
      <c r="S186" s="116">
        <v>0</v>
      </c>
      <c r="T186" s="116">
        <f t="shared" si="71"/>
        <v>-316999.8</v>
      </c>
      <c r="U186" s="194">
        <v>17117989</v>
      </c>
      <c r="V186" s="210">
        <f t="shared" si="49"/>
        <v>0</v>
      </c>
      <c r="W186" s="115">
        <f t="shared" si="74"/>
        <v>0.19999999925494194</v>
      </c>
      <c r="X186" s="679" t="s">
        <v>237</v>
      </c>
      <c r="Y186" s="116"/>
      <c r="Z186" s="185"/>
      <c r="AA186" s="592">
        <f>-S186-Z186</f>
        <v>0</v>
      </c>
      <c r="AB186" s="186"/>
      <c r="AC186" s="300">
        <v>42766</v>
      </c>
      <c r="AD186" s="297">
        <v>317000</v>
      </c>
      <c r="AE186" s="297">
        <f t="shared" si="51"/>
        <v>-0.20000000001164153</v>
      </c>
      <c r="AF186" s="39" t="s">
        <v>2199</v>
      </c>
      <c r="AG186" s="9" t="s">
        <v>1395</v>
      </c>
      <c r="AH186" s="300">
        <v>42746</v>
      </c>
      <c r="AI186" s="9" t="s">
        <v>1881</v>
      </c>
      <c r="AJ186" s="300">
        <v>42748</v>
      </c>
      <c r="AK186" s="73" t="str">
        <f t="shared" si="52"/>
        <v>CAKRAWALA SEJAHTERA, PTJAN</v>
      </c>
    </row>
    <row r="187" spans="1:37" s="114" customFormat="1" ht="12" hidden="1" customHeight="1">
      <c r="A187" s="53"/>
      <c r="B187" s="53" t="s">
        <v>194</v>
      </c>
      <c r="C187" s="9">
        <v>9</v>
      </c>
      <c r="D187" s="8" t="s">
        <v>22</v>
      </c>
      <c r="E187" s="10" t="s">
        <v>354</v>
      </c>
      <c r="F187" s="356"/>
      <c r="G187" s="10"/>
      <c r="H187" s="10" t="s">
        <v>1778</v>
      </c>
      <c r="I187" s="10" t="s">
        <v>1779</v>
      </c>
      <c r="J187" s="658">
        <v>0</v>
      </c>
      <c r="K187" s="118">
        <v>45220000</v>
      </c>
      <c r="L187" s="116">
        <f t="shared" si="47"/>
        <v>4522000</v>
      </c>
      <c r="M187" s="658">
        <v>0</v>
      </c>
      <c r="N187" s="189">
        <f t="shared" si="48"/>
        <v>49742000</v>
      </c>
      <c r="O187" s="197" t="s">
        <v>194</v>
      </c>
      <c r="P187" s="197" t="s">
        <v>103</v>
      </c>
      <c r="Q187" s="175"/>
      <c r="R187" s="175"/>
      <c r="S187" s="116">
        <v>0</v>
      </c>
      <c r="T187" s="116">
        <f t="shared" si="71"/>
        <v>-904400</v>
      </c>
      <c r="U187" s="115">
        <v>48837600</v>
      </c>
      <c r="V187" s="210">
        <f t="shared" si="49"/>
        <v>0</v>
      </c>
      <c r="W187" s="115">
        <f t="shared" si="74"/>
        <v>0</v>
      </c>
      <c r="X187" s="181" t="s">
        <v>237</v>
      </c>
      <c r="Y187" s="116"/>
      <c r="Z187" s="185"/>
      <c r="AA187" s="592">
        <f>-S187-Z187</f>
        <v>0</v>
      </c>
      <c r="AB187" s="186"/>
      <c r="AC187" s="300">
        <v>42766</v>
      </c>
      <c r="AD187" s="297">
        <v>904400</v>
      </c>
      <c r="AE187" s="297">
        <f t="shared" si="51"/>
        <v>0</v>
      </c>
      <c r="AF187" s="39" t="s">
        <v>2200</v>
      </c>
      <c r="AG187" s="9" t="s">
        <v>1395</v>
      </c>
      <c r="AH187" s="300">
        <v>42746</v>
      </c>
      <c r="AI187" s="9" t="s">
        <v>1881</v>
      </c>
      <c r="AJ187" s="300">
        <v>42748</v>
      </c>
      <c r="AK187" s="73" t="str">
        <f t="shared" si="52"/>
        <v>CAKRAWALA SEJAHTERA, PTJAN</v>
      </c>
    </row>
    <row r="188" spans="1:37" s="114" customFormat="1" ht="12" hidden="1" customHeight="1">
      <c r="A188" s="53"/>
      <c r="B188" s="53" t="s">
        <v>195</v>
      </c>
      <c r="C188" s="9">
        <v>1</v>
      </c>
      <c r="D188" s="8" t="s">
        <v>22</v>
      </c>
      <c r="E188" s="10" t="s">
        <v>354</v>
      </c>
      <c r="F188" s="356"/>
      <c r="G188" s="10"/>
      <c r="H188" s="10" t="s">
        <v>1938</v>
      </c>
      <c r="I188" s="10" t="s">
        <v>1939</v>
      </c>
      <c r="J188" s="658">
        <v>0</v>
      </c>
      <c r="K188" s="118">
        <v>45220000</v>
      </c>
      <c r="L188" s="116">
        <f t="shared" si="47"/>
        <v>4522000</v>
      </c>
      <c r="M188" s="658">
        <v>0</v>
      </c>
      <c r="N188" s="189">
        <f t="shared" si="48"/>
        <v>49742000</v>
      </c>
      <c r="O188" s="197" t="s">
        <v>195</v>
      </c>
      <c r="P188" s="197" t="s">
        <v>105</v>
      </c>
      <c r="Q188" s="175"/>
      <c r="R188" s="175"/>
      <c r="S188" s="116">
        <v>0</v>
      </c>
      <c r="T188" s="116">
        <f t="shared" si="71"/>
        <v>-904400</v>
      </c>
      <c r="U188" s="115">
        <v>48837600</v>
      </c>
      <c r="V188" s="210">
        <f t="shared" si="49"/>
        <v>0</v>
      </c>
      <c r="W188" s="115">
        <f t="shared" si="74"/>
        <v>0</v>
      </c>
      <c r="X188" s="181" t="s">
        <v>237</v>
      </c>
      <c r="Y188" s="116"/>
      <c r="Z188" s="185"/>
      <c r="AA188" s="592"/>
      <c r="AB188" s="186"/>
      <c r="AC188" s="300">
        <v>42794</v>
      </c>
      <c r="AD188" s="297">
        <v>904400</v>
      </c>
      <c r="AE188" s="297">
        <f t="shared" si="51"/>
        <v>0</v>
      </c>
      <c r="AF188" s="9" t="s">
        <v>2366</v>
      </c>
      <c r="AG188" s="9" t="s">
        <v>1395</v>
      </c>
      <c r="AH188" s="300">
        <v>42767</v>
      </c>
      <c r="AI188" s="9" t="s">
        <v>2029</v>
      </c>
      <c r="AJ188" s="300">
        <v>42767</v>
      </c>
      <c r="AK188" s="73" t="str">
        <f t="shared" si="52"/>
        <v>CAKRAWALA SEJAHTERA, PTFEB</v>
      </c>
    </row>
    <row r="189" spans="1:37" s="114" customFormat="1" ht="12" hidden="1" customHeight="1">
      <c r="A189" s="53"/>
      <c r="B189" s="53" t="s">
        <v>239</v>
      </c>
      <c r="C189" s="9">
        <v>1</v>
      </c>
      <c r="D189" s="8" t="s">
        <v>22</v>
      </c>
      <c r="E189" s="10" t="s">
        <v>354</v>
      </c>
      <c r="F189" s="356"/>
      <c r="G189" s="10"/>
      <c r="H189" s="10" t="s">
        <v>2098</v>
      </c>
      <c r="I189" s="10" t="s">
        <v>2099</v>
      </c>
      <c r="J189" s="658">
        <v>0</v>
      </c>
      <c r="K189" s="118">
        <v>45220000</v>
      </c>
      <c r="L189" s="116">
        <f t="shared" si="47"/>
        <v>4522000</v>
      </c>
      <c r="M189" s="658">
        <v>0</v>
      </c>
      <c r="N189" s="189">
        <f t="shared" si="48"/>
        <v>49742000</v>
      </c>
      <c r="O189" s="197" t="s">
        <v>239</v>
      </c>
      <c r="P189" s="197" t="s">
        <v>88</v>
      </c>
      <c r="Q189" s="175"/>
      <c r="R189" s="175"/>
      <c r="S189" s="116">
        <v>0</v>
      </c>
      <c r="T189" s="116">
        <f t="shared" si="71"/>
        <v>-904400</v>
      </c>
      <c r="U189" s="115">
        <v>48837600</v>
      </c>
      <c r="V189" s="210">
        <f t="shared" si="49"/>
        <v>0</v>
      </c>
      <c r="W189" s="115">
        <f t="shared" si="74"/>
        <v>0</v>
      </c>
      <c r="X189" s="181" t="s">
        <v>237</v>
      </c>
      <c r="Y189" s="116"/>
      <c r="Z189" s="185"/>
      <c r="AA189" s="592"/>
      <c r="AB189" s="186"/>
      <c r="AC189" s="300">
        <v>42825</v>
      </c>
      <c r="AD189" s="297">
        <v>904400</v>
      </c>
      <c r="AE189" s="297">
        <f t="shared" si="51"/>
        <v>0</v>
      </c>
      <c r="AF189" s="9" t="s">
        <v>2367</v>
      </c>
      <c r="AG189" s="9" t="s">
        <v>1395</v>
      </c>
      <c r="AH189" s="300">
        <v>42796</v>
      </c>
      <c r="AI189" s="9" t="s">
        <v>2171</v>
      </c>
      <c r="AJ189" s="300">
        <v>42800</v>
      </c>
      <c r="AK189" s="73" t="str">
        <f t="shared" si="52"/>
        <v>CAKRAWALA SEJAHTERA, PTMAR</v>
      </c>
    </row>
    <row r="190" spans="1:37" s="114" customFormat="1" ht="12" hidden="1" customHeight="1">
      <c r="A190" s="53"/>
      <c r="B190" s="53" t="s">
        <v>240</v>
      </c>
      <c r="C190" s="9">
        <v>3</v>
      </c>
      <c r="D190" s="8" t="s">
        <v>22</v>
      </c>
      <c r="E190" s="10" t="s">
        <v>354</v>
      </c>
      <c r="F190" s="356"/>
      <c r="G190" s="10"/>
      <c r="H190" s="10" t="s">
        <v>2240</v>
      </c>
      <c r="I190" s="10" t="s">
        <v>2241</v>
      </c>
      <c r="J190" s="658">
        <v>0</v>
      </c>
      <c r="K190" s="118">
        <v>45220000</v>
      </c>
      <c r="L190" s="116">
        <f t="shared" si="47"/>
        <v>4522000</v>
      </c>
      <c r="M190" s="658">
        <v>0</v>
      </c>
      <c r="N190" s="189">
        <f t="shared" si="48"/>
        <v>49742000</v>
      </c>
      <c r="O190" s="197" t="s">
        <v>240</v>
      </c>
      <c r="P190" s="197" t="s">
        <v>48</v>
      </c>
      <c r="Q190" s="175"/>
      <c r="R190" s="175"/>
      <c r="S190" s="116">
        <v>0</v>
      </c>
      <c r="T190" s="116">
        <f t="shared" si="71"/>
        <v>-904400</v>
      </c>
      <c r="U190" s="115">
        <v>48837600</v>
      </c>
      <c r="V190" s="210">
        <f t="shared" si="49"/>
        <v>0</v>
      </c>
      <c r="W190" s="115">
        <f t="shared" si="74"/>
        <v>0</v>
      </c>
      <c r="X190" s="181" t="s">
        <v>294</v>
      </c>
      <c r="Y190" s="116"/>
      <c r="Z190" s="185"/>
      <c r="AA190" s="592"/>
      <c r="AB190" s="186"/>
      <c r="AC190" s="300">
        <v>42853</v>
      </c>
      <c r="AD190" s="297">
        <v>904400</v>
      </c>
      <c r="AE190" s="297">
        <f t="shared" si="51"/>
        <v>0</v>
      </c>
      <c r="AF190" s="9" t="s">
        <v>2583</v>
      </c>
      <c r="AG190" s="9" t="s">
        <v>1395</v>
      </c>
      <c r="AH190" s="300">
        <v>42831</v>
      </c>
      <c r="AI190" s="9" t="s">
        <v>2029</v>
      </c>
      <c r="AJ190" s="300">
        <v>42832</v>
      </c>
      <c r="AK190" s="73" t="str">
        <f t="shared" si="52"/>
        <v>CAKRAWALA SEJAHTERA, PTAPR</v>
      </c>
    </row>
    <row r="191" spans="1:37" s="114" customFormat="1" ht="12" hidden="1" customHeight="1">
      <c r="A191" s="53"/>
      <c r="B191" s="53" t="s">
        <v>58</v>
      </c>
      <c r="C191" s="9">
        <v>2</v>
      </c>
      <c r="D191" s="8" t="s">
        <v>22</v>
      </c>
      <c r="E191" s="10" t="s">
        <v>354</v>
      </c>
      <c r="F191" s="356"/>
      <c r="G191" s="10"/>
      <c r="H191" s="10" t="s">
        <v>2417</v>
      </c>
      <c r="I191" s="10" t="s">
        <v>2418</v>
      </c>
      <c r="J191" s="658">
        <v>0</v>
      </c>
      <c r="K191" s="118">
        <v>45220000</v>
      </c>
      <c r="L191" s="116">
        <f t="shared" si="47"/>
        <v>4522000</v>
      </c>
      <c r="M191" s="658">
        <v>0</v>
      </c>
      <c r="N191" s="189">
        <f t="shared" si="48"/>
        <v>49742000</v>
      </c>
      <c r="O191" s="197" t="s">
        <v>58</v>
      </c>
      <c r="P191" s="197" t="s">
        <v>116</v>
      </c>
      <c r="Q191" s="175"/>
      <c r="R191" s="175"/>
      <c r="S191" s="116">
        <v>0</v>
      </c>
      <c r="T191" s="116">
        <f>-K191*2%</f>
        <v>-904400</v>
      </c>
      <c r="U191" s="115">
        <v>48837600</v>
      </c>
      <c r="V191" s="210">
        <f t="shared" si="49"/>
        <v>0</v>
      </c>
      <c r="W191" s="115">
        <f t="shared" si="74"/>
        <v>0</v>
      </c>
      <c r="X191" s="181" t="s">
        <v>294</v>
      </c>
      <c r="Y191" s="116"/>
      <c r="Z191" s="185"/>
      <c r="AA191" s="592"/>
      <c r="AB191" s="186"/>
      <c r="AC191" s="9"/>
      <c r="AD191" s="297"/>
      <c r="AE191" s="297">
        <f t="shared" si="51"/>
        <v>904400</v>
      </c>
      <c r="AF191" s="9"/>
      <c r="AG191" s="9" t="s">
        <v>1395</v>
      </c>
      <c r="AH191" s="300">
        <v>42863</v>
      </c>
      <c r="AI191" s="9" t="s">
        <v>2526</v>
      </c>
      <c r="AJ191" s="300">
        <v>42863</v>
      </c>
      <c r="AK191" s="73" t="str">
        <f t="shared" si="52"/>
        <v>CAKRAWALA SEJAHTERA, PTMEI</v>
      </c>
    </row>
    <row r="192" spans="1:37" s="114" customFormat="1" ht="12" hidden="1" customHeight="1">
      <c r="A192" s="53"/>
      <c r="B192" s="53" t="s">
        <v>241</v>
      </c>
      <c r="C192" s="9">
        <v>2</v>
      </c>
      <c r="D192" s="8" t="s">
        <v>22</v>
      </c>
      <c r="E192" s="10" t="s">
        <v>354</v>
      </c>
      <c r="F192" s="356"/>
      <c r="G192" s="10"/>
      <c r="H192" s="10" t="s">
        <v>2605</v>
      </c>
      <c r="I192" s="10" t="s">
        <v>2647</v>
      </c>
      <c r="J192" s="658">
        <v>0</v>
      </c>
      <c r="K192" s="118">
        <v>45220000</v>
      </c>
      <c r="L192" s="116">
        <f>K192*10%</f>
        <v>4522000</v>
      </c>
      <c r="M192" s="658">
        <v>0</v>
      </c>
      <c r="N192" s="189">
        <f>K192+L192</f>
        <v>49742000</v>
      </c>
      <c r="O192" s="197" t="s">
        <v>241</v>
      </c>
      <c r="P192" s="197" t="s">
        <v>103</v>
      </c>
      <c r="Q192" s="175"/>
      <c r="R192" s="175"/>
      <c r="S192" s="116">
        <v>0</v>
      </c>
      <c r="T192" s="116">
        <f>-K192*2%</f>
        <v>-904400</v>
      </c>
      <c r="U192" s="115">
        <v>48837600</v>
      </c>
      <c r="V192" s="210">
        <f t="shared" si="49"/>
        <v>0</v>
      </c>
      <c r="W192" s="115">
        <f t="shared" si="74"/>
        <v>0</v>
      </c>
      <c r="X192" s="181" t="s">
        <v>237</v>
      </c>
      <c r="Y192" s="116"/>
      <c r="Z192" s="185"/>
      <c r="AA192" s="592"/>
      <c r="AB192" s="186"/>
      <c r="AC192" s="9"/>
      <c r="AD192" s="297"/>
      <c r="AE192" s="297">
        <f t="shared" si="51"/>
        <v>904400</v>
      </c>
      <c r="AF192" s="9"/>
      <c r="AG192" s="9" t="s">
        <v>1395</v>
      </c>
      <c r="AH192" s="300">
        <v>42895</v>
      </c>
      <c r="AI192" s="9" t="s">
        <v>1881</v>
      </c>
      <c r="AJ192" s="300">
        <v>42895</v>
      </c>
      <c r="AK192" s="73" t="str">
        <f t="shared" si="52"/>
        <v>CAKRAWALA SEJAHTERA, PTJUN</v>
      </c>
    </row>
    <row r="193" spans="1:37" s="114" customFormat="1" ht="12" hidden="1" customHeight="1">
      <c r="A193" s="53"/>
      <c r="B193" s="53" t="s">
        <v>242</v>
      </c>
      <c r="C193" s="9">
        <v>3</v>
      </c>
      <c r="D193" s="8" t="s">
        <v>22</v>
      </c>
      <c r="E193" s="10" t="s">
        <v>354</v>
      </c>
      <c r="F193" s="356" t="s">
        <v>3067</v>
      </c>
      <c r="G193" s="10" t="s">
        <v>60</v>
      </c>
      <c r="H193" s="10" t="s">
        <v>2764</v>
      </c>
      <c r="I193" s="10" t="s">
        <v>2796</v>
      </c>
      <c r="J193" s="658">
        <v>0</v>
      </c>
      <c r="K193" s="118">
        <v>45220000</v>
      </c>
      <c r="L193" s="116">
        <f>K193*10%</f>
        <v>4522000</v>
      </c>
      <c r="M193" s="658">
        <v>0</v>
      </c>
      <c r="N193" s="189">
        <f>K193+L193</f>
        <v>49742000</v>
      </c>
      <c r="O193" s="197" t="s">
        <v>242</v>
      </c>
      <c r="P193" s="197" t="s">
        <v>115</v>
      </c>
      <c r="Q193" s="175"/>
      <c r="R193" s="175"/>
      <c r="S193" s="116">
        <v>0</v>
      </c>
      <c r="T193" s="116">
        <f>-K193*2%</f>
        <v>-904400</v>
      </c>
      <c r="U193" s="115">
        <v>48837600</v>
      </c>
      <c r="V193" s="210">
        <f t="shared" si="49"/>
        <v>0</v>
      </c>
      <c r="W193" s="115">
        <f t="shared" si="74"/>
        <v>0</v>
      </c>
      <c r="X193" s="181" t="s">
        <v>237</v>
      </c>
      <c r="Y193" s="116"/>
      <c r="Z193" s="185"/>
      <c r="AA193" s="592"/>
      <c r="AB193" s="186"/>
      <c r="AC193" s="9"/>
      <c r="AD193" s="297"/>
      <c r="AE193" s="297">
        <f t="shared" si="51"/>
        <v>904400</v>
      </c>
      <c r="AF193" s="9"/>
      <c r="AG193" s="9" t="s">
        <v>1395</v>
      </c>
      <c r="AH193" s="300">
        <v>42921</v>
      </c>
      <c r="AI193" s="9" t="s">
        <v>2029</v>
      </c>
      <c r="AJ193" s="300">
        <v>42921</v>
      </c>
      <c r="AK193" s="73" t="str">
        <f t="shared" si="52"/>
        <v>CAKRAWALA SEJAHTERA, PTJUL</v>
      </c>
    </row>
    <row r="194" spans="1:37" s="114" customFormat="1" ht="12" hidden="1" customHeight="1">
      <c r="A194" s="53"/>
      <c r="B194" s="53" t="s">
        <v>195</v>
      </c>
      <c r="C194" s="9">
        <v>16</v>
      </c>
      <c r="D194" s="8" t="s">
        <v>2070</v>
      </c>
      <c r="E194" s="10" t="s">
        <v>118</v>
      </c>
      <c r="F194" s="356"/>
      <c r="G194" s="10"/>
      <c r="H194" s="10" t="s">
        <v>2072</v>
      </c>
      <c r="I194" s="10" t="s">
        <v>2073</v>
      </c>
      <c r="J194" s="658">
        <v>0</v>
      </c>
      <c r="K194" s="118">
        <v>2594625</v>
      </c>
      <c r="L194" s="116">
        <f t="shared" si="47"/>
        <v>259462.5</v>
      </c>
      <c r="M194" s="658">
        <v>0</v>
      </c>
      <c r="N194" s="189">
        <f t="shared" si="48"/>
        <v>2854087.5</v>
      </c>
      <c r="O194" s="197" t="s">
        <v>239</v>
      </c>
      <c r="P194" s="197" t="s">
        <v>87</v>
      </c>
      <c r="Q194" s="175"/>
      <c r="R194" s="175"/>
      <c r="S194" s="116">
        <v>0</v>
      </c>
      <c r="T194" s="116">
        <v>0</v>
      </c>
      <c r="U194" s="115">
        <v>2854087</v>
      </c>
      <c r="V194" s="210">
        <f t="shared" si="49"/>
        <v>0</v>
      </c>
      <c r="W194" s="115">
        <f t="shared" si="74"/>
        <v>0.5</v>
      </c>
      <c r="X194" s="181" t="s">
        <v>237</v>
      </c>
      <c r="Y194" s="116"/>
      <c r="Z194" s="185"/>
      <c r="AA194" s="592"/>
      <c r="AB194" s="186"/>
      <c r="AC194" s="9"/>
      <c r="AD194" s="297"/>
      <c r="AE194" s="297">
        <f t="shared" si="51"/>
        <v>0</v>
      </c>
      <c r="AF194" s="9"/>
      <c r="AG194" s="9" t="s">
        <v>1395</v>
      </c>
      <c r="AH194" s="300">
        <v>42786</v>
      </c>
      <c r="AI194" s="9" t="s">
        <v>2173</v>
      </c>
      <c r="AJ194" s="300">
        <v>42786</v>
      </c>
      <c r="AK194" s="73" t="str">
        <f t="shared" si="52"/>
        <v>CENTRALINK, PTMAR</v>
      </c>
    </row>
    <row r="195" spans="1:37" s="114" customFormat="1" ht="12" hidden="1" customHeight="1">
      <c r="A195" s="53"/>
      <c r="B195" s="53" t="s">
        <v>58</v>
      </c>
      <c r="C195" s="9">
        <v>8</v>
      </c>
      <c r="D195" s="8" t="s">
        <v>2070</v>
      </c>
      <c r="E195" s="10" t="s">
        <v>118</v>
      </c>
      <c r="F195" s="356"/>
      <c r="G195" s="10"/>
      <c r="H195" s="10" t="s">
        <v>2520</v>
      </c>
      <c r="I195" s="10" t="s">
        <v>2521</v>
      </c>
      <c r="J195" s="658">
        <v>0</v>
      </c>
      <c r="K195" s="118">
        <v>2594625</v>
      </c>
      <c r="L195" s="116">
        <f>K195*10%</f>
        <v>259462.5</v>
      </c>
      <c r="M195" s="658">
        <v>0</v>
      </c>
      <c r="N195" s="189">
        <f>K195+L195</f>
        <v>2854087.5</v>
      </c>
      <c r="O195" s="197" t="s">
        <v>58</v>
      </c>
      <c r="P195" s="197" t="s">
        <v>38</v>
      </c>
      <c r="Q195" s="175"/>
      <c r="R195" s="175"/>
      <c r="S195" s="116">
        <v>0</v>
      </c>
      <c r="T195" s="116">
        <v>0</v>
      </c>
      <c r="U195" s="115">
        <v>2854087</v>
      </c>
      <c r="V195" s="210">
        <f t="shared" si="49"/>
        <v>0</v>
      </c>
      <c r="W195" s="115">
        <f t="shared" si="74"/>
        <v>0.5</v>
      </c>
      <c r="X195" s="181" t="s">
        <v>237</v>
      </c>
      <c r="Y195" s="116"/>
      <c r="Z195" s="185"/>
      <c r="AA195" s="592"/>
      <c r="AB195" s="186"/>
      <c r="AC195" s="9"/>
      <c r="AD195" s="297"/>
      <c r="AE195" s="297">
        <f t="shared" si="51"/>
        <v>0</v>
      </c>
      <c r="AF195" s="9"/>
      <c r="AG195" s="9" t="s">
        <v>1395</v>
      </c>
      <c r="AH195" s="300">
        <v>42867</v>
      </c>
      <c r="AI195" s="9" t="s">
        <v>2173</v>
      </c>
      <c r="AJ195" s="300">
        <v>42867</v>
      </c>
      <c r="AK195" s="73" t="str">
        <f t="shared" si="52"/>
        <v>CENTRALINK, PTMEI</v>
      </c>
    </row>
    <row r="196" spans="1:37" s="114" customFormat="1" ht="12" hidden="1" customHeight="1">
      <c r="A196" s="53"/>
      <c r="B196" s="53" t="s">
        <v>194</v>
      </c>
      <c r="C196" s="9">
        <v>9</v>
      </c>
      <c r="D196" s="8" t="s">
        <v>24</v>
      </c>
      <c r="E196" s="10" t="s">
        <v>362</v>
      </c>
      <c r="F196" s="356"/>
      <c r="G196" s="10"/>
      <c r="H196" s="10" t="s">
        <v>1767</v>
      </c>
      <c r="I196" s="10" t="s">
        <v>1768</v>
      </c>
      <c r="J196" s="658">
        <v>0</v>
      </c>
      <c r="K196" s="118">
        <v>4000000</v>
      </c>
      <c r="L196" s="116">
        <f t="shared" si="47"/>
        <v>400000</v>
      </c>
      <c r="M196" s="658">
        <v>0</v>
      </c>
      <c r="N196" s="189">
        <f t="shared" si="48"/>
        <v>4400000</v>
      </c>
      <c r="O196" s="197" t="s">
        <v>195</v>
      </c>
      <c r="P196" s="197" t="s">
        <v>105</v>
      </c>
      <c r="Q196" s="175"/>
      <c r="R196" s="175"/>
      <c r="S196" s="116">
        <v>0</v>
      </c>
      <c r="T196" s="116">
        <f t="shared" ref="T196:T201" si="76">-K196*2%</f>
        <v>-80000</v>
      </c>
      <c r="U196" s="115">
        <v>4320000</v>
      </c>
      <c r="V196" s="210">
        <f t="shared" si="49"/>
        <v>0</v>
      </c>
      <c r="W196" s="115">
        <f t="shared" si="74"/>
        <v>0</v>
      </c>
      <c r="X196" s="181" t="s">
        <v>294</v>
      </c>
      <c r="Y196" s="116"/>
      <c r="Z196" s="185"/>
      <c r="AA196" s="592">
        <f>-S196-Z196</f>
        <v>0</v>
      </c>
      <c r="AB196" s="186"/>
      <c r="AC196" s="9"/>
      <c r="AD196" s="297"/>
      <c r="AE196" s="297">
        <f t="shared" si="51"/>
        <v>80000</v>
      </c>
      <c r="AF196" s="9"/>
      <c r="AG196" s="9" t="s">
        <v>1775</v>
      </c>
      <c r="AH196" s="300">
        <v>42746</v>
      </c>
      <c r="AI196" s="9" t="s">
        <v>1882</v>
      </c>
      <c r="AJ196" s="9"/>
      <c r="AK196" s="73" t="str">
        <f t="shared" si="52"/>
        <v>CIPTA INFORMATIKA CEMERLANG, PTFEB</v>
      </c>
    </row>
    <row r="197" spans="1:37" s="114" customFormat="1" ht="12" hidden="1" customHeight="1">
      <c r="A197" s="53"/>
      <c r="B197" s="53" t="s">
        <v>195</v>
      </c>
      <c r="C197" s="9">
        <v>1</v>
      </c>
      <c r="D197" s="8" t="s">
        <v>24</v>
      </c>
      <c r="E197" s="10" t="s">
        <v>362</v>
      </c>
      <c r="F197" s="356"/>
      <c r="G197" s="10"/>
      <c r="H197" s="10" t="s">
        <v>1936</v>
      </c>
      <c r="I197" s="10" t="s">
        <v>1937</v>
      </c>
      <c r="J197" s="658">
        <v>0</v>
      </c>
      <c r="K197" s="118">
        <v>4000000</v>
      </c>
      <c r="L197" s="116">
        <f t="shared" si="47"/>
        <v>400000</v>
      </c>
      <c r="M197" s="658">
        <v>0</v>
      </c>
      <c r="N197" s="189">
        <f t="shared" si="48"/>
        <v>4400000</v>
      </c>
      <c r="O197" s="197" t="s">
        <v>239</v>
      </c>
      <c r="P197" s="197" t="s">
        <v>34</v>
      </c>
      <c r="Q197" s="175"/>
      <c r="R197" s="175"/>
      <c r="S197" s="116">
        <v>0</v>
      </c>
      <c r="T197" s="116">
        <f t="shared" si="76"/>
        <v>-80000</v>
      </c>
      <c r="U197" s="115">
        <v>4320000</v>
      </c>
      <c r="V197" s="210">
        <f t="shared" si="49"/>
        <v>0</v>
      </c>
      <c r="W197" s="115">
        <f t="shared" si="74"/>
        <v>0</v>
      </c>
      <c r="X197" s="181" t="s">
        <v>294</v>
      </c>
      <c r="Y197" s="116"/>
      <c r="Z197" s="185"/>
      <c r="AA197" s="592"/>
      <c r="AB197" s="186"/>
      <c r="AC197" s="9"/>
      <c r="AD197" s="297"/>
      <c r="AE197" s="297">
        <f t="shared" si="51"/>
        <v>80000</v>
      </c>
      <c r="AF197" s="9"/>
      <c r="AG197" s="9" t="s">
        <v>1395</v>
      </c>
      <c r="AH197" s="300"/>
      <c r="AI197" s="9" t="s">
        <v>1882</v>
      </c>
      <c r="AJ197" s="9"/>
      <c r="AK197" s="73" t="str">
        <f t="shared" si="52"/>
        <v>CIPTA INFORMATIKA CEMERLANG, PTMAR</v>
      </c>
    </row>
    <row r="198" spans="1:37" s="114" customFormat="1" ht="12" hidden="1" customHeight="1">
      <c r="A198" s="53"/>
      <c r="B198" s="53" t="s">
        <v>239</v>
      </c>
      <c r="C198" s="9">
        <v>1</v>
      </c>
      <c r="D198" s="8" t="s">
        <v>24</v>
      </c>
      <c r="E198" s="10" t="s">
        <v>362</v>
      </c>
      <c r="F198" s="356"/>
      <c r="G198" s="10"/>
      <c r="H198" s="10" t="s">
        <v>2096</v>
      </c>
      <c r="I198" s="10" t="s">
        <v>2097</v>
      </c>
      <c r="J198" s="658">
        <v>0</v>
      </c>
      <c r="K198" s="118">
        <v>4000000</v>
      </c>
      <c r="L198" s="116">
        <f t="shared" si="47"/>
        <v>400000</v>
      </c>
      <c r="M198" s="658">
        <v>0</v>
      </c>
      <c r="N198" s="189">
        <f t="shared" si="48"/>
        <v>4400000</v>
      </c>
      <c r="O198" s="197" t="s">
        <v>240</v>
      </c>
      <c r="P198" s="197" t="s">
        <v>106</v>
      </c>
      <c r="Q198" s="175"/>
      <c r="R198" s="175"/>
      <c r="S198" s="116">
        <v>0</v>
      </c>
      <c r="T198" s="116">
        <f t="shared" si="76"/>
        <v>-80000</v>
      </c>
      <c r="U198" s="115">
        <v>4320000</v>
      </c>
      <c r="V198" s="210">
        <f t="shared" si="49"/>
        <v>0</v>
      </c>
      <c r="W198" s="115">
        <f t="shared" si="74"/>
        <v>0</v>
      </c>
      <c r="X198" s="181" t="s">
        <v>294</v>
      </c>
      <c r="Y198" s="116"/>
      <c r="Z198" s="185"/>
      <c r="AA198" s="592"/>
      <c r="AB198" s="186"/>
      <c r="AC198" s="9"/>
      <c r="AD198" s="297"/>
      <c r="AE198" s="297">
        <f t="shared" si="51"/>
        <v>80000</v>
      </c>
      <c r="AF198" s="9"/>
      <c r="AG198" s="9" t="s">
        <v>1395</v>
      </c>
      <c r="AH198" s="300">
        <v>42796</v>
      </c>
      <c r="AI198" s="9" t="s">
        <v>1882</v>
      </c>
      <c r="AJ198" s="9"/>
      <c r="AK198" s="73" t="str">
        <f t="shared" si="52"/>
        <v>CIPTA INFORMATIKA CEMERLANG, PTAPR</v>
      </c>
    </row>
    <row r="199" spans="1:37" s="114" customFormat="1" ht="12" hidden="1" customHeight="1">
      <c r="A199" s="53"/>
      <c r="B199" s="53" t="s">
        <v>240</v>
      </c>
      <c r="C199" s="9">
        <v>3</v>
      </c>
      <c r="D199" s="8" t="s">
        <v>24</v>
      </c>
      <c r="E199" s="10" t="s">
        <v>362</v>
      </c>
      <c r="F199" s="356"/>
      <c r="G199" s="10"/>
      <c r="H199" s="10" t="s">
        <v>2242</v>
      </c>
      <c r="I199" s="10" t="s">
        <v>2243</v>
      </c>
      <c r="J199" s="658">
        <v>0</v>
      </c>
      <c r="K199" s="118">
        <v>4000000</v>
      </c>
      <c r="L199" s="116">
        <f t="shared" si="47"/>
        <v>400000</v>
      </c>
      <c r="M199" s="658">
        <v>0</v>
      </c>
      <c r="N199" s="189">
        <f t="shared" si="48"/>
        <v>4400000</v>
      </c>
      <c r="O199" s="197" t="s">
        <v>58</v>
      </c>
      <c r="P199" s="197" t="s">
        <v>103</v>
      </c>
      <c r="Q199" s="175"/>
      <c r="R199" s="175"/>
      <c r="S199" s="116">
        <v>0</v>
      </c>
      <c r="T199" s="116">
        <f t="shared" si="76"/>
        <v>-80000</v>
      </c>
      <c r="U199" s="115">
        <v>4320000</v>
      </c>
      <c r="V199" s="210">
        <f t="shared" si="49"/>
        <v>0</v>
      </c>
      <c r="W199" s="115">
        <f t="shared" si="74"/>
        <v>0</v>
      </c>
      <c r="X199" s="181" t="s">
        <v>294</v>
      </c>
      <c r="Y199" s="116"/>
      <c r="Z199" s="185"/>
      <c r="AA199" s="592"/>
      <c r="AB199" s="186"/>
      <c r="AC199" s="9"/>
      <c r="AD199" s="297"/>
      <c r="AE199" s="297">
        <f t="shared" si="51"/>
        <v>80000</v>
      </c>
      <c r="AF199" s="9"/>
      <c r="AG199" s="9" t="s">
        <v>1395</v>
      </c>
      <c r="AH199" s="300">
        <v>42829</v>
      </c>
      <c r="AI199" s="9" t="s">
        <v>1882</v>
      </c>
      <c r="AJ199" s="9"/>
      <c r="AK199" s="73" t="str">
        <f t="shared" si="52"/>
        <v>CIPTA INFORMATIKA CEMERLANG, PTMEI</v>
      </c>
    </row>
    <row r="200" spans="1:37" s="114" customFormat="1" ht="12" hidden="1" customHeight="1">
      <c r="A200" s="53"/>
      <c r="B200" s="53" t="s">
        <v>58</v>
      </c>
      <c r="C200" s="9">
        <v>2</v>
      </c>
      <c r="D200" s="8" t="s">
        <v>24</v>
      </c>
      <c r="E200" s="10" t="s">
        <v>362</v>
      </c>
      <c r="F200" s="356"/>
      <c r="G200" s="10"/>
      <c r="H200" s="10" t="s">
        <v>2415</v>
      </c>
      <c r="I200" s="10" t="s">
        <v>2416</v>
      </c>
      <c r="J200" s="658">
        <v>0</v>
      </c>
      <c r="K200" s="118">
        <v>4000000</v>
      </c>
      <c r="L200" s="116">
        <f t="shared" si="47"/>
        <v>400000</v>
      </c>
      <c r="M200" s="658">
        <v>0</v>
      </c>
      <c r="N200" s="189">
        <f t="shared" si="48"/>
        <v>4400000</v>
      </c>
      <c r="O200" s="197" t="s">
        <v>241</v>
      </c>
      <c r="P200" s="197" t="s">
        <v>34</v>
      </c>
      <c r="Q200" s="175"/>
      <c r="R200" s="175"/>
      <c r="S200" s="116">
        <v>0</v>
      </c>
      <c r="T200" s="116">
        <f t="shared" si="76"/>
        <v>-80000</v>
      </c>
      <c r="U200" s="115">
        <v>4320000</v>
      </c>
      <c r="V200" s="210">
        <f t="shared" si="49"/>
        <v>0</v>
      </c>
      <c r="W200" s="115">
        <f t="shared" si="74"/>
        <v>0</v>
      </c>
      <c r="X200" s="181" t="s">
        <v>294</v>
      </c>
      <c r="Y200" s="116"/>
      <c r="Z200" s="185"/>
      <c r="AA200" s="592"/>
      <c r="AB200" s="186"/>
      <c r="AC200" s="9"/>
      <c r="AD200" s="297"/>
      <c r="AE200" s="297">
        <f t="shared" si="51"/>
        <v>80000</v>
      </c>
      <c r="AF200" s="9"/>
      <c r="AG200" s="9" t="s">
        <v>1395</v>
      </c>
      <c r="AH200" s="300">
        <v>42858</v>
      </c>
      <c r="AI200" s="9" t="s">
        <v>1882</v>
      </c>
      <c r="AJ200" s="9"/>
      <c r="AK200" s="73" t="str">
        <f t="shared" si="52"/>
        <v>CIPTA INFORMATIKA CEMERLANG, PTJUN</v>
      </c>
    </row>
    <row r="201" spans="1:37" s="114" customFormat="1" ht="12" hidden="1" customHeight="1">
      <c r="A201" s="53"/>
      <c r="B201" s="53" t="s">
        <v>241</v>
      </c>
      <c r="C201" s="9">
        <v>2</v>
      </c>
      <c r="D201" s="8" t="s">
        <v>24</v>
      </c>
      <c r="E201" s="10" t="s">
        <v>362</v>
      </c>
      <c r="F201" s="356"/>
      <c r="G201" s="10"/>
      <c r="H201" s="10" t="s">
        <v>2599</v>
      </c>
      <c r="I201" s="10" t="s">
        <v>2643</v>
      </c>
      <c r="J201" s="658">
        <v>0</v>
      </c>
      <c r="K201" s="118">
        <v>4000000</v>
      </c>
      <c r="L201" s="116">
        <f>K201*10%</f>
        <v>400000</v>
      </c>
      <c r="M201" s="658">
        <v>0</v>
      </c>
      <c r="N201" s="189">
        <f>K201+L201</f>
        <v>4400000</v>
      </c>
      <c r="O201" s="197" t="s">
        <v>242</v>
      </c>
      <c r="P201" s="197" t="s">
        <v>105</v>
      </c>
      <c r="Q201" s="175"/>
      <c r="R201" s="175"/>
      <c r="S201" s="116">
        <v>0</v>
      </c>
      <c r="T201" s="116">
        <f t="shared" si="76"/>
        <v>-80000</v>
      </c>
      <c r="U201" s="115">
        <v>4320000</v>
      </c>
      <c r="V201" s="210">
        <f t="shared" si="49"/>
        <v>0</v>
      </c>
      <c r="W201" s="115">
        <f t="shared" si="74"/>
        <v>0</v>
      </c>
      <c r="X201" s="181" t="s">
        <v>294</v>
      </c>
      <c r="Y201" s="116"/>
      <c r="Z201" s="185"/>
      <c r="AA201" s="592"/>
      <c r="AB201" s="186"/>
      <c r="AC201" s="9"/>
      <c r="AD201" s="297"/>
      <c r="AE201" s="297">
        <f t="shared" si="51"/>
        <v>80000</v>
      </c>
      <c r="AF201" s="9"/>
      <c r="AG201" s="9" t="s">
        <v>1395</v>
      </c>
      <c r="AH201" s="300">
        <v>42891</v>
      </c>
      <c r="AI201" s="9" t="s">
        <v>1882</v>
      </c>
      <c r="AJ201" s="9"/>
      <c r="AK201" s="73" t="str">
        <f t="shared" si="52"/>
        <v>CIPTA INFORMATIKA CEMERLANG, PTJUL</v>
      </c>
    </row>
    <row r="202" spans="1:37" s="114" customFormat="1" ht="12" hidden="1" customHeight="1">
      <c r="A202" s="53"/>
      <c r="B202" s="53" t="s">
        <v>242</v>
      </c>
      <c r="C202" s="9">
        <v>3</v>
      </c>
      <c r="D202" s="8" t="s">
        <v>24</v>
      </c>
      <c r="E202" s="10" t="s">
        <v>362</v>
      </c>
      <c r="F202" s="356" t="s">
        <v>3068</v>
      </c>
      <c r="G202" s="10" t="s">
        <v>59</v>
      </c>
      <c r="H202" s="10" t="s">
        <v>2765</v>
      </c>
      <c r="I202" s="10" t="s">
        <v>2797</v>
      </c>
      <c r="J202" s="658">
        <v>0</v>
      </c>
      <c r="K202" s="118">
        <v>4000000</v>
      </c>
      <c r="L202" s="116">
        <f>K202*10%</f>
        <v>400000</v>
      </c>
      <c r="M202" s="658">
        <v>0</v>
      </c>
      <c r="N202" s="189">
        <f>K202+L202</f>
        <v>4400000</v>
      </c>
      <c r="O202" s="197" t="s">
        <v>243</v>
      </c>
      <c r="P202" s="197" t="s">
        <v>104</v>
      </c>
      <c r="Q202" s="175"/>
      <c r="R202" s="175"/>
      <c r="S202" s="116">
        <v>0</v>
      </c>
      <c r="T202" s="116">
        <f t="shared" ref="T202" si="77">-K202*2%</f>
        <v>-80000</v>
      </c>
      <c r="U202" s="115">
        <v>4320000</v>
      </c>
      <c r="V202" s="210">
        <f t="shared" ref="V202" si="78">M202+Q202-R202</f>
        <v>0</v>
      </c>
      <c r="W202" s="115">
        <f t="shared" ref="W202" si="79">N202+S202+T202-U202</f>
        <v>0</v>
      </c>
      <c r="X202" s="181" t="s">
        <v>294</v>
      </c>
      <c r="Y202" s="116"/>
      <c r="Z202" s="185"/>
      <c r="AA202" s="592"/>
      <c r="AB202" s="186"/>
      <c r="AC202" s="9"/>
      <c r="AD202" s="297"/>
      <c r="AE202" s="297">
        <f t="shared" si="51"/>
        <v>80000</v>
      </c>
      <c r="AF202" s="9"/>
      <c r="AG202" s="9" t="s">
        <v>1395</v>
      </c>
      <c r="AH202" s="300">
        <v>42921</v>
      </c>
      <c r="AI202" s="9" t="s">
        <v>1882</v>
      </c>
      <c r="AJ202" s="9"/>
      <c r="AK202" s="73" t="str">
        <f t="shared" si="52"/>
        <v>CIPTA INFORMATIKA CEMERLANG, PTAGS</v>
      </c>
    </row>
    <row r="203" spans="1:37" s="114" customFormat="1" ht="12" hidden="1" customHeight="1">
      <c r="A203" s="53"/>
      <c r="B203" s="53" t="s">
        <v>58</v>
      </c>
      <c r="C203" s="9">
        <v>2</v>
      </c>
      <c r="D203" s="8" t="s">
        <v>1625</v>
      </c>
      <c r="E203" s="10" t="s">
        <v>144</v>
      </c>
      <c r="F203" s="356"/>
      <c r="G203" s="10"/>
      <c r="H203" s="10" t="s">
        <v>2478</v>
      </c>
      <c r="I203" s="10" t="s">
        <v>2479</v>
      </c>
      <c r="J203" s="658">
        <v>0</v>
      </c>
      <c r="K203" s="118">
        <v>14000000</v>
      </c>
      <c r="L203" s="116">
        <f t="shared" si="47"/>
        <v>1400000</v>
      </c>
      <c r="M203" s="658">
        <v>0</v>
      </c>
      <c r="N203" s="189">
        <f t="shared" si="48"/>
        <v>15400000</v>
      </c>
      <c r="O203" s="197" t="s">
        <v>58</v>
      </c>
      <c r="P203" s="197" t="s">
        <v>99</v>
      </c>
      <c r="Q203" s="175"/>
      <c r="R203" s="175"/>
      <c r="S203" s="116">
        <v>0</v>
      </c>
      <c r="T203" s="116">
        <f>-K203*2%</f>
        <v>-280000</v>
      </c>
      <c r="U203" s="115">
        <v>15120000</v>
      </c>
      <c r="V203" s="210">
        <f t="shared" si="49"/>
        <v>0</v>
      </c>
      <c r="W203" s="115">
        <f t="shared" si="74"/>
        <v>0</v>
      </c>
      <c r="X203" s="181" t="s">
        <v>237</v>
      </c>
      <c r="Y203" s="116"/>
      <c r="Z203" s="185"/>
      <c r="AA203" s="592"/>
      <c r="AB203" s="186"/>
      <c r="AC203" s="9"/>
      <c r="AD203" s="297"/>
      <c r="AE203" s="297">
        <f t="shared" si="51"/>
        <v>280000</v>
      </c>
      <c r="AF203" s="9"/>
      <c r="AG203" s="9" t="s">
        <v>1395</v>
      </c>
      <c r="AH203" s="300">
        <v>42863</v>
      </c>
      <c r="AI203" s="9" t="s">
        <v>2525</v>
      </c>
      <c r="AJ203" s="300">
        <v>42863</v>
      </c>
      <c r="AK203" s="73" t="str">
        <f t="shared" si="52"/>
        <v>DUTA TAMBANG REKAYASA, PTMEI</v>
      </c>
    </row>
    <row r="204" spans="1:37" s="114" customFormat="1" ht="12" hidden="1" customHeight="1">
      <c r="A204" s="53"/>
      <c r="B204" s="53" t="s">
        <v>243</v>
      </c>
      <c r="C204" s="9">
        <v>1</v>
      </c>
      <c r="D204" s="8" t="s">
        <v>1625</v>
      </c>
      <c r="E204" s="10" t="s">
        <v>355</v>
      </c>
      <c r="F204" s="356"/>
      <c r="G204" s="10"/>
      <c r="H204" s="10" t="s">
        <v>2957</v>
      </c>
      <c r="I204" s="10" t="s">
        <v>2958</v>
      </c>
      <c r="J204" s="658"/>
      <c r="K204" s="118">
        <f>4500*13318</f>
        <v>59931000</v>
      </c>
      <c r="L204" s="116">
        <f t="shared" ref="L204:L209" si="80">K204*10%</f>
        <v>5993100</v>
      </c>
      <c r="M204" s="658">
        <v>0</v>
      </c>
      <c r="N204" s="189">
        <f t="shared" ref="N204:N209" si="81">K204+L204</f>
        <v>65924100</v>
      </c>
      <c r="O204" s="197" t="s">
        <v>243</v>
      </c>
      <c r="P204" s="197" t="s">
        <v>93</v>
      </c>
      <c r="Q204" s="175"/>
      <c r="R204" s="175"/>
      <c r="S204" s="116"/>
      <c r="T204" s="116">
        <f t="shared" ref="T204:T208" si="82">-K204*2%</f>
        <v>-1198620</v>
      </c>
      <c r="U204" s="115">
        <f>129450960/2</f>
        <v>64725480</v>
      </c>
      <c r="V204" s="210">
        <f t="shared" si="49"/>
        <v>0</v>
      </c>
      <c r="W204" s="115"/>
      <c r="X204" s="181"/>
      <c r="Y204" s="116"/>
      <c r="Z204" s="185"/>
      <c r="AA204" s="592"/>
      <c r="AB204" s="186"/>
      <c r="AC204" s="9"/>
      <c r="AD204" s="297"/>
      <c r="AE204" s="297"/>
      <c r="AF204" s="9"/>
      <c r="AG204" s="9" t="s">
        <v>1395</v>
      </c>
      <c r="AH204" s="300">
        <v>42949</v>
      </c>
      <c r="AI204" s="9" t="s">
        <v>3002</v>
      </c>
      <c r="AJ204" s="300">
        <v>42949</v>
      </c>
      <c r="AK204" s="73" t="str">
        <f t="shared" si="52"/>
        <v>DUTA TAMBANG REKAYASA, PTAGS</v>
      </c>
    </row>
    <row r="205" spans="1:37" s="114" customFormat="1" ht="12" hidden="1" customHeight="1">
      <c r="A205" s="53"/>
      <c r="B205" s="53" t="s">
        <v>243</v>
      </c>
      <c r="C205" s="9">
        <v>1</v>
      </c>
      <c r="D205" s="8" t="s">
        <v>1625</v>
      </c>
      <c r="E205" s="10" t="s">
        <v>355</v>
      </c>
      <c r="F205" s="356"/>
      <c r="G205" s="10"/>
      <c r="H205" s="10" t="s">
        <v>2959</v>
      </c>
      <c r="I205" s="10" t="s">
        <v>2960</v>
      </c>
      <c r="J205" s="658"/>
      <c r="K205" s="118">
        <f>4500*13318</f>
        <v>59931000</v>
      </c>
      <c r="L205" s="116">
        <f t="shared" si="80"/>
        <v>5993100</v>
      </c>
      <c r="M205" s="658">
        <v>0</v>
      </c>
      <c r="N205" s="189">
        <f t="shared" si="81"/>
        <v>65924100</v>
      </c>
      <c r="O205" s="197" t="s">
        <v>243</v>
      </c>
      <c r="P205" s="197" t="s">
        <v>93</v>
      </c>
      <c r="Q205" s="175"/>
      <c r="R205" s="175"/>
      <c r="S205" s="116">
        <v>0</v>
      </c>
      <c r="T205" s="116">
        <f t="shared" si="82"/>
        <v>-1198620</v>
      </c>
      <c r="U205" s="115">
        <f>129450960/2</f>
        <v>64725480</v>
      </c>
      <c r="V205" s="210">
        <f t="shared" si="49"/>
        <v>0</v>
      </c>
      <c r="W205" s="115"/>
      <c r="X205" s="181"/>
      <c r="Y205" s="116"/>
      <c r="Z205" s="185"/>
      <c r="AA205" s="592"/>
      <c r="AB205" s="186"/>
      <c r="AC205" s="9"/>
      <c r="AD205" s="297"/>
      <c r="AE205" s="297"/>
      <c r="AF205" s="9"/>
      <c r="AG205" s="9" t="s">
        <v>1395</v>
      </c>
      <c r="AH205" s="300">
        <v>42949</v>
      </c>
      <c r="AI205" s="9" t="s">
        <v>3002</v>
      </c>
      <c r="AJ205" s="300">
        <v>42949</v>
      </c>
      <c r="AK205" s="73"/>
    </row>
    <row r="206" spans="1:37" s="114" customFormat="1" ht="12" hidden="1" customHeight="1">
      <c r="A206" s="53"/>
      <c r="B206" s="1220" t="s">
        <v>244</v>
      </c>
      <c r="C206" s="1221">
        <v>7</v>
      </c>
      <c r="D206" s="1222" t="s">
        <v>1625</v>
      </c>
      <c r="E206" s="1223" t="s">
        <v>355</v>
      </c>
      <c r="F206" s="1505" t="s">
        <v>3521</v>
      </c>
      <c r="G206" s="1223" t="s">
        <v>559</v>
      </c>
      <c r="H206" s="1223" t="s">
        <v>3194</v>
      </c>
      <c r="I206" s="1223" t="s">
        <v>3195</v>
      </c>
      <c r="J206" s="1237"/>
      <c r="K206" s="1212">
        <v>59989500</v>
      </c>
      <c r="L206" s="1224">
        <f t="shared" si="80"/>
        <v>5998950</v>
      </c>
      <c r="M206" s="1237"/>
      <c r="N206" s="1225">
        <f t="shared" si="81"/>
        <v>65988450</v>
      </c>
      <c r="O206" s="197" t="s">
        <v>245</v>
      </c>
      <c r="P206" s="197" t="s">
        <v>113</v>
      </c>
      <c r="Q206" s="175"/>
      <c r="R206" s="175"/>
      <c r="S206" s="116">
        <v>0</v>
      </c>
      <c r="T206" s="116">
        <f t="shared" si="82"/>
        <v>-1199790</v>
      </c>
      <c r="U206" s="115">
        <v>64788660</v>
      </c>
      <c r="V206" s="210"/>
      <c r="W206" s="115"/>
      <c r="X206" s="181"/>
      <c r="Y206" s="116"/>
      <c r="Z206" s="185"/>
      <c r="AA206" s="592"/>
      <c r="AB206" s="186"/>
      <c r="AC206" s="9"/>
      <c r="AD206" s="297"/>
      <c r="AE206" s="297"/>
      <c r="AF206" s="9"/>
      <c r="AG206" s="9"/>
      <c r="AH206" s="300"/>
      <c r="AI206" s="9"/>
      <c r="AJ206" s="300"/>
      <c r="AK206" s="73"/>
    </row>
    <row r="207" spans="1:37" s="114" customFormat="1" ht="12" hidden="1" customHeight="1">
      <c r="A207" s="53"/>
      <c r="B207" s="1220" t="s">
        <v>245</v>
      </c>
      <c r="C207" s="1221">
        <v>10</v>
      </c>
      <c r="D207" s="1222" t="s">
        <v>1625</v>
      </c>
      <c r="E207" s="1223" t="s">
        <v>355</v>
      </c>
      <c r="F207" s="1505" t="s">
        <v>3521</v>
      </c>
      <c r="G207" s="1223" t="s">
        <v>602</v>
      </c>
      <c r="H207" s="1223" t="s">
        <v>3416</v>
      </c>
      <c r="I207" s="1223" t="s">
        <v>3417</v>
      </c>
      <c r="J207" s="1237"/>
      <c r="K207" s="1212">
        <v>60709500</v>
      </c>
      <c r="L207" s="1224">
        <f t="shared" si="80"/>
        <v>6070950</v>
      </c>
      <c r="M207" s="1237"/>
      <c r="N207" s="1225">
        <f t="shared" si="81"/>
        <v>66780450</v>
      </c>
      <c r="O207" s="197" t="s">
        <v>245</v>
      </c>
      <c r="P207" s="197" t="s">
        <v>113</v>
      </c>
      <c r="Q207" s="175"/>
      <c r="R207" s="175"/>
      <c r="S207" s="116">
        <v>0</v>
      </c>
      <c r="T207" s="116">
        <f t="shared" si="82"/>
        <v>-1214190</v>
      </c>
      <c r="U207" s="115">
        <v>65566260</v>
      </c>
      <c r="V207" s="210"/>
      <c r="W207" s="115"/>
      <c r="X207" s="181"/>
      <c r="Y207" s="116"/>
      <c r="Z207" s="185"/>
      <c r="AA207" s="592"/>
      <c r="AB207" s="186"/>
      <c r="AC207" s="9"/>
      <c r="AD207" s="297"/>
      <c r="AE207" s="297"/>
      <c r="AF207" s="9"/>
      <c r="AG207" s="9"/>
      <c r="AH207" s="300"/>
      <c r="AI207" s="9"/>
      <c r="AJ207" s="300"/>
      <c r="AK207" s="73"/>
    </row>
    <row r="208" spans="1:37" s="1211" customFormat="1" ht="12" hidden="1" customHeight="1">
      <c r="A208" s="758"/>
      <c r="B208" s="1220" t="s">
        <v>238</v>
      </c>
      <c r="C208" s="1221">
        <v>6</v>
      </c>
      <c r="D208" s="1222" t="s">
        <v>1625</v>
      </c>
      <c r="E208" s="1223" t="s">
        <v>355</v>
      </c>
      <c r="F208" s="1505" t="s">
        <v>3521</v>
      </c>
      <c r="G208" s="1223" t="s">
        <v>641</v>
      </c>
      <c r="H208" s="1223" t="s">
        <v>3522</v>
      </c>
      <c r="I208" s="1223" t="s">
        <v>3523</v>
      </c>
      <c r="J208" s="1237"/>
      <c r="K208" s="1212">
        <v>60880500</v>
      </c>
      <c r="L208" s="1224">
        <f t="shared" si="80"/>
        <v>6088050</v>
      </c>
      <c r="M208" s="1237"/>
      <c r="N208" s="1225">
        <f t="shared" si="81"/>
        <v>66968550</v>
      </c>
      <c r="O208" s="1202" t="s">
        <v>140</v>
      </c>
      <c r="P208" s="1202" t="s">
        <v>88</v>
      </c>
      <c r="Q208" s="1308"/>
      <c r="R208" s="1214"/>
      <c r="S208" s="116">
        <v>0</v>
      </c>
      <c r="T208" s="762">
        <f t="shared" si="82"/>
        <v>-1217610</v>
      </c>
      <c r="U208" s="1203">
        <v>65750940</v>
      </c>
      <c r="V208" s="1215"/>
      <c r="W208" s="1203"/>
      <c r="X208" s="1204"/>
      <c r="Y208" s="762"/>
      <c r="Z208" s="1205"/>
      <c r="AA208" s="1206"/>
      <c r="AB208" s="1207"/>
      <c r="AC208" s="759"/>
      <c r="AD208" s="1208"/>
      <c r="AE208" s="1208"/>
      <c r="AF208" s="759"/>
      <c r="AG208" s="759"/>
      <c r="AH208" s="1209"/>
      <c r="AI208" s="759"/>
      <c r="AJ208" s="1209"/>
      <c r="AK208" s="1210"/>
    </row>
    <row r="209" spans="1:37" s="1211" customFormat="1" ht="12" hidden="1" customHeight="1">
      <c r="A209" s="758"/>
      <c r="B209" s="758" t="s">
        <v>140</v>
      </c>
      <c r="C209" s="759">
        <v>7</v>
      </c>
      <c r="D209" s="760" t="s">
        <v>1625</v>
      </c>
      <c r="E209" s="761" t="s">
        <v>355</v>
      </c>
      <c r="F209" s="1506" t="s">
        <v>3521</v>
      </c>
      <c r="G209" s="761" t="s">
        <v>1616</v>
      </c>
      <c r="H209" s="761" t="s">
        <v>3697</v>
      </c>
      <c r="I209" s="761" t="s">
        <v>3698</v>
      </c>
      <c r="J209" s="1054"/>
      <c r="K209" s="764">
        <v>60984000</v>
      </c>
      <c r="L209" s="762">
        <f t="shared" si="80"/>
        <v>6098400</v>
      </c>
      <c r="M209" s="1054"/>
      <c r="N209" s="763">
        <f t="shared" si="81"/>
        <v>67082400</v>
      </c>
      <c r="O209" s="1202"/>
      <c r="P209" s="1202"/>
      <c r="Q209" s="1308"/>
      <c r="R209" s="1214"/>
      <c r="S209" s="762"/>
      <c r="T209" s="762"/>
      <c r="U209" s="1203"/>
      <c r="V209" s="1215"/>
      <c r="W209" s="1203"/>
      <c r="X209" s="1204"/>
      <c r="Y209" s="762"/>
      <c r="Z209" s="1205"/>
      <c r="AA209" s="1206"/>
      <c r="AB209" s="1207"/>
      <c r="AC209" s="759"/>
      <c r="AD209" s="1208"/>
      <c r="AE209" s="1208"/>
      <c r="AF209" s="759"/>
      <c r="AG209" s="759"/>
      <c r="AH209" s="1209"/>
      <c r="AI209" s="759"/>
      <c r="AJ209" s="1209"/>
      <c r="AK209" s="1210"/>
    </row>
    <row r="210" spans="1:37" s="114" customFormat="1" ht="12" hidden="1" customHeight="1">
      <c r="A210" s="53"/>
      <c r="B210" s="53" t="s">
        <v>194</v>
      </c>
      <c r="C210" s="9">
        <v>9</v>
      </c>
      <c r="D210" s="8" t="s">
        <v>49</v>
      </c>
      <c r="E210" s="10" t="s">
        <v>355</v>
      </c>
      <c r="F210" s="356"/>
      <c r="G210" s="10"/>
      <c r="H210" s="10" t="s">
        <v>1780</v>
      </c>
      <c r="I210" s="10" t="s">
        <v>1781</v>
      </c>
      <c r="J210" s="658">
        <v>0</v>
      </c>
      <c r="K210" s="118">
        <f>2030*13385</f>
        <v>27171550</v>
      </c>
      <c r="L210" s="116">
        <f t="shared" si="47"/>
        <v>2717155</v>
      </c>
      <c r="M210" s="658">
        <v>0</v>
      </c>
      <c r="N210" s="189">
        <f t="shared" si="48"/>
        <v>29888705</v>
      </c>
      <c r="O210" s="197" t="s">
        <v>195</v>
      </c>
      <c r="P210" s="197" t="s">
        <v>94</v>
      </c>
      <c r="Q210" s="1308"/>
      <c r="R210" s="175"/>
      <c r="S210" s="116">
        <v>0</v>
      </c>
      <c r="T210" s="116">
        <f>-K210*2%</f>
        <v>-543431</v>
      </c>
      <c r="U210" s="115">
        <v>29345274</v>
      </c>
      <c r="V210" s="210">
        <f t="shared" si="49"/>
        <v>0</v>
      </c>
      <c r="W210" s="115">
        <f t="shared" si="74"/>
        <v>0</v>
      </c>
      <c r="X210" s="181" t="s">
        <v>237</v>
      </c>
      <c r="Y210" s="116"/>
      <c r="Z210" s="185"/>
      <c r="AA210" s="592">
        <f>-S210-Z210</f>
        <v>0</v>
      </c>
      <c r="AB210" s="186"/>
      <c r="AC210" s="9"/>
      <c r="AD210" s="297"/>
      <c r="AE210" s="297">
        <f t="shared" si="51"/>
        <v>543431</v>
      </c>
      <c r="AF210" s="9"/>
      <c r="AG210" s="9" t="s">
        <v>1395</v>
      </c>
      <c r="AH210" s="300">
        <v>42746</v>
      </c>
      <c r="AI210" s="9" t="s">
        <v>1877</v>
      </c>
      <c r="AJ210" s="300">
        <v>42746</v>
      </c>
      <c r="AK210" s="73" t="str">
        <f t="shared" si="52"/>
        <v>ELGA YASA MEDIA, PTFEB</v>
      </c>
    </row>
    <row r="211" spans="1:37" s="114" customFormat="1" ht="12" hidden="1" customHeight="1">
      <c r="A211" s="53"/>
      <c r="B211" s="53" t="s">
        <v>195</v>
      </c>
      <c r="C211" s="9">
        <v>1</v>
      </c>
      <c r="D211" s="8" t="s">
        <v>49</v>
      </c>
      <c r="E211" s="10" t="s">
        <v>355</v>
      </c>
      <c r="F211" s="356"/>
      <c r="G211" s="10"/>
      <c r="H211" s="10" t="s">
        <v>1978</v>
      </c>
      <c r="I211" s="10" t="s">
        <v>2022</v>
      </c>
      <c r="J211" s="658">
        <v>0</v>
      </c>
      <c r="K211" s="118">
        <f>2030*13349</f>
        <v>27098470</v>
      </c>
      <c r="L211" s="116">
        <f t="shared" si="47"/>
        <v>2709847</v>
      </c>
      <c r="M211" s="658">
        <v>0</v>
      </c>
      <c r="N211" s="189">
        <f t="shared" si="48"/>
        <v>29808317</v>
      </c>
      <c r="O211" s="197" t="s">
        <v>239</v>
      </c>
      <c r="P211" s="197" t="s">
        <v>19</v>
      </c>
      <c r="Q211" s="1308"/>
      <c r="R211" s="175"/>
      <c r="S211" s="116">
        <v>0</v>
      </c>
      <c r="T211" s="116">
        <f>-K211*2%</f>
        <v>-541969.4</v>
      </c>
      <c r="U211" s="115">
        <v>29266348</v>
      </c>
      <c r="V211" s="210">
        <f t="shared" si="49"/>
        <v>0</v>
      </c>
      <c r="W211" s="115">
        <f t="shared" si="74"/>
        <v>-0.39999999850988388</v>
      </c>
      <c r="X211" s="181" t="s">
        <v>237</v>
      </c>
      <c r="Y211" s="116"/>
      <c r="Z211" s="185"/>
      <c r="AA211" s="592"/>
      <c r="AB211" s="186"/>
      <c r="AC211" s="9"/>
      <c r="AD211" s="297"/>
      <c r="AE211" s="297">
        <f t="shared" si="51"/>
        <v>541969.4</v>
      </c>
      <c r="AF211" s="9"/>
      <c r="AG211" s="9" t="s">
        <v>1395</v>
      </c>
      <c r="AH211" s="300">
        <v>42769</v>
      </c>
      <c r="AI211" s="9" t="s">
        <v>1877</v>
      </c>
      <c r="AJ211" s="300">
        <v>42769</v>
      </c>
      <c r="AK211" s="73" t="str">
        <f t="shared" si="52"/>
        <v>ELGA YASA MEDIA, PTMAR</v>
      </c>
    </row>
    <row r="212" spans="1:37" s="114" customFormat="1" ht="12" hidden="1" customHeight="1">
      <c r="A212" s="53"/>
      <c r="B212" s="53" t="s">
        <v>195</v>
      </c>
      <c r="C212" s="9">
        <v>1</v>
      </c>
      <c r="D212" s="8" t="s">
        <v>49</v>
      </c>
      <c r="E212" s="10" t="s">
        <v>118</v>
      </c>
      <c r="F212" s="356"/>
      <c r="G212" s="10"/>
      <c r="H212" s="10" t="s">
        <v>2021</v>
      </c>
      <c r="I212" s="10" t="s">
        <v>14</v>
      </c>
      <c r="J212" s="658">
        <v>0</v>
      </c>
      <c r="K212" s="118">
        <v>2952400</v>
      </c>
      <c r="L212" s="116">
        <v>0</v>
      </c>
      <c r="M212" s="658">
        <v>0</v>
      </c>
      <c r="N212" s="189">
        <f t="shared" si="48"/>
        <v>2952400</v>
      </c>
      <c r="O212" s="197" t="s">
        <v>239</v>
      </c>
      <c r="P212" s="197" t="s">
        <v>19</v>
      </c>
      <c r="Q212" s="1308"/>
      <c r="R212" s="175"/>
      <c r="S212" s="116">
        <v>0</v>
      </c>
      <c r="T212" s="116">
        <v>0</v>
      </c>
      <c r="U212" s="115">
        <v>2952400</v>
      </c>
      <c r="V212" s="210">
        <f t="shared" si="49"/>
        <v>0</v>
      </c>
      <c r="W212" s="115">
        <f t="shared" si="74"/>
        <v>0</v>
      </c>
      <c r="X212" s="181" t="s">
        <v>237</v>
      </c>
      <c r="Y212" s="116"/>
      <c r="Z212" s="185"/>
      <c r="AA212" s="592"/>
      <c r="AB212" s="186"/>
      <c r="AC212" s="9"/>
      <c r="AD212" s="297"/>
      <c r="AE212" s="297">
        <f t="shared" si="51"/>
        <v>0</v>
      </c>
      <c r="AF212" s="9"/>
      <c r="AG212" s="9" t="s">
        <v>1395</v>
      </c>
      <c r="AH212" s="300">
        <v>42769</v>
      </c>
      <c r="AI212" s="9" t="s">
        <v>1877</v>
      </c>
      <c r="AJ212" s="300">
        <v>42769</v>
      </c>
      <c r="AK212" s="73" t="str">
        <f t="shared" si="52"/>
        <v>ELGA YASA MEDIA, PTMAR</v>
      </c>
    </row>
    <row r="213" spans="1:37" s="114" customFormat="1" ht="12" hidden="1" customHeight="1">
      <c r="A213" s="53"/>
      <c r="B213" s="53" t="s">
        <v>239</v>
      </c>
      <c r="C213" s="9">
        <v>1</v>
      </c>
      <c r="D213" s="8" t="s">
        <v>49</v>
      </c>
      <c r="E213" s="10" t="s">
        <v>355</v>
      </c>
      <c r="F213" s="356"/>
      <c r="G213" s="10"/>
      <c r="H213" s="10" t="s">
        <v>2145</v>
      </c>
      <c r="I213" s="10" t="s">
        <v>2146</v>
      </c>
      <c r="J213" s="658">
        <v>0</v>
      </c>
      <c r="K213" s="118">
        <f>2030*13361</f>
        <v>27122830</v>
      </c>
      <c r="L213" s="116">
        <f>K213*10%</f>
        <v>2712283</v>
      </c>
      <c r="M213" s="658">
        <v>0</v>
      </c>
      <c r="N213" s="189">
        <f t="shared" si="48"/>
        <v>29835113</v>
      </c>
      <c r="O213" s="197" t="s">
        <v>240</v>
      </c>
      <c r="P213" s="197" t="s">
        <v>38</v>
      </c>
      <c r="Q213" s="1308"/>
      <c r="R213" s="175"/>
      <c r="S213" s="116">
        <v>0</v>
      </c>
      <c r="T213" s="116">
        <f>-K213*2%</f>
        <v>-542456.6</v>
      </c>
      <c r="U213" s="115">
        <v>29292656</v>
      </c>
      <c r="V213" s="210">
        <f t="shared" si="49"/>
        <v>0</v>
      </c>
      <c r="W213" s="115">
        <f t="shared" si="74"/>
        <v>0.39999999850988388</v>
      </c>
      <c r="X213" s="181" t="s">
        <v>237</v>
      </c>
      <c r="Y213" s="116"/>
      <c r="Z213" s="185"/>
      <c r="AA213" s="592"/>
      <c r="AB213" s="186"/>
      <c r="AC213" s="9"/>
      <c r="AD213" s="297"/>
      <c r="AE213" s="297">
        <f t="shared" si="51"/>
        <v>542456.6</v>
      </c>
      <c r="AF213" s="9"/>
      <c r="AG213" s="9" t="s">
        <v>1395</v>
      </c>
      <c r="AH213" s="300">
        <v>42797</v>
      </c>
      <c r="AI213" s="9" t="s">
        <v>2172</v>
      </c>
      <c r="AJ213" s="300">
        <v>42800</v>
      </c>
      <c r="AK213" s="73" t="str">
        <f t="shared" si="52"/>
        <v>ELGA YASA MEDIA, PTAPR</v>
      </c>
    </row>
    <row r="214" spans="1:37" s="114" customFormat="1" ht="12" hidden="1" customHeight="1">
      <c r="A214" s="53"/>
      <c r="B214" s="53" t="s">
        <v>240</v>
      </c>
      <c r="C214" s="9">
        <v>3</v>
      </c>
      <c r="D214" s="8" t="s">
        <v>49</v>
      </c>
      <c r="E214" s="10" t="s">
        <v>355</v>
      </c>
      <c r="F214" s="356"/>
      <c r="G214" s="10"/>
      <c r="H214" s="10" t="s">
        <v>2244</v>
      </c>
      <c r="I214" s="10" t="s">
        <v>2245</v>
      </c>
      <c r="J214" s="658">
        <v>0</v>
      </c>
      <c r="K214" s="118">
        <f>2030*13324</f>
        <v>27047720</v>
      </c>
      <c r="L214" s="116">
        <f>K214*10%</f>
        <v>2704772</v>
      </c>
      <c r="M214" s="658">
        <v>0</v>
      </c>
      <c r="N214" s="189">
        <f t="shared" si="48"/>
        <v>29752492</v>
      </c>
      <c r="O214" s="197" t="s">
        <v>58</v>
      </c>
      <c r="P214" s="197" t="s">
        <v>97</v>
      </c>
      <c r="Q214" s="1308"/>
      <c r="R214" s="175"/>
      <c r="S214" s="116">
        <v>0</v>
      </c>
      <c r="T214" s="116">
        <f>-K214*2%</f>
        <v>-540954.4</v>
      </c>
      <c r="U214" s="115">
        <v>29211538</v>
      </c>
      <c r="V214" s="210">
        <f t="shared" si="49"/>
        <v>0</v>
      </c>
      <c r="W214" s="115">
        <f t="shared" si="74"/>
        <v>-0.39999999850988388</v>
      </c>
      <c r="X214" s="181" t="s">
        <v>237</v>
      </c>
      <c r="Y214" s="116"/>
      <c r="Z214" s="185"/>
      <c r="AA214" s="592"/>
      <c r="AB214" s="186"/>
      <c r="AC214" s="9"/>
      <c r="AD214" s="297"/>
      <c r="AE214" s="297">
        <f t="shared" si="51"/>
        <v>540954.4</v>
      </c>
      <c r="AF214" s="9"/>
      <c r="AG214" s="9" t="s">
        <v>1395</v>
      </c>
      <c r="AH214" s="300">
        <v>42830</v>
      </c>
      <c r="AI214" s="9" t="s">
        <v>1877</v>
      </c>
      <c r="AJ214" s="300">
        <v>42830</v>
      </c>
      <c r="AK214" s="73" t="str">
        <f t="shared" si="52"/>
        <v>ELGA YASA MEDIA, PTMEI</v>
      </c>
    </row>
    <row r="215" spans="1:37" s="114" customFormat="1" ht="12" hidden="1" customHeight="1">
      <c r="A215" s="53"/>
      <c r="B215" s="53" t="s">
        <v>58</v>
      </c>
      <c r="C215" s="9">
        <v>2</v>
      </c>
      <c r="D215" s="8" t="s">
        <v>49</v>
      </c>
      <c r="E215" s="10" t="s">
        <v>355</v>
      </c>
      <c r="F215" s="356"/>
      <c r="G215" s="10"/>
      <c r="H215" s="10" t="s">
        <v>2480</v>
      </c>
      <c r="I215" s="10" t="s">
        <v>2481</v>
      </c>
      <c r="J215" s="658">
        <v>0</v>
      </c>
      <c r="K215" s="118">
        <f>2030*13316</f>
        <v>27031480</v>
      </c>
      <c r="L215" s="116">
        <f>K215*10%</f>
        <v>2703148</v>
      </c>
      <c r="M215" s="658">
        <v>0</v>
      </c>
      <c r="N215" s="189">
        <f t="shared" si="48"/>
        <v>29734628</v>
      </c>
      <c r="O215" s="197" t="s">
        <v>241</v>
      </c>
      <c r="P215" s="197" t="s">
        <v>115</v>
      </c>
      <c r="Q215" s="1308"/>
      <c r="R215" s="175"/>
      <c r="S215" s="116">
        <v>0</v>
      </c>
      <c r="T215" s="116">
        <f>-K215*2%</f>
        <v>-540629.6</v>
      </c>
      <c r="U215" s="115">
        <v>29193998</v>
      </c>
      <c r="V215" s="210">
        <f t="shared" si="49"/>
        <v>0</v>
      </c>
      <c r="W215" s="115">
        <f t="shared" si="74"/>
        <v>0.39999999850988388</v>
      </c>
      <c r="X215" s="181" t="s">
        <v>237</v>
      </c>
      <c r="Y215" s="116"/>
      <c r="Z215" s="185"/>
      <c r="AA215" s="592"/>
      <c r="AB215" s="186"/>
      <c r="AC215" s="9"/>
      <c r="AD215" s="297"/>
      <c r="AE215" s="297">
        <f t="shared" si="51"/>
        <v>540629.6</v>
      </c>
      <c r="AF215" s="9"/>
      <c r="AG215" s="9" t="s">
        <v>1395</v>
      </c>
      <c r="AH215" s="300">
        <v>42863</v>
      </c>
      <c r="AI215" s="9" t="s">
        <v>560</v>
      </c>
      <c r="AJ215" s="300">
        <v>42863</v>
      </c>
      <c r="AK215" s="73" t="str">
        <f t="shared" si="52"/>
        <v>ELGA YASA MEDIA, PTJUN</v>
      </c>
    </row>
    <row r="216" spans="1:37" s="114" customFormat="1" ht="12" hidden="1" customHeight="1">
      <c r="A216" s="53"/>
      <c r="B216" s="53" t="s">
        <v>241</v>
      </c>
      <c r="C216" s="9">
        <v>2</v>
      </c>
      <c r="D216" s="8" t="s">
        <v>49</v>
      </c>
      <c r="E216" s="10" t="s">
        <v>355</v>
      </c>
      <c r="F216" s="356"/>
      <c r="G216" s="10"/>
      <c r="H216" s="10" t="s">
        <v>2623</v>
      </c>
      <c r="I216" s="10" t="s">
        <v>2664</v>
      </c>
      <c r="J216" s="658">
        <v>0</v>
      </c>
      <c r="K216" s="118">
        <f>2030*13311</f>
        <v>27021330</v>
      </c>
      <c r="L216" s="116">
        <f>K216*10%</f>
        <v>2702133</v>
      </c>
      <c r="M216" s="658">
        <v>0</v>
      </c>
      <c r="N216" s="189">
        <f>K216+L216</f>
        <v>29723463</v>
      </c>
      <c r="O216" s="197" t="s">
        <v>242</v>
      </c>
      <c r="P216" s="197" t="s">
        <v>34</v>
      </c>
      <c r="Q216" s="1308"/>
      <c r="R216" s="175"/>
      <c r="S216" s="116">
        <v>0</v>
      </c>
      <c r="T216" s="116">
        <f>-K216*2%</f>
        <v>-540426.6</v>
      </c>
      <c r="U216" s="115">
        <v>29183036</v>
      </c>
      <c r="V216" s="210">
        <f t="shared" si="49"/>
        <v>0</v>
      </c>
      <c r="W216" s="115">
        <f t="shared" si="74"/>
        <v>0.39999999850988388</v>
      </c>
      <c r="X216" s="181" t="s">
        <v>237</v>
      </c>
      <c r="Y216" s="116"/>
      <c r="Z216" s="185"/>
      <c r="AA216" s="592"/>
      <c r="AB216" s="186"/>
      <c r="AC216" s="9"/>
      <c r="AD216" s="297"/>
      <c r="AE216" s="297">
        <f t="shared" si="51"/>
        <v>540426.6</v>
      </c>
      <c r="AF216" s="9"/>
      <c r="AG216" s="9" t="s">
        <v>1395</v>
      </c>
      <c r="AH216" s="300">
        <v>42893</v>
      </c>
      <c r="AI216" s="9" t="s">
        <v>1877</v>
      </c>
      <c r="AJ216" s="300">
        <v>42893</v>
      </c>
      <c r="AK216" s="73" t="str">
        <f t="shared" si="52"/>
        <v>ELGA YASA MEDIA, PTJUL</v>
      </c>
    </row>
    <row r="217" spans="1:37" s="114" customFormat="1" ht="12" hidden="1" customHeight="1">
      <c r="A217" s="53"/>
      <c r="B217" s="53" t="s">
        <v>194</v>
      </c>
      <c r="C217" s="9">
        <v>9</v>
      </c>
      <c r="D217" s="8" t="s">
        <v>28</v>
      </c>
      <c r="E217" s="10" t="s">
        <v>355</v>
      </c>
      <c r="F217" s="356"/>
      <c r="G217" s="10"/>
      <c r="H217" s="10" t="s">
        <v>1782</v>
      </c>
      <c r="I217" s="10" t="s">
        <v>1784</v>
      </c>
      <c r="J217" s="658">
        <v>0</v>
      </c>
      <c r="K217" s="118">
        <v>32000000</v>
      </c>
      <c r="L217" s="116">
        <f t="shared" ref="L217:L225" si="83">K217*10%</f>
        <v>3200000</v>
      </c>
      <c r="M217" s="658">
        <v>0</v>
      </c>
      <c r="N217" s="189">
        <f t="shared" ref="N217:N225" si="84">K217+L217</f>
        <v>35200000</v>
      </c>
      <c r="O217" s="55" t="s">
        <v>194</v>
      </c>
      <c r="P217" s="55" t="s">
        <v>113</v>
      </c>
      <c r="Q217" s="1312"/>
      <c r="R217" s="55"/>
      <c r="S217" s="116">
        <v>0</v>
      </c>
      <c r="T217" s="116">
        <f>-K217*2%</f>
        <v>-640000</v>
      </c>
      <c r="U217" s="115">
        <v>34560000</v>
      </c>
      <c r="V217" s="210">
        <f t="shared" si="49"/>
        <v>0</v>
      </c>
      <c r="W217" s="115">
        <f t="shared" si="74"/>
        <v>0</v>
      </c>
      <c r="X217" s="181" t="s">
        <v>237</v>
      </c>
      <c r="Y217" s="116"/>
      <c r="Z217" s="185"/>
      <c r="AA217" s="592">
        <f>-S217-Z217</f>
        <v>0</v>
      </c>
      <c r="AB217" s="186"/>
      <c r="AC217" s="9"/>
      <c r="AD217" s="297"/>
      <c r="AE217" s="297">
        <f t="shared" si="51"/>
        <v>640000</v>
      </c>
      <c r="AF217" s="9"/>
      <c r="AG217" s="9" t="s">
        <v>1395</v>
      </c>
      <c r="AH217" s="300">
        <v>42746</v>
      </c>
      <c r="AI217" s="9" t="s">
        <v>1551</v>
      </c>
      <c r="AJ217" s="300">
        <v>42746</v>
      </c>
      <c r="AK217" s="73" t="str">
        <f t="shared" si="52"/>
        <v>EXPANS PETROGAS INTRANUSA, PTJAN</v>
      </c>
    </row>
    <row r="218" spans="1:37" s="114" customFormat="1" ht="12" hidden="1" customHeight="1">
      <c r="A218" s="53"/>
      <c r="B218" s="53" t="s">
        <v>194</v>
      </c>
      <c r="C218" s="9">
        <v>9</v>
      </c>
      <c r="D218" s="8" t="s">
        <v>28</v>
      </c>
      <c r="E218" s="10" t="s">
        <v>364</v>
      </c>
      <c r="F218" s="356"/>
      <c r="G218" s="10"/>
      <c r="H218" s="10" t="s">
        <v>1783</v>
      </c>
      <c r="I218" s="10" t="s">
        <v>1785</v>
      </c>
      <c r="J218" s="658">
        <v>0</v>
      </c>
      <c r="K218" s="118">
        <v>1000000</v>
      </c>
      <c r="L218" s="116">
        <f t="shared" si="83"/>
        <v>100000</v>
      </c>
      <c r="M218" s="658">
        <v>0</v>
      </c>
      <c r="N218" s="189">
        <f t="shared" si="84"/>
        <v>1100000</v>
      </c>
      <c r="O218" s="55" t="s">
        <v>58</v>
      </c>
      <c r="P218" s="55" t="s">
        <v>18</v>
      </c>
      <c r="Q218" s="1312"/>
      <c r="R218" s="55"/>
      <c r="S218" s="116">
        <v>0</v>
      </c>
      <c r="T218" s="116">
        <v>0</v>
      </c>
      <c r="U218" s="115">
        <v>1100000</v>
      </c>
      <c r="V218" s="210">
        <f t="shared" si="49"/>
        <v>0</v>
      </c>
      <c r="W218" s="115">
        <f t="shared" si="74"/>
        <v>0</v>
      </c>
      <c r="X218" s="181" t="s">
        <v>237</v>
      </c>
      <c r="Y218" s="116"/>
      <c r="Z218" s="185"/>
      <c r="AA218" s="592">
        <f>-S218-Z218</f>
        <v>0</v>
      </c>
      <c r="AB218" s="186"/>
      <c r="AC218" s="9"/>
      <c r="AD218" s="297"/>
      <c r="AE218" s="297">
        <f t="shared" si="51"/>
        <v>0</v>
      </c>
      <c r="AF218" s="9"/>
      <c r="AG218" s="9" t="s">
        <v>1395</v>
      </c>
      <c r="AH218" s="300">
        <v>42746</v>
      </c>
      <c r="AI218" s="9" t="s">
        <v>1551</v>
      </c>
      <c r="AJ218" s="300">
        <v>42746</v>
      </c>
      <c r="AK218" s="73" t="str">
        <f t="shared" si="52"/>
        <v>EXPANS PETROGAS INTRANUSA, PTMEI</v>
      </c>
    </row>
    <row r="219" spans="1:37" s="114" customFormat="1" ht="12" hidden="1" customHeight="1">
      <c r="A219" s="53"/>
      <c r="B219" s="53" t="s">
        <v>195</v>
      </c>
      <c r="C219" s="9">
        <v>1</v>
      </c>
      <c r="D219" s="8" t="s">
        <v>28</v>
      </c>
      <c r="E219" s="10" t="s">
        <v>355</v>
      </c>
      <c r="F219" s="356"/>
      <c r="G219" s="10"/>
      <c r="H219" s="10" t="s">
        <v>1942</v>
      </c>
      <c r="I219" s="10" t="s">
        <v>1944</v>
      </c>
      <c r="J219" s="658">
        <v>0</v>
      </c>
      <c r="K219" s="118">
        <v>32000000</v>
      </c>
      <c r="L219" s="116">
        <f t="shared" si="83"/>
        <v>3200000</v>
      </c>
      <c r="M219" s="658">
        <v>0</v>
      </c>
      <c r="N219" s="189">
        <f t="shared" si="84"/>
        <v>35200000</v>
      </c>
      <c r="O219" s="197" t="s">
        <v>242</v>
      </c>
      <c r="P219" s="197" t="s">
        <v>91</v>
      </c>
      <c r="Q219" s="1308"/>
      <c r="R219" s="175"/>
      <c r="S219" s="116">
        <v>0</v>
      </c>
      <c r="T219" s="116">
        <f>-K219*2%</f>
        <v>-640000</v>
      </c>
      <c r="U219" s="115">
        <v>34560000</v>
      </c>
      <c r="V219" s="210">
        <f t="shared" si="49"/>
        <v>0</v>
      </c>
      <c r="W219" s="115">
        <f t="shared" si="74"/>
        <v>0</v>
      </c>
      <c r="X219" s="181" t="s">
        <v>237</v>
      </c>
      <c r="Y219" s="116"/>
      <c r="Z219" s="185"/>
      <c r="AA219" s="592"/>
      <c r="AB219" s="186"/>
      <c r="AC219" s="9"/>
      <c r="AD219" s="297"/>
      <c r="AE219" s="297">
        <f t="shared" si="51"/>
        <v>640000</v>
      </c>
      <c r="AF219" s="9"/>
      <c r="AG219" s="9" t="s">
        <v>1395</v>
      </c>
      <c r="AH219" s="300">
        <v>42769</v>
      </c>
      <c r="AI219" s="9" t="s">
        <v>1551</v>
      </c>
      <c r="AJ219" s="300">
        <v>42769</v>
      </c>
      <c r="AK219" s="73" t="str">
        <f t="shared" si="52"/>
        <v>EXPANS PETROGAS INTRANUSA, PTJUL</v>
      </c>
    </row>
    <row r="220" spans="1:37" s="114" customFormat="1" ht="12" hidden="1" customHeight="1">
      <c r="A220" s="53"/>
      <c r="B220" s="53" t="s">
        <v>195</v>
      </c>
      <c r="C220" s="9">
        <v>1</v>
      </c>
      <c r="D220" s="8" t="s">
        <v>28</v>
      </c>
      <c r="E220" s="10" t="s">
        <v>364</v>
      </c>
      <c r="F220" s="356"/>
      <c r="G220" s="10"/>
      <c r="H220" s="10" t="s">
        <v>1943</v>
      </c>
      <c r="I220" s="10" t="s">
        <v>1945</v>
      </c>
      <c r="J220" s="658">
        <v>0</v>
      </c>
      <c r="K220" s="118">
        <v>1000000</v>
      </c>
      <c r="L220" s="116">
        <f>K220*10%</f>
        <v>100000</v>
      </c>
      <c r="M220" s="658">
        <v>0</v>
      </c>
      <c r="N220" s="189">
        <f>K220+L220</f>
        <v>1100000</v>
      </c>
      <c r="O220" s="197"/>
      <c r="P220" s="197"/>
      <c r="Q220" s="1308"/>
      <c r="R220" s="175"/>
      <c r="S220" s="116">
        <v>0</v>
      </c>
      <c r="T220" s="116">
        <v>0</v>
      </c>
      <c r="U220" s="115"/>
      <c r="V220" s="210">
        <f t="shared" si="49"/>
        <v>0</v>
      </c>
      <c r="W220" s="115">
        <f t="shared" si="74"/>
        <v>1100000</v>
      </c>
      <c r="X220" s="181"/>
      <c r="Y220" s="116"/>
      <c r="Z220" s="185"/>
      <c r="AA220" s="592"/>
      <c r="AB220" s="186"/>
      <c r="AC220" s="9"/>
      <c r="AD220" s="297"/>
      <c r="AE220" s="297">
        <f t="shared" si="51"/>
        <v>0</v>
      </c>
      <c r="AF220" s="9"/>
      <c r="AG220" s="9" t="s">
        <v>1395</v>
      </c>
      <c r="AH220" s="300">
        <v>42769</v>
      </c>
      <c r="AI220" s="9" t="s">
        <v>1551</v>
      </c>
      <c r="AJ220" s="300">
        <v>42769</v>
      </c>
      <c r="AK220" s="73" t="str">
        <f t="shared" si="52"/>
        <v>EXPANS PETROGAS INTRANUSA, PT</v>
      </c>
    </row>
    <row r="221" spans="1:37" s="114" customFormat="1" ht="12" hidden="1" customHeight="1">
      <c r="A221" s="53"/>
      <c r="B221" s="53" t="s">
        <v>239</v>
      </c>
      <c r="C221" s="9">
        <v>1</v>
      </c>
      <c r="D221" s="8" t="s">
        <v>28</v>
      </c>
      <c r="E221" s="10" t="s">
        <v>355</v>
      </c>
      <c r="F221" s="356"/>
      <c r="G221" s="10"/>
      <c r="H221" s="10" t="s">
        <v>2100</v>
      </c>
      <c r="I221" s="10" t="s">
        <v>2101</v>
      </c>
      <c r="J221" s="658">
        <v>0</v>
      </c>
      <c r="K221" s="118">
        <v>19200006</v>
      </c>
      <c r="L221" s="116">
        <f>K221*10%</f>
        <v>1920000.6</v>
      </c>
      <c r="M221" s="658">
        <v>0</v>
      </c>
      <c r="N221" s="189">
        <f>K221+L221</f>
        <v>21120006.600000001</v>
      </c>
      <c r="O221" s="197" t="s">
        <v>242</v>
      </c>
      <c r="P221" s="197" t="s">
        <v>91</v>
      </c>
      <c r="Q221" s="1308"/>
      <c r="R221" s="175"/>
      <c r="S221" s="116">
        <v>0</v>
      </c>
      <c r="T221" s="116">
        <f>-K221*2%</f>
        <v>-384000.12</v>
      </c>
      <c r="U221" s="115">
        <v>20736006</v>
      </c>
      <c r="V221" s="210">
        <f t="shared" si="49"/>
        <v>0</v>
      </c>
      <c r="W221" s="115">
        <f t="shared" si="74"/>
        <v>0.48000000044703484</v>
      </c>
      <c r="X221" s="181" t="s">
        <v>237</v>
      </c>
      <c r="Y221" s="116"/>
      <c r="Z221" s="185"/>
      <c r="AA221" s="592"/>
      <c r="AB221" s="186"/>
      <c r="AC221" s="9"/>
      <c r="AD221" s="297"/>
      <c r="AE221" s="297">
        <f t="shared" si="51"/>
        <v>384000.12</v>
      </c>
      <c r="AF221" s="9"/>
      <c r="AG221" s="9" t="s">
        <v>1395</v>
      </c>
      <c r="AH221" s="300">
        <v>42795</v>
      </c>
      <c r="AI221" s="9" t="s">
        <v>1551</v>
      </c>
      <c r="AJ221" s="300">
        <v>42800</v>
      </c>
      <c r="AK221" s="73" t="str">
        <f t="shared" si="52"/>
        <v>EXPANS PETROGAS INTRANUSA, PTJUL</v>
      </c>
    </row>
    <row r="222" spans="1:37" s="114" customFormat="1" ht="12" hidden="1" customHeight="1">
      <c r="A222" s="53"/>
      <c r="B222" s="53" t="s">
        <v>239</v>
      </c>
      <c r="C222" s="9">
        <v>1</v>
      </c>
      <c r="D222" s="8" t="s">
        <v>28</v>
      </c>
      <c r="E222" s="10" t="s">
        <v>364</v>
      </c>
      <c r="F222" s="356"/>
      <c r="G222" s="10"/>
      <c r="H222" s="10" t="s">
        <v>2102</v>
      </c>
      <c r="I222" s="10" t="s">
        <v>2103</v>
      </c>
      <c r="J222" s="658">
        <v>0</v>
      </c>
      <c r="K222" s="118">
        <v>766659</v>
      </c>
      <c r="L222" s="116">
        <f>K222*10%</f>
        <v>76665.900000000009</v>
      </c>
      <c r="M222" s="658">
        <v>0</v>
      </c>
      <c r="N222" s="189">
        <f>K222+L222</f>
        <v>843324.9</v>
      </c>
      <c r="O222" s="197"/>
      <c r="P222" s="197"/>
      <c r="Q222" s="1308"/>
      <c r="R222" s="175"/>
      <c r="S222" s="116">
        <v>0</v>
      </c>
      <c r="T222" s="116">
        <v>0</v>
      </c>
      <c r="U222" s="115"/>
      <c r="V222" s="210">
        <f t="shared" si="49"/>
        <v>0</v>
      </c>
      <c r="W222" s="115">
        <f t="shared" si="74"/>
        <v>843324.9</v>
      </c>
      <c r="X222" s="181"/>
      <c r="Y222" s="116"/>
      <c r="Z222" s="185"/>
      <c r="AA222" s="592"/>
      <c r="AB222" s="186"/>
      <c r="AC222" s="9"/>
      <c r="AD222" s="297"/>
      <c r="AE222" s="297">
        <f t="shared" si="51"/>
        <v>0</v>
      </c>
      <c r="AF222" s="9"/>
      <c r="AG222" s="9" t="s">
        <v>1395</v>
      </c>
      <c r="AH222" s="300">
        <v>42795</v>
      </c>
      <c r="AI222" s="9" t="s">
        <v>1551</v>
      </c>
      <c r="AJ222" s="300">
        <v>42800</v>
      </c>
      <c r="AK222" s="73" t="str">
        <f t="shared" si="52"/>
        <v>EXPANS PETROGAS INTRANUSA, PT</v>
      </c>
    </row>
    <row r="223" spans="1:37" s="1211" customFormat="1" ht="12" hidden="1" customHeight="1">
      <c r="A223" s="1220"/>
      <c r="B223" s="1220" t="s">
        <v>245</v>
      </c>
      <c r="C223" s="1221">
        <v>30</v>
      </c>
      <c r="D223" s="1222" t="s">
        <v>28</v>
      </c>
      <c r="E223" s="1223"/>
      <c r="F223" s="1505" t="s">
        <v>3470</v>
      </c>
      <c r="G223" s="1223" t="s">
        <v>3471</v>
      </c>
      <c r="H223" s="1223" t="s">
        <v>3472</v>
      </c>
      <c r="I223" s="1223" t="s">
        <v>3473</v>
      </c>
      <c r="J223" s="1237"/>
      <c r="K223" s="1212">
        <v>27000000</v>
      </c>
      <c r="L223" s="1224">
        <f>K223*10%</f>
        <v>2700000</v>
      </c>
      <c r="M223" s="1237"/>
      <c r="N223" s="1225">
        <f>K223+L223</f>
        <v>29700000</v>
      </c>
      <c r="O223" s="1202" t="s">
        <v>140</v>
      </c>
      <c r="P223" s="1202" t="s">
        <v>48</v>
      </c>
      <c r="Q223" s="1308"/>
      <c r="R223" s="1214"/>
      <c r="S223" s="762"/>
      <c r="T223" s="116">
        <f>-K223*2%</f>
        <v>-540000</v>
      </c>
      <c r="U223" s="1203">
        <v>29160000</v>
      </c>
      <c r="V223" s="1215"/>
      <c r="W223" s="1203"/>
      <c r="X223" s="1204"/>
      <c r="Y223" s="762"/>
      <c r="Z223" s="1205"/>
      <c r="AA223" s="1206"/>
      <c r="AB223" s="1207"/>
      <c r="AC223" s="759"/>
      <c r="AD223" s="1208"/>
      <c r="AE223" s="1208"/>
      <c r="AF223" s="759"/>
      <c r="AG223" s="759"/>
      <c r="AH223" s="1209"/>
      <c r="AI223" s="759"/>
      <c r="AJ223" s="1209"/>
      <c r="AK223" s="1210" t="str">
        <f t="shared" si="52"/>
        <v>EXPANS PETROGAS INTRANUSA, PTDES</v>
      </c>
    </row>
    <row r="224" spans="1:37" s="1211" customFormat="1" ht="12" hidden="1" customHeight="1">
      <c r="A224" s="1220"/>
      <c r="B224" s="1220" t="s">
        <v>140</v>
      </c>
      <c r="C224" s="1221">
        <v>7</v>
      </c>
      <c r="D224" s="1222" t="s">
        <v>28</v>
      </c>
      <c r="E224" s="1223" t="s">
        <v>354</v>
      </c>
      <c r="F224" s="1505" t="s">
        <v>3693</v>
      </c>
      <c r="G224" s="1223" t="s">
        <v>3694</v>
      </c>
      <c r="H224" s="1223" t="s">
        <v>3695</v>
      </c>
      <c r="I224" s="1223" t="s">
        <v>3696</v>
      </c>
      <c r="J224" s="1237"/>
      <c r="K224" s="1212">
        <v>31000000</v>
      </c>
      <c r="L224" s="1224">
        <f>K224*10%</f>
        <v>3100000</v>
      </c>
      <c r="M224" s="1237"/>
      <c r="N224" s="1225">
        <f>K224+L224</f>
        <v>34100000</v>
      </c>
      <c r="O224" s="1202" t="s">
        <v>140</v>
      </c>
      <c r="P224" s="1202" t="s">
        <v>48</v>
      </c>
      <c r="Q224" s="1308"/>
      <c r="R224" s="1214"/>
      <c r="S224" s="762"/>
      <c r="T224" s="116">
        <f>-K224*2%</f>
        <v>-620000</v>
      </c>
      <c r="U224" s="1203">
        <v>33480000</v>
      </c>
      <c r="V224" s="1215"/>
      <c r="W224" s="1203"/>
      <c r="X224" s="1204"/>
      <c r="Y224" s="762"/>
      <c r="Z224" s="1205"/>
      <c r="AA224" s="1206"/>
      <c r="AB224" s="1207"/>
      <c r="AC224" s="759"/>
      <c r="AD224" s="1208"/>
      <c r="AE224" s="1208"/>
      <c r="AF224" s="759"/>
      <c r="AG224" s="759"/>
      <c r="AH224" s="1209"/>
      <c r="AI224" s="759"/>
      <c r="AJ224" s="1209"/>
      <c r="AK224" s="1210" t="str">
        <f t="shared" si="52"/>
        <v>EXPANS PETROGAS INTRANUSA, PTDES</v>
      </c>
    </row>
    <row r="225" spans="1:37" s="114" customFormat="1" ht="12" hidden="1" customHeight="1">
      <c r="A225" s="53"/>
      <c r="B225" s="53" t="s">
        <v>194</v>
      </c>
      <c r="C225" s="9">
        <v>9</v>
      </c>
      <c r="D225" s="8" t="s">
        <v>95</v>
      </c>
      <c r="E225" s="10" t="s">
        <v>357</v>
      </c>
      <c r="F225" s="356"/>
      <c r="G225" s="10"/>
      <c r="H225" s="10" t="s">
        <v>1786</v>
      </c>
      <c r="I225" s="10" t="s">
        <v>1792</v>
      </c>
      <c r="J225" s="658">
        <v>0</v>
      </c>
      <c r="K225" s="118">
        <v>28135800</v>
      </c>
      <c r="L225" s="116">
        <f t="shared" si="83"/>
        <v>2813580</v>
      </c>
      <c r="M225" s="658">
        <v>0</v>
      </c>
      <c r="N225" s="189">
        <f t="shared" si="84"/>
        <v>30949380</v>
      </c>
      <c r="O225" s="197" t="s">
        <v>194</v>
      </c>
      <c r="P225" s="197" t="s">
        <v>91</v>
      </c>
      <c r="Q225" s="175"/>
      <c r="R225" s="175"/>
      <c r="S225" s="116">
        <v>0</v>
      </c>
      <c r="T225" s="116">
        <f t="shared" ref="T225:T275" si="85">-K225*2%</f>
        <v>-562716</v>
      </c>
      <c r="U225" s="115">
        <v>30386664</v>
      </c>
      <c r="V225" s="210">
        <f t="shared" si="49"/>
        <v>0</v>
      </c>
      <c r="W225" s="115">
        <f t="shared" si="74"/>
        <v>0</v>
      </c>
      <c r="X225" s="181" t="s">
        <v>237</v>
      </c>
      <c r="Y225" s="116"/>
      <c r="Z225" s="185"/>
      <c r="AA225" s="592">
        <f t="shared" ref="AA225:AA232" si="86">-S225-Z225</f>
        <v>0</v>
      </c>
      <c r="AB225" s="186"/>
      <c r="AC225" s="300">
        <v>42758</v>
      </c>
      <c r="AD225" s="297">
        <v>562716</v>
      </c>
      <c r="AE225" s="297">
        <f t="shared" si="51"/>
        <v>0</v>
      </c>
      <c r="AF225" s="9" t="s">
        <v>2078</v>
      </c>
      <c r="AG225" s="9" t="s">
        <v>1422</v>
      </c>
      <c r="AH225" s="300">
        <v>42748</v>
      </c>
      <c r="AI225" s="9" t="s">
        <v>1595</v>
      </c>
      <c r="AJ225" s="300">
        <v>42748</v>
      </c>
      <c r="AK225" s="73" t="str">
        <f t="shared" si="52"/>
        <v>HARMONI PANCA UTAMA, PTJAN</v>
      </c>
    </row>
    <row r="226" spans="1:37" s="114" customFormat="1" ht="12" hidden="1" customHeight="1">
      <c r="A226" s="53"/>
      <c r="B226" s="53" t="s">
        <v>194</v>
      </c>
      <c r="C226" s="9">
        <v>9</v>
      </c>
      <c r="D226" s="8" t="s">
        <v>95</v>
      </c>
      <c r="E226" s="10" t="s">
        <v>357</v>
      </c>
      <c r="F226" s="356"/>
      <c r="G226" s="10"/>
      <c r="H226" s="10" t="s">
        <v>1787</v>
      </c>
      <c r="I226" s="10" t="s">
        <v>1793</v>
      </c>
      <c r="J226" s="658">
        <v>0</v>
      </c>
      <c r="K226" s="118">
        <f>1200*13385</f>
        <v>16062000</v>
      </c>
      <c r="L226" s="116">
        <f t="shared" ref="L226:L231" si="87">K226*10%</f>
        <v>1606200</v>
      </c>
      <c r="M226" s="658">
        <v>0</v>
      </c>
      <c r="N226" s="189">
        <f t="shared" ref="N226:N232" si="88">K226+L226</f>
        <v>17668200</v>
      </c>
      <c r="O226" s="197" t="s">
        <v>194</v>
      </c>
      <c r="P226" s="197" t="s">
        <v>91</v>
      </c>
      <c r="Q226" s="175"/>
      <c r="R226" s="175"/>
      <c r="S226" s="116">
        <v>0</v>
      </c>
      <c r="T226" s="116">
        <f t="shared" si="85"/>
        <v>-321240</v>
      </c>
      <c r="U226" s="115">
        <v>17346960</v>
      </c>
      <c r="V226" s="210">
        <f t="shared" si="49"/>
        <v>0</v>
      </c>
      <c r="W226" s="115">
        <f t="shared" si="74"/>
        <v>0</v>
      </c>
      <c r="X226" s="181" t="s">
        <v>237</v>
      </c>
      <c r="Y226" s="116"/>
      <c r="Z226" s="185"/>
      <c r="AA226" s="592">
        <f t="shared" si="86"/>
        <v>0</v>
      </c>
      <c r="AB226" s="186"/>
      <c r="AC226" s="300">
        <v>42758</v>
      </c>
      <c r="AD226" s="297">
        <v>321240</v>
      </c>
      <c r="AE226" s="297">
        <f t="shared" si="51"/>
        <v>0</v>
      </c>
      <c r="AF226" s="9" t="s">
        <v>2078</v>
      </c>
      <c r="AG226" s="9" t="s">
        <v>1422</v>
      </c>
      <c r="AH226" s="300">
        <v>42748</v>
      </c>
      <c r="AI226" s="9" t="s">
        <v>1595</v>
      </c>
      <c r="AJ226" s="300">
        <v>42748</v>
      </c>
      <c r="AK226" s="73" t="str">
        <f t="shared" si="52"/>
        <v>HARMONI PANCA UTAMA, PTJAN</v>
      </c>
    </row>
    <row r="227" spans="1:37" s="114" customFormat="1" ht="12" hidden="1" customHeight="1">
      <c r="A227" s="53"/>
      <c r="B227" s="53" t="s">
        <v>194</v>
      </c>
      <c r="C227" s="9">
        <v>9</v>
      </c>
      <c r="D227" s="8" t="s">
        <v>95</v>
      </c>
      <c r="E227" s="10" t="s">
        <v>357</v>
      </c>
      <c r="F227" s="356"/>
      <c r="G227" s="10"/>
      <c r="H227" s="10" t="s">
        <v>1788</v>
      </c>
      <c r="I227" s="10" t="s">
        <v>1794</v>
      </c>
      <c r="J227" s="658">
        <v>0</v>
      </c>
      <c r="K227" s="118">
        <f>1500*13385</f>
        <v>20077500</v>
      </c>
      <c r="L227" s="116">
        <f t="shared" si="87"/>
        <v>2007750</v>
      </c>
      <c r="M227" s="658">
        <v>0</v>
      </c>
      <c r="N227" s="189">
        <f t="shared" si="88"/>
        <v>22085250</v>
      </c>
      <c r="O227" s="197" t="s">
        <v>194</v>
      </c>
      <c r="P227" s="197" t="s">
        <v>91</v>
      </c>
      <c r="Q227" s="175"/>
      <c r="R227" s="175"/>
      <c r="S227" s="116">
        <v>0</v>
      </c>
      <c r="T227" s="116">
        <f t="shared" si="85"/>
        <v>-401550</v>
      </c>
      <c r="U227" s="115">
        <v>21683700</v>
      </c>
      <c r="V227" s="210">
        <f t="shared" si="49"/>
        <v>0</v>
      </c>
      <c r="W227" s="115">
        <f t="shared" si="74"/>
        <v>0</v>
      </c>
      <c r="X227" s="181" t="s">
        <v>237</v>
      </c>
      <c r="Y227" s="116"/>
      <c r="Z227" s="185"/>
      <c r="AA227" s="592">
        <f t="shared" si="86"/>
        <v>0</v>
      </c>
      <c r="AB227" s="186"/>
      <c r="AC227" s="300">
        <v>42758</v>
      </c>
      <c r="AD227" s="297">
        <v>401550</v>
      </c>
      <c r="AE227" s="297">
        <f t="shared" si="51"/>
        <v>0</v>
      </c>
      <c r="AF227" s="9" t="s">
        <v>2078</v>
      </c>
      <c r="AG227" s="9" t="s">
        <v>1422</v>
      </c>
      <c r="AH227" s="300">
        <v>42748</v>
      </c>
      <c r="AI227" s="9" t="s">
        <v>1595</v>
      </c>
      <c r="AJ227" s="300">
        <v>42748</v>
      </c>
      <c r="AK227" s="73" t="str">
        <f t="shared" si="52"/>
        <v>HARMONI PANCA UTAMA, PTJAN</v>
      </c>
    </row>
    <row r="228" spans="1:37" s="114" customFormat="1" ht="12" hidden="1" customHeight="1">
      <c r="A228" s="53"/>
      <c r="B228" s="53" t="s">
        <v>194</v>
      </c>
      <c r="C228" s="9">
        <v>9</v>
      </c>
      <c r="D228" s="8" t="s">
        <v>95</v>
      </c>
      <c r="E228" s="10" t="s">
        <v>357</v>
      </c>
      <c r="F228" s="356"/>
      <c r="G228" s="10"/>
      <c r="H228" s="10" t="s">
        <v>1789</v>
      </c>
      <c r="I228" s="10" t="s">
        <v>1795</v>
      </c>
      <c r="J228" s="658">
        <v>0</v>
      </c>
      <c r="K228" s="118">
        <f>1300*13385</f>
        <v>17400500</v>
      </c>
      <c r="L228" s="116">
        <f t="shared" si="87"/>
        <v>1740050</v>
      </c>
      <c r="M228" s="658">
        <v>0</v>
      </c>
      <c r="N228" s="189">
        <f t="shared" si="88"/>
        <v>19140550</v>
      </c>
      <c r="O228" s="197" t="s">
        <v>194</v>
      </c>
      <c r="P228" s="197" t="s">
        <v>91</v>
      </c>
      <c r="Q228" s="175"/>
      <c r="R228" s="175"/>
      <c r="S228" s="116">
        <v>0</v>
      </c>
      <c r="T228" s="116">
        <f t="shared" si="85"/>
        <v>-348010</v>
      </c>
      <c r="U228" s="115">
        <v>18792540</v>
      </c>
      <c r="V228" s="210">
        <f t="shared" si="49"/>
        <v>0</v>
      </c>
      <c r="W228" s="115">
        <f t="shared" si="74"/>
        <v>0</v>
      </c>
      <c r="X228" s="181" t="s">
        <v>237</v>
      </c>
      <c r="Y228" s="116"/>
      <c r="Z228" s="185"/>
      <c r="AA228" s="592">
        <f t="shared" si="86"/>
        <v>0</v>
      </c>
      <c r="AB228" s="186"/>
      <c r="AC228" s="300">
        <v>42758</v>
      </c>
      <c r="AD228" s="297">
        <v>348010</v>
      </c>
      <c r="AE228" s="297">
        <f t="shared" si="51"/>
        <v>0</v>
      </c>
      <c r="AF228" s="9" t="s">
        <v>2078</v>
      </c>
      <c r="AG228" s="9" t="s">
        <v>1422</v>
      </c>
      <c r="AH228" s="300">
        <v>42748</v>
      </c>
      <c r="AI228" s="9" t="s">
        <v>1595</v>
      </c>
      <c r="AJ228" s="300">
        <v>42748</v>
      </c>
      <c r="AK228" s="73" t="str">
        <f t="shared" si="52"/>
        <v>HARMONI PANCA UTAMA, PTJAN</v>
      </c>
    </row>
    <row r="229" spans="1:37" s="114" customFormat="1" ht="12" hidden="1" customHeight="1">
      <c r="A229" s="53"/>
      <c r="B229" s="53" t="s">
        <v>194</v>
      </c>
      <c r="C229" s="9">
        <v>9</v>
      </c>
      <c r="D229" s="8" t="s">
        <v>95</v>
      </c>
      <c r="E229" s="10" t="s">
        <v>354</v>
      </c>
      <c r="F229" s="356"/>
      <c r="G229" s="10"/>
      <c r="H229" s="10" t="s">
        <v>1790</v>
      </c>
      <c r="I229" s="10" t="s">
        <v>1796</v>
      </c>
      <c r="J229" s="658">
        <v>0</v>
      </c>
      <c r="K229" s="116">
        <f>9000000</f>
        <v>9000000</v>
      </c>
      <c r="L229" s="116">
        <f t="shared" si="87"/>
        <v>900000</v>
      </c>
      <c r="M229" s="658">
        <v>0</v>
      </c>
      <c r="N229" s="189">
        <f t="shared" si="88"/>
        <v>9900000</v>
      </c>
      <c r="O229" s="197" t="s">
        <v>194</v>
      </c>
      <c r="P229" s="197" t="s">
        <v>91</v>
      </c>
      <c r="Q229" s="175"/>
      <c r="R229" s="175"/>
      <c r="S229" s="116">
        <v>0</v>
      </c>
      <c r="T229" s="116">
        <f t="shared" si="85"/>
        <v>-180000</v>
      </c>
      <c r="U229" s="116">
        <v>9720000</v>
      </c>
      <c r="V229" s="210">
        <f t="shared" si="49"/>
        <v>0</v>
      </c>
      <c r="W229" s="115">
        <f t="shared" si="74"/>
        <v>0</v>
      </c>
      <c r="X229" s="181" t="s">
        <v>237</v>
      </c>
      <c r="Y229" s="116"/>
      <c r="Z229" s="185"/>
      <c r="AA229" s="592">
        <f t="shared" si="86"/>
        <v>0</v>
      </c>
      <c r="AB229" s="186"/>
      <c r="AC229" s="300">
        <v>42758</v>
      </c>
      <c r="AD229" s="297">
        <v>180000</v>
      </c>
      <c r="AE229" s="297">
        <f t="shared" si="51"/>
        <v>0</v>
      </c>
      <c r="AF229" s="9" t="s">
        <v>2078</v>
      </c>
      <c r="AG229" s="9" t="s">
        <v>1422</v>
      </c>
      <c r="AH229" s="300">
        <v>42748</v>
      </c>
      <c r="AI229" s="9" t="s">
        <v>1595</v>
      </c>
      <c r="AJ229" s="300">
        <v>42748</v>
      </c>
      <c r="AK229" s="73" t="str">
        <f t="shared" si="52"/>
        <v>HARMONI PANCA UTAMA, PTJAN</v>
      </c>
    </row>
    <row r="230" spans="1:37" s="114" customFormat="1" ht="12" hidden="1" customHeight="1">
      <c r="A230" s="53"/>
      <c r="B230" s="53" t="s">
        <v>194</v>
      </c>
      <c r="C230" s="9">
        <v>9</v>
      </c>
      <c r="D230" s="8" t="s">
        <v>95</v>
      </c>
      <c r="E230" s="10" t="s">
        <v>354</v>
      </c>
      <c r="F230" s="356"/>
      <c r="G230" s="10"/>
      <c r="H230" s="10" t="s">
        <v>1791</v>
      </c>
      <c r="I230" s="10" t="s">
        <v>1797</v>
      </c>
      <c r="J230" s="658">
        <v>0</v>
      </c>
      <c r="K230" s="116">
        <v>6000000</v>
      </c>
      <c r="L230" s="116">
        <f t="shared" si="87"/>
        <v>600000</v>
      </c>
      <c r="M230" s="658">
        <v>0</v>
      </c>
      <c r="N230" s="189">
        <f t="shared" si="88"/>
        <v>6600000</v>
      </c>
      <c r="O230" s="197" t="s">
        <v>194</v>
      </c>
      <c r="P230" s="197" t="s">
        <v>91</v>
      </c>
      <c r="Q230" s="175"/>
      <c r="R230" s="175"/>
      <c r="S230" s="116">
        <v>0</v>
      </c>
      <c r="T230" s="116">
        <f t="shared" si="85"/>
        <v>-120000</v>
      </c>
      <c r="U230" s="116">
        <v>6480000</v>
      </c>
      <c r="V230" s="210">
        <f t="shared" si="49"/>
        <v>0</v>
      </c>
      <c r="W230" s="115">
        <f t="shared" si="74"/>
        <v>0</v>
      </c>
      <c r="X230" s="181" t="s">
        <v>237</v>
      </c>
      <c r="Y230" s="116"/>
      <c r="Z230" s="185"/>
      <c r="AA230" s="592">
        <f t="shared" si="86"/>
        <v>0</v>
      </c>
      <c r="AB230" s="186"/>
      <c r="AC230" s="300">
        <v>42758</v>
      </c>
      <c r="AD230" s="297">
        <v>120000</v>
      </c>
      <c r="AE230" s="297">
        <f t="shared" si="51"/>
        <v>0</v>
      </c>
      <c r="AF230" s="9" t="s">
        <v>2078</v>
      </c>
      <c r="AG230" s="9" t="s">
        <v>1422</v>
      </c>
      <c r="AH230" s="300">
        <v>42748</v>
      </c>
      <c r="AI230" s="9" t="s">
        <v>1595</v>
      </c>
      <c r="AJ230" s="300">
        <v>42748</v>
      </c>
      <c r="AK230" s="73" t="str">
        <f t="shared" si="52"/>
        <v>HARMONI PANCA UTAMA, PTJAN</v>
      </c>
    </row>
    <row r="231" spans="1:37" s="114" customFormat="1" ht="12" hidden="1" customHeight="1">
      <c r="A231" s="53"/>
      <c r="B231" s="53" t="s">
        <v>194</v>
      </c>
      <c r="C231" s="9">
        <v>9</v>
      </c>
      <c r="D231" s="8" t="s">
        <v>95</v>
      </c>
      <c r="E231" s="10" t="s">
        <v>144</v>
      </c>
      <c r="F231" s="356"/>
      <c r="G231" s="10"/>
      <c r="H231" s="10" t="s">
        <v>1857</v>
      </c>
      <c r="I231" s="10" t="s">
        <v>1859</v>
      </c>
      <c r="J231" s="658">
        <v>0</v>
      </c>
      <c r="K231" s="116">
        <v>11000000</v>
      </c>
      <c r="L231" s="116">
        <f t="shared" si="87"/>
        <v>1100000</v>
      </c>
      <c r="M231" s="658">
        <v>0</v>
      </c>
      <c r="N231" s="189">
        <f t="shared" si="88"/>
        <v>12100000</v>
      </c>
      <c r="O231" s="197" t="s">
        <v>194</v>
      </c>
      <c r="P231" s="197" t="s">
        <v>91</v>
      </c>
      <c r="Q231" s="175"/>
      <c r="R231" s="175"/>
      <c r="S231" s="116">
        <v>0</v>
      </c>
      <c r="T231" s="116">
        <f t="shared" si="85"/>
        <v>-220000</v>
      </c>
      <c r="U231" s="116">
        <v>11880000</v>
      </c>
      <c r="V231" s="210">
        <f t="shared" si="49"/>
        <v>0</v>
      </c>
      <c r="W231" s="115">
        <f t="shared" si="74"/>
        <v>0</v>
      </c>
      <c r="X231" s="181" t="s">
        <v>237</v>
      </c>
      <c r="Y231" s="116"/>
      <c r="Z231" s="185"/>
      <c r="AA231" s="592">
        <f t="shared" si="86"/>
        <v>0</v>
      </c>
      <c r="AB231" s="186"/>
      <c r="AC231" s="300">
        <v>42758</v>
      </c>
      <c r="AD231" s="297">
        <v>220000</v>
      </c>
      <c r="AE231" s="297">
        <f t="shared" si="51"/>
        <v>0</v>
      </c>
      <c r="AF231" s="9" t="s">
        <v>2078</v>
      </c>
      <c r="AG231" s="9" t="s">
        <v>1422</v>
      </c>
      <c r="AH231" s="300">
        <v>42748</v>
      </c>
      <c r="AI231" s="9" t="s">
        <v>1595</v>
      </c>
      <c r="AJ231" s="300">
        <v>42748</v>
      </c>
      <c r="AK231" s="73" t="str">
        <f t="shared" si="52"/>
        <v>HARMONI PANCA UTAMA, PTJAN</v>
      </c>
    </row>
    <row r="232" spans="1:37" s="114" customFormat="1" ht="12" hidden="1" customHeight="1">
      <c r="A232" s="53"/>
      <c r="B232" s="53" t="s">
        <v>194</v>
      </c>
      <c r="C232" s="9">
        <v>9</v>
      </c>
      <c r="D232" s="8" t="s">
        <v>95</v>
      </c>
      <c r="E232" s="10" t="s">
        <v>118</v>
      </c>
      <c r="F232" s="356"/>
      <c r="G232" s="10"/>
      <c r="H232" s="10" t="s">
        <v>1858</v>
      </c>
      <c r="I232" s="10" t="s">
        <v>14</v>
      </c>
      <c r="J232" s="658">
        <v>0</v>
      </c>
      <c r="K232" s="116">
        <v>1052000</v>
      </c>
      <c r="L232" s="116">
        <v>0</v>
      </c>
      <c r="M232" s="658">
        <v>0</v>
      </c>
      <c r="N232" s="189">
        <f t="shared" si="88"/>
        <v>1052000</v>
      </c>
      <c r="O232" s="197" t="s">
        <v>194</v>
      </c>
      <c r="P232" s="197" t="s">
        <v>91</v>
      </c>
      <c r="Q232" s="175"/>
      <c r="R232" s="175"/>
      <c r="S232" s="116">
        <v>0</v>
      </c>
      <c r="T232" s="116">
        <v>0</v>
      </c>
      <c r="U232" s="116">
        <v>1052000</v>
      </c>
      <c r="V232" s="210">
        <f t="shared" si="49"/>
        <v>0</v>
      </c>
      <c r="W232" s="115">
        <f t="shared" si="74"/>
        <v>0</v>
      </c>
      <c r="X232" s="181" t="s">
        <v>237</v>
      </c>
      <c r="Y232" s="116"/>
      <c r="Z232" s="185"/>
      <c r="AA232" s="592">
        <f t="shared" si="86"/>
        <v>0</v>
      </c>
      <c r="AB232" s="186"/>
      <c r="AC232" s="9"/>
      <c r="AD232" s="297"/>
      <c r="AE232" s="297">
        <f t="shared" si="51"/>
        <v>0</v>
      </c>
      <c r="AF232" s="9"/>
      <c r="AG232" s="9" t="s">
        <v>1422</v>
      </c>
      <c r="AH232" s="300">
        <v>42748</v>
      </c>
      <c r="AI232" s="9" t="s">
        <v>1595</v>
      </c>
      <c r="AJ232" s="300">
        <v>42748</v>
      </c>
      <c r="AK232" s="73" t="str">
        <f t="shared" si="52"/>
        <v>HARMONI PANCA UTAMA, PTJAN</v>
      </c>
    </row>
    <row r="233" spans="1:37" s="114" customFormat="1" ht="12" hidden="1" customHeight="1">
      <c r="A233" s="53"/>
      <c r="B233" s="53" t="s">
        <v>195</v>
      </c>
      <c r="C233" s="9">
        <v>1</v>
      </c>
      <c r="D233" s="8" t="s">
        <v>95</v>
      </c>
      <c r="E233" s="10" t="s">
        <v>357</v>
      </c>
      <c r="F233" s="356"/>
      <c r="G233" s="10"/>
      <c r="H233" s="10" t="s">
        <v>1987</v>
      </c>
      <c r="I233" s="10" t="s">
        <v>1988</v>
      </c>
      <c r="J233" s="658">
        <v>0</v>
      </c>
      <c r="K233" s="116">
        <v>28135800</v>
      </c>
      <c r="L233" s="116">
        <f t="shared" ref="L233:L240" si="89">K233*10%</f>
        <v>2813580</v>
      </c>
      <c r="M233" s="658">
        <v>0</v>
      </c>
      <c r="N233" s="189">
        <f t="shared" ref="N233:N240" si="90">K233+L233</f>
        <v>30949380</v>
      </c>
      <c r="O233" s="197" t="s">
        <v>239</v>
      </c>
      <c r="P233" s="197" t="s">
        <v>93</v>
      </c>
      <c r="Q233" s="175"/>
      <c r="R233" s="175"/>
      <c r="S233" s="116">
        <v>0</v>
      </c>
      <c r="T233" s="116">
        <f t="shared" si="85"/>
        <v>-562716</v>
      </c>
      <c r="U233" s="116">
        <v>30386664</v>
      </c>
      <c r="V233" s="210">
        <f t="shared" si="49"/>
        <v>0</v>
      </c>
      <c r="W233" s="115">
        <f t="shared" si="74"/>
        <v>0</v>
      </c>
      <c r="X233" s="181" t="s">
        <v>237</v>
      </c>
      <c r="Y233" s="116"/>
      <c r="Z233" s="185"/>
      <c r="AA233" s="592"/>
      <c r="AB233" s="186"/>
      <c r="AC233" s="9"/>
      <c r="AD233" s="297"/>
      <c r="AE233" s="297">
        <f t="shared" si="51"/>
        <v>562716</v>
      </c>
      <c r="AF233" s="9"/>
      <c r="AG233" s="9" t="s">
        <v>1395</v>
      </c>
      <c r="AH233" s="300">
        <v>42769</v>
      </c>
      <c r="AI233" s="9" t="s">
        <v>2036</v>
      </c>
      <c r="AJ233" s="300">
        <v>42772</v>
      </c>
      <c r="AK233" s="73" t="str">
        <f t="shared" si="52"/>
        <v>HARMONI PANCA UTAMA, PTMAR</v>
      </c>
    </row>
    <row r="234" spans="1:37" s="114" customFormat="1" ht="12" hidden="1" customHeight="1">
      <c r="A234" s="53"/>
      <c r="B234" s="53" t="s">
        <v>195</v>
      </c>
      <c r="C234" s="9">
        <v>1</v>
      </c>
      <c r="D234" s="8" t="s">
        <v>95</v>
      </c>
      <c r="E234" s="10" t="s">
        <v>357</v>
      </c>
      <c r="F234" s="356"/>
      <c r="G234" s="10"/>
      <c r="H234" s="10" t="s">
        <v>1989</v>
      </c>
      <c r="I234" s="10" t="s">
        <v>1990</v>
      </c>
      <c r="J234" s="658">
        <v>0</v>
      </c>
      <c r="K234" s="116">
        <f>1200*13349</f>
        <v>16018800</v>
      </c>
      <c r="L234" s="116">
        <f t="shared" si="89"/>
        <v>1601880</v>
      </c>
      <c r="M234" s="658">
        <v>0</v>
      </c>
      <c r="N234" s="189">
        <f t="shared" si="90"/>
        <v>17620680</v>
      </c>
      <c r="O234" s="197" t="s">
        <v>239</v>
      </c>
      <c r="P234" s="197" t="s">
        <v>93</v>
      </c>
      <c r="Q234" s="175"/>
      <c r="R234" s="175"/>
      <c r="S234" s="116">
        <v>0</v>
      </c>
      <c r="T234" s="116">
        <f t="shared" si="85"/>
        <v>-320376</v>
      </c>
      <c r="U234" s="116">
        <v>17300304</v>
      </c>
      <c r="V234" s="210">
        <f t="shared" si="49"/>
        <v>0</v>
      </c>
      <c r="W234" s="115">
        <f t="shared" si="74"/>
        <v>0</v>
      </c>
      <c r="X234" s="181" t="s">
        <v>237</v>
      </c>
      <c r="Y234" s="116"/>
      <c r="Z234" s="185"/>
      <c r="AA234" s="592"/>
      <c r="AB234" s="186"/>
      <c r="AC234" s="9"/>
      <c r="AD234" s="297"/>
      <c r="AE234" s="297">
        <f t="shared" si="51"/>
        <v>320376</v>
      </c>
      <c r="AF234" s="9"/>
      <c r="AG234" s="9" t="s">
        <v>1395</v>
      </c>
      <c r="AH234" s="300">
        <v>42769</v>
      </c>
      <c r="AI234" s="9" t="s">
        <v>2036</v>
      </c>
      <c r="AJ234" s="300">
        <v>42772</v>
      </c>
      <c r="AK234" s="73" t="str">
        <f t="shared" si="52"/>
        <v>HARMONI PANCA UTAMA, PTMAR</v>
      </c>
    </row>
    <row r="235" spans="1:37" s="114" customFormat="1" ht="12" hidden="1" customHeight="1">
      <c r="A235" s="53"/>
      <c r="B235" s="53" t="s">
        <v>195</v>
      </c>
      <c r="C235" s="9">
        <v>1</v>
      </c>
      <c r="D235" s="8" t="s">
        <v>95</v>
      </c>
      <c r="E235" s="10" t="s">
        <v>357</v>
      </c>
      <c r="F235" s="356"/>
      <c r="G235" s="10"/>
      <c r="H235" s="10" t="s">
        <v>1995</v>
      </c>
      <c r="I235" s="10" t="s">
        <v>1991</v>
      </c>
      <c r="J235" s="658">
        <v>0</v>
      </c>
      <c r="K235" s="116">
        <f>1500*13349</f>
        <v>20023500</v>
      </c>
      <c r="L235" s="116">
        <f t="shared" si="89"/>
        <v>2002350</v>
      </c>
      <c r="M235" s="658">
        <v>0</v>
      </c>
      <c r="N235" s="189">
        <f t="shared" si="90"/>
        <v>22025850</v>
      </c>
      <c r="O235" s="197" t="s">
        <v>239</v>
      </c>
      <c r="P235" s="197" t="s">
        <v>93</v>
      </c>
      <c r="Q235" s="175"/>
      <c r="R235" s="175"/>
      <c r="S235" s="116">
        <v>0</v>
      </c>
      <c r="T235" s="116">
        <f t="shared" si="85"/>
        <v>-400470</v>
      </c>
      <c r="U235" s="116">
        <v>21625380</v>
      </c>
      <c r="V235" s="210">
        <f t="shared" si="49"/>
        <v>0</v>
      </c>
      <c r="W235" s="115">
        <f t="shared" si="74"/>
        <v>0</v>
      </c>
      <c r="X235" s="181" t="s">
        <v>237</v>
      </c>
      <c r="Y235" s="116"/>
      <c r="Z235" s="185"/>
      <c r="AA235" s="592"/>
      <c r="AB235" s="186"/>
      <c r="AC235" s="9"/>
      <c r="AD235" s="297"/>
      <c r="AE235" s="297">
        <f t="shared" si="51"/>
        <v>400470</v>
      </c>
      <c r="AF235" s="9"/>
      <c r="AG235" s="9" t="s">
        <v>1395</v>
      </c>
      <c r="AH235" s="300">
        <v>42769</v>
      </c>
      <c r="AI235" s="9" t="s">
        <v>2036</v>
      </c>
      <c r="AJ235" s="300">
        <v>42772</v>
      </c>
      <c r="AK235" s="73" t="str">
        <f t="shared" si="52"/>
        <v>HARMONI PANCA UTAMA, PTMAR</v>
      </c>
    </row>
    <row r="236" spans="1:37" s="114" customFormat="1" ht="12" hidden="1" customHeight="1">
      <c r="A236" s="53"/>
      <c r="B236" s="53" t="s">
        <v>195</v>
      </c>
      <c r="C236" s="9">
        <v>1</v>
      </c>
      <c r="D236" s="8" t="s">
        <v>95</v>
      </c>
      <c r="E236" s="10" t="s">
        <v>357</v>
      </c>
      <c r="F236" s="356"/>
      <c r="G236" s="10"/>
      <c r="H236" s="10" t="s">
        <v>1996</v>
      </c>
      <c r="I236" s="10" t="s">
        <v>1992</v>
      </c>
      <c r="J236" s="658">
        <v>0</v>
      </c>
      <c r="K236" s="116">
        <f>1300*13349</f>
        <v>17353700</v>
      </c>
      <c r="L236" s="116">
        <f t="shared" si="89"/>
        <v>1735370</v>
      </c>
      <c r="M236" s="658">
        <v>0</v>
      </c>
      <c r="N236" s="189">
        <f t="shared" si="90"/>
        <v>19089070</v>
      </c>
      <c r="O236" s="197" t="s">
        <v>239</v>
      </c>
      <c r="P236" s="197" t="s">
        <v>93</v>
      </c>
      <c r="Q236" s="175"/>
      <c r="R236" s="175"/>
      <c r="S236" s="116">
        <v>0</v>
      </c>
      <c r="T236" s="116">
        <f t="shared" si="85"/>
        <v>-347074</v>
      </c>
      <c r="U236" s="116">
        <v>18741996</v>
      </c>
      <c r="V236" s="210">
        <f t="shared" si="49"/>
        <v>0</v>
      </c>
      <c r="W236" s="115">
        <f t="shared" si="74"/>
        <v>0</v>
      </c>
      <c r="X236" s="181" t="s">
        <v>237</v>
      </c>
      <c r="Y236" s="116"/>
      <c r="Z236" s="185"/>
      <c r="AA236" s="592"/>
      <c r="AB236" s="186"/>
      <c r="AC236" s="9"/>
      <c r="AD236" s="297"/>
      <c r="AE236" s="297">
        <f t="shared" si="51"/>
        <v>347074</v>
      </c>
      <c r="AF236" s="9"/>
      <c r="AG236" s="9" t="s">
        <v>1395</v>
      </c>
      <c r="AH236" s="300">
        <v>42769</v>
      </c>
      <c r="AI236" s="9" t="s">
        <v>2036</v>
      </c>
      <c r="AJ236" s="300">
        <v>42772</v>
      </c>
      <c r="AK236" s="73" t="str">
        <f t="shared" si="52"/>
        <v>HARMONI PANCA UTAMA, PTMAR</v>
      </c>
    </row>
    <row r="237" spans="1:37" s="114" customFormat="1" ht="12" hidden="1" customHeight="1">
      <c r="A237" s="53"/>
      <c r="B237" s="53" t="s">
        <v>239</v>
      </c>
      <c r="C237" s="9">
        <v>1</v>
      </c>
      <c r="D237" s="8" t="s">
        <v>95</v>
      </c>
      <c r="E237" s="10" t="s">
        <v>354</v>
      </c>
      <c r="F237" s="356"/>
      <c r="G237" s="10"/>
      <c r="H237" s="10" t="s">
        <v>1997</v>
      </c>
      <c r="I237" s="10" t="s">
        <v>2147</v>
      </c>
      <c r="J237" s="658">
        <v>0</v>
      </c>
      <c r="K237" s="116">
        <v>2100000</v>
      </c>
      <c r="L237" s="116">
        <f t="shared" si="89"/>
        <v>210000</v>
      </c>
      <c r="M237" s="658">
        <v>0</v>
      </c>
      <c r="N237" s="189">
        <f t="shared" si="90"/>
        <v>2310000</v>
      </c>
      <c r="O237" s="197" t="s">
        <v>240</v>
      </c>
      <c r="P237" s="197" t="s">
        <v>101</v>
      </c>
      <c r="Q237" s="175"/>
      <c r="R237" s="175"/>
      <c r="S237" s="116">
        <v>0</v>
      </c>
      <c r="T237" s="116">
        <f t="shared" si="85"/>
        <v>-42000</v>
      </c>
      <c r="U237" s="116">
        <v>2268000</v>
      </c>
      <c r="V237" s="210">
        <f t="shared" si="49"/>
        <v>0</v>
      </c>
      <c r="W237" s="115">
        <f t="shared" si="74"/>
        <v>0</v>
      </c>
      <c r="X237" s="181" t="s">
        <v>237</v>
      </c>
      <c r="Y237" s="116"/>
      <c r="Z237" s="185"/>
      <c r="AA237" s="592"/>
      <c r="AB237" s="186"/>
      <c r="AC237" s="300">
        <v>42850</v>
      </c>
      <c r="AD237" s="297">
        <v>42000</v>
      </c>
      <c r="AE237" s="297">
        <f t="shared" si="51"/>
        <v>0</v>
      </c>
      <c r="AF237" s="9" t="s">
        <v>3025</v>
      </c>
      <c r="AG237" s="9" t="s">
        <v>1395</v>
      </c>
      <c r="AH237" s="300">
        <v>42769</v>
      </c>
      <c r="AI237" s="9" t="s">
        <v>2036</v>
      </c>
      <c r="AJ237" s="300">
        <v>42772</v>
      </c>
      <c r="AK237" s="73" t="str">
        <f t="shared" si="52"/>
        <v>HARMONI PANCA UTAMA, PTAPR</v>
      </c>
    </row>
    <row r="238" spans="1:37" s="114" customFormat="1" ht="12" hidden="1" customHeight="1">
      <c r="A238" s="53"/>
      <c r="B238" s="53" t="s">
        <v>195</v>
      </c>
      <c r="C238" s="9">
        <v>1</v>
      </c>
      <c r="D238" s="8" t="s">
        <v>95</v>
      </c>
      <c r="E238" s="10" t="s">
        <v>354</v>
      </c>
      <c r="F238" s="356"/>
      <c r="G238" s="10"/>
      <c r="H238" s="10" t="s">
        <v>1998</v>
      </c>
      <c r="I238" s="10" t="s">
        <v>1993</v>
      </c>
      <c r="J238" s="658">
        <v>0</v>
      </c>
      <c r="K238" s="116">
        <v>6000000</v>
      </c>
      <c r="L238" s="116">
        <f t="shared" si="89"/>
        <v>600000</v>
      </c>
      <c r="M238" s="658">
        <v>0</v>
      </c>
      <c r="N238" s="189">
        <f t="shared" si="90"/>
        <v>6600000</v>
      </c>
      <c r="O238" s="197" t="s">
        <v>239</v>
      </c>
      <c r="P238" s="197" t="s">
        <v>93</v>
      </c>
      <c r="Q238" s="175"/>
      <c r="R238" s="175"/>
      <c r="S238" s="116">
        <v>0</v>
      </c>
      <c r="T238" s="116">
        <f t="shared" si="85"/>
        <v>-120000</v>
      </c>
      <c r="U238" s="116">
        <v>6480000</v>
      </c>
      <c r="V238" s="210">
        <f t="shared" si="49"/>
        <v>0</v>
      </c>
      <c r="W238" s="115">
        <f t="shared" si="74"/>
        <v>0</v>
      </c>
      <c r="X238" s="181" t="s">
        <v>237</v>
      </c>
      <c r="Y238" s="116"/>
      <c r="Z238" s="185"/>
      <c r="AA238" s="592"/>
      <c r="AB238" s="186"/>
      <c r="AC238" s="9"/>
      <c r="AD238" s="297"/>
      <c r="AE238" s="297">
        <f t="shared" si="51"/>
        <v>120000</v>
      </c>
      <c r="AF238" s="9"/>
      <c r="AG238" s="9" t="s">
        <v>1395</v>
      </c>
      <c r="AH238" s="300">
        <v>42769</v>
      </c>
      <c r="AI238" s="9" t="s">
        <v>2036</v>
      </c>
      <c r="AJ238" s="300">
        <v>42772</v>
      </c>
      <c r="AK238" s="73" t="str">
        <f t="shared" si="52"/>
        <v>HARMONI PANCA UTAMA, PTMAR</v>
      </c>
    </row>
    <row r="239" spans="1:37" s="114" customFormat="1" ht="12" hidden="1" customHeight="1">
      <c r="A239" s="53"/>
      <c r="B239" s="53" t="s">
        <v>195</v>
      </c>
      <c r="C239" s="9">
        <v>1</v>
      </c>
      <c r="D239" s="8" t="s">
        <v>95</v>
      </c>
      <c r="E239" s="10" t="s">
        <v>354</v>
      </c>
      <c r="F239" s="356"/>
      <c r="G239" s="10"/>
      <c r="H239" s="10" t="s">
        <v>1999</v>
      </c>
      <c r="I239" s="10" t="s">
        <v>1994</v>
      </c>
      <c r="J239" s="658">
        <v>0</v>
      </c>
      <c r="K239" s="116">
        <v>9000000</v>
      </c>
      <c r="L239" s="116">
        <f t="shared" si="89"/>
        <v>900000</v>
      </c>
      <c r="M239" s="658">
        <v>0</v>
      </c>
      <c r="N239" s="189">
        <f t="shared" si="90"/>
        <v>9900000</v>
      </c>
      <c r="O239" s="197" t="s">
        <v>239</v>
      </c>
      <c r="P239" s="197" t="s">
        <v>93</v>
      </c>
      <c r="Q239" s="175"/>
      <c r="R239" s="175"/>
      <c r="S239" s="116">
        <v>0</v>
      </c>
      <c r="T239" s="116">
        <f t="shared" si="85"/>
        <v>-180000</v>
      </c>
      <c r="U239" s="116">
        <v>9720000</v>
      </c>
      <c r="V239" s="210">
        <f t="shared" si="49"/>
        <v>0</v>
      </c>
      <c r="W239" s="115">
        <f t="shared" si="74"/>
        <v>0</v>
      </c>
      <c r="X239" s="181" t="s">
        <v>237</v>
      </c>
      <c r="Y239" s="116"/>
      <c r="Z239" s="185"/>
      <c r="AA239" s="592"/>
      <c r="AB239" s="186"/>
      <c r="AC239" s="9"/>
      <c r="AD239" s="297"/>
      <c r="AE239" s="297">
        <f t="shared" si="51"/>
        <v>180000</v>
      </c>
      <c r="AF239" s="9"/>
      <c r="AG239" s="9" t="s">
        <v>1395</v>
      </c>
      <c r="AH239" s="300">
        <v>42769</v>
      </c>
      <c r="AI239" s="9" t="s">
        <v>2036</v>
      </c>
      <c r="AJ239" s="300">
        <v>42772</v>
      </c>
      <c r="AK239" s="73" t="str">
        <f t="shared" si="52"/>
        <v>HARMONI PANCA UTAMA, PTMAR</v>
      </c>
    </row>
    <row r="240" spans="1:37" s="114" customFormat="1" ht="12" hidden="1" customHeight="1">
      <c r="A240" s="53"/>
      <c r="B240" s="53" t="s">
        <v>239</v>
      </c>
      <c r="C240" s="9">
        <v>1</v>
      </c>
      <c r="D240" s="8" t="s">
        <v>95</v>
      </c>
      <c r="E240" s="10" t="s">
        <v>354</v>
      </c>
      <c r="F240" s="356"/>
      <c r="G240" s="10"/>
      <c r="H240" s="10" t="s">
        <v>2148</v>
      </c>
      <c r="I240" s="10" t="s">
        <v>2149</v>
      </c>
      <c r="J240" s="658">
        <v>0</v>
      </c>
      <c r="K240" s="116">
        <v>28135800</v>
      </c>
      <c r="L240" s="116">
        <f t="shared" si="89"/>
        <v>2813580</v>
      </c>
      <c r="M240" s="658">
        <v>0</v>
      </c>
      <c r="N240" s="189">
        <f t="shared" si="90"/>
        <v>30949380</v>
      </c>
      <c r="O240" s="197" t="s">
        <v>240</v>
      </c>
      <c r="P240" s="197" t="s">
        <v>101</v>
      </c>
      <c r="Q240" s="175"/>
      <c r="R240" s="175"/>
      <c r="S240" s="116">
        <v>0</v>
      </c>
      <c r="T240" s="116">
        <f t="shared" si="85"/>
        <v>-562716</v>
      </c>
      <c r="U240" s="116">
        <v>30386664</v>
      </c>
      <c r="V240" s="210">
        <f t="shared" si="49"/>
        <v>0</v>
      </c>
      <c r="W240" s="115">
        <f t="shared" si="74"/>
        <v>0</v>
      </c>
      <c r="X240" s="181" t="s">
        <v>237</v>
      </c>
      <c r="Y240" s="116"/>
      <c r="Z240" s="185"/>
      <c r="AA240" s="592"/>
      <c r="AB240" s="186"/>
      <c r="AC240" s="300">
        <v>42850</v>
      </c>
      <c r="AD240" s="297">
        <v>562716</v>
      </c>
      <c r="AE240" s="297">
        <f t="shared" ref="AE240:AE246" si="91">-T240-AD240</f>
        <v>0</v>
      </c>
      <c r="AF240" s="9" t="s">
        <v>3025</v>
      </c>
      <c r="AG240" s="9" t="s">
        <v>1395</v>
      </c>
      <c r="AH240" s="300">
        <v>42797</v>
      </c>
      <c r="AI240" s="9" t="s">
        <v>1595</v>
      </c>
      <c r="AJ240" s="300">
        <v>42797</v>
      </c>
      <c r="AK240" s="73" t="str">
        <f t="shared" si="52"/>
        <v>HARMONI PANCA UTAMA, PTAPR</v>
      </c>
    </row>
    <row r="241" spans="1:37" s="114" customFormat="1" ht="12" hidden="1" customHeight="1">
      <c r="A241" s="53"/>
      <c r="B241" s="53" t="s">
        <v>239</v>
      </c>
      <c r="C241" s="9">
        <v>1</v>
      </c>
      <c r="D241" s="8" t="s">
        <v>95</v>
      </c>
      <c r="E241" s="10" t="s">
        <v>357</v>
      </c>
      <c r="F241" s="356"/>
      <c r="G241" s="10"/>
      <c r="H241" s="10" t="s">
        <v>2150</v>
      </c>
      <c r="I241" s="10" t="s">
        <v>2156</v>
      </c>
      <c r="J241" s="658">
        <v>0</v>
      </c>
      <c r="K241" s="116">
        <f>1200*13361</f>
        <v>16033200</v>
      </c>
      <c r="L241" s="116">
        <f t="shared" ref="L241:L246" si="92">K241*10%</f>
        <v>1603320</v>
      </c>
      <c r="M241" s="658">
        <v>0</v>
      </c>
      <c r="N241" s="189">
        <f t="shared" ref="N241:N246" si="93">K241+L241</f>
        <v>17636520</v>
      </c>
      <c r="O241" s="197" t="s">
        <v>240</v>
      </c>
      <c r="P241" s="197" t="s">
        <v>101</v>
      </c>
      <c r="Q241" s="175"/>
      <c r="R241" s="175"/>
      <c r="S241" s="116">
        <v>0</v>
      </c>
      <c r="T241" s="116">
        <f t="shared" si="85"/>
        <v>-320664</v>
      </c>
      <c r="U241" s="116">
        <v>17315856</v>
      </c>
      <c r="V241" s="210">
        <f t="shared" si="49"/>
        <v>0</v>
      </c>
      <c r="W241" s="115">
        <f t="shared" si="74"/>
        <v>0</v>
      </c>
      <c r="X241" s="181" t="s">
        <v>237</v>
      </c>
      <c r="Y241" s="116"/>
      <c r="Z241" s="185"/>
      <c r="AA241" s="592"/>
      <c r="AB241" s="186"/>
      <c r="AC241" s="300">
        <v>42850</v>
      </c>
      <c r="AD241" s="297">
        <v>320664</v>
      </c>
      <c r="AE241" s="297">
        <f t="shared" si="91"/>
        <v>0</v>
      </c>
      <c r="AF241" s="9" t="s">
        <v>3025</v>
      </c>
      <c r="AG241" s="9" t="s">
        <v>1395</v>
      </c>
      <c r="AH241" s="300">
        <v>42797</v>
      </c>
      <c r="AI241" s="9" t="s">
        <v>1595</v>
      </c>
      <c r="AJ241" s="300">
        <v>42797</v>
      </c>
      <c r="AK241" s="73" t="str">
        <f t="shared" si="52"/>
        <v>HARMONI PANCA UTAMA, PTAPR</v>
      </c>
    </row>
    <row r="242" spans="1:37" s="114" customFormat="1" ht="12" hidden="1" customHeight="1">
      <c r="A242" s="53"/>
      <c r="B242" s="53" t="s">
        <v>239</v>
      </c>
      <c r="C242" s="9">
        <v>1</v>
      </c>
      <c r="D242" s="8" t="s">
        <v>95</v>
      </c>
      <c r="E242" s="10" t="s">
        <v>357</v>
      </c>
      <c r="F242" s="356"/>
      <c r="G242" s="10"/>
      <c r="H242" s="10" t="s">
        <v>2151</v>
      </c>
      <c r="I242" s="10" t="s">
        <v>2157</v>
      </c>
      <c r="J242" s="658">
        <v>0</v>
      </c>
      <c r="K242" s="116">
        <f>1500*13361</f>
        <v>20041500</v>
      </c>
      <c r="L242" s="116">
        <f t="shared" si="92"/>
        <v>2004150</v>
      </c>
      <c r="M242" s="658">
        <v>0</v>
      </c>
      <c r="N242" s="189">
        <f t="shared" si="93"/>
        <v>22045650</v>
      </c>
      <c r="O242" s="197" t="s">
        <v>240</v>
      </c>
      <c r="P242" s="197" t="s">
        <v>101</v>
      </c>
      <c r="Q242" s="175"/>
      <c r="R242" s="175"/>
      <c r="S242" s="116">
        <v>0</v>
      </c>
      <c r="T242" s="116">
        <f t="shared" si="85"/>
        <v>-400830</v>
      </c>
      <c r="U242" s="116">
        <v>21644820</v>
      </c>
      <c r="V242" s="210">
        <f t="shared" si="49"/>
        <v>0</v>
      </c>
      <c r="W242" s="115">
        <f t="shared" si="74"/>
        <v>0</v>
      </c>
      <c r="X242" s="181" t="s">
        <v>237</v>
      </c>
      <c r="Y242" s="116"/>
      <c r="Z242" s="185"/>
      <c r="AA242" s="592"/>
      <c r="AB242" s="186"/>
      <c r="AC242" s="300">
        <v>42850</v>
      </c>
      <c r="AD242" s="297">
        <v>400830</v>
      </c>
      <c r="AE242" s="297">
        <f t="shared" si="91"/>
        <v>0</v>
      </c>
      <c r="AF242" s="9" t="s">
        <v>3025</v>
      </c>
      <c r="AG242" s="9" t="s">
        <v>1395</v>
      </c>
      <c r="AH242" s="300">
        <v>42797</v>
      </c>
      <c r="AI242" s="9" t="s">
        <v>1595</v>
      </c>
      <c r="AJ242" s="300">
        <v>42797</v>
      </c>
      <c r="AK242" s="73" t="str">
        <f t="shared" si="52"/>
        <v>HARMONI PANCA UTAMA, PTAPR</v>
      </c>
    </row>
    <row r="243" spans="1:37" s="114" customFormat="1" ht="12" hidden="1" customHeight="1">
      <c r="A243" s="53"/>
      <c r="B243" s="53" t="s">
        <v>239</v>
      </c>
      <c r="C243" s="9">
        <v>1</v>
      </c>
      <c r="D243" s="8" t="s">
        <v>95</v>
      </c>
      <c r="E243" s="10" t="s">
        <v>357</v>
      </c>
      <c r="F243" s="356"/>
      <c r="G243" s="10"/>
      <c r="H243" s="10" t="s">
        <v>2152</v>
      </c>
      <c r="I243" s="10" t="s">
        <v>2158</v>
      </c>
      <c r="J243" s="658">
        <v>0</v>
      </c>
      <c r="K243" s="116">
        <f>1300*13361</f>
        <v>17369300</v>
      </c>
      <c r="L243" s="116">
        <f t="shared" si="92"/>
        <v>1736930</v>
      </c>
      <c r="M243" s="658">
        <v>0</v>
      </c>
      <c r="N243" s="189">
        <f t="shared" si="93"/>
        <v>19106230</v>
      </c>
      <c r="O243" s="197" t="s">
        <v>240</v>
      </c>
      <c r="P243" s="197" t="s">
        <v>101</v>
      </c>
      <c r="Q243" s="175"/>
      <c r="R243" s="175"/>
      <c r="S243" s="116">
        <v>0</v>
      </c>
      <c r="T243" s="116">
        <f t="shared" si="85"/>
        <v>-347386</v>
      </c>
      <c r="U243" s="116">
        <v>18758844</v>
      </c>
      <c r="V243" s="210">
        <f t="shared" ref="V243:V340" si="94">M243+Q243-R243</f>
        <v>0</v>
      </c>
      <c r="W243" s="115">
        <f t="shared" si="74"/>
        <v>0</v>
      </c>
      <c r="X243" s="181" t="s">
        <v>237</v>
      </c>
      <c r="Y243" s="116"/>
      <c r="Z243" s="185"/>
      <c r="AA243" s="592"/>
      <c r="AB243" s="186"/>
      <c r="AC243" s="300">
        <v>42850</v>
      </c>
      <c r="AD243" s="297">
        <v>347386</v>
      </c>
      <c r="AE243" s="297">
        <f t="shared" si="91"/>
        <v>0</v>
      </c>
      <c r="AF243" s="9" t="s">
        <v>3025</v>
      </c>
      <c r="AG243" s="9" t="s">
        <v>1395</v>
      </c>
      <c r="AH243" s="300">
        <v>42797</v>
      </c>
      <c r="AI243" s="9" t="s">
        <v>1595</v>
      </c>
      <c r="AJ243" s="300">
        <v>42797</v>
      </c>
      <c r="AK243" s="73" t="str">
        <f t="shared" si="52"/>
        <v>HARMONI PANCA UTAMA, PTAPR</v>
      </c>
    </row>
    <row r="244" spans="1:37" s="114" customFormat="1" ht="12" hidden="1" customHeight="1">
      <c r="A244" s="53"/>
      <c r="B244" s="53" t="s">
        <v>239</v>
      </c>
      <c r="C244" s="9">
        <v>1</v>
      </c>
      <c r="D244" s="8" t="s">
        <v>95</v>
      </c>
      <c r="E244" s="10" t="s">
        <v>433</v>
      </c>
      <c r="F244" s="356"/>
      <c r="G244" s="10"/>
      <c r="H244" s="10" t="s">
        <v>2153</v>
      </c>
      <c r="I244" s="10" t="s">
        <v>2159</v>
      </c>
      <c r="J244" s="658">
        <v>0</v>
      </c>
      <c r="K244" s="116">
        <f>2000000+21000000</f>
        <v>23000000</v>
      </c>
      <c r="L244" s="116">
        <f t="shared" si="92"/>
        <v>2300000</v>
      </c>
      <c r="M244" s="658">
        <v>0</v>
      </c>
      <c r="N244" s="189">
        <f t="shared" si="93"/>
        <v>25300000</v>
      </c>
      <c r="O244" s="197" t="s">
        <v>240</v>
      </c>
      <c r="P244" s="197" t="s">
        <v>101</v>
      </c>
      <c r="Q244" s="175"/>
      <c r="R244" s="175"/>
      <c r="S244" s="116">
        <v>0</v>
      </c>
      <c r="T244" s="116">
        <f t="shared" si="85"/>
        <v>-460000</v>
      </c>
      <c r="U244" s="116">
        <v>24840000</v>
      </c>
      <c r="V244" s="210">
        <f t="shared" si="94"/>
        <v>0</v>
      </c>
      <c r="W244" s="115">
        <f t="shared" si="74"/>
        <v>0</v>
      </c>
      <c r="X244" s="181" t="s">
        <v>237</v>
      </c>
      <c r="Y244" s="116"/>
      <c r="Z244" s="185"/>
      <c r="AA244" s="592"/>
      <c r="AB244" s="186"/>
      <c r="AC244" s="300">
        <v>42850</v>
      </c>
      <c r="AD244" s="297">
        <v>460000</v>
      </c>
      <c r="AE244" s="297">
        <f t="shared" si="91"/>
        <v>0</v>
      </c>
      <c r="AF244" s="9" t="s">
        <v>3025</v>
      </c>
      <c r="AG244" s="9" t="s">
        <v>1395</v>
      </c>
      <c r="AH244" s="300">
        <v>42797</v>
      </c>
      <c r="AI244" s="9" t="s">
        <v>1595</v>
      </c>
      <c r="AJ244" s="300">
        <v>42797</v>
      </c>
      <c r="AK244" s="73" t="str">
        <f t="shared" si="52"/>
        <v>HARMONI PANCA UTAMA, PTAPR</v>
      </c>
    </row>
    <row r="245" spans="1:37" s="114" customFormat="1" ht="12" hidden="1" customHeight="1">
      <c r="A245" s="53"/>
      <c r="B245" s="53" t="s">
        <v>239</v>
      </c>
      <c r="C245" s="9">
        <v>1</v>
      </c>
      <c r="D245" s="8" t="s">
        <v>95</v>
      </c>
      <c r="E245" s="10" t="s">
        <v>354</v>
      </c>
      <c r="F245" s="356"/>
      <c r="G245" s="10"/>
      <c r="H245" s="10" t="s">
        <v>2154</v>
      </c>
      <c r="I245" s="10" t="s">
        <v>2160</v>
      </c>
      <c r="J245" s="658">
        <v>0</v>
      </c>
      <c r="K245" s="116">
        <v>6000000</v>
      </c>
      <c r="L245" s="116">
        <f t="shared" si="92"/>
        <v>600000</v>
      </c>
      <c r="M245" s="658">
        <v>0</v>
      </c>
      <c r="N245" s="189">
        <f t="shared" si="93"/>
        <v>6600000</v>
      </c>
      <c r="O245" s="197" t="s">
        <v>240</v>
      </c>
      <c r="P245" s="197" t="s">
        <v>101</v>
      </c>
      <c r="Q245" s="175"/>
      <c r="R245" s="175"/>
      <c r="S245" s="116">
        <v>0</v>
      </c>
      <c r="T245" s="116">
        <f t="shared" si="85"/>
        <v>-120000</v>
      </c>
      <c r="U245" s="116">
        <v>6480000</v>
      </c>
      <c r="V245" s="210">
        <f t="shared" si="94"/>
        <v>0</v>
      </c>
      <c r="W245" s="115">
        <f t="shared" si="74"/>
        <v>0</v>
      </c>
      <c r="X245" s="181" t="s">
        <v>237</v>
      </c>
      <c r="Y245" s="116"/>
      <c r="Z245" s="185"/>
      <c r="AA245" s="592"/>
      <c r="AB245" s="186"/>
      <c r="AC245" s="300">
        <v>42850</v>
      </c>
      <c r="AD245" s="297">
        <v>120000</v>
      </c>
      <c r="AE245" s="297">
        <f t="shared" si="91"/>
        <v>0</v>
      </c>
      <c r="AF245" s="9" t="s">
        <v>3025</v>
      </c>
      <c r="AG245" s="9" t="s">
        <v>1395</v>
      </c>
      <c r="AH245" s="300">
        <v>42797</v>
      </c>
      <c r="AI245" s="9" t="s">
        <v>1595</v>
      </c>
      <c r="AJ245" s="300">
        <v>42797</v>
      </c>
      <c r="AK245" s="73" t="str">
        <f t="shared" si="52"/>
        <v>HARMONI PANCA UTAMA, PTAPR</v>
      </c>
    </row>
    <row r="246" spans="1:37" s="114" customFormat="1" ht="12" hidden="1" customHeight="1">
      <c r="A246" s="53"/>
      <c r="B246" s="53" t="s">
        <v>239</v>
      </c>
      <c r="C246" s="9">
        <v>1</v>
      </c>
      <c r="D246" s="8" t="s">
        <v>95</v>
      </c>
      <c r="E246" s="10" t="s">
        <v>354</v>
      </c>
      <c r="F246" s="356"/>
      <c r="G246" s="10"/>
      <c r="H246" s="10" t="s">
        <v>2155</v>
      </c>
      <c r="I246" s="10" t="s">
        <v>2161</v>
      </c>
      <c r="J246" s="658">
        <v>0</v>
      </c>
      <c r="K246" s="116">
        <v>9000000</v>
      </c>
      <c r="L246" s="116">
        <f t="shared" si="92"/>
        <v>900000</v>
      </c>
      <c r="M246" s="658">
        <v>0</v>
      </c>
      <c r="N246" s="189">
        <f t="shared" si="93"/>
        <v>9900000</v>
      </c>
      <c r="O246" s="197" t="s">
        <v>240</v>
      </c>
      <c r="P246" s="197" t="s">
        <v>101</v>
      </c>
      <c r="Q246" s="175"/>
      <c r="R246" s="175"/>
      <c r="S246" s="116">
        <v>0</v>
      </c>
      <c r="T246" s="116">
        <f t="shared" si="85"/>
        <v>-180000</v>
      </c>
      <c r="U246" s="116">
        <v>9720000</v>
      </c>
      <c r="V246" s="210">
        <f t="shared" si="94"/>
        <v>0</v>
      </c>
      <c r="W246" s="115">
        <f t="shared" si="74"/>
        <v>0</v>
      </c>
      <c r="X246" s="181" t="s">
        <v>237</v>
      </c>
      <c r="Y246" s="116"/>
      <c r="Z246" s="185"/>
      <c r="AA246" s="592"/>
      <c r="AB246" s="186"/>
      <c r="AC246" s="300">
        <v>42850</v>
      </c>
      <c r="AD246" s="297">
        <v>180000</v>
      </c>
      <c r="AE246" s="297">
        <f t="shared" si="91"/>
        <v>0</v>
      </c>
      <c r="AF246" s="9" t="s">
        <v>3025</v>
      </c>
      <c r="AG246" s="9" t="s">
        <v>1395</v>
      </c>
      <c r="AH246" s="300">
        <v>42797</v>
      </c>
      <c r="AI246" s="9" t="s">
        <v>1595</v>
      </c>
      <c r="AJ246" s="300">
        <v>42797</v>
      </c>
      <c r="AK246" s="73" t="str">
        <f t="shared" si="52"/>
        <v>HARMONI PANCA UTAMA, PTAPR</v>
      </c>
    </row>
    <row r="247" spans="1:37" s="114" customFormat="1" ht="12" hidden="1" customHeight="1">
      <c r="A247" s="53"/>
      <c r="B247" s="53" t="s">
        <v>240</v>
      </c>
      <c r="C247" s="9">
        <v>4</v>
      </c>
      <c r="D247" s="8" t="s">
        <v>95</v>
      </c>
      <c r="E247" s="10" t="s">
        <v>357</v>
      </c>
      <c r="F247" s="356"/>
      <c r="G247" s="10"/>
      <c r="H247" s="10" t="s">
        <v>2304</v>
      </c>
      <c r="I247" s="10" t="s">
        <v>2305</v>
      </c>
      <c r="J247" s="658">
        <v>0</v>
      </c>
      <c r="K247" s="116">
        <f>37360400-8440740</f>
        <v>28919660</v>
      </c>
      <c r="L247" s="116">
        <f t="shared" ref="L247:L253" si="95">K247*10%</f>
        <v>2891966</v>
      </c>
      <c r="M247" s="658">
        <v>0</v>
      </c>
      <c r="N247" s="189">
        <f t="shared" ref="N247:N253" si="96">K247+L247</f>
        <v>31811626</v>
      </c>
      <c r="O247" s="197" t="s">
        <v>58</v>
      </c>
      <c r="P247" s="197" t="s">
        <v>103</v>
      </c>
      <c r="Q247" s="175"/>
      <c r="R247" s="175"/>
      <c r="S247" s="116">
        <v>0</v>
      </c>
      <c r="T247" s="116">
        <f t="shared" si="85"/>
        <v>-578393.20000000007</v>
      </c>
      <c r="U247" s="116">
        <v>31233233</v>
      </c>
      <c r="V247" s="210">
        <f t="shared" si="94"/>
        <v>0</v>
      </c>
      <c r="W247" s="115">
        <f t="shared" si="74"/>
        <v>-0.19999999925494194</v>
      </c>
      <c r="X247" s="181" t="s">
        <v>237</v>
      </c>
      <c r="Y247" s="116"/>
      <c r="Z247" s="185"/>
      <c r="AA247" s="592"/>
      <c r="AB247" s="186"/>
      <c r="AC247" s="300">
        <v>42878</v>
      </c>
      <c r="AD247" s="297">
        <v>578393</v>
      </c>
      <c r="AE247" s="297">
        <f t="shared" si="51"/>
        <v>0.20000000006984919</v>
      </c>
      <c r="AF247" s="9" t="s">
        <v>3026</v>
      </c>
      <c r="AG247" s="9" t="s">
        <v>1395</v>
      </c>
      <c r="AH247" s="300">
        <v>42835</v>
      </c>
      <c r="AI247" s="9" t="s">
        <v>2336</v>
      </c>
      <c r="AJ247" s="300">
        <v>42835</v>
      </c>
      <c r="AK247" s="73" t="str">
        <f t="shared" si="52"/>
        <v>HARMONI PANCA UTAMA, PTMEI</v>
      </c>
    </row>
    <row r="248" spans="1:37" s="114" customFormat="1" ht="12" hidden="1" customHeight="1">
      <c r="A248" s="53"/>
      <c r="B248" s="53" t="s">
        <v>240</v>
      </c>
      <c r="C248" s="9">
        <v>4</v>
      </c>
      <c r="D248" s="8" t="s">
        <v>95</v>
      </c>
      <c r="E248" s="10" t="s">
        <v>357</v>
      </c>
      <c r="F248" s="356"/>
      <c r="G248" s="10"/>
      <c r="H248" s="10" t="s">
        <v>2306</v>
      </c>
      <c r="I248" s="10" t="s">
        <v>2307</v>
      </c>
      <c r="J248" s="658">
        <v>0</v>
      </c>
      <c r="K248" s="116">
        <f>1200*13326</f>
        <v>15991200</v>
      </c>
      <c r="L248" s="116">
        <f t="shared" si="95"/>
        <v>1599120</v>
      </c>
      <c r="M248" s="658">
        <v>0</v>
      </c>
      <c r="N248" s="189">
        <f t="shared" si="96"/>
        <v>17590320</v>
      </c>
      <c r="O248" s="197" t="s">
        <v>58</v>
      </c>
      <c r="P248" s="197" t="s">
        <v>103</v>
      </c>
      <c r="Q248" s="175"/>
      <c r="R248" s="175"/>
      <c r="S248" s="116">
        <v>0</v>
      </c>
      <c r="T248" s="116">
        <f t="shared" si="85"/>
        <v>-319824</v>
      </c>
      <c r="U248" s="116">
        <v>17270496</v>
      </c>
      <c r="V248" s="210">
        <f t="shared" si="94"/>
        <v>0</v>
      </c>
      <c r="W248" s="115">
        <f t="shared" si="74"/>
        <v>0</v>
      </c>
      <c r="X248" s="181" t="s">
        <v>237</v>
      </c>
      <c r="Y248" s="116"/>
      <c r="Z248" s="185"/>
      <c r="AA248" s="592"/>
      <c r="AB248" s="186"/>
      <c r="AC248" s="300">
        <v>42878</v>
      </c>
      <c r="AD248" s="297">
        <v>319824</v>
      </c>
      <c r="AE248" s="297">
        <f t="shared" ref="AE248:AE253" si="97">-T248-AD248</f>
        <v>0</v>
      </c>
      <c r="AF248" s="9" t="s">
        <v>3026</v>
      </c>
      <c r="AG248" s="9" t="s">
        <v>1395</v>
      </c>
      <c r="AH248" s="300">
        <v>42835</v>
      </c>
      <c r="AI248" s="9" t="s">
        <v>2336</v>
      </c>
      <c r="AJ248" s="300">
        <v>42835</v>
      </c>
      <c r="AK248" s="73" t="str">
        <f t="shared" si="52"/>
        <v>HARMONI PANCA UTAMA, PTMEI</v>
      </c>
    </row>
    <row r="249" spans="1:37" s="114" customFormat="1" ht="12" hidden="1" customHeight="1">
      <c r="A249" s="53"/>
      <c r="B249" s="53" t="s">
        <v>240</v>
      </c>
      <c r="C249" s="9">
        <v>4</v>
      </c>
      <c r="D249" s="8" t="s">
        <v>95</v>
      </c>
      <c r="E249" s="10" t="s">
        <v>357</v>
      </c>
      <c r="F249" s="356"/>
      <c r="G249" s="10"/>
      <c r="H249" s="10" t="s">
        <v>2308</v>
      </c>
      <c r="I249" s="10" t="s">
        <v>2309</v>
      </c>
      <c r="J249" s="658">
        <v>0</v>
      </c>
      <c r="K249" s="116">
        <f>1500*13326</f>
        <v>19989000</v>
      </c>
      <c r="L249" s="116">
        <f t="shared" si="95"/>
        <v>1998900</v>
      </c>
      <c r="M249" s="658">
        <v>0</v>
      </c>
      <c r="N249" s="189">
        <f t="shared" si="96"/>
        <v>21987900</v>
      </c>
      <c r="O249" s="197" t="s">
        <v>58</v>
      </c>
      <c r="P249" s="197" t="s">
        <v>103</v>
      </c>
      <c r="Q249" s="175"/>
      <c r="R249" s="175"/>
      <c r="S249" s="116">
        <v>0</v>
      </c>
      <c r="T249" s="116">
        <f t="shared" si="85"/>
        <v>-399780</v>
      </c>
      <c r="U249" s="116">
        <v>21588120</v>
      </c>
      <c r="V249" s="210">
        <f t="shared" si="94"/>
        <v>0</v>
      </c>
      <c r="W249" s="115">
        <f t="shared" si="74"/>
        <v>0</v>
      </c>
      <c r="X249" s="181" t="s">
        <v>237</v>
      </c>
      <c r="Y249" s="116"/>
      <c r="Z249" s="185"/>
      <c r="AA249" s="592"/>
      <c r="AB249" s="186"/>
      <c r="AC249" s="300">
        <v>42878</v>
      </c>
      <c r="AD249" s="297">
        <v>399780</v>
      </c>
      <c r="AE249" s="297">
        <f t="shared" si="97"/>
        <v>0</v>
      </c>
      <c r="AF249" s="9" t="s">
        <v>3026</v>
      </c>
      <c r="AG249" s="9" t="s">
        <v>1395</v>
      </c>
      <c r="AH249" s="300">
        <v>42835</v>
      </c>
      <c r="AI249" s="9" t="s">
        <v>2336</v>
      </c>
      <c r="AJ249" s="300">
        <v>42835</v>
      </c>
      <c r="AK249" s="73" t="str">
        <f t="shared" si="52"/>
        <v>HARMONI PANCA UTAMA, PTMEI</v>
      </c>
    </row>
    <row r="250" spans="1:37" s="114" customFormat="1" ht="12" hidden="1" customHeight="1">
      <c r="A250" s="53"/>
      <c r="B250" s="53" t="s">
        <v>240</v>
      </c>
      <c r="C250" s="9">
        <v>4</v>
      </c>
      <c r="D250" s="8" t="s">
        <v>95</v>
      </c>
      <c r="E250" s="10" t="s">
        <v>357</v>
      </c>
      <c r="F250" s="356"/>
      <c r="G250" s="10"/>
      <c r="H250" s="10" t="s">
        <v>2314</v>
      </c>
      <c r="I250" s="10" t="s">
        <v>2310</v>
      </c>
      <c r="J250" s="658">
        <v>0</v>
      </c>
      <c r="K250" s="116">
        <f>1300*13326</f>
        <v>17323800</v>
      </c>
      <c r="L250" s="116">
        <f t="shared" si="95"/>
        <v>1732380</v>
      </c>
      <c r="M250" s="658">
        <v>0</v>
      </c>
      <c r="N250" s="189">
        <f t="shared" si="96"/>
        <v>19056180</v>
      </c>
      <c r="O250" s="197" t="s">
        <v>58</v>
      </c>
      <c r="P250" s="197" t="s">
        <v>103</v>
      </c>
      <c r="Q250" s="175"/>
      <c r="R250" s="175"/>
      <c r="S250" s="116">
        <v>0</v>
      </c>
      <c r="T250" s="116">
        <f t="shared" si="85"/>
        <v>-346476</v>
      </c>
      <c r="U250" s="116">
        <v>18709704</v>
      </c>
      <c r="V250" s="210">
        <f t="shared" si="94"/>
        <v>0</v>
      </c>
      <c r="W250" s="115">
        <f t="shared" si="74"/>
        <v>0</v>
      </c>
      <c r="X250" s="181" t="s">
        <v>237</v>
      </c>
      <c r="Y250" s="116"/>
      <c r="Z250" s="185"/>
      <c r="AA250" s="592"/>
      <c r="AB250" s="186"/>
      <c r="AC250" s="300">
        <v>42878</v>
      </c>
      <c r="AD250" s="297">
        <v>346476</v>
      </c>
      <c r="AE250" s="297">
        <f t="shared" si="97"/>
        <v>0</v>
      </c>
      <c r="AF250" s="9" t="s">
        <v>3026</v>
      </c>
      <c r="AG250" s="9" t="s">
        <v>1395</v>
      </c>
      <c r="AH250" s="300">
        <v>42835</v>
      </c>
      <c r="AI250" s="9" t="s">
        <v>2336</v>
      </c>
      <c r="AJ250" s="300">
        <v>42835</v>
      </c>
      <c r="AK250" s="73" t="str">
        <f t="shared" si="52"/>
        <v>HARMONI PANCA UTAMA, PTMEI</v>
      </c>
    </row>
    <row r="251" spans="1:37" s="114" customFormat="1" ht="12" hidden="1" customHeight="1">
      <c r="A251" s="53"/>
      <c r="B251" s="53" t="s">
        <v>240</v>
      </c>
      <c r="C251" s="9">
        <v>6</v>
      </c>
      <c r="D251" s="8" t="s">
        <v>95</v>
      </c>
      <c r="E251" s="10" t="s">
        <v>354</v>
      </c>
      <c r="F251" s="356"/>
      <c r="G251" s="10"/>
      <c r="H251" s="10" t="s">
        <v>2315</v>
      </c>
      <c r="I251" s="10" t="s">
        <v>2311</v>
      </c>
      <c r="J251" s="658">
        <v>0</v>
      </c>
      <c r="K251" s="116">
        <v>21000000</v>
      </c>
      <c r="L251" s="116">
        <f t="shared" si="95"/>
        <v>2100000</v>
      </c>
      <c r="M251" s="658">
        <v>0</v>
      </c>
      <c r="N251" s="189">
        <f t="shared" si="96"/>
        <v>23100000</v>
      </c>
      <c r="O251" s="197" t="s">
        <v>58</v>
      </c>
      <c r="P251" s="197" t="s">
        <v>103</v>
      </c>
      <c r="Q251" s="175"/>
      <c r="R251" s="175"/>
      <c r="S251" s="116">
        <v>0</v>
      </c>
      <c r="T251" s="116">
        <f t="shared" si="85"/>
        <v>-420000</v>
      </c>
      <c r="U251" s="116">
        <v>22680000</v>
      </c>
      <c r="V251" s="210">
        <f t="shared" si="94"/>
        <v>0</v>
      </c>
      <c r="W251" s="115">
        <f t="shared" si="74"/>
        <v>0</v>
      </c>
      <c r="X251" s="181" t="s">
        <v>237</v>
      </c>
      <c r="Y251" s="116"/>
      <c r="Z251" s="185"/>
      <c r="AA251" s="592"/>
      <c r="AB251" s="186"/>
      <c r="AC251" s="300">
        <v>42878</v>
      </c>
      <c r="AD251" s="297">
        <v>420000</v>
      </c>
      <c r="AE251" s="297">
        <f t="shared" si="97"/>
        <v>0</v>
      </c>
      <c r="AF251" s="9" t="s">
        <v>3026</v>
      </c>
      <c r="AG251" s="9" t="s">
        <v>1395</v>
      </c>
      <c r="AH251" s="300">
        <v>42835</v>
      </c>
      <c r="AI251" s="9" t="s">
        <v>2336</v>
      </c>
      <c r="AJ251" s="300">
        <v>42835</v>
      </c>
      <c r="AK251" s="73" t="str">
        <f t="shared" si="52"/>
        <v>HARMONI PANCA UTAMA, PTMEI</v>
      </c>
    </row>
    <row r="252" spans="1:37" s="114" customFormat="1" ht="12" hidden="1" customHeight="1">
      <c r="A252" s="53"/>
      <c r="B252" s="53" t="s">
        <v>240</v>
      </c>
      <c r="C252" s="9">
        <v>6</v>
      </c>
      <c r="D252" s="8" t="s">
        <v>95</v>
      </c>
      <c r="E252" s="10" t="s">
        <v>354</v>
      </c>
      <c r="F252" s="356"/>
      <c r="G252" s="10"/>
      <c r="H252" s="10" t="s">
        <v>2316</v>
      </c>
      <c r="I252" s="10" t="s">
        <v>2312</v>
      </c>
      <c r="J252" s="658">
        <v>0</v>
      </c>
      <c r="K252" s="116">
        <v>6000000</v>
      </c>
      <c r="L252" s="116">
        <f t="shared" si="95"/>
        <v>600000</v>
      </c>
      <c r="M252" s="658">
        <v>0</v>
      </c>
      <c r="N252" s="189">
        <f t="shared" si="96"/>
        <v>6600000</v>
      </c>
      <c r="O252" s="197" t="s">
        <v>58</v>
      </c>
      <c r="P252" s="197" t="s">
        <v>103</v>
      </c>
      <c r="Q252" s="175"/>
      <c r="R252" s="175"/>
      <c r="S252" s="116">
        <v>0</v>
      </c>
      <c r="T252" s="116">
        <f t="shared" si="85"/>
        <v>-120000</v>
      </c>
      <c r="U252" s="116">
        <v>6480000</v>
      </c>
      <c r="V252" s="210">
        <f t="shared" si="94"/>
        <v>0</v>
      </c>
      <c r="W252" s="115">
        <f t="shared" si="74"/>
        <v>0</v>
      </c>
      <c r="X252" s="181" t="s">
        <v>237</v>
      </c>
      <c r="Y252" s="116"/>
      <c r="Z252" s="185"/>
      <c r="AA252" s="592"/>
      <c r="AB252" s="186"/>
      <c r="AC252" s="300">
        <v>42878</v>
      </c>
      <c r="AD252" s="297">
        <v>120000</v>
      </c>
      <c r="AE252" s="297">
        <f t="shared" si="97"/>
        <v>0</v>
      </c>
      <c r="AF252" s="9" t="s">
        <v>3026</v>
      </c>
      <c r="AG252" s="9" t="s">
        <v>1395</v>
      </c>
      <c r="AH252" s="300">
        <v>42835</v>
      </c>
      <c r="AI252" s="9" t="s">
        <v>2336</v>
      </c>
      <c r="AJ252" s="300">
        <v>42835</v>
      </c>
      <c r="AK252" s="73" t="str">
        <f t="shared" ref="AK252:AK372" si="98">CONCATENATE(D252,O252)</f>
        <v>HARMONI PANCA UTAMA, PTMEI</v>
      </c>
    </row>
    <row r="253" spans="1:37" s="114" customFormat="1" ht="12" hidden="1" customHeight="1">
      <c r="A253" s="53"/>
      <c r="B253" s="53" t="s">
        <v>240</v>
      </c>
      <c r="C253" s="9">
        <v>6</v>
      </c>
      <c r="D253" s="8" t="s">
        <v>95</v>
      </c>
      <c r="E253" s="10" t="s">
        <v>354</v>
      </c>
      <c r="F253" s="356"/>
      <c r="G253" s="10"/>
      <c r="H253" s="10" t="s">
        <v>2317</v>
      </c>
      <c r="I253" s="10" t="s">
        <v>2313</v>
      </c>
      <c r="J253" s="658">
        <v>0</v>
      </c>
      <c r="K253" s="116">
        <f>600000+2000000+21000000</f>
        <v>23600000</v>
      </c>
      <c r="L253" s="116">
        <f t="shared" si="95"/>
        <v>2360000</v>
      </c>
      <c r="M253" s="658">
        <v>0</v>
      </c>
      <c r="N253" s="189">
        <f t="shared" si="96"/>
        <v>25960000</v>
      </c>
      <c r="O253" s="197" t="s">
        <v>58</v>
      </c>
      <c r="P253" s="197" t="s">
        <v>103</v>
      </c>
      <c r="Q253" s="175"/>
      <c r="R253" s="175"/>
      <c r="S253" s="116">
        <v>0</v>
      </c>
      <c r="T253" s="116">
        <f t="shared" si="85"/>
        <v>-472000</v>
      </c>
      <c r="U253" s="116">
        <v>25488000</v>
      </c>
      <c r="V253" s="210">
        <f t="shared" si="94"/>
        <v>0</v>
      </c>
      <c r="W253" s="115">
        <f t="shared" si="74"/>
        <v>0</v>
      </c>
      <c r="X253" s="181" t="s">
        <v>237</v>
      </c>
      <c r="Y253" s="116"/>
      <c r="Z253" s="185"/>
      <c r="AA253" s="592"/>
      <c r="AB253" s="186"/>
      <c r="AC253" s="300">
        <v>42878</v>
      </c>
      <c r="AD253" s="297">
        <v>472000</v>
      </c>
      <c r="AE253" s="297">
        <f t="shared" si="97"/>
        <v>0</v>
      </c>
      <c r="AF253" s="9" t="s">
        <v>3026</v>
      </c>
      <c r="AG253" s="9" t="s">
        <v>1395</v>
      </c>
      <c r="AH253" s="300">
        <v>42835</v>
      </c>
      <c r="AI253" s="9" t="s">
        <v>2336</v>
      </c>
      <c r="AJ253" s="300">
        <v>42835</v>
      </c>
      <c r="AK253" s="73" t="str">
        <f t="shared" si="98"/>
        <v>HARMONI PANCA UTAMA, PTMEI</v>
      </c>
    </row>
    <row r="254" spans="1:37" s="114" customFormat="1" ht="12" hidden="1" customHeight="1">
      <c r="A254" s="53"/>
      <c r="B254" s="53" t="s">
        <v>58</v>
      </c>
      <c r="C254" s="9">
        <v>4</v>
      </c>
      <c r="D254" s="8" t="s">
        <v>95</v>
      </c>
      <c r="E254" s="10" t="s">
        <v>357</v>
      </c>
      <c r="F254" s="356"/>
      <c r="G254" s="10"/>
      <c r="H254" s="10" t="s">
        <v>2501</v>
      </c>
      <c r="I254" s="10" t="s">
        <v>2502</v>
      </c>
      <c r="J254" s="658">
        <v>0</v>
      </c>
      <c r="K254" s="116">
        <v>17434853.329999998</v>
      </c>
      <c r="L254" s="116">
        <f t="shared" ref="L254:L260" si="99">K254*10%</f>
        <v>1743485.3329999999</v>
      </c>
      <c r="M254" s="658">
        <v>0</v>
      </c>
      <c r="N254" s="189">
        <f t="shared" ref="N254:N260" si="100">K254+L254</f>
        <v>19178338.662999999</v>
      </c>
      <c r="O254" s="197" t="s">
        <v>241</v>
      </c>
      <c r="P254" s="197" t="s">
        <v>115</v>
      </c>
      <c r="Q254" s="175"/>
      <c r="R254" s="175"/>
      <c r="S254" s="116">
        <v>0</v>
      </c>
      <c r="T254" s="116">
        <f t="shared" si="85"/>
        <v>-348697.06659999996</v>
      </c>
      <c r="U254" s="116">
        <v>18829641</v>
      </c>
      <c r="V254" s="210">
        <f t="shared" si="94"/>
        <v>0</v>
      </c>
      <c r="W254" s="115">
        <f t="shared" ref="W254:W374" si="101">N254+S254+T254-U254</f>
        <v>0.59640000015497208</v>
      </c>
      <c r="X254" s="181" t="s">
        <v>237</v>
      </c>
      <c r="Y254" s="116"/>
      <c r="Z254" s="185"/>
      <c r="AA254" s="592"/>
      <c r="AB254" s="186"/>
      <c r="AC254" s="300">
        <v>42900</v>
      </c>
      <c r="AD254" s="297">
        <v>348697</v>
      </c>
      <c r="AE254" s="297">
        <f t="shared" si="51"/>
        <v>6.6599999961908907E-2</v>
      </c>
      <c r="AF254" s="9" t="s">
        <v>3027</v>
      </c>
      <c r="AG254" s="9" t="s">
        <v>1395</v>
      </c>
      <c r="AH254" s="300">
        <v>42865</v>
      </c>
      <c r="AI254" s="9" t="s">
        <v>1595</v>
      </c>
      <c r="AJ254" s="300">
        <v>42865</v>
      </c>
      <c r="AK254" s="73" t="str">
        <f t="shared" si="98"/>
        <v>HARMONI PANCA UTAMA, PTJUN</v>
      </c>
    </row>
    <row r="255" spans="1:37" s="114" customFormat="1" ht="12" hidden="1" customHeight="1">
      <c r="A255" s="53"/>
      <c r="B255" s="53" t="s">
        <v>58</v>
      </c>
      <c r="C255" s="9">
        <v>4</v>
      </c>
      <c r="D255" s="8" t="s">
        <v>95</v>
      </c>
      <c r="E255" s="10" t="s">
        <v>357</v>
      </c>
      <c r="F255" s="356"/>
      <c r="G255" s="10"/>
      <c r="H255" s="10" t="s">
        <v>2503</v>
      </c>
      <c r="I255" s="10" t="s">
        <v>2504</v>
      </c>
      <c r="J255" s="658">
        <v>0</v>
      </c>
      <c r="K255" s="116">
        <f>840*13330</f>
        <v>11197200</v>
      </c>
      <c r="L255" s="116">
        <f t="shared" si="99"/>
        <v>1119720</v>
      </c>
      <c r="M255" s="658">
        <v>0</v>
      </c>
      <c r="N255" s="189">
        <f t="shared" si="100"/>
        <v>12316920</v>
      </c>
      <c r="O255" s="197" t="s">
        <v>241</v>
      </c>
      <c r="P255" s="197" t="s">
        <v>115</v>
      </c>
      <c r="Q255" s="175"/>
      <c r="R255" s="175"/>
      <c r="S255" s="116">
        <v>0</v>
      </c>
      <c r="T255" s="116">
        <f t="shared" si="85"/>
        <v>-223944</v>
      </c>
      <c r="U255" s="116">
        <v>12092976</v>
      </c>
      <c r="V255" s="210">
        <f t="shared" si="94"/>
        <v>0</v>
      </c>
      <c r="W255" s="115">
        <f t="shared" si="101"/>
        <v>0</v>
      </c>
      <c r="X255" s="181" t="s">
        <v>237</v>
      </c>
      <c r="Y255" s="116"/>
      <c r="Z255" s="185"/>
      <c r="AA255" s="592"/>
      <c r="AB255" s="186"/>
      <c r="AC255" s="300">
        <v>42900</v>
      </c>
      <c r="AD255" s="297">
        <v>223944</v>
      </c>
      <c r="AE255" s="297">
        <f t="shared" ref="AE255:AE259" si="102">-T255-AD255</f>
        <v>0</v>
      </c>
      <c r="AF255" s="9" t="s">
        <v>3027</v>
      </c>
      <c r="AG255" s="9" t="s">
        <v>1395</v>
      </c>
      <c r="AH255" s="300">
        <v>42865</v>
      </c>
      <c r="AI255" s="9" t="s">
        <v>1595</v>
      </c>
      <c r="AJ255" s="300">
        <v>42865</v>
      </c>
      <c r="AK255" s="73" t="str">
        <f t="shared" si="98"/>
        <v>HARMONI PANCA UTAMA, PTJUN</v>
      </c>
    </row>
    <row r="256" spans="1:37" s="114" customFormat="1" ht="12" hidden="1" customHeight="1">
      <c r="A256" s="53"/>
      <c r="B256" s="53" t="s">
        <v>58</v>
      </c>
      <c r="C256" s="9">
        <v>4</v>
      </c>
      <c r="D256" s="8" t="s">
        <v>95</v>
      </c>
      <c r="E256" s="10" t="s">
        <v>357</v>
      </c>
      <c r="F256" s="356"/>
      <c r="G256" s="10"/>
      <c r="H256" s="10" t="s">
        <v>2509</v>
      </c>
      <c r="I256" s="10" t="s">
        <v>2505</v>
      </c>
      <c r="J256" s="658">
        <v>0</v>
      </c>
      <c r="K256" s="116">
        <f>1040*13330</f>
        <v>13863200</v>
      </c>
      <c r="L256" s="116">
        <f t="shared" si="99"/>
        <v>1386320</v>
      </c>
      <c r="M256" s="658">
        <v>0</v>
      </c>
      <c r="N256" s="189">
        <f t="shared" si="100"/>
        <v>15249520</v>
      </c>
      <c r="O256" s="197" t="s">
        <v>241</v>
      </c>
      <c r="P256" s="197" t="s">
        <v>115</v>
      </c>
      <c r="Q256" s="175"/>
      <c r="R256" s="175"/>
      <c r="S256" s="116">
        <v>0</v>
      </c>
      <c r="T256" s="116">
        <f t="shared" si="85"/>
        <v>-277264</v>
      </c>
      <c r="U256" s="116">
        <v>14972256</v>
      </c>
      <c r="V256" s="210">
        <f t="shared" si="94"/>
        <v>0</v>
      </c>
      <c r="W256" s="115">
        <f t="shared" si="101"/>
        <v>0</v>
      </c>
      <c r="X256" s="181" t="s">
        <v>237</v>
      </c>
      <c r="Y256" s="116"/>
      <c r="Z256" s="185"/>
      <c r="AA256" s="592"/>
      <c r="AB256" s="186"/>
      <c r="AC256" s="300">
        <v>42900</v>
      </c>
      <c r="AD256" s="297">
        <v>277264</v>
      </c>
      <c r="AE256" s="297">
        <f t="shared" si="102"/>
        <v>0</v>
      </c>
      <c r="AF256" s="9" t="s">
        <v>3027</v>
      </c>
      <c r="AG256" s="9" t="s">
        <v>1395</v>
      </c>
      <c r="AH256" s="300">
        <v>42865</v>
      </c>
      <c r="AI256" s="9" t="s">
        <v>1595</v>
      </c>
      <c r="AJ256" s="300">
        <v>42865</v>
      </c>
      <c r="AK256" s="73" t="str">
        <f t="shared" si="98"/>
        <v>HARMONI PANCA UTAMA, PTJUN</v>
      </c>
    </row>
    <row r="257" spans="1:37" s="114" customFormat="1" ht="12" hidden="1" customHeight="1">
      <c r="A257" s="53"/>
      <c r="B257" s="53" t="s">
        <v>58</v>
      </c>
      <c r="C257" s="9">
        <v>4</v>
      </c>
      <c r="D257" s="8" t="s">
        <v>95</v>
      </c>
      <c r="E257" s="10" t="s">
        <v>354</v>
      </c>
      <c r="F257" s="356"/>
      <c r="G257" s="10"/>
      <c r="H257" s="10" t="s">
        <v>2510</v>
      </c>
      <c r="I257" s="10" t="s">
        <v>2506</v>
      </c>
      <c r="J257" s="658">
        <v>0</v>
      </c>
      <c r="K257" s="116">
        <v>15400000</v>
      </c>
      <c r="L257" s="116">
        <f t="shared" si="99"/>
        <v>1540000</v>
      </c>
      <c r="M257" s="658">
        <v>0</v>
      </c>
      <c r="N257" s="189">
        <f t="shared" si="100"/>
        <v>16940000</v>
      </c>
      <c r="O257" s="197" t="s">
        <v>241</v>
      </c>
      <c r="P257" s="197" t="s">
        <v>115</v>
      </c>
      <c r="Q257" s="175"/>
      <c r="R257" s="175"/>
      <c r="S257" s="116">
        <v>0</v>
      </c>
      <c r="T257" s="116">
        <f t="shared" si="85"/>
        <v>-308000</v>
      </c>
      <c r="U257" s="116">
        <v>16632000</v>
      </c>
      <c r="V257" s="210">
        <f t="shared" si="94"/>
        <v>0</v>
      </c>
      <c r="W257" s="115">
        <f t="shared" si="101"/>
        <v>0</v>
      </c>
      <c r="X257" s="181" t="s">
        <v>237</v>
      </c>
      <c r="Y257" s="116"/>
      <c r="Z257" s="185"/>
      <c r="AA257" s="592"/>
      <c r="AB257" s="186"/>
      <c r="AC257" s="300">
        <v>42900</v>
      </c>
      <c r="AD257" s="297">
        <v>308000</v>
      </c>
      <c r="AE257" s="297">
        <f t="shared" si="102"/>
        <v>0</v>
      </c>
      <c r="AF257" s="9" t="s">
        <v>3027</v>
      </c>
      <c r="AG257" s="9" t="s">
        <v>1395</v>
      </c>
      <c r="AH257" s="300">
        <v>42865</v>
      </c>
      <c r="AI257" s="9" t="s">
        <v>1595</v>
      </c>
      <c r="AJ257" s="300">
        <v>42865</v>
      </c>
      <c r="AK257" s="73" t="str">
        <f t="shared" si="98"/>
        <v>HARMONI PANCA UTAMA, PTJUN</v>
      </c>
    </row>
    <row r="258" spans="1:37" s="114" customFormat="1" ht="12" hidden="1" customHeight="1">
      <c r="A258" s="53"/>
      <c r="B258" s="53" t="s">
        <v>58</v>
      </c>
      <c r="C258" s="9">
        <v>4</v>
      </c>
      <c r="D258" s="8" t="s">
        <v>95</v>
      </c>
      <c r="E258" s="10" t="s">
        <v>354</v>
      </c>
      <c r="F258" s="356"/>
      <c r="G258" s="10"/>
      <c r="H258" s="10" t="s">
        <v>2511</v>
      </c>
      <c r="I258" s="10" t="s">
        <v>2507</v>
      </c>
      <c r="J258" s="658">
        <v>0</v>
      </c>
      <c r="K258" s="116">
        <v>800000</v>
      </c>
      <c r="L258" s="116">
        <f t="shared" si="99"/>
        <v>80000</v>
      </c>
      <c r="M258" s="658">
        <v>0</v>
      </c>
      <c r="N258" s="189">
        <f t="shared" si="100"/>
        <v>880000</v>
      </c>
      <c r="O258" s="197" t="s">
        <v>241</v>
      </c>
      <c r="P258" s="197" t="s">
        <v>115</v>
      </c>
      <c r="Q258" s="175"/>
      <c r="R258" s="175"/>
      <c r="S258" s="116">
        <v>0</v>
      </c>
      <c r="T258" s="116">
        <f t="shared" si="85"/>
        <v>-16000</v>
      </c>
      <c r="U258" s="116">
        <v>864000</v>
      </c>
      <c r="V258" s="210">
        <f t="shared" si="94"/>
        <v>0</v>
      </c>
      <c r="W258" s="115">
        <f t="shared" si="101"/>
        <v>0</v>
      </c>
      <c r="X258" s="181" t="s">
        <v>237</v>
      </c>
      <c r="Y258" s="116"/>
      <c r="Z258" s="185"/>
      <c r="AA258" s="592"/>
      <c r="AB258" s="186"/>
      <c r="AC258" s="300">
        <v>42900</v>
      </c>
      <c r="AD258" s="297">
        <v>16000</v>
      </c>
      <c r="AE258" s="297">
        <f t="shared" si="102"/>
        <v>0</v>
      </c>
      <c r="AF258" s="9" t="s">
        <v>3027</v>
      </c>
      <c r="AG258" s="9" t="s">
        <v>1395</v>
      </c>
      <c r="AH258" s="300">
        <v>42865</v>
      </c>
      <c r="AI258" s="9" t="s">
        <v>1595</v>
      </c>
      <c r="AJ258" s="300">
        <v>42865</v>
      </c>
      <c r="AK258" s="73" t="str">
        <f t="shared" si="98"/>
        <v>HARMONI PANCA UTAMA, PTJUN</v>
      </c>
    </row>
    <row r="259" spans="1:37" s="114" customFormat="1" ht="12" hidden="1" customHeight="1">
      <c r="A259" s="53"/>
      <c r="B259" s="53" t="s">
        <v>58</v>
      </c>
      <c r="C259" s="9">
        <v>4</v>
      </c>
      <c r="D259" s="8" t="s">
        <v>95</v>
      </c>
      <c r="E259" s="10" t="s">
        <v>354</v>
      </c>
      <c r="F259" s="356"/>
      <c r="G259" s="10"/>
      <c r="H259" s="10" t="s">
        <v>2512</v>
      </c>
      <c r="I259" s="10" t="s">
        <v>2508</v>
      </c>
      <c r="J259" s="658">
        <v>0</v>
      </c>
      <c r="K259" s="116">
        <v>8400000</v>
      </c>
      <c r="L259" s="116">
        <f t="shared" si="99"/>
        <v>840000</v>
      </c>
      <c r="M259" s="658">
        <v>0</v>
      </c>
      <c r="N259" s="189">
        <f t="shared" si="100"/>
        <v>9240000</v>
      </c>
      <c r="O259" s="197" t="s">
        <v>241</v>
      </c>
      <c r="P259" s="197" t="s">
        <v>115</v>
      </c>
      <c r="Q259" s="175"/>
      <c r="R259" s="175"/>
      <c r="S259" s="116">
        <v>0</v>
      </c>
      <c r="T259" s="116">
        <f t="shared" si="85"/>
        <v>-168000</v>
      </c>
      <c r="U259" s="116">
        <v>9072000</v>
      </c>
      <c r="V259" s="210">
        <f t="shared" si="94"/>
        <v>0</v>
      </c>
      <c r="W259" s="115">
        <f t="shared" si="101"/>
        <v>0</v>
      </c>
      <c r="X259" s="181" t="s">
        <v>237</v>
      </c>
      <c r="Y259" s="116"/>
      <c r="Z259" s="185"/>
      <c r="AA259" s="592"/>
      <c r="AB259" s="186"/>
      <c r="AC259" s="300">
        <v>42900</v>
      </c>
      <c r="AD259" s="297">
        <v>168000</v>
      </c>
      <c r="AE259" s="297">
        <f t="shared" si="102"/>
        <v>0</v>
      </c>
      <c r="AF259" s="9" t="s">
        <v>3027</v>
      </c>
      <c r="AG259" s="9" t="s">
        <v>1395</v>
      </c>
      <c r="AH259" s="300">
        <v>42865</v>
      </c>
      <c r="AI259" s="9" t="s">
        <v>1595</v>
      </c>
      <c r="AJ259" s="300">
        <v>42865</v>
      </c>
      <c r="AK259" s="73" t="str">
        <f t="shared" si="98"/>
        <v>HARMONI PANCA UTAMA, PTJUN</v>
      </c>
    </row>
    <row r="260" spans="1:37" s="114" customFormat="1" ht="12" hidden="1" customHeight="1">
      <c r="A260" s="53"/>
      <c r="B260" s="53" t="s">
        <v>241</v>
      </c>
      <c r="C260" s="9">
        <v>2</v>
      </c>
      <c r="D260" s="8" t="s">
        <v>95</v>
      </c>
      <c r="E260" s="10" t="s">
        <v>357</v>
      </c>
      <c r="F260" s="356"/>
      <c r="G260" s="10"/>
      <c r="H260" s="10" t="s">
        <v>2631</v>
      </c>
      <c r="I260" s="10" t="s">
        <v>2669</v>
      </c>
      <c r="J260" s="658">
        <v>0</v>
      </c>
      <c r="K260" s="116">
        <v>37360400</v>
      </c>
      <c r="L260" s="116">
        <f t="shared" si="99"/>
        <v>3736040</v>
      </c>
      <c r="M260" s="658">
        <v>0</v>
      </c>
      <c r="N260" s="189">
        <f t="shared" si="100"/>
        <v>41096440</v>
      </c>
      <c r="O260" s="197" t="s">
        <v>242</v>
      </c>
      <c r="P260" s="197" t="s">
        <v>99</v>
      </c>
      <c r="Q260" s="175"/>
      <c r="R260" s="175"/>
      <c r="S260" s="116">
        <v>0</v>
      </c>
      <c r="T260" s="116">
        <f t="shared" si="85"/>
        <v>-747208</v>
      </c>
      <c r="U260" s="116">
        <v>40349232</v>
      </c>
      <c r="V260" s="210">
        <f t="shared" si="94"/>
        <v>0</v>
      </c>
      <c r="W260" s="115">
        <f t="shared" si="101"/>
        <v>0</v>
      </c>
      <c r="X260" s="181" t="s">
        <v>237</v>
      </c>
      <c r="Y260" s="116"/>
      <c r="Z260" s="185"/>
      <c r="AA260" s="592"/>
      <c r="AB260" s="186"/>
      <c r="AC260" s="9"/>
      <c r="AD260" s="297"/>
      <c r="AE260" s="297">
        <f t="shared" si="51"/>
        <v>747208</v>
      </c>
      <c r="AF260" s="9"/>
      <c r="AG260" s="9" t="s">
        <v>1395</v>
      </c>
      <c r="AH260" s="300">
        <v>42892</v>
      </c>
      <c r="AI260" s="9" t="s">
        <v>1595</v>
      </c>
      <c r="AJ260" s="300">
        <v>42892</v>
      </c>
      <c r="AK260" s="73" t="str">
        <f t="shared" si="98"/>
        <v>HARMONI PANCA UTAMA, PTJUL</v>
      </c>
    </row>
    <row r="261" spans="1:37" s="114" customFormat="1" ht="12" hidden="1" customHeight="1">
      <c r="A261" s="53"/>
      <c r="B261" s="53" t="s">
        <v>241</v>
      </c>
      <c r="C261" s="9">
        <v>2</v>
      </c>
      <c r="D261" s="8" t="s">
        <v>95</v>
      </c>
      <c r="E261" s="10" t="s">
        <v>357</v>
      </c>
      <c r="F261" s="356"/>
      <c r="G261" s="10"/>
      <c r="H261" s="10" t="s">
        <v>2632</v>
      </c>
      <c r="I261" s="10" t="s">
        <v>2670</v>
      </c>
      <c r="J261" s="658">
        <v>0</v>
      </c>
      <c r="K261" s="116">
        <f>1200*13311</f>
        <v>15973200</v>
      </c>
      <c r="L261" s="116">
        <f t="shared" ref="L261:L267" si="103">K261*10%</f>
        <v>1597320</v>
      </c>
      <c r="M261" s="658">
        <v>0</v>
      </c>
      <c r="N261" s="189">
        <f t="shared" ref="N261:N267" si="104">K261+L261</f>
        <v>17570520</v>
      </c>
      <c r="O261" s="197" t="s">
        <v>242</v>
      </c>
      <c r="P261" s="197" t="s">
        <v>99</v>
      </c>
      <c r="Q261" s="175"/>
      <c r="R261" s="175"/>
      <c r="S261" s="116">
        <v>0</v>
      </c>
      <c r="T261" s="116">
        <f t="shared" si="85"/>
        <v>-319464</v>
      </c>
      <c r="U261" s="116">
        <v>17251056</v>
      </c>
      <c r="V261" s="210">
        <f t="shared" si="94"/>
        <v>0</v>
      </c>
      <c r="W261" s="115">
        <f t="shared" si="101"/>
        <v>0</v>
      </c>
      <c r="X261" s="181" t="s">
        <v>237</v>
      </c>
      <c r="Y261" s="116"/>
      <c r="Z261" s="185"/>
      <c r="AA261" s="592"/>
      <c r="AB261" s="186"/>
      <c r="AC261" s="9"/>
      <c r="AD261" s="297"/>
      <c r="AE261" s="297">
        <f t="shared" si="51"/>
        <v>319464</v>
      </c>
      <c r="AF261" s="9"/>
      <c r="AG261" s="9" t="s">
        <v>1395</v>
      </c>
      <c r="AH261" s="300">
        <v>42892</v>
      </c>
      <c r="AI261" s="9" t="s">
        <v>1595</v>
      </c>
      <c r="AJ261" s="300">
        <v>42892</v>
      </c>
      <c r="AK261" s="73" t="str">
        <f t="shared" si="98"/>
        <v>HARMONI PANCA UTAMA, PTJUL</v>
      </c>
    </row>
    <row r="262" spans="1:37" s="114" customFormat="1" ht="12" hidden="1" customHeight="1">
      <c r="A262" s="53"/>
      <c r="B262" s="53" t="s">
        <v>241</v>
      </c>
      <c r="C262" s="9">
        <v>2</v>
      </c>
      <c r="D262" s="8" t="s">
        <v>95</v>
      </c>
      <c r="E262" s="10" t="s">
        <v>357</v>
      </c>
      <c r="F262" s="356"/>
      <c r="G262" s="10"/>
      <c r="H262" s="10" t="s">
        <v>2633</v>
      </c>
      <c r="I262" s="10" t="s">
        <v>2671</v>
      </c>
      <c r="J262" s="658">
        <v>0</v>
      </c>
      <c r="K262" s="116">
        <f>1500*13311</f>
        <v>19966500</v>
      </c>
      <c r="L262" s="116">
        <f t="shared" si="103"/>
        <v>1996650</v>
      </c>
      <c r="M262" s="658">
        <v>0</v>
      </c>
      <c r="N262" s="189">
        <f t="shared" si="104"/>
        <v>21963150</v>
      </c>
      <c r="O262" s="197" t="s">
        <v>242</v>
      </c>
      <c r="P262" s="197" t="s">
        <v>99</v>
      </c>
      <c r="Q262" s="175"/>
      <c r="R262" s="175"/>
      <c r="S262" s="116">
        <v>0</v>
      </c>
      <c r="T262" s="116">
        <f t="shared" si="85"/>
        <v>-399330</v>
      </c>
      <c r="U262" s="116">
        <v>21563820</v>
      </c>
      <c r="V262" s="210">
        <f t="shared" si="94"/>
        <v>0</v>
      </c>
      <c r="W262" s="115">
        <f t="shared" si="101"/>
        <v>0</v>
      </c>
      <c r="X262" s="181" t="s">
        <v>237</v>
      </c>
      <c r="Y262" s="116"/>
      <c r="Z262" s="185"/>
      <c r="AA262" s="592"/>
      <c r="AB262" s="186"/>
      <c r="AC262" s="9"/>
      <c r="AD262" s="297"/>
      <c r="AE262" s="297">
        <f t="shared" si="51"/>
        <v>399330</v>
      </c>
      <c r="AF262" s="9"/>
      <c r="AG262" s="9" t="s">
        <v>1395</v>
      </c>
      <c r="AH262" s="300">
        <v>42892</v>
      </c>
      <c r="AI262" s="9" t="s">
        <v>1595</v>
      </c>
      <c r="AJ262" s="300">
        <v>42892</v>
      </c>
      <c r="AK262" s="73" t="str">
        <f t="shared" si="98"/>
        <v>HARMONI PANCA UTAMA, PTJUL</v>
      </c>
    </row>
    <row r="263" spans="1:37" s="114" customFormat="1" ht="12" hidden="1" customHeight="1">
      <c r="A263" s="53"/>
      <c r="B263" s="53" t="s">
        <v>241</v>
      </c>
      <c r="C263" s="9">
        <v>2</v>
      </c>
      <c r="D263" s="8" t="s">
        <v>95</v>
      </c>
      <c r="E263" s="10" t="s">
        <v>357</v>
      </c>
      <c r="F263" s="356"/>
      <c r="G263" s="10"/>
      <c r="H263" s="10" t="s">
        <v>2634</v>
      </c>
      <c r="I263" s="10" t="s">
        <v>2672</v>
      </c>
      <c r="J263" s="658">
        <v>0</v>
      </c>
      <c r="K263" s="116">
        <f>1300*13311</f>
        <v>17304300</v>
      </c>
      <c r="L263" s="116">
        <f t="shared" si="103"/>
        <v>1730430</v>
      </c>
      <c r="M263" s="658">
        <v>0</v>
      </c>
      <c r="N263" s="189">
        <f t="shared" si="104"/>
        <v>19034730</v>
      </c>
      <c r="O263" s="197" t="s">
        <v>242</v>
      </c>
      <c r="P263" s="197" t="s">
        <v>99</v>
      </c>
      <c r="Q263" s="175"/>
      <c r="R263" s="175"/>
      <c r="S263" s="116">
        <v>0</v>
      </c>
      <c r="T263" s="116">
        <f t="shared" si="85"/>
        <v>-346086</v>
      </c>
      <c r="U263" s="116">
        <v>18688644</v>
      </c>
      <c r="V263" s="210">
        <f t="shared" si="94"/>
        <v>0</v>
      </c>
      <c r="W263" s="115">
        <f t="shared" si="101"/>
        <v>0</v>
      </c>
      <c r="X263" s="181" t="s">
        <v>237</v>
      </c>
      <c r="Y263" s="116"/>
      <c r="Z263" s="185"/>
      <c r="AA263" s="592"/>
      <c r="AB263" s="186"/>
      <c r="AC263" s="9"/>
      <c r="AD263" s="297"/>
      <c r="AE263" s="297">
        <f t="shared" si="51"/>
        <v>346086</v>
      </c>
      <c r="AF263" s="9"/>
      <c r="AG263" s="9" t="s">
        <v>1395</v>
      </c>
      <c r="AH263" s="300">
        <v>42892</v>
      </c>
      <c r="AI263" s="9" t="s">
        <v>1595</v>
      </c>
      <c r="AJ263" s="300">
        <v>42892</v>
      </c>
      <c r="AK263" s="73" t="str">
        <f t="shared" si="98"/>
        <v>HARMONI PANCA UTAMA, PTJUL</v>
      </c>
    </row>
    <row r="264" spans="1:37" s="114" customFormat="1" ht="12" hidden="1" customHeight="1">
      <c r="A264" s="53"/>
      <c r="B264" s="53" t="s">
        <v>241</v>
      </c>
      <c r="C264" s="9">
        <v>2</v>
      </c>
      <c r="D264" s="8" t="s">
        <v>95</v>
      </c>
      <c r="E264" s="10" t="s">
        <v>354</v>
      </c>
      <c r="F264" s="356"/>
      <c r="G264" s="10"/>
      <c r="H264" s="10" t="s">
        <v>2635</v>
      </c>
      <c r="I264" s="10" t="s">
        <v>2673</v>
      </c>
      <c r="J264" s="658">
        <v>0</v>
      </c>
      <c r="K264" s="116">
        <v>29000000</v>
      </c>
      <c r="L264" s="116">
        <f t="shared" si="103"/>
        <v>2900000</v>
      </c>
      <c r="M264" s="658">
        <v>0</v>
      </c>
      <c r="N264" s="189">
        <f t="shared" si="104"/>
        <v>31900000</v>
      </c>
      <c r="O264" s="197" t="s">
        <v>242</v>
      </c>
      <c r="P264" s="197" t="s">
        <v>99</v>
      </c>
      <c r="Q264" s="175"/>
      <c r="R264" s="175"/>
      <c r="S264" s="116">
        <v>0</v>
      </c>
      <c r="T264" s="116">
        <f t="shared" si="85"/>
        <v>-580000</v>
      </c>
      <c r="U264" s="116">
        <v>31320000</v>
      </c>
      <c r="V264" s="210">
        <f t="shared" si="94"/>
        <v>0</v>
      </c>
      <c r="W264" s="115">
        <f t="shared" si="101"/>
        <v>0</v>
      </c>
      <c r="X264" s="181" t="s">
        <v>237</v>
      </c>
      <c r="Y264" s="116"/>
      <c r="Z264" s="185"/>
      <c r="AA264" s="592"/>
      <c r="AB264" s="186"/>
      <c r="AC264" s="9"/>
      <c r="AD264" s="297"/>
      <c r="AE264" s="297">
        <f t="shared" si="51"/>
        <v>580000</v>
      </c>
      <c r="AF264" s="9"/>
      <c r="AG264" s="9" t="s">
        <v>1395</v>
      </c>
      <c r="AH264" s="300">
        <v>42892</v>
      </c>
      <c r="AI264" s="9" t="s">
        <v>1595</v>
      </c>
      <c r="AJ264" s="300">
        <v>42892</v>
      </c>
      <c r="AK264" s="73" t="str">
        <f t="shared" si="98"/>
        <v>HARMONI PANCA UTAMA, PTJUL</v>
      </c>
    </row>
    <row r="265" spans="1:37" s="114" customFormat="1" ht="12" hidden="1" customHeight="1">
      <c r="A265" s="53"/>
      <c r="B265" s="53" t="s">
        <v>241</v>
      </c>
      <c r="C265" s="9">
        <v>2</v>
      </c>
      <c r="D265" s="8" t="s">
        <v>95</v>
      </c>
      <c r="E265" s="10" t="s">
        <v>354</v>
      </c>
      <c r="F265" s="356"/>
      <c r="G265" s="10"/>
      <c r="H265" s="10" t="s">
        <v>2636</v>
      </c>
      <c r="I265" s="10" t="s">
        <v>2674</v>
      </c>
      <c r="J265" s="658">
        <v>0</v>
      </c>
      <c r="K265" s="116">
        <v>6000000</v>
      </c>
      <c r="L265" s="116">
        <f t="shared" si="103"/>
        <v>600000</v>
      </c>
      <c r="M265" s="658">
        <v>0</v>
      </c>
      <c r="N265" s="189">
        <f t="shared" si="104"/>
        <v>6600000</v>
      </c>
      <c r="O265" s="197" t="s">
        <v>242</v>
      </c>
      <c r="P265" s="197" t="s">
        <v>99</v>
      </c>
      <c r="Q265" s="175"/>
      <c r="R265" s="175"/>
      <c r="S265" s="116">
        <v>0</v>
      </c>
      <c r="T265" s="116">
        <f t="shared" si="85"/>
        <v>-120000</v>
      </c>
      <c r="U265" s="116">
        <v>6480000</v>
      </c>
      <c r="V265" s="210">
        <f t="shared" si="94"/>
        <v>0</v>
      </c>
      <c r="W265" s="115">
        <f t="shared" si="101"/>
        <v>0</v>
      </c>
      <c r="X265" s="181" t="s">
        <v>237</v>
      </c>
      <c r="Y265" s="116"/>
      <c r="Z265" s="185"/>
      <c r="AA265" s="592"/>
      <c r="AB265" s="186"/>
      <c r="AC265" s="9"/>
      <c r="AD265" s="297"/>
      <c r="AE265" s="297">
        <f t="shared" si="51"/>
        <v>120000</v>
      </c>
      <c r="AF265" s="9"/>
      <c r="AG265" s="9" t="s">
        <v>1395</v>
      </c>
      <c r="AH265" s="300">
        <v>42892</v>
      </c>
      <c r="AI265" s="9" t="s">
        <v>1595</v>
      </c>
      <c r="AJ265" s="300">
        <v>42892</v>
      </c>
      <c r="AK265" s="73" t="str">
        <f t="shared" si="98"/>
        <v>HARMONI PANCA UTAMA, PTJUL</v>
      </c>
    </row>
    <row r="266" spans="1:37" s="114" customFormat="1" ht="12" hidden="1" customHeight="1">
      <c r="A266" s="53"/>
      <c r="B266" s="53" t="s">
        <v>241</v>
      </c>
      <c r="C266" s="9">
        <v>2</v>
      </c>
      <c r="D266" s="8" t="s">
        <v>95</v>
      </c>
      <c r="E266" s="10" t="s">
        <v>354</v>
      </c>
      <c r="F266" s="356"/>
      <c r="G266" s="10"/>
      <c r="H266" s="10" t="s">
        <v>2637</v>
      </c>
      <c r="I266" s="10" t="s">
        <v>2675</v>
      </c>
      <c r="J266" s="658">
        <v>0</v>
      </c>
      <c r="K266" s="116">
        <v>21000000</v>
      </c>
      <c r="L266" s="116">
        <f t="shared" si="103"/>
        <v>2100000</v>
      </c>
      <c r="M266" s="658">
        <v>0</v>
      </c>
      <c r="N266" s="189">
        <f t="shared" si="104"/>
        <v>23100000</v>
      </c>
      <c r="O266" s="197" t="s">
        <v>242</v>
      </c>
      <c r="P266" s="197" t="s">
        <v>99</v>
      </c>
      <c r="Q266" s="175"/>
      <c r="R266" s="175"/>
      <c r="S266" s="116">
        <v>0</v>
      </c>
      <c r="T266" s="116">
        <f t="shared" si="85"/>
        <v>-420000</v>
      </c>
      <c r="U266" s="116">
        <v>22680000</v>
      </c>
      <c r="V266" s="210">
        <f t="shared" si="94"/>
        <v>0</v>
      </c>
      <c r="W266" s="115">
        <f t="shared" si="101"/>
        <v>0</v>
      </c>
      <c r="X266" s="181" t="s">
        <v>237</v>
      </c>
      <c r="Y266" s="116"/>
      <c r="Z266" s="185"/>
      <c r="AA266" s="592"/>
      <c r="AB266" s="186"/>
      <c r="AC266" s="9"/>
      <c r="AD266" s="297"/>
      <c r="AE266" s="297">
        <f t="shared" si="51"/>
        <v>420000</v>
      </c>
      <c r="AF266" s="9"/>
      <c r="AG266" s="9" t="s">
        <v>1395</v>
      </c>
      <c r="AH266" s="300">
        <v>42892</v>
      </c>
      <c r="AI266" s="9" t="s">
        <v>1595</v>
      </c>
      <c r="AJ266" s="300">
        <v>42892</v>
      </c>
      <c r="AK266" s="73" t="str">
        <f t="shared" si="98"/>
        <v>HARMONI PANCA UTAMA, PTJUL</v>
      </c>
    </row>
    <row r="267" spans="1:37" s="114" customFormat="1" ht="12" hidden="1" customHeight="1">
      <c r="A267" s="53"/>
      <c r="B267" s="53" t="s">
        <v>241</v>
      </c>
      <c r="C267" s="9">
        <v>2</v>
      </c>
      <c r="D267" s="8" t="s">
        <v>95</v>
      </c>
      <c r="E267" s="10" t="s">
        <v>433</v>
      </c>
      <c r="F267" s="356"/>
      <c r="G267" s="10"/>
      <c r="H267" s="10" t="s">
        <v>2638</v>
      </c>
      <c r="I267" s="10" t="s">
        <v>2676</v>
      </c>
      <c r="J267" s="658">
        <v>0</v>
      </c>
      <c r="K267" s="116">
        <f>2000000+6000000</f>
        <v>8000000</v>
      </c>
      <c r="L267" s="116">
        <f t="shared" si="103"/>
        <v>800000</v>
      </c>
      <c r="M267" s="658">
        <v>0</v>
      </c>
      <c r="N267" s="189">
        <f t="shared" si="104"/>
        <v>8800000</v>
      </c>
      <c r="O267" s="197" t="s">
        <v>242</v>
      </c>
      <c r="P267" s="197" t="s">
        <v>99</v>
      </c>
      <c r="Q267" s="175"/>
      <c r="R267" s="175"/>
      <c r="S267" s="116">
        <v>0</v>
      </c>
      <c r="T267" s="116">
        <f t="shared" si="85"/>
        <v>-160000</v>
      </c>
      <c r="U267" s="116">
        <v>8640000</v>
      </c>
      <c r="V267" s="210">
        <f t="shared" si="94"/>
        <v>0</v>
      </c>
      <c r="W267" s="115">
        <f t="shared" si="101"/>
        <v>0</v>
      </c>
      <c r="X267" s="181" t="s">
        <v>237</v>
      </c>
      <c r="Y267" s="116"/>
      <c r="Z267" s="185"/>
      <c r="AA267" s="592"/>
      <c r="AB267" s="186"/>
      <c r="AC267" s="9"/>
      <c r="AD267" s="297"/>
      <c r="AE267" s="297">
        <f t="shared" si="51"/>
        <v>160000</v>
      </c>
      <c r="AF267" s="9"/>
      <c r="AG267" s="9" t="s">
        <v>1395</v>
      </c>
      <c r="AH267" s="300">
        <v>42892</v>
      </c>
      <c r="AI267" s="9" t="s">
        <v>1595</v>
      </c>
      <c r="AJ267" s="300">
        <v>42892</v>
      </c>
      <c r="AK267" s="73" t="str">
        <f t="shared" si="98"/>
        <v>HARMONI PANCA UTAMA, PTJUL</v>
      </c>
    </row>
    <row r="268" spans="1:37" s="114" customFormat="1" ht="12" hidden="1" customHeight="1">
      <c r="A268" s="53"/>
      <c r="B268" s="53" t="s">
        <v>242</v>
      </c>
      <c r="C268" s="9">
        <v>3</v>
      </c>
      <c r="D268" s="8" t="s">
        <v>95</v>
      </c>
      <c r="E268" s="10" t="s">
        <v>357</v>
      </c>
      <c r="F268" s="356" t="s">
        <v>3073</v>
      </c>
      <c r="G268" s="10" t="s">
        <v>59</v>
      </c>
      <c r="H268" s="10" t="s">
        <v>2778</v>
      </c>
      <c r="I268" s="10" t="s">
        <v>2817</v>
      </c>
      <c r="J268" s="658">
        <v>0</v>
      </c>
      <c r="K268" s="116">
        <v>37360400</v>
      </c>
      <c r="L268" s="116">
        <f t="shared" ref="L268:L276" si="105">K268*10%</f>
        <v>3736040</v>
      </c>
      <c r="M268" s="658">
        <v>0</v>
      </c>
      <c r="N268" s="189">
        <f t="shared" ref="N268:N276" si="106">K268+L268</f>
        <v>41096440</v>
      </c>
      <c r="O268" s="197" t="s">
        <v>243</v>
      </c>
      <c r="P268" s="197" t="s">
        <v>103</v>
      </c>
      <c r="Q268" s="175"/>
      <c r="R268" s="175"/>
      <c r="S268" s="116">
        <v>0</v>
      </c>
      <c r="T268" s="116">
        <f t="shared" si="85"/>
        <v>-747208</v>
      </c>
      <c r="U268" s="116">
        <v>40349232</v>
      </c>
      <c r="V268" s="210">
        <f t="shared" si="94"/>
        <v>0</v>
      </c>
      <c r="W268" s="115">
        <f t="shared" si="101"/>
        <v>0</v>
      </c>
      <c r="X268" s="181"/>
      <c r="Y268" s="116"/>
      <c r="Z268" s="185"/>
      <c r="AA268" s="592"/>
      <c r="AB268" s="186"/>
      <c r="AC268" s="9"/>
      <c r="AD268" s="297"/>
      <c r="AE268" s="297">
        <f t="shared" si="51"/>
        <v>747208</v>
      </c>
      <c r="AF268" s="9"/>
      <c r="AG268" s="9" t="s">
        <v>1395</v>
      </c>
      <c r="AH268" s="300">
        <v>42921</v>
      </c>
      <c r="AI268" s="9" t="s">
        <v>1595</v>
      </c>
      <c r="AJ268" s="300">
        <v>42921</v>
      </c>
      <c r="AK268" s="73" t="str">
        <f t="shared" si="98"/>
        <v>HARMONI PANCA UTAMA, PTAGS</v>
      </c>
    </row>
    <row r="269" spans="1:37" s="114" customFormat="1" ht="12" hidden="1" customHeight="1">
      <c r="A269" s="53"/>
      <c r="B269" s="53" t="s">
        <v>242</v>
      </c>
      <c r="C269" s="9">
        <v>3</v>
      </c>
      <c r="D269" s="8" t="s">
        <v>95</v>
      </c>
      <c r="E269" s="10" t="s">
        <v>357</v>
      </c>
      <c r="F269" s="356" t="s">
        <v>3074</v>
      </c>
      <c r="G269" s="10" t="s">
        <v>59</v>
      </c>
      <c r="H269" s="10" t="s">
        <v>2779</v>
      </c>
      <c r="I269" s="10" t="s">
        <v>2818</v>
      </c>
      <c r="J269" s="658">
        <v>0</v>
      </c>
      <c r="K269" s="116">
        <f>1200*13325</f>
        <v>15990000</v>
      </c>
      <c r="L269" s="116">
        <f t="shared" si="105"/>
        <v>1599000</v>
      </c>
      <c r="M269" s="658">
        <v>0</v>
      </c>
      <c r="N269" s="189">
        <f t="shared" si="106"/>
        <v>17589000</v>
      </c>
      <c r="O269" s="197" t="s">
        <v>243</v>
      </c>
      <c r="P269" s="197" t="s">
        <v>103</v>
      </c>
      <c r="Q269" s="175"/>
      <c r="R269" s="175"/>
      <c r="S269" s="116">
        <v>0</v>
      </c>
      <c r="T269" s="116">
        <f t="shared" si="85"/>
        <v>-319800</v>
      </c>
      <c r="U269" s="116">
        <v>17269200</v>
      </c>
      <c r="V269" s="210">
        <f t="shared" si="94"/>
        <v>0</v>
      </c>
      <c r="W269" s="115">
        <f t="shared" si="101"/>
        <v>0</v>
      </c>
      <c r="X269" s="181"/>
      <c r="Y269" s="116"/>
      <c r="Z269" s="185"/>
      <c r="AA269" s="592"/>
      <c r="AB269" s="186"/>
      <c r="AC269" s="9"/>
      <c r="AD269" s="297"/>
      <c r="AE269" s="297">
        <f t="shared" si="51"/>
        <v>319800</v>
      </c>
      <c r="AF269" s="9"/>
      <c r="AG269" s="9" t="s">
        <v>1395</v>
      </c>
      <c r="AH269" s="300">
        <v>42921</v>
      </c>
      <c r="AI269" s="9" t="s">
        <v>1595</v>
      </c>
      <c r="AJ269" s="300">
        <v>42921</v>
      </c>
      <c r="AK269" s="73" t="str">
        <f t="shared" si="98"/>
        <v>HARMONI PANCA UTAMA, PTAGS</v>
      </c>
    </row>
    <row r="270" spans="1:37" s="114" customFormat="1" ht="12" hidden="1" customHeight="1">
      <c r="A270" s="53"/>
      <c r="B270" s="53" t="s">
        <v>242</v>
      </c>
      <c r="C270" s="9">
        <v>3</v>
      </c>
      <c r="D270" s="8" t="s">
        <v>95</v>
      </c>
      <c r="E270" s="10" t="s">
        <v>357</v>
      </c>
      <c r="F270" s="356" t="s">
        <v>3075</v>
      </c>
      <c r="G270" s="10" t="s">
        <v>59</v>
      </c>
      <c r="H270" s="10" t="s">
        <v>2780</v>
      </c>
      <c r="I270" s="10" t="s">
        <v>2819</v>
      </c>
      <c r="J270" s="658">
        <v>0</v>
      </c>
      <c r="K270" s="116">
        <f>1500*13325</f>
        <v>19987500</v>
      </c>
      <c r="L270" s="116">
        <f t="shared" si="105"/>
        <v>1998750</v>
      </c>
      <c r="M270" s="658">
        <v>0</v>
      </c>
      <c r="N270" s="189">
        <f t="shared" si="106"/>
        <v>21986250</v>
      </c>
      <c r="O270" s="197" t="s">
        <v>243</v>
      </c>
      <c r="P270" s="197" t="s">
        <v>103</v>
      </c>
      <c r="Q270" s="175"/>
      <c r="R270" s="175"/>
      <c r="S270" s="116">
        <v>0</v>
      </c>
      <c r="T270" s="116">
        <f t="shared" si="85"/>
        <v>-399750</v>
      </c>
      <c r="U270" s="116">
        <v>21586500</v>
      </c>
      <c r="V270" s="210">
        <f t="shared" si="94"/>
        <v>0</v>
      </c>
      <c r="W270" s="115">
        <f t="shared" si="101"/>
        <v>0</v>
      </c>
      <c r="X270" s="181"/>
      <c r="Y270" s="116"/>
      <c r="Z270" s="185"/>
      <c r="AA270" s="592"/>
      <c r="AB270" s="186"/>
      <c r="AC270" s="9"/>
      <c r="AD270" s="297"/>
      <c r="AE270" s="297">
        <f t="shared" si="51"/>
        <v>399750</v>
      </c>
      <c r="AF270" s="9"/>
      <c r="AG270" s="9" t="s">
        <v>1395</v>
      </c>
      <c r="AH270" s="300">
        <v>42921</v>
      </c>
      <c r="AI270" s="9" t="s">
        <v>1595</v>
      </c>
      <c r="AJ270" s="300">
        <v>42921</v>
      </c>
      <c r="AK270" s="73" t="str">
        <f t="shared" si="98"/>
        <v>HARMONI PANCA UTAMA, PTAGS</v>
      </c>
    </row>
    <row r="271" spans="1:37" s="114" customFormat="1" ht="12" hidden="1" customHeight="1">
      <c r="A271" s="53"/>
      <c r="B271" s="53" t="s">
        <v>242</v>
      </c>
      <c r="C271" s="9">
        <v>3</v>
      </c>
      <c r="D271" s="8" t="s">
        <v>95</v>
      </c>
      <c r="E271" s="10" t="s">
        <v>357</v>
      </c>
      <c r="F271" s="356" t="s">
        <v>3076</v>
      </c>
      <c r="G271" s="10" t="s">
        <v>59</v>
      </c>
      <c r="H271" s="10" t="s">
        <v>2781</v>
      </c>
      <c r="I271" s="10" t="s">
        <v>2820</v>
      </c>
      <c r="J271" s="658">
        <v>0</v>
      </c>
      <c r="K271" s="116">
        <f>1300*13325</f>
        <v>17322500</v>
      </c>
      <c r="L271" s="116">
        <f t="shared" si="105"/>
        <v>1732250</v>
      </c>
      <c r="M271" s="658">
        <v>0</v>
      </c>
      <c r="N271" s="189">
        <f t="shared" si="106"/>
        <v>19054750</v>
      </c>
      <c r="O271" s="197" t="s">
        <v>243</v>
      </c>
      <c r="P271" s="197" t="s">
        <v>103</v>
      </c>
      <c r="Q271" s="175"/>
      <c r="R271" s="175"/>
      <c r="S271" s="116">
        <v>0</v>
      </c>
      <c r="T271" s="116">
        <f t="shared" si="85"/>
        <v>-346450</v>
      </c>
      <c r="U271" s="116">
        <v>18708300</v>
      </c>
      <c r="V271" s="210">
        <f t="shared" si="94"/>
        <v>0</v>
      </c>
      <c r="W271" s="115">
        <f t="shared" si="101"/>
        <v>0</v>
      </c>
      <c r="X271" s="181"/>
      <c r="Y271" s="116"/>
      <c r="Z271" s="185"/>
      <c r="AA271" s="592"/>
      <c r="AB271" s="186"/>
      <c r="AC271" s="9"/>
      <c r="AD271" s="297"/>
      <c r="AE271" s="297">
        <f t="shared" si="51"/>
        <v>346450</v>
      </c>
      <c r="AF271" s="9"/>
      <c r="AG271" s="9" t="s">
        <v>1395</v>
      </c>
      <c r="AH271" s="300">
        <v>42921</v>
      </c>
      <c r="AI271" s="9" t="s">
        <v>1595</v>
      </c>
      <c r="AJ271" s="300">
        <v>42921</v>
      </c>
      <c r="AK271" s="73" t="str">
        <f t="shared" si="98"/>
        <v>HARMONI PANCA UTAMA, PTAGS</v>
      </c>
    </row>
    <row r="272" spans="1:37" s="114" customFormat="1" ht="12" hidden="1" customHeight="1">
      <c r="A272" s="53"/>
      <c r="B272" s="53" t="s">
        <v>242</v>
      </c>
      <c r="C272" s="9">
        <v>3</v>
      </c>
      <c r="D272" s="8" t="s">
        <v>95</v>
      </c>
      <c r="E272" s="10" t="s">
        <v>354</v>
      </c>
      <c r="F272" s="356" t="s">
        <v>3077</v>
      </c>
      <c r="G272" s="10" t="s">
        <v>59</v>
      </c>
      <c r="H272" s="10" t="s">
        <v>2782</v>
      </c>
      <c r="I272" s="10" t="s">
        <v>2821</v>
      </c>
      <c r="J272" s="658">
        <v>0</v>
      </c>
      <c r="K272" s="116">
        <v>29000000</v>
      </c>
      <c r="L272" s="116">
        <f t="shared" si="105"/>
        <v>2900000</v>
      </c>
      <c r="M272" s="658">
        <v>0</v>
      </c>
      <c r="N272" s="189">
        <f t="shared" si="106"/>
        <v>31900000</v>
      </c>
      <c r="O272" s="197" t="s">
        <v>243</v>
      </c>
      <c r="P272" s="197" t="s">
        <v>103</v>
      </c>
      <c r="Q272" s="175"/>
      <c r="R272" s="175"/>
      <c r="S272" s="116">
        <v>0</v>
      </c>
      <c r="T272" s="116">
        <f t="shared" si="85"/>
        <v>-580000</v>
      </c>
      <c r="U272" s="116">
        <v>31320000</v>
      </c>
      <c r="V272" s="210">
        <f t="shared" si="94"/>
        <v>0</v>
      </c>
      <c r="W272" s="115">
        <f t="shared" si="101"/>
        <v>0</v>
      </c>
      <c r="X272" s="181"/>
      <c r="Y272" s="116"/>
      <c r="Z272" s="185"/>
      <c r="AA272" s="592"/>
      <c r="AB272" s="186"/>
      <c r="AC272" s="9"/>
      <c r="AD272" s="297"/>
      <c r="AE272" s="297">
        <f t="shared" si="51"/>
        <v>580000</v>
      </c>
      <c r="AF272" s="9"/>
      <c r="AG272" s="9" t="s">
        <v>1395</v>
      </c>
      <c r="AH272" s="300">
        <v>42921</v>
      </c>
      <c r="AI272" s="9" t="s">
        <v>1595</v>
      </c>
      <c r="AJ272" s="300">
        <v>42921</v>
      </c>
      <c r="AK272" s="73" t="str">
        <f t="shared" si="98"/>
        <v>HARMONI PANCA UTAMA, PTAGS</v>
      </c>
    </row>
    <row r="273" spans="1:37" s="114" customFormat="1" ht="12" hidden="1" customHeight="1">
      <c r="A273" s="53"/>
      <c r="B273" s="53" t="s">
        <v>242</v>
      </c>
      <c r="C273" s="9">
        <v>3</v>
      </c>
      <c r="D273" s="8" t="s">
        <v>95</v>
      </c>
      <c r="E273" s="10" t="s">
        <v>354</v>
      </c>
      <c r="F273" s="356" t="s">
        <v>3078</v>
      </c>
      <c r="G273" s="10" t="s">
        <v>59</v>
      </c>
      <c r="H273" s="10" t="s">
        <v>2783</v>
      </c>
      <c r="I273" s="10" t="s">
        <v>2822</v>
      </c>
      <c r="J273" s="658">
        <v>0</v>
      </c>
      <c r="K273" s="116">
        <v>6000000</v>
      </c>
      <c r="L273" s="116">
        <f t="shared" si="105"/>
        <v>600000</v>
      </c>
      <c r="M273" s="658">
        <v>0</v>
      </c>
      <c r="N273" s="189">
        <f t="shared" si="106"/>
        <v>6600000</v>
      </c>
      <c r="O273" s="197" t="s">
        <v>243</v>
      </c>
      <c r="P273" s="197" t="s">
        <v>103</v>
      </c>
      <c r="Q273" s="175"/>
      <c r="R273" s="175"/>
      <c r="S273" s="116">
        <v>0</v>
      </c>
      <c r="T273" s="116">
        <f t="shared" si="85"/>
        <v>-120000</v>
      </c>
      <c r="U273" s="116">
        <v>6480000</v>
      </c>
      <c r="V273" s="210">
        <f t="shared" si="94"/>
        <v>0</v>
      </c>
      <c r="W273" s="115">
        <f t="shared" si="101"/>
        <v>0</v>
      </c>
      <c r="X273" s="181"/>
      <c r="Y273" s="116"/>
      <c r="Z273" s="185"/>
      <c r="AA273" s="592"/>
      <c r="AB273" s="186"/>
      <c r="AC273" s="9"/>
      <c r="AD273" s="297"/>
      <c r="AE273" s="297">
        <f t="shared" si="51"/>
        <v>120000</v>
      </c>
      <c r="AF273" s="9"/>
      <c r="AG273" s="9" t="s">
        <v>1395</v>
      </c>
      <c r="AH273" s="300">
        <v>42921</v>
      </c>
      <c r="AI273" s="9" t="s">
        <v>1595</v>
      </c>
      <c r="AJ273" s="300">
        <v>42921</v>
      </c>
      <c r="AK273" s="73" t="str">
        <f t="shared" si="98"/>
        <v>HARMONI PANCA UTAMA, PTAGS</v>
      </c>
    </row>
    <row r="274" spans="1:37" s="114" customFormat="1" ht="12" hidden="1" customHeight="1">
      <c r="A274" s="53"/>
      <c r="B274" s="53" t="s">
        <v>242</v>
      </c>
      <c r="C274" s="9">
        <v>3</v>
      </c>
      <c r="D274" s="8" t="s">
        <v>95</v>
      </c>
      <c r="E274" s="10" t="s">
        <v>354</v>
      </c>
      <c r="F274" s="356" t="s">
        <v>3079</v>
      </c>
      <c r="G274" s="10" t="s">
        <v>59</v>
      </c>
      <c r="H274" s="10" t="s">
        <v>2784</v>
      </c>
      <c r="I274" s="10" t="s">
        <v>2823</v>
      </c>
      <c r="J274" s="658">
        <v>0</v>
      </c>
      <c r="K274" s="116">
        <v>21000000</v>
      </c>
      <c r="L274" s="116">
        <f t="shared" si="105"/>
        <v>2100000</v>
      </c>
      <c r="M274" s="658">
        <v>0</v>
      </c>
      <c r="N274" s="189">
        <f t="shared" si="106"/>
        <v>23100000</v>
      </c>
      <c r="O274" s="197" t="s">
        <v>243</v>
      </c>
      <c r="P274" s="197" t="s">
        <v>103</v>
      </c>
      <c r="Q274" s="175"/>
      <c r="R274" s="175"/>
      <c r="S274" s="116">
        <v>0</v>
      </c>
      <c r="T274" s="116">
        <f t="shared" si="85"/>
        <v>-420000</v>
      </c>
      <c r="U274" s="116">
        <v>22680000</v>
      </c>
      <c r="V274" s="210">
        <f t="shared" si="94"/>
        <v>0</v>
      </c>
      <c r="W274" s="115">
        <f t="shared" si="101"/>
        <v>0</v>
      </c>
      <c r="X274" s="181"/>
      <c r="Y274" s="116"/>
      <c r="Z274" s="185"/>
      <c r="AA274" s="592"/>
      <c r="AB274" s="186"/>
      <c r="AC274" s="9"/>
      <c r="AD274" s="297"/>
      <c r="AE274" s="297">
        <f t="shared" si="51"/>
        <v>420000</v>
      </c>
      <c r="AF274" s="9"/>
      <c r="AG274" s="9" t="s">
        <v>1395</v>
      </c>
      <c r="AH274" s="300">
        <v>42921</v>
      </c>
      <c r="AI274" s="9" t="s">
        <v>1595</v>
      </c>
      <c r="AJ274" s="300">
        <v>42921</v>
      </c>
      <c r="AK274" s="73" t="str">
        <f t="shared" si="98"/>
        <v>HARMONI PANCA UTAMA, PTAGS</v>
      </c>
    </row>
    <row r="275" spans="1:37" s="114" customFormat="1" ht="12" hidden="1" customHeight="1">
      <c r="A275" s="53"/>
      <c r="B275" s="53" t="s">
        <v>242</v>
      </c>
      <c r="C275" s="9">
        <v>3</v>
      </c>
      <c r="D275" s="8" t="s">
        <v>95</v>
      </c>
      <c r="E275" s="10" t="s">
        <v>354</v>
      </c>
      <c r="F275" s="356" t="s">
        <v>3080</v>
      </c>
      <c r="G275" s="10" t="s">
        <v>60</v>
      </c>
      <c r="H275" s="10" t="s">
        <v>2829</v>
      </c>
      <c r="I275" s="10" t="s">
        <v>2824</v>
      </c>
      <c r="J275" s="658">
        <v>0</v>
      </c>
      <c r="K275" s="116">
        <v>6000000</v>
      </c>
      <c r="L275" s="116">
        <f t="shared" si="105"/>
        <v>600000</v>
      </c>
      <c r="M275" s="658">
        <v>0</v>
      </c>
      <c r="N275" s="189">
        <f t="shared" si="106"/>
        <v>6600000</v>
      </c>
      <c r="O275" s="197" t="s">
        <v>243</v>
      </c>
      <c r="P275" s="197" t="s">
        <v>103</v>
      </c>
      <c r="Q275" s="175"/>
      <c r="R275" s="175"/>
      <c r="S275" s="116">
        <v>0</v>
      </c>
      <c r="T275" s="116">
        <f t="shared" si="85"/>
        <v>-120000</v>
      </c>
      <c r="U275" s="116">
        <f>N275-T275</f>
        <v>6720000</v>
      </c>
      <c r="V275" s="210">
        <f t="shared" si="94"/>
        <v>0</v>
      </c>
      <c r="W275" s="115">
        <f t="shared" si="101"/>
        <v>-240000</v>
      </c>
      <c r="X275" s="181"/>
      <c r="Y275" s="116"/>
      <c r="Z275" s="185"/>
      <c r="AA275" s="592"/>
      <c r="AB275" s="186"/>
      <c r="AC275" s="9"/>
      <c r="AD275" s="297"/>
      <c r="AE275" s="297">
        <f t="shared" si="51"/>
        <v>120000</v>
      </c>
      <c r="AF275" s="9"/>
      <c r="AG275" s="9" t="s">
        <v>1395</v>
      </c>
      <c r="AH275" s="300">
        <v>42921</v>
      </c>
      <c r="AI275" s="9" t="s">
        <v>1595</v>
      </c>
      <c r="AJ275" s="300">
        <v>42921</v>
      </c>
      <c r="AK275" s="73" t="str">
        <f t="shared" si="98"/>
        <v>HARMONI PANCA UTAMA, PTAGS</v>
      </c>
    </row>
    <row r="276" spans="1:37" s="114" customFormat="1" ht="12" hidden="1" customHeight="1">
      <c r="A276" s="53"/>
      <c r="B276" s="1220" t="s">
        <v>243</v>
      </c>
      <c r="C276" s="1221">
        <v>1</v>
      </c>
      <c r="D276" s="1222" t="s">
        <v>95</v>
      </c>
      <c r="E276" s="1223" t="s">
        <v>357</v>
      </c>
      <c r="F276" s="1505" t="s">
        <v>3073</v>
      </c>
      <c r="G276" s="1223" t="s">
        <v>60</v>
      </c>
      <c r="H276" s="1223" t="s">
        <v>2933</v>
      </c>
      <c r="I276" s="1223" t="s">
        <v>2973</v>
      </c>
      <c r="J276" s="1237"/>
      <c r="K276" s="1224">
        <v>37360400</v>
      </c>
      <c r="L276" s="1224">
        <f t="shared" si="105"/>
        <v>3736040</v>
      </c>
      <c r="M276" s="1237"/>
      <c r="N276" s="1225">
        <f t="shared" si="106"/>
        <v>41096440</v>
      </c>
      <c r="O276" s="197" t="s">
        <v>244</v>
      </c>
      <c r="P276" s="197" t="s">
        <v>106</v>
      </c>
      <c r="Q276" s="175"/>
      <c r="R276" s="175"/>
      <c r="S276" s="116"/>
      <c r="T276" s="116">
        <f>-K276*2%</f>
        <v>-747208</v>
      </c>
      <c r="U276" s="116">
        <f>N276-T276</f>
        <v>41843648</v>
      </c>
      <c r="V276" s="210">
        <f t="shared" si="94"/>
        <v>0</v>
      </c>
      <c r="W276" s="115"/>
      <c r="X276" s="181"/>
      <c r="Y276" s="116"/>
      <c r="Z276" s="185"/>
      <c r="AA276" s="592"/>
      <c r="AB276" s="186"/>
      <c r="AC276" s="9"/>
      <c r="AD276" s="297"/>
      <c r="AE276" s="297">
        <f t="shared" si="51"/>
        <v>747208</v>
      </c>
      <c r="AF276" s="9"/>
      <c r="AG276" s="9" t="s">
        <v>1395</v>
      </c>
      <c r="AH276" s="300">
        <v>42949</v>
      </c>
      <c r="AI276" s="9" t="s">
        <v>1595</v>
      </c>
      <c r="AJ276" s="300">
        <v>42949</v>
      </c>
      <c r="AK276" s="73" t="str">
        <f t="shared" si="98"/>
        <v>HARMONI PANCA UTAMA, PTSEP</v>
      </c>
    </row>
    <row r="277" spans="1:37" s="114" customFormat="1" ht="12" hidden="1" customHeight="1">
      <c r="A277" s="53"/>
      <c r="B277" s="1220" t="s">
        <v>243</v>
      </c>
      <c r="C277" s="1221">
        <v>1</v>
      </c>
      <c r="D277" s="1222" t="s">
        <v>95</v>
      </c>
      <c r="E277" s="1223" t="s">
        <v>357</v>
      </c>
      <c r="F277" s="1505" t="s">
        <v>3074</v>
      </c>
      <c r="G277" s="1223" t="s">
        <v>60</v>
      </c>
      <c r="H277" s="1223" t="s">
        <v>2934</v>
      </c>
      <c r="I277" s="1223" t="s">
        <v>2974</v>
      </c>
      <c r="J277" s="1237"/>
      <c r="K277" s="1224">
        <f>1200*13318</f>
        <v>15981600</v>
      </c>
      <c r="L277" s="1224">
        <f t="shared" ref="L277:L284" si="107">K277*10%</f>
        <v>1598160</v>
      </c>
      <c r="M277" s="1237"/>
      <c r="N277" s="1225">
        <f t="shared" ref="N277:N284" si="108">K277+L277</f>
        <v>17579760</v>
      </c>
      <c r="O277" s="197" t="s">
        <v>244</v>
      </c>
      <c r="P277" s="197" t="s">
        <v>106</v>
      </c>
      <c r="Q277" s="175"/>
      <c r="R277" s="175"/>
      <c r="S277" s="116"/>
      <c r="T277" s="116">
        <f t="shared" ref="T277:T307" si="109">-K277*2%</f>
        <v>-319632</v>
      </c>
      <c r="U277" s="116">
        <f t="shared" ref="U277:U283" si="110">N277-T277</f>
        <v>17899392</v>
      </c>
      <c r="V277" s="210">
        <f t="shared" si="94"/>
        <v>0</v>
      </c>
      <c r="W277" s="115"/>
      <c r="X277" s="181"/>
      <c r="Y277" s="116"/>
      <c r="Z277" s="185"/>
      <c r="AA277" s="592"/>
      <c r="AB277" s="186"/>
      <c r="AC277" s="9"/>
      <c r="AD277" s="297"/>
      <c r="AE277" s="297"/>
      <c r="AF277" s="9"/>
      <c r="AG277" s="9" t="s">
        <v>1395</v>
      </c>
      <c r="AH277" s="300">
        <v>42949</v>
      </c>
      <c r="AI277" s="9" t="s">
        <v>1595</v>
      </c>
      <c r="AJ277" s="300">
        <v>42949</v>
      </c>
      <c r="AK277" s="73"/>
    </row>
    <row r="278" spans="1:37" s="114" customFormat="1" ht="12" hidden="1" customHeight="1">
      <c r="A278" s="53"/>
      <c r="B278" s="1220" t="s">
        <v>243</v>
      </c>
      <c r="C278" s="1221">
        <v>1</v>
      </c>
      <c r="D278" s="1222" t="s">
        <v>95</v>
      </c>
      <c r="E278" s="1223" t="s">
        <v>357</v>
      </c>
      <c r="F278" s="1505" t="s">
        <v>3075</v>
      </c>
      <c r="G278" s="1223" t="s">
        <v>60</v>
      </c>
      <c r="H278" s="1223" t="s">
        <v>2935</v>
      </c>
      <c r="I278" s="1223" t="s">
        <v>2975</v>
      </c>
      <c r="J278" s="1237"/>
      <c r="K278" s="1224">
        <f>1500*13318</f>
        <v>19977000</v>
      </c>
      <c r="L278" s="1224">
        <f t="shared" si="107"/>
        <v>1997700</v>
      </c>
      <c r="M278" s="1237"/>
      <c r="N278" s="1225">
        <f t="shared" si="108"/>
        <v>21974700</v>
      </c>
      <c r="O278" s="197" t="s">
        <v>244</v>
      </c>
      <c r="P278" s="197" t="s">
        <v>106</v>
      </c>
      <c r="Q278" s="175"/>
      <c r="R278" s="175"/>
      <c r="S278" s="116"/>
      <c r="T278" s="116">
        <f t="shared" si="109"/>
        <v>-399540</v>
      </c>
      <c r="U278" s="116">
        <f t="shared" si="110"/>
        <v>22374240</v>
      </c>
      <c r="V278" s="210">
        <f t="shared" si="94"/>
        <v>0</v>
      </c>
      <c r="W278" s="115"/>
      <c r="X278" s="181"/>
      <c r="Y278" s="116"/>
      <c r="Z278" s="185"/>
      <c r="AA278" s="592"/>
      <c r="AB278" s="186"/>
      <c r="AC278" s="9"/>
      <c r="AD278" s="297"/>
      <c r="AE278" s="297"/>
      <c r="AF278" s="9"/>
      <c r="AG278" s="9" t="s">
        <v>1395</v>
      </c>
      <c r="AH278" s="300">
        <v>42949</v>
      </c>
      <c r="AI278" s="9" t="s">
        <v>1595</v>
      </c>
      <c r="AJ278" s="300">
        <v>42949</v>
      </c>
      <c r="AK278" s="73"/>
    </row>
    <row r="279" spans="1:37" s="114" customFormat="1" ht="12" hidden="1" customHeight="1">
      <c r="A279" s="53"/>
      <c r="B279" s="1220" t="s">
        <v>243</v>
      </c>
      <c r="C279" s="1221">
        <v>1</v>
      </c>
      <c r="D279" s="1222" t="s">
        <v>95</v>
      </c>
      <c r="E279" s="1223" t="s">
        <v>357</v>
      </c>
      <c r="F279" s="1505" t="s">
        <v>3076</v>
      </c>
      <c r="G279" s="1223" t="s">
        <v>60</v>
      </c>
      <c r="H279" s="1223" t="s">
        <v>2936</v>
      </c>
      <c r="I279" s="1223" t="s">
        <v>2976</v>
      </c>
      <c r="J279" s="1237"/>
      <c r="K279" s="1224">
        <f>1300*13318</f>
        <v>17313400</v>
      </c>
      <c r="L279" s="1224">
        <f t="shared" si="107"/>
        <v>1731340</v>
      </c>
      <c r="M279" s="1237"/>
      <c r="N279" s="1225">
        <f t="shared" si="108"/>
        <v>19044740</v>
      </c>
      <c r="O279" s="197" t="s">
        <v>244</v>
      </c>
      <c r="P279" s="197" t="s">
        <v>106</v>
      </c>
      <c r="Q279" s="175"/>
      <c r="R279" s="175"/>
      <c r="S279" s="116"/>
      <c r="T279" s="116">
        <f t="shared" si="109"/>
        <v>-346268</v>
      </c>
      <c r="U279" s="116">
        <f t="shared" si="110"/>
        <v>19391008</v>
      </c>
      <c r="V279" s="210">
        <f t="shared" si="94"/>
        <v>0</v>
      </c>
      <c r="W279" s="115"/>
      <c r="X279" s="181"/>
      <c r="Y279" s="116"/>
      <c r="Z279" s="185"/>
      <c r="AA279" s="592"/>
      <c r="AB279" s="186"/>
      <c r="AC279" s="9"/>
      <c r="AD279" s="297"/>
      <c r="AE279" s="297"/>
      <c r="AF279" s="9"/>
      <c r="AG279" s="9" t="s">
        <v>1395</v>
      </c>
      <c r="AH279" s="300">
        <v>42949</v>
      </c>
      <c r="AI279" s="9" t="s">
        <v>1595</v>
      </c>
      <c r="AJ279" s="300">
        <v>42949</v>
      </c>
      <c r="AK279" s="73"/>
    </row>
    <row r="280" spans="1:37" s="114" customFormat="1" ht="12" hidden="1" customHeight="1">
      <c r="A280" s="53"/>
      <c r="B280" s="1220" t="s">
        <v>243</v>
      </c>
      <c r="C280" s="1221">
        <v>1</v>
      </c>
      <c r="D280" s="1222" t="s">
        <v>95</v>
      </c>
      <c r="E280" s="1223" t="s">
        <v>354</v>
      </c>
      <c r="F280" s="1505" t="s">
        <v>3077</v>
      </c>
      <c r="G280" s="1223" t="s">
        <v>60</v>
      </c>
      <c r="H280" s="1223" t="s">
        <v>2937</v>
      </c>
      <c r="I280" s="1223" t="s">
        <v>2977</v>
      </c>
      <c r="J280" s="1237"/>
      <c r="K280" s="1224">
        <v>29000000</v>
      </c>
      <c r="L280" s="1224">
        <f t="shared" si="107"/>
        <v>2900000</v>
      </c>
      <c r="M280" s="1237"/>
      <c r="N280" s="1225">
        <f t="shared" si="108"/>
        <v>31900000</v>
      </c>
      <c r="O280" s="197" t="s">
        <v>244</v>
      </c>
      <c r="P280" s="197" t="s">
        <v>106</v>
      </c>
      <c r="Q280" s="175"/>
      <c r="R280" s="175"/>
      <c r="S280" s="116"/>
      <c r="T280" s="116">
        <f t="shared" si="109"/>
        <v>-580000</v>
      </c>
      <c r="U280" s="116">
        <f t="shared" si="110"/>
        <v>32480000</v>
      </c>
      <c r="V280" s="210">
        <f t="shared" si="94"/>
        <v>0</v>
      </c>
      <c r="W280" s="115"/>
      <c r="X280" s="181"/>
      <c r="Y280" s="116"/>
      <c r="Z280" s="185"/>
      <c r="AA280" s="592"/>
      <c r="AB280" s="186"/>
      <c r="AC280" s="9"/>
      <c r="AD280" s="297"/>
      <c r="AE280" s="297"/>
      <c r="AF280" s="9"/>
      <c r="AG280" s="9" t="s">
        <v>1395</v>
      </c>
      <c r="AH280" s="300">
        <v>42949</v>
      </c>
      <c r="AI280" s="9" t="s">
        <v>1595</v>
      </c>
      <c r="AJ280" s="300">
        <v>42949</v>
      </c>
      <c r="AK280" s="73"/>
    </row>
    <row r="281" spans="1:37" s="114" customFormat="1" ht="12" hidden="1" customHeight="1">
      <c r="A281" s="53"/>
      <c r="B281" s="1220" t="s">
        <v>243</v>
      </c>
      <c r="C281" s="1221">
        <v>1</v>
      </c>
      <c r="D281" s="1222" t="s">
        <v>95</v>
      </c>
      <c r="E281" s="1223" t="s">
        <v>354</v>
      </c>
      <c r="F281" s="1505" t="s">
        <v>3078</v>
      </c>
      <c r="G281" s="1223" t="s">
        <v>60</v>
      </c>
      <c r="H281" s="1223" t="s">
        <v>2938</v>
      </c>
      <c r="I281" s="1223" t="s">
        <v>2978</v>
      </c>
      <c r="J281" s="1237"/>
      <c r="K281" s="1224">
        <v>6000000</v>
      </c>
      <c r="L281" s="1224">
        <f t="shared" si="107"/>
        <v>600000</v>
      </c>
      <c r="M281" s="1237"/>
      <c r="N281" s="1225">
        <f t="shared" si="108"/>
        <v>6600000</v>
      </c>
      <c r="O281" s="197" t="s">
        <v>244</v>
      </c>
      <c r="P281" s="197" t="s">
        <v>106</v>
      </c>
      <c r="Q281" s="175"/>
      <c r="R281" s="175"/>
      <c r="S281" s="116"/>
      <c r="T281" s="116">
        <f t="shared" si="109"/>
        <v>-120000</v>
      </c>
      <c r="U281" s="116">
        <f t="shared" si="110"/>
        <v>6720000</v>
      </c>
      <c r="V281" s="210">
        <f t="shared" si="94"/>
        <v>0</v>
      </c>
      <c r="W281" s="115"/>
      <c r="X281" s="181"/>
      <c r="Y281" s="116"/>
      <c r="Z281" s="185"/>
      <c r="AA281" s="592"/>
      <c r="AB281" s="186"/>
      <c r="AC281" s="9"/>
      <c r="AD281" s="297"/>
      <c r="AE281" s="297"/>
      <c r="AF281" s="9"/>
      <c r="AG281" s="9" t="s">
        <v>1395</v>
      </c>
      <c r="AH281" s="300">
        <v>42949</v>
      </c>
      <c r="AI281" s="9" t="s">
        <v>1595</v>
      </c>
      <c r="AJ281" s="300">
        <v>42949</v>
      </c>
      <c r="AK281" s="73"/>
    </row>
    <row r="282" spans="1:37" s="114" customFormat="1" ht="12" hidden="1" customHeight="1">
      <c r="A282" s="53"/>
      <c r="B282" s="1220" t="s">
        <v>243</v>
      </c>
      <c r="C282" s="1221">
        <v>1</v>
      </c>
      <c r="D282" s="1222" t="s">
        <v>95</v>
      </c>
      <c r="E282" s="1223" t="s">
        <v>354</v>
      </c>
      <c r="F282" s="1505" t="s">
        <v>3079</v>
      </c>
      <c r="G282" s="1223" t="s">
        <v>60</v>
      </c>
      <c r="H282" s="1223" t="s">
        <v>2939</v>
      </c>
      <c r="I282" s="1223" t="s">
        <v>2979</v>
      </c>
      <c r="J282" s="1237"/>
      <c r="K282" s="1224">
        <v>21000000</v>
      </c>
      <c r="L282" s="1224">
        <f t="shared" si="107"/>
        <v>2100000</v>
      </c>
      <c r="M282" s="1237"/>
      <c r="N282" s="1225">
        <f t="shared" si="108"/>
        <v>23100000</v>
      </c>
      <c r="O282" s="197" t="s">
        <v>244</v>
      </c>
      <c r="P282" s="197" t="s">
        <v>106</v>
      </c>
      <c r="Q282" s="175"/>
      <c r="R282" s="175"/>
      <c r="S282" s="116"/>
      <c r="T282" s="116">
        <f t="shared" si="109"/>
        <v>-420000</v>
      </c>
      <c r="U282" s="116">
        <f t="shared" si="110"/>
        <v>23520000</v>
      </c>
      <c r="V282" s="210">
        <f t="shared" si="94"/>
        <v>0</v>
      </c>
      <c r="W282" s="115"/>
      <c r="X282" s="181"/>
      <c r="Y282" s="116"/>
      <c r="Z282" s="185"/>
      <c r="AA282" s="592"/>
      <c r="AB282" s="186"/>
      <c r="AC282" s="9"/>
      <c r="AD282" s="297"/>
      <c r="AE282" s="297"/>
      <c r="AF282" s="9"/>
      <c r="AG282" s="9" t="s">
        <v>1395</v>
      </c>
      <c r="AH282" s="300">
        <v>42949</v>
      </c>
      <c r="AI282" s="9" t="s">
        <v>1595</v>
      </c>
      <c r="AJ282" s="300">
        <v>42949</v>
      </c>
      <c r="AK282" s="73"/>
    </row>
    <row r="283" spans="1:37" s="114" customFormat="1" ht="12" hidden="1" customHeight="1">
      <c r="A283" s="53"/>
      <c r="B283" s="1220" t="s">
        <v>243</v>
      </c>
      <c r="C283" s="1221">
        <v>1</v>
      </c>
      <c r="D283" s="1222" t="s">
        <v>95</v>
      </c>
      <c r="E283" s="1223" t="s">
        <v>354</v>
      </c>
      <c r="F283" s="1505" t="s">
        <v>3080</v>
      </c>
      <c r="G283" s="1223" t="s">
        <v>559</v>
      </c>
      <c r="H283" s="1223" t="s">
        <v>2940</v>
      </c>
      <c r="I283" s="1223" t="s">
        <v>2980</v>
      </c>
      <c r="J283" s="1237"/>
      <c r="K283" s="1224">
        <v>6000000</v>
      </c>
      <c r="L283" s="1224">
        <f t="shared" si="107"/>
        <v>600000</v>
      </c>
      <c r="M283" s="1237"/>
      <c r="N283" s="1225">
        <f t="shared" si="108"/>
        <v>6600000</v>
      </c>
      <c r="O283" s="197" t="s">
        <v>244</v>
      </c>
      <c r="P283" s="197" t="s">
        <v>106</v>
      </c>
      <c r="Q283" s="175"/>
      <c r="R283" s="175"/>
      <c r="S283" s="116"/>
      <c r="T283" s="116">
        <f t="shared" si="109"/>
        <v>-120000</v>
      </c>
      <c r="U283" s="116">
        <f t="shared" si="110"/>
        <v>6720000</v>
      </c>
      <c r="V283" s="210">
        <f t="shared" si="94"/>
        <v>0</v>
      </c>
      <c r="W283" s="115"/>
      <c r="X283" s="181"/>
      <c r="Y283" s="116"/>
      <c r="Z283" s="185"/>
      <c r="AA283" s="592"/>
      <c r="AB283" s="186"/>
      <c r="AC283" s="9"/>
      <c r="AD283" s="297"/>
      <c r="AE283" s="297"/>
      <c r="AF283" s="9"/>
      <c r="AG283" s="9" t="s">
        <v>1395</v>
      </c>
      <c r="AH283" s="300">
        <v>42949</v>
      </c>
      <c r="AI283" s="9" t="s">
        <v>1595</v>
      </c>
      <c r="AJ283" s="300">
        <v>42949</v>
      </c>
      <c r="AK283" s="73"/>
    </row>
    <row r="284" spans="1:37" s="114" customFormat="1" ht="12" hidden="1" customHeight="1">
      <c r="A284" s="53"/>
      <c r="B284" s="1220" t="s">
        <v>244</v>
      </c>
      <c r="C284" s="1221">
        <v>11</v>
      </c>
      <c r="D284" s="1222" t="s">
        <v>95</v>
      </c>
      <c r="E284" s="1223" t="s">
        <v>357</v>
      </c>
      <c r="F284" s="1505" t="s">
        <v>3073</v>
      </c>
      <c r="G284" s="1223" t="s">
        <v>559</v>
      </c>
      <c r="H284" s="1223" t="s">
        <v>3214</v>
      </c>
      <c r="I284" s="1223" t="s">
        <v>3222</v>
      </c>
      <c r="J284" s="1237"/>
      <c r="K284" s="1224">
        <v>37360400</v>
      </c>
      <c r="L284" s="1224">
        <f t="shared" si="107"/>
        <v>3736040</v>
      </c>
      <c r="M284" s="1237"/>
      <c r="N284" s="1225">
        <f t="shared" si="108"/>
        <v>41096440</v>
      </c>
      <c r="O284" s="197" t="s">
        <v>245</v>
      </c>
      <c r="P284" s="197" t="s">
        <v>93</v>
      </c>
      <c r="Q284" s="175"/>
      <c r="R284" s="175"/>
      <c r="S284" s="116"/>
      <c r="T284" s="116">
        <f t="shared" si="109"/>
        <v>-747208</v>
      </c>
      <c r="U284" s="116">
        <v>40349232</v>
      </c>
      <c r="V284" s="210"/>
      <c r="W284" s="115"/>
      <c r="X284" s="181"/>
      <c r="Y284" s="116"/>
      <c r="Z284" s="185"/>
      <c r="AA284" s="592"/>
      <c r="AB284" s="186"/>
      <c r="AC284" s="9"/>
      <c r="AD284" s="297"/>
      <c r="AE284" s="297"/>
      <c r="AF284" s="9"/>
      <c r="AG284" s="9"/>
      <c r="AH284" s="300"/>
      <c r="AI284" s="9"/>
      <c r="AJ284" s="300"/>
      <c r="AK284" s="73"/>
    </row>
    <row r="285" spans="1:37" s="114" customFormat="1" ht="12" hidden="1" customHeight="1">
      <c r="A285" s="53"/>
      <c r="B285" s="1220" t="s">
        <v>244</v>
      </c>
      <c r="C285" s="1221">
        <v>11</v>
      </c>
      <c r="D285" s="1222" t="s">
        <v>95</v>
      </c>
      <c r="E285" s="1223" t="s">
        <v>357</v>
      </c>
      <c r="F285" s="1505" t="s">
        <v>3074</v>
      </c>
      <c r="G285" s="1223" t="s">
        <v>559</v>
      </c>
      <c r="H285" s="1223" t="s">
        <v>3215</v>
      </c>
      <c r="I285" s="1223" t="s">
        <v>3223</v>
      </c>
      <c r="J285" s="1237"/>
      <c r="K285" s="1224">
        <f>1200*13154</f>
        <v>15784800</v>
      </c>
      <c r="L285" s="1224">
        <f t="shared" ref="L285:L292" si="111">K285*10%</f>
        <v>1578480</v>
      </c>
      <c r="M285" s="1237"/>
      <c r="N285" s="1225">
        <f t="shared" ref="N285:N292" si="112">K285+L285</f>
        <v>17363280</v>
      </c>
      <c r="O285" s="197" t="s">
        <v>245</v>
      </c>
      <c r="P285" s="197" t="s">
        <v>93</v>
      </c>
      <c r="Q285" s="175"/>
      <c r="R285" s="175"/>
      <c r="S285" s="116"/>
      <c r="T285" s="116">
        <f t="shared" si="109"/>
        <v>-315696</v>
      </c>
      <c r="U285" s="116">
        <v>17047584</v>
      </c>
      <c r="V285" s="210"/>
      <c r="W285" s="115"/>
      <c r="X285" s="181"/>
      <c r="Y285" s="116"/>
      <c r="Z285" s="185"/>
      <c r="AA285" s="592"/>
      <c r="AB285" s="186"/>
      <c r="AC285" s="9"/>
      <c r="AD285" s="297"/>
      <c r="AE285" s="297"/>
      <c r="AF285" s="9"/>
      <c r="AG285" s="9"/>
      <c r="AH285" s="300"/>
      <c r="AI285" s="9"/>
      <c r="AJ285" s="300"/>
      <c r="AK285" s="73"/>
    </row>
    <row r="286" spans="1:37" s="114" customFormat="1" ht="12" hidden="1" customHeight="1">
      <c r="A286" s="53"/>
      <c r="B286" s="1220" t="s">
        <v>244</v>
      </c>
      <c r="C286" s="1221">
        <v>11</v>
      </c>
      <c r="D286" s="1222" t="s">
        <v>95</v>
      </c>
      <c r="E286" s="1223" t="s">
        <v>357</v>
      </c>
      <c r="F286" s="1505" t="s">
        <v>3075</v>
      </c>
      <c r="G286" s="1223" t="s">
        <v>559</v>
      </c>
      <c r="H286" s="1223" t="s">
        <v>3216</v>
      </c>
      <c r="I286" s="1223" t="s">
        <v>3224</v>
      </c>
      <c r="J286" s="1237"/>
      <c r="K286" s="1224">
        <f>1500*13154</f>
        <v>19731000</v>
      </c>
      <c r="L286" s="1224">
        <f t="shared" si="111"/>
        <v>1973100</v>
      </c>
      <c r="M286" s="1237"/>
      <c r="N286" s="1225">
        <f t="shared" si="112"/>
        <v>21704100</v>
      </c>
      <c r="O286" s="197" t="s">
        <v>245</v>
      </c>
      <c r="P286" s="197" t="s">
        <v>93</v>
      </c>
      <c r="Q286" s="175"/>
      <c r="R286" s="175"/>
      <c r="S286" s="116"/>
      <c r="T286" s="116">
        <f t="shared" si="109"/>
        <v>-394620</v>
      </c>
      <c r="U286" s="116">
        <v>21309480</v>
      </c>
      <c r="V286" s="210"/>
      <c r="W286" s="115"/>
      <c r="X286" s="181"/>
      <c r="Y286" s="116"/>
      <c r="Z286" s="185"/>
      <c r="AA286" s="592"/>
      <c r="AB286" s="186"/>
      <c r="AC286" s="9"/>
      <c r="AD286" s="297"/>
      <c r="AE286" s="297"/>
      <c r="AF286" s="9"/>
      <c r="AG286" s="9"/>
      <c r="AH286" s="300"/>
      <c r="AI286" s="9"/>
      <c r="AJ286" s="300"/>
      <c r="AK286" s="73"/>
    </row>
    <row r="287" spans="1:37" s="114" customFormat="1" ht="12" hidden="1" customHeight="1">
      <c r="A287" s="53"/>
      <c r="B287" s="1220" t="s">
        <v>244</v>
      </c>
      <c r="C287" s="1221">
        <v>11</v>
      </c>
      <c r="D287" s="1222" t="s">
        <v>95</v>
      </c>
      <c r="E287" s="1223" t="s">
        <v>357</v>
      </c>
      <c r="F287" s="1505" t="s">
        <v>3076</v>
      </c>
      <c r="G287" s="1223" t="s">
        <v>559</v>
      </c>
      <c r="H287" s="1223" t="s">
        <v>3217</v>
      </c>
      <c r="I287" s="1223" t="s">
        <v>3225</v>
      </c>
      <c r="J287" s="1237"/>
      <c r="K287" s="1224">
        <f>1300*13154</f>
        <v>17100200</v>
      </c>
      <c r="L287" s="1224">
        <f t="shared" si="111"/>
        <v>1710020</v>
      </c>
      <c r="M287" s="1237"/>
      <c r="N287" s="1225">
        <f t="shared" si="112"/>
        <v>18810220</v>
      </c>
      <c r="O287" s="197" t="s">
        <v>245</v>
      </c>
      <c r="P287" s="197" t="s">
        <v>93</v>
      </c>
      <c r="Q287" s="175"/>
      <c r="R287" s="175"/>
      <c r="S287" s="116"/>
      <c r="T287" s="116">
        <f t="shared" si="109"/>
        <v>-342004</v>
      </c>
      <c r="U287" s="116">
        <v>18468216</v>
      </c>
      <c r="V287" s="210"/>
      <c r="W287" s="115"/>
      <c r="X287" s="181"/>
      <c r="Y287" s="116"/>
      <c r="Z287" s="185"/>
      <c r="AA287" s="592"/>
      <c r="AB287" s="186"/>
      <c r="AC287" s="9"/>
      <c r="AD287" s="297"/>
      <c r="AE287" s="297"/>
      <c r="AF287" s="9"/>
      <c r="AG287" s="9"/>
      <c r="AH287" s="300"/>
      <c r="AI287" s="9"/>
      <c r="AJ287" s="300"/>
      <c r="AK287" s="73"/>
    </row>
    <row r="288" spans="1:37" s="114" customFormat="1" ht="12" hidden="1" customHeight="1">
      <c r="A288" s="53"/>
      <c r="B288" s="1220" t="s">
        <v>244</v>
      </c>
      <c r="C288" s="1221">
        <v>11</v>
      </c>
      <c r="D288" s="1222" t="s">
        <v>95</v>
      </c>
      <c r="E288" s="1223" t="s">
        <v>354</v>
      </c>
      <c r="F288" s="1505" t="s">
        <v>3077</v>
      </c>
      <c r="G288" s="1223" t="s">
        <v>559</v>
      </c>
      <c r="H288" s="1223" t="s">
        <v>3218</v>
      </c>
      <c r="I288" s="1223" t="s">
        <v>3226</v>
      </c>
      <c r="J288" s="1237"/>
      <c r="K288" s="1224">
        <v>29000000</v>
      </c>
      <c r="L288" s="1224">
        <f t="shared" si="111"/>
        <v>2900000</v>
      </c>
      <c r="M288" s="1237"/>
      <c r="N288" s="1225">
        <f t="shared" si="112"/>
        <v>31900000</v>
      </c>
      <c r="O288" s="197" t="s">
        <v>245</v>
      </c>
      <c r="P288" s="197" t="s">
        <v>93</v>
      </c>
      <c r="Q288" s="175"/>
      <c r="R288" s="175"/>
      <c r="S288" s="116"/>
      <c r="T288" s="116">
        <f t="shared" si="109"/>
        <v>-580000</v>
      </c>
      <c r="U288" s="116">
        <v>31320000</v>
      </c>
      <c r="V288" s="210"/>
      <c r="W288" s="115"/>
      <c r="X288" s="181"/>
      <c r="Y288" s="116"/>
      <c r="Z288" s="185"/>
      <c r="AA288" s="592"/>
      <c r="AB288" s="186"/>
      <c r="AC288" s="9"/>
      <c r="AD288" s="297"/>
      <c r="AE288" s="297"/>
      <c r="AF288" s="9"/>
      <c r="AG288" s="9"/>
      <c r="AH288" s="300"/>
      <c r="AI288" s="9"/>
      <c r="AJ288" s="300"/>
      <c r="AK288" s="73"/>
    </row>
    <row r="289" spans="1:37" s="114" customFormat="1" ht="12" hidden="1" customHeight="1">
      <c r="A289" s="53"/>
      <c r="B289" s="1220" t="s">
        <v>244</v>
      </c>
      <c r="C289" s="1221">
        <v>11</v>
      </c>
      <c r="D289" s="1222" t="s">
        <v>95</v>
      </c>
      <c r="E289" s="1223" t="s">
        <v>354</v>
      </c>
      <c r="F289" s="1505" t="s">
        <v>3078</v>
      </c>
      <c r="G289" s="1223" t="s">
        <v>559</v>
      </c>
      <c r="H289" s="1223" t="s">
        <v>3219</v>
      </c>
      <c r="I289" s="1223" t="s">
        <v>3227</v>
      </c>
      <c r="J289" s="1237"/>
      <c r="K289" s="1224">
        <v>6000000</v>
      </c>
      <c r="L289" s="1224">
        <f t="shared" si="111"/>
        <v>600000</v>
      </c>
      <c r="M289" s="1237"/>
      <c r="N289" s="1225">
        <f t="shared" si="112"/>
        <v>6600000</v>
      </c>
      <c r="O289" s="197" t="s">
        <v>245</v>
      </c>
      <c r="P289" s="197" t="s">
        <v>93</v>
      </c>
      <c r="Q289" s="175"/>
      <c r="R289" s="175"/>
      <c r="S289" s="116"/>
      <c r="T289" s="116">
        <f t="shared" si="109"/>
        <v>-120000</v>
      </c>
      <c r="U289" s="116">
        <v>6480000</v>
      </c>
      <c r="V289" s="210"/>
      <c r="W289" s="115"/>
      <c r="X289" s="181"/>
      <c r="Y289" s="116"/>
      <c r="Z289" s="185"/>
      <c r="AA289" s="592"/>
      <c r="AB289" s="186"/>
      <c r="AC289" s="9"/>
      <c r="AD289" s="297"/>
      <c r="AE289" s="297"/>
      <c r="AF289" s="9"/>
      <c r="AG289" s="9"/>
      <c r="AH289" s="300"/>
      <c r="AI289" s="9"/>
      <c r="AJ289" s="300"/>
      <c r="AK289" s="73"/>
    </row>
    <row r="290" spans="1:37" s="114" customFormat="1" ht="12" hidden="1" customHeight="1">
      <c r="A290" s="53"/>
      <c r="B290" s="1220" t="s">
        <v>244</v>
      </c>
      <c r="C290" s="1221">
        <v>11</v>
      </c>
      <c r="D290" s="1222" t="s">
        <v>95</v>
      </c>
      <c r="E290" s="1223" t="s">
        <v>354</v>
      </c>
      <c r="F290" s="1505" t="s">
        <v>3079</v>
      </c>
      <c r="G290" s="1223" t="s">
        <v>559</v>
      </c>
      <c r="H290" s="1223" t="s">
        <v>3220</v>
      </c>
      <c r="I290" s="1223" t="s">
        <v>3228</v>
      </c>
      <c r="J290" s="1237"/>
      <c r="K290" s="1224">
        <v>21000000</v>
      </c>
      <c r="L290" s="1224">
        <f t="shared" si="111"/>
        <v>2100000</v>
      </c>
      <c r="M290" s="1237"/>
      <c r="N290" s="1225">
        <f t="shared" si="112"/>
        <v>23100000</v>
      </c>
      <c r="O290" s="197" t="s">
        <v>245</v>
      </c>
      <c r="P290" s="197" t="s">
        <v>93</v>
      </c>
      <c r="Q290" s="175"/>
      <c r="R290" s="175"/>
      <c r="S290" s="116">
        <v>0</v>
      </c>
      <c r="T290" s="116">
        <f t="shared" si="109"/>
        <v>-420000</v>
      </c>
      <c r="U290" s="116">
        <v>22680000</v>
      </c>
      <c r="V290" s="210"/>
      <c r="W290" s="115"/>
      <c r="X290" s="181"/>
      <c r="Y290" s="116"/>
      <c r="Z290" s="185"/>
      <c r="AA290" s="592"/>
      <c r="AB290" s="186"/>
      <c r="AC290" s="9"/>
      <c r="AD290" s="297"/>
      <c r="AE290" s="297"/>
      <c r="AF290" s="9"/>
      <c r="AG290" s="9"/>
      <c r="AH290" s="300"/>
      <c r="AI290" s="9"/>
      <c r="AJ290" s="300"/>
      <c r="AK290" s="73"/>
    </row>
    <row r="291" spans="1:37" s="114" customFormat="1" ht="12" hidden="1" customHeight="1">
      <c r="A291" s="53"/>
      <c r="B291" s="1220" t="s">
        <v>244</v>
      </c>
      <c r="C291" s="1221">
        <v>11</v>
      </c>
      <c r="D291" s="1222" t="s">
        <v>95</v>
      </c>
      <c r="E291" s="1223" t="s">
        <v>354</v>
      </c>
      <c r="F291" s="1505" t="s">
        <v>3080</v>
      </c>
      <c r="G291" s="1223" t="s">
        <v>602</v>
      </c>
      <c r="H291" s="1223" t="s">
        <v>3221</v>
      </c>
      <c r="I291" s="1223" t="s">
        <v>3229</v>
      </c>
      <c r="J291" s="1237"/>
      <c r="K291" s="1224">
        <v>6000000</v>
      </c>
      <c r="L291" s="1224">
        <f t="shared" si="111"/>
        <v>600000</v>
      </c>
      <c r="M291" s="1237"/>
      <c r="N291" s="1225">
        <f t="shared" si="112"/>
        <v>6600000</v>
      </c>
      <c r="O291" s="197" t="s">
        <v>245</v>
      </c>
      <c r="P291" s="197" t="s">
        <v>93</v>
      </c>
      <c r="Q291" s="175"/>
      <c r="R291" s="175"/>
      <c r="S291" s="116"/>
      <c r="T291" s="116">
        <f t="shared" si="109"/>
        <v>-120000</v>
      </c>
      <c r="U291" s="116">
        <v>6480000</v>
      </c>
      <c r="V291" s="210"/>
      <c r="W291" s="115"/>
      <c r="X291" s="181"/>
      <c r="Y291" s="116"/>
      <c r="Z291" s="185"/>
      <c r="AA291" s="592"/>
      <c r="AB291" s="186"/>
      <c r="AC291" s="9"/>
      <c r="AD291" s="297"/>
      <c r="AE291" s="297"/>
      <c r="AF291" s="9"/>
      <c r="AG291" s="9"/>
      <c r="AH291" s="300"/>
      <c r="AI291" s="9"/>
      <c r="AJ291" s="300"/>
      <c r="AK291" s="73"/>
    </row>
    <row r="292" spans="1:37" s="114" customFormat="1" ht="12" hidden="1" customHeight="1">
      <c r="A292" s="53"/>
      <c r="B292" s="1220" t="s">
        <v>245</v>
      </c>
      <c r="C292" s="1221">
        <v>3</v>
      </c>
      <c r="D292" s="1222" t="s">
        <v>95</v>
      </c>
      <c r="E292" s="1223" t="s">
        <v>357</v>
      </c>
      <c r="F292" s="1505" t="s">
        <v>3073</v>
      </c>
      <c r="G292" s="1223" t="s">
        <v>602</v>
      </c>
      <c r="H292" s="1223" t="s">
        <v>3368</v>
      </c>
      <c r="I292" s="1223" t="s">
        <v>3369</v>
      </c>
      <c r="J292" s="1237"/>
      <c r="K292" s="1224">
        <v>37360400</v>
      </c>
      <c r="L292" s="1224">
        <f t="shared" si="111"/>
        <v>3736040</v>
      </c>
      <c r="M292" s="1237"/>
      <c r="N292" s="1225">
        <f t="shared" si="112"/>
        <v>41096440</v>
      </c>
      <c r="O292" s="1202" t="s">
        <v>238</v>
      </c>
      <c r="P292" s="1202" t="s">
        <v>104</v>
      </c>
      <c r="Q292" s="175"/>
      <c r="R292" s="175"/>
      <c r="S292" s="116"/>
      <c r="T292" s="116">
        <f t="shared" si="109"/>
        <v>-747208</v>
      </c>
      <c r="U292" s="116">
        <v>40349232</v>
      </c>
      <c r="V292" s="210"/>
      <c r="W292" s="115"/>
      <c r="X292" s="181"/>
      <c r="Y292" s="116"/>
      <c r="Z292" s="185"/>
      <c r="AA292" s="592"/>
      <c r="AB292" s="186"/>
      <c r="AC292" s="9"/>
      <c r="AD292" s="297"/>
      <c r="AE292" s="297"/>
      <c r="AF292" s="9"/>
      <c r="AG292" s="9"/>
      <c r="AH292" s="300"/>
      <c r="AI292" s="9"/>
      <c r="AJ292" s="300"/>
      <c r="AK292" s="73"/>
    </row>
    <row r="293" spans="1:37" s="114" customFormat="1" ht="12" hidden="1" customHeight="1">
      <c r="A293" s="53"/>
      <c r="B293" s="1220" t="s">
        <v>245</v>
      </c>
      <c r="C293" s="1221">
        <v>3</v>
      </c>
      <c r="D293" s="1222" t="s">
        <v>95</v>
      </c>
      <c r="E293" s="1223" t="s">
        <v>357</v>
      </c>
      <c r="F293" s="1505" t="s">
        <v>3074</v>
      </c>
      <c r="G293" s="1223" t="s">
        <v>602</v>
      </c>
      <c r="H293" s="1223" t="s">
        <v>3370</v>
      </c>
      <c r="I293" s="1223" t="s">
        <v>3371</v>
      </c>
      <c r="J293" s="1237"/>
      <c r="K293" s="1224">
        <v>16298400</v>
      </c>
      <c r="L293" s="1224">
        <f t="shared" ref="L293:L316" si="113">K293*10%</f>
        <v>1629840</v>
      </c>
      <c r="M293" s="1237"/>
      <c r="N293" s="1225">
        <f t="shared" ref="N293:N317" si="114">K293+L293</f>
        <v>17928240</v>
      </c>
      <c r="O293" s="1202" t="s">
        <v>238</v>
      </c>
      <c r="P293" s="1202" t="s">
        <v>104</v>
      </c>
      <c r="Q293" s="175"/>
      <c r="R293" s="175"/>
      <c r="S293" s="116"/>
      <c r="T293" s="116">
        <f t="shared" si="109"/>
        <v>-325968</v>
      </c>
      <c r="U293" s="116">
        <v>17602272</v>
      </c>
      <c r="V293" s="210"/>
      <c r="W293" s="115"/>
      <c r="X293" s="181"/>
      <c r="Y293" s="116"/>
      <c r="Z293" s="185"/>
      <c r="AA293" s="592"/>
      <c r="AB293" s="186"/>
      <c r="AC293" s="9"/>
      <c r="AD293" s="297"/>
      <c r="AE293" s="297"/>
      <c r="AF293" s="9"/>
      <c r="AG293" s="9"/>
      <c r="AH293" s="300"/>
      <c r="AI293" s="9"/>
      <c r="AJ293" s="300"/>
      <c r="AK293" s="73"/>
    </row>
    <row r="294" spans="1:37" s="114" customFormat="1" ht="12" hidden="1" customHeight="1">
      <c r="A294" s="53"/>
      <c r="B294" s="1220" t="s">
        <v>245</v>
      </c>
      <c r="C294" s="1221">
        <v>3</v>
      </c>
      <c r="D294" s="1222" t="s">
        <v>95</v>
      </c>
      <c r="E294" s="1223" t="s">
        <v>357</v>
      </c>
      <c r="F294" s="1505" t="s">
        <v>3075</v>
      </c>
      <c r="G294" s="1223" t="s">
        <v>602</v>
      </c>
      <c r="H294" s="1223" t="s">
        <v>3372</v>
      </c>
      <c r="I294" s="1223" t="s">
        <v>3373</v>
      </c>
      <c r="J294" s="1237"/>
      <c r="K294" s="1224">
        <v>20373000</v>
      </c>
      <c r="L294" s="1224">
        <f t="shared" si="113"/>
        <v>2037300</v>
      </c>
      <c r="M294" s="1237"/>
      <c r="N294" s="1225">
        <f t="shared" si="114"/>
        <v>22410300</v>
      </c>
      <c r="O294" s="1202" t="s">
        <v>238</v>
      </c>
      <c r="P294" s="1202" t="s">
        <v>104</v>
      </c>
      <c r="Q294" s="175"/>
      <c r="R294" s="175"/>
      <c r="S294" s="116"/>
      <c r="T294" s="116">
        <f t="shared" si="109"/>
        <v>-407460</v>
      </c>
      <c r="U294" s="116">
        <v>22002840</v>
      </c>
      <c r="V294" s="210"/>
      <c r="W294" s="115"/>
      <c r="X294" s="181"/>
      <c r="Y294" s="116"/>
      <c r="Z294" s="185"/>
      <c r="AA294" s="592"/>
      <c r="AB294" s="186"/>
      <c r="AC294" s="9"/>
      <c r="AD294" s="297"/>
      <c r="AE294" s="297"/>
      <c r="AF294" s="9"/>
      <c r="AG294" s="9"/>
      <c r="AH294" s="300"/>
      <c r="AI294" s="9"/>
      <c r="AJ294" s="300"/>
      <c r="AK294" s="73"/>
    </row>
    <row r="295" spans="1:37" s="114" customFormat="1" ht="12" hidden="1" customHeight="1">
      <c r="A295" s="53"/>
      <c r="B295" s="1220" t="s">
        <v>245</v>
      </c>
      <c r="C295" s="1221">
        <v>3</v>
      </c>
      <c r="D295" s="1222" t="s">
        <v>95</v>
      </c>
      <c r="E295" s="1223" t="s">
        <v>357</v>
      </c>
      <c r="F295" s="1505" t="s">
        <v>3076</v>
      </c>
      <c r="G295" s="1223" t="s">
        <v>602</v>
      </c>
      <c r="H295" s="1223" t="s">
        <v>3374</v>
      </c>
      <c r="I295" s="1223" t="s">
        <v>3375</v>
      </c>
      <c r="J295" s="1237"/>
      <c r="K295" s="1224">
        <v>17656600</v>
      </c>
      <c r="L295" s="1224">
        <f t="shared" si="113"/>
        <v>1765660</v>
      </c>
      <c r="M295" s="1237"/>
      <c r="N295" s="1225">
        <f t="shared" si="114"/>
        <v>19422260</v>
      </c>
      <c r="O295" s="1202" t="s">
        <v>238</v>
      </c>
      <c r="P295" s="1202" t="s">
        <v>104</v>
      </c>
      <c r="Q295" s="175"/>
      <c r="R295" s="175"/>
      <c r="S295" s="116"/>
      <c r="T295" s="116">
        <f t="shared" si="109"/>
        <v>-353132</v>
      </c>
      <c r="U295" s="116">
        <v>19069128</v>
      </c>
      <c r="V295" s="210"/>
      <c r="W295" s="115"/>
      <c r="X295" s="181"/>
      <c r="Y295" s="116"/>
      <c r="Z295" s="185"/>
      <c r="AA295" s="592"/>
      <c r="AB295" s="186"/>
      <c r="AC295" s="9"/>
      <c r="AD295" s="297"/>
      <c r="AE295" s="297"/>
      <c r="AF295" s="9"/>
      <c r="AG295" s="9"/>
      <c r="AH295" s="300"/>
      <c r="AI295" s="9"/>
      <c r="AJ295" s="300"/>
      <c r="AK295" s="73"/>
    </row>
    <row r="296" spans="1:37" s="114" customFormat="1" ht="12" hidden="1" customHeight="1">
      <c r="A296" s="53"/>
      <c r="B296" s="1220" t="s">
        <v>245</v>
      </c>
      <c r="C296" s="1221">
        <v>3</v>
      </c>
      <c r="D296" s="1222" t="s">
        <v>95</v>
      </c>
      <c r="E296" s="1223" t="s">
        <v>354</v>
      </c>
      <c r="F296" s="1505" t="s">
        <v>3077</v>
      </c>
      <c r="G296" s="1223" t="s">
        <v>602</v>
      </c>
      <c r="H296" s="1223" t="s">
        <v>3376</v>
      </c>
      <c r="I296" s="1223" t="s">
        <v>3377</v>
      </c>
      <c r="J296" s="1237"/>
      <c r="K296" s="1224">
        <v>29000000</v>
      </c>
      <c r="L296" s="1224">
        <f t="shared" si="113"/>
        <v>2900000</v>
      </c>
      <c r="M296" s="1237"/>
      <c r="N296" s="1225">
        <f t="shared" si="114"/>
        <v>31900000</v>
      </c>
      <c r="O296" s="1202" t="s">
        <v>238</v>
      </c>
      <c r="P296" s="1202" t="s">
        <v>104</v>
      </c>
      <c r="Q296" s="175"/>
      <c r="R296" s="175"/>
      <c r="S296" s="116"/>
      <c r="T296" s="116">
        <f t="shared" si="109"/>
        <v>-580000</v>
      </c>
      <c r="U296" s="116">
        <v>31320000</v>
      </c>
      <c r="V296" s="210"/>
      <c r="W296" s="115"/>
      <c r="X296" s="181"/>
      <c r="Y296" s="116"/>
      <c r="Z296" s="185"/>
      <c r="AA296" s="592"/>
      <c r="AB296" s="186"/>
      <c r="AC296" s="9"/>
      <c r="AD296" s="297"/>
      <c r="AE296" s="297"/>
      <c r="AF296" s="9"/>
      <c r="AG296" s="9"/>
      <c r="AH296" s="300"/>
      <c r="AI296" s="9"/>
      <c r="AJ296" s="300"/>
      <c r="AK296" s="73"/>
    </row>
    <row r="297" spans="1:37" s="114" customFormat="1" ht="12" hidden="1" customHeight="1">
      <c r="A297" s="53"/>
      <c r="B297" s="1220" t="s">
        <v>245</v>
      </c>
      <c r="C297" s="1221">
        <v>3</v>
      </c>
      <c r="D297" s="1222" t="s">
        <v>95</v>
      </c>
      <c r="E297" s="1223" t="s">
        <v>354</v>
      </c>
      <c r="F297" s="1505" t="s">
        <v>3078</v>
      </c>
      <c r="G297" s="1223" t="s">
        <v>602</v>
      </c>
      <c r="H297" s="1223" t="s">
        <v>3378</v>
      </c>
      <c r="I297" s="1223" t="s">
        <v>3379</v>
      </c>
      <c r="J297" s="1237"/>
      <c r="K297" s="1224">
        <v>6000000</v>
      </c>
      <c r="L297" s="1224">
        <f t="shared" si="113"/>
        <v>600000</v>
      </c>
      <c r="M297" s="1237"/>
      <c r="N297" s="1225">
        <f t="shared" si="114"/>
        <v>6600000</v>
      </c>
      <c r="O297" s="1202" t="s">
        <v>238</v>
      </c>
      <c r="P297" s="1202" t="s">
        <v>104</v>
      </c>
      <c r="Q297" s="175"/>
      <c r="R297" s="175"/>
      <c r="S297" s="116"/>
      <c r="T297" s="116">
        <f t="shared" si="109"/>
        <v>-120000</v>
      </c>
      <c r="U297" s="116">
        <v>6480000</v>
      </c>
      <c r="V297" s="210"/>
      <c r="W297" s="115"/>
      <c r="X297" s="181"/>
      <c r="Y297" s="116"/>
      <c r="Z297" s="185"/>
      <c r="AA297" s="592"/>
      <c r="AB297" s="186"/>
      <c r="AC297" s="9"/>
      <c r="AD297" s="297"/>
      <c r="AE297" s="297"/>
      <c r="AF297" s="9"/>
      <c r="AG297" s="9"/>
      <c r="AH297" s="300"/>
      <c r="AI297" s="9"/>
      <c r="AJ297" s="300"/>
      <c r="AK297" s="73"/>
    </row>
    <row r="298" spans="1:37" s="114" customFormat="1" ht="12" hidden="1" customHeight="1">
      <c r="A298" s="53"/>
      <c r="B298" s="1220" t="s">
        <v>245</v>
      </c>
      <c r="C298" s="1221">
        <v>3</v>
      </c>
      <c r="D298" s="1222" t="s">
        <v>95</v>
      </c>
      <c r="E298" s="1223" t="s">
        <v>354</v>
      </c>
      <c r="F298" s="1505" t="s">
        <v>3079</v>
      </c>
      <c r="G298" s="1223" t="s">
        <v>602</v>
      </c>
      <c r="H298" s="1223" t="s">
        <v>3380</v>
      </c>
      <c r="I298" s="1223" t="s">
        <v>3381</v>
      </c>
      <c r="J298" s="1237"/>
      <c r="K298" s="1224">
        <v>21000000</v>
      </c>
      <c r="L298" s="1224">
        <f t="shared" si="113"/>
        <v>2100000</v>
      </c>
      <c r="M298" s="1237"/>
      <c r="N298" s="1225">
        <f t="shared" si="114"/>
        <v>23100000</v>
      </c>
      <c r="O298" s="1202" t="s">
        <v>238</v>
      </c>
      <c r="P298" s="1202" t="s">
        <v>104</v>
      </c>
      <c r="Q298" s="175"/>
      <c r="R298" s="175"/>
      <c r="S298" s="116"/>
      <c r="T298" s="116">
        <f t="shared" si="109"/>
        <v>-420000</v>
      </c>
      <c r="U298" s="116">
        <v>22680000</v>
      </c>
      <c r="V298" s="210"/>
      <c r="W298" s="115"/>
      <c r="X298" s="181"/>
      <c r="Y298" s="116"/>
      <c r="Z298" s="185"/>
      <c r="AA298" s="592"/>
      <c r="AB298" s="186"/>
      <c r="AC298" s="9"/>
      <c r="AD298" s="297"/>
      <c r="AE298" s="297"/>
      <c r="AF298" s="9"/>
      <c r="AG298" s="9"/>
      <c r="AH298" s="300"/>
      <c r="AI298" s="9"/>
      <c r="AJ298" s="300"/>
      <c r="AK298" s="73"/>
    </row>
    <row r="299" spans="1:37" s="114" customFormat="1" ht="12" hidden="1" customHeight="1">
      <c r="A299" s="53"/>
      <c r="B299" s="1220" t="s">
        <v>245</v>
      </c>
      <c r="C299" s="1221">
        <v>3</v>
      </c>
      <c r="D299" s="1222" t="s">
        <v>95</v>
      </c>
      <c r="E299" s="1223" t="s">
        <v>354</v>
      </c>
      <c r="F299" s="1505" t="s">
        <v>3080</v>
      </c>
      <c r="G299" s="1223" t="s">
        <v>641</v>
      </c>
      <c r="H299" s="1223" t="s">
        <v>3382</v>
      </c>
      <c r="I299" s="1223" t="s">
        <v>3383</v>
      </c>
      <c r="J299" s="1237"/>
      <c r="K299" s="1224">
        <v>6000000</v>
      </c>
      <c r="L299" s="1224">
        <f t="shared" si="113"/>
        <v>600000</v>
      </c>
      <c r="M299" s="1237"/>
      <c r="N299" s="1225">
        <f t="shared" si="114"/>
        <v>6600000</v>
      </c>
      <c r="O299" s="1202" t="s">
        <v>238</v>
      </c>
      <c r="P299" s="1202" t="s">
        <v>104</v>
      </c>
      <c r="Q299" s="175"/>
      <c r="R299" s="175"/>
      <c r="S299" s="116"/>
      <c r="T299" s="116">
        <f t="shared" si="109"/>
        <v>-120000</v>
      </c>
      <c r="U299" s="116">
        <v>6480000</v>
      </c>
      <c r="V299" s="210"/>
      <c r="W299" s="115"/>
      <c r="X299" s="181"/>
      <c r="Y299" s="116"/>
      <c r="Z299" s="185"/>
      <c r="AA299" s="592"/>
      <c r="AB299" s="186"/>
      <c r="AC299" s="9"/>
      <c r="AD299" s="297"/>
      <c r="AE299" s="297"/>
      <c r="AF299" s="9"/>
      <c r="AG299" s="9"/>
      <c r="AH299" s="300"/>
      <c r="AI299" s="9"/>
      <c r="AJ299" s="300"/>
      <c r="AK299" s="73"/>
    </row>
    <row r="300" spans="1:37" s="114" customFormat="1" ht="12" hidden="1" customHeight="1">
      <c r="A300" s="1220"/>
      <c r="B300" s="1220" t="s">
        <v>238</v>
      </c>
      <c r="C300" s="1221">
        <v>9</v>
      </c>
      <c r="D300" s="1222" t="s">
        <v>95</v>
      </c>
      <c r="E300" s="1223" t="s">
        <v>357</v>
      </c>
      <c r="F300" s="1505" t="s">
        <v>3073</v>
      </c>
      <c r="G300" s="1223" t="s">
        <v>641</v>
      </c>
      <c r="H300" s="1223" t="s">
        <v>3551</v>
      </c>
      <c r="I300" s="1223" t="s">
        <v>3552</v>
      </c>
      <c r="J300" s="1237"/>
      <c r="K300" s="1224">
        <v>37360400</v>
      </c>
      <c r="L300" s="1224">
        <f t="shared" si="113"/>
        <v>3736040</v>
      </c>
      <c r="M300" s="1237"/>
      <c r="N300" s="1225">
        <f t="shared" si="114"/>
        <v>41096440</v>
      </c>
      <c r="O300" s="1202" t="s">
        <v>140</v>
      </c>
      <c r="P300" s="1202" t="s">
        <v>38</v>
      </c>
      <c r="Q300" s="175"/>
      <c r="R300" s="175"/>
      <c r="S300" s="116"/>
      <c r="T300" s="116">
        <f t="shared" si="109"/>
        <v>-747208</v>
      </c>
      <c r="U300" s="116">
        <v>40349232</v>
      </c>
      <c r="V300" s="210"/>
      <c r="W300" s="115"/>
      <c r="X300" s="181"/>
      <c r="Y300" s="116"/>
      <c r="Z300" s="185"/>
      <c r="AA300" s="592"/>
      <c r="AB300" s="186"/>
      <c r="AC300" s="9"/>
      <c r="AD300" s="297"/>
      <c r="AE300" s="297"/>
      <c r="AF300" s="9"/>
      <c r="AG300" s="9"/>
      <c r="AH300" s="300"/>
      <c r="AI300" s="9"/>
      <c r="AJ300" s="300"/>
      <c r="AK300" s="73"/>
    </row>
    <row r="301" spans="1:37" s="114" customFormat="1" ht="12" hidden="1" customHeight="1">
      <c r="A301" s="1220"/>
      <c r="B301" s="1220" t="s">
        <v>238</v>
      </c>
      <c r="C301" s="1221">
        <v>9</v>
      </c>
      <c r="D301" s="1222" t="s">
        <v>95</v>
      </c>
      <c r="E301" s="1223" t="s">
        <v>357</v>
      </c>
      <c r="F301" s="1505" t="s">
        <v>3074</v>
      </c>
      <c r="G301" s="1223" t="s">
        <v>641</v>
      </c>
      <c r="H301" s="1223" t="s">
        <v>3553</v>
      </c>
      <c r="I301" s="1223" t="s">
        <v>3554</v>
      </c>
      <c r="J301" s="1237"/>
      <c r="K301" s="1224">
        <v>16216800</v>
      </c>
      <c r="L301" s="1224">
        <f t="shared" si="113"/>
        <v>1621680</v>
      </c>
      <c r="M301" s="1237"/>
      <c r="N301" s="1225">
        <f t="shared" si="114"/>
        <v>17838480</v>
      </c>
      <c r="O301" s="1202" t="s">
        <v>140</v>
      </c>
      <c r="P301" s="1202" t="s">
        <v>38</v>
      </c>
      <c r="Q301" s="175"/>
      <c r="R301" s="175"/>
      <c r="S301" s="116"/>
      <c r="T301" s="116">
        <f t="shared" si="109"/>
        <v>-324336</v>
      </c>
      <c r="U301" s="116">
        <v>17514414</v>
      </c>
      <c r="V301" s="210"/>
      <c r="W301" s="115"/>
      <c r="X301" s="181"/>
      <c r="Y301" s="116"/>
      <c r="Z301" s="185"/>
      <c r="AA301" s="592"/>
      <c r="AB301" s="186"/>
      <c r="AC301" s="9"/>
      <c r="AD301" s="297"/>
      <c r="AE301" s="297"/>
      <c r="AF301" s="9"/>
      <c r="AG301" s="9"/>
      <c r="AH301" s="300"/>
      <c r="AI301" s="9"/>
      <c r="AJ301" s="300"/>
      <c r="AK301" s="73"/>
    </row>
    <row r="302" spans="1:37" s="114" customFormat="1" ht="12" hidden="1" customHeight="1">
      <c r="A302" s="1220"/>
      <c r="B302" s="1220" t="s">
        <v>238</v>
      </c>
      <c r="C302" s="1221">
        <v>9</v>
      </c>
      <c r="D302" s="1222" t="s">
        <v>95</v>
      </c>
      <c r="E302" s="1223" t="s">
        <v>357</v>
      </c>
      <c r="F302" s="1505" t="s">
        <v>3075</v>
      </c>
      <c r="G302" s="1223" t="s">
        <v>641</v>
      </c>
      <c r="H302" s="1223" t="s">
        <v>3556</v>
      </c>
      <c r="I302" s="1223" t="s">
        <v>3555</v>
      </c>
      <c r="J302" s="1237"/>
      <c r="K302" s="1224">
        <v>20271000</v>
      </c>
      <c r="L302" s="1224">
        <f t="shared" si="113"/>
        <v>2027100</v>
      </c>
      <c r="M302" s="1237"/>
      <c r="N302" s="1225">
        <f t="shared" si="114"/>
        <v>22298100</v>
      </c>
      <c r="O302" s="1202" t="s">
        <v>140</v>
      </c>
      <c r="P302" s="1202" t="s">
        <v>38</v>
      </c>
      <c r="Q302" s="175"/>
      <c r="R302" s="175"/>
      <c r="S302" s="116"/>
      <c r="T302" s="116">
        <f t="shared" si="109"/>
        <v>-405420</v>
      </c>
      <c r="U302" s="116">
        <v>21892680</v>
      </c>
      <c r="V302" s="210"/>
      <c r="W302" s="115"/>
      <c r="X302" s="181"/>
      <c r="Y302" s="116"/>
      <c r="Z302" s="185"/>
      <c r="AA302" s="592"/>
      <c r="AB302" s="186"/>
      <c r="AC302" s="9"/>
      <c r="AD302" s="297"/>
      <c r="AE302" s="297"/>
      <c r="AF302" s="9"/>
      <c r="AG302" s="9"/>
      <c r="AH302" s="300"/>
      <c r="AI302" s="9"/>
      <c r="AJ302" s="300"/>
      <c r="AK302" s="73"/>
    </row>
    <row r="303" spans="1:37" s="114" customFormat="1" ht="12" hidden="1" customHeight="1">
      <c r="A303" s="1220"/>
      <c r="B303" s="1220" t="s">
        <v>238</v>
      </c>
      <c r="C303" s="1221">
        <v>9</v>
      </c>
      <c r="D303" s="1222" t="s">
        <v>95</v>
      </c>
      <c r="E303" s="1223" t="s">
        <v>357</v>
      </c>
      <c r="F303" s="1505" t="s">
        <v>3076</v>
      </c>
      <c r="G303" s="1223" t="s">
        <v>641</v>
      </c>
      <c r="H303" s="1223" t="s">
        <v>3557</v>
      </c>
      <c r="I303" s="1223" t="s">
        <v>3558</v>
      </c>
      <c r="J303" s="1237"/>
      <c r="K303" s="1224">
        <v>17568200</v>
      </c>
      <c r="L303" s="1224">
        <f t="shared" si="113"/>
        <v>1756820</v>
      </c>
      <c r="M303" s="1237"/>
      <c r="N303" s="1225">
        <f t="shared" si="114"/>
        <v>19325020</v>
      </c>
      <c r="O303" s="1202" t="s">
        <v>140</v>
      </c>
      <c r="P303" s="1202" t="s">
        <v>38</v>
      </c>
      <c r="Q303" s="175"/>
      <c r="R303" s="175"/>
      <c r="S303" s="116"/>
      <c r="T303" s="116">
        <f t="shared" si="109"/>
        <v>-351364</v>
      </c>
      <c r="U303" s="116">
        <v>18973656</v>
      </c>
      <c r="V303" s="210"/>
      <c r="W303" s="115"/>
      <c r="X303" s="181"/>
      <c r="Y303" s="116"/>
      <c r="Z303" s="185"/>
      <c r="AA303" s="592"/>
      <c r="AB303" s="186"/>
      <c r="AC303" s="9"/>
      <c r="AD303" s="297"/>
      <c r="AE303" s="297"/>
      <c r="AF303" s="9"/>
      <c r="AG303" s="9"/>
      <c r="AH303" s="300"/>
      <c r="AI303" s="9"/>
      <c r="AJ303" s="300"/>
      <c r="AK303" s="73"/>
    </row>
    <row r="304" spans="1:37" s="114" customFormat="1" ht="12" hidden="1" customHeight="1">
      <c r="A304" s="1220"/>
      <c r="B304" s="1220" t="s">
        <v>238</v>
      </c>
      <c r="C304" s="1221">
        <v>9</v>
      </c>
      <c r="D304" s="1222" t="s">
        <v>95</v>
      </c>
      <c r="E304" s="1223" t="s">
        <v>354</v>
      </c>
      <c r="F304" s="1505" t="s">
        <v>3077</v>
      </c>
      <c r="G304" s="1223" t="s">
        <v>641</v>
      </c>
      <c r="H304" s="1223" t="s">
        <v>3559</v>
      </c>
      <c r="I304" s="1223" t="s">
        <v>3560</v>
      </c>
      <c r="J304" s="1237"/>
      <c r="K304" s="1224">
        <v>29000000</v>
      </c>
      <c r="L304" s="1224">
        <f t="shared" si="113"/>
        <v>2900000</v>
      </c>
      <c r="M304" s="1237"/>
      <c r="N304" s="1225">
        <f t="shared" si="114"/>
        <v>31900000</v>
      </c>
      <c r="O304" s="1202" t="s">
        <v>140</v>
      </c>
      <c r="P304" s="1202" t="s">
        <v>38</v>
      </c>
      <c r="Q304" s="175"/>
      <c r="R304" s="175"/>
      <c r="S304" s="116"/>
      <c r="T304" s="116">
        <f t="shared" si="109"/>
        <v>-580000</v>
      </c>
      <c r="U304" s="116">
        <v>31320000</v>
      </c>
      <c r="V304" s="210"/>
      <c r="W304" s="115"/>
      <c r="X304" s="181"/>
      <c r="Y304" s="116"/>
      <c r="Z304" s="185"/>
      <c r="AA304" s="592"/>
      <c r="AB304" s="186"/>
      <c r="AC304" s="9"/>
      <c r="AD304" s="297"/>
      <c r="AE304" s="297"/>
      <c r="AF304" s="9"/>
      <c r="AG304" s="9"/>
      <c r="AH304" s="300"/>
      <c r="AI304" s="9"/>
      <c r="AJ304" s="300"/>
      <c r="AK304" s="73"/>
    </row>
    <row r="305" spans="1:37" s="114" customFormat="1" ht="12" hidden="1" customHeight="1">
      <c r="A305" s="1220"/>
      <c r="B305" s="1220" t="s">
        <v>238</v>
      </c>
      <c r="C305" s="1221">
        <v>9</v>
      </c>
      <c r="D305" s="1222" t="s">
        <v>95</v>
      </c>
      <c r="E305" s="1223" t="s">
        <v>354</v>
      </c>
      <c r="F305" s="1505" t="s">
        <v>3078</v>
      </c>
      <c r="G305" s="1223" t="s">
        <v>641</v>
      </c>
      <c r="H305" s="1223" t="s">
        <v>3561</v>
      </c>
      <c r="I305" s="1223" t="s">
        <v>3562</v>
      </c>
      <c r="J305" s="1237"/>
      <c r="K305" s="1224">
        <v>6000000</v>
      </c>
      <c r="L305" s="1224">
        <f t="shared" si="113"/>
        <v>600000</v>
      </c>
      <c r="M305" s="1237"/>
      <c r="N305" s="1225">
        <f t="shared" si="114"/>
        <v>6600000</v>
      </c>
      <c r="O305" s="1202" t="s">
        <v>140</v>
      </c>
      <c r="P305" s="1202" t="s">
        <v>38</v>
      </c>
      <c r="Q305" s="175"/>
      <c r="R305" s="175"/>
      <c r="S305" s="116"/>
      <c r="T305" s="116">
        <f t="shared" si="109"/>
        <v>-120000</v>
      </c>
      <c r="U305" s="116">
        <v>6480000</v>
      </c>
      <c r="V305" s="210"/>
      <c r="W305" s="115"/>
      <c r="X305" s="181"/>
      <c r="Y305" s="116"/>
      <c r="Z305" s="185"/>
      <c r="AA305" s="592"/>
      <c r="AB305" s="186"/>
      <c r="AC305" s="9"/>
      <c r="AD305" s="297"/>
      <c r="AE305" s="297"/>
      <c r="AF305" s="9"/>
      <c r="AG305" s="9"/>
      <c r="AH305" s="300"/>
      <c r="AI305" s="9"/>
      <c r="AJ305" s="300"/>
      <c r="AK305" s="73"/>
    </row>
    <row r="306" spans="1:37" s="114" customFormat="1" ht="12" hidden="1" customHeight="1">
      <c r="A306" s="1220"/>
      <c r="B306" s="1220" t="s">
        <v>238</v>
      </c>
      <c r="C306" s="1221">
        <v>9</v>
      </c>
      <c r="D306" s="1222" t="s">
        <v>95</v>
      </c>
      <c r="E306" s="1223" t="s">
        <v>354</v>
      </c>
      <c r="F306" s="1505" t="s">
        <v>3079</v>
      </c>
      <c r="G306" s="1223" t="s">
        <v>641</v>
      </c>
      <c r="H306" s="1223" t="s">
        <v>3563</v>
      </c>
      <c r="I306" s="1223" t="s">
        <v>3564</v>
      </c>
      <c r="J306" s="1237"/>
      <c r="K306" s="1224">
        <v>21000000</v>
      </c>
      <c r="L306" s="1224">
        <f t="shared" si="113"/>
        <v>2100000</v>
      </c>
      <c r="M306" s="1237"/>
      <c r="N306" s="1225">
        <f t="shared" si="114"/>
        <v>23100000</v>
      </c>
      <c r="O306" s="1202" t="s">
        <v>140</v>
      </c>
      <c r="P306" s="1202" t="s">
        <v>38</v>
      </c>
      <c r="Q306" s="175"/>
      <c r="R306" s="175"/>
      <c r="S306" s="116"/>
      <c r="T306" s="116">
        <f t="shared" si="109"/>
        <v>-420000</v>
      </c>
      <c r="U306" s="116">
        <v>22680000</v>
      </c>
      <c r="V306" s="210"/>
      <c r="W306" s="115"/>
      <c r="X306" s="181"/>
      <c r="Y306" s="116"/>
      <c r="Z306" s="185"/>
      <c r="AA306" s="592"/>
      <c r="AB306" s="186"/>
      <c r="AC306" s="9"/>
      <c r="AD306" s="297"/>
      <c r="AE306" s="297"/>
      <c r="AF306" s="9"/>
      <c r="AG306" s="9"/>
      <c r="AH306" s="300"/>
      <c r="AI306" s="9"/>
      <c r="AJ306" s="300"/>
      <c r="AK306" s="73"/>
    </row>
    <row r="307" spans="1:37" s="114" customFormat="1" ht="12" hidden="1" customHeight="1">
      <c r="A307" s="1220"/>
      <c r="B307" s="1220" t="s">
        <v>238</v>
      </c>
      <c r="C307" s="1221">
        <v>9</v>
      </c>
      <c r="D307" s="1222" t="s">
        <v>95</v>
      </c>
      <c r="E307" s="1223" t="s">
        <v>354</v>
      </c>
      <c r="F307" s="1505" t="s">
        <v>3080</v>
      </c>
      <c r="G307" s="1223" t="s">
        <v>1616</v>
      </c>
      <c r="H307" s="1223" t="s">
        <v>3565</v>
      </c>
      <c r="I307" s="1223" t="s">
        <v>3566</v>
      </c>
      <c r="J307" s="1237"/>
      <c r="K307" s="1224">
        <v>6000000</v>
      </c>
      <c r="L307" s="1224">
        <f t="shared" si="113"/>
        <v>600000</v>
      </c>
      <c r="M307" s="1237"/>
      <c r="N307" s="1225">
        <f t="shared" si="114"/>
        <v>6600000</v>
      </c>
      <c r="O307" s="1202" t="s">
        <v>140</v>
      </c>
      <c r="P307" s="1202" t="s">
        <v>38</v>
      </c>
      <c r="Q307" s="175"/>
      <c r="R307" s="175"/>
      <c r="S307" s="116"/>
      <c r="T307" s="116">
        <f t="shared" si="109"/>
        <v>-120000</v>
      </c>
      <c r="U307" s="116">
        <v>6480000</v>
      </c>
      <c r="V307" s="210"/>
      <c r="W307" s="115"/>
      <c r="X307" s="181"/>
      <c r="Y307" s="116"/>
      <c r="Z307" s="185"/>
      <c r="AA307" s="592"/>
      <c r="AB307" s="186"/>
      <c r="AC307" s="9"/>
      <c r="AD307" s="297"/>
      <c r="AE307" s="297"/>
      <c r="AF307" s="9"/>
      <c r="AG307" s="9"/>
      <c r="AH307" s="300"/>
      <c r="AI307" s="9"/>
      <c r="AJ307" s="300"/>
      <c r="AK307" s="73"/>
    </row>
    <row r="308" spans="1:37" s="114" customFormat="1" ht="12" hidden="1" customHeight="1">
      <c r="A308" s="53"/>
      <c r="B308" s="758" t="s">
        <v>140</v>
      </c>
      <c r="C308" s="759">
        <v>12</v>
      </c>
      <c r="D308" s="760" t="s">
        <v>95</v>
      </c>
      <c r="E308" s="761" t="s">
        <v>357</v>
      </c>
      <c r="F308" s="1506" t="s">
        <v>3073</v>
      </c>
      <c r="G308" s="761" t="s">
        <v>1616</v>
      </c>
      <c r="H308" s="761" t="s">
        <v>3726</v>
      </c>
      <c r="I308" s="761" t="s">
        <v>3727</v>
      </c>
      <c r="J308" s="658"/>
      <c r="K308" s="762">
        <v>37360400</v>
      </c>
      <c r="L308" s="762">
        <f t="shared" si="113"/>
        <v>3736040</v>
      </c>
      <c r="M308" s="658"/>
      <c r="N308" s="763">
        <f t="shared" si="114"/>
        <v>41096440</v>
      </c>
      <c r="O308" s="1202"/>
      <c r="P308" s="1202"/>
      <c r="Q308" s="175"/>
      <c r="R308" s="175"/>
      <c r="S308" s="116"/>
      <c r="T308" s="116"/>
      <c r="U308" s="116"/>
      <c r="V308" s="210"/>
      <c r="W308" s="115"/>
      <c r="X308" s="181"/>
      <c r="Y308" s="116"/>
      <c r="Z308" s="185"/>
      <c r="AA308" s="592"/>
      <c r="AB308" s="186"/>
      <c r="AC308" s="9"/>
      <c r="AD308" s="297"/>
      <c r="AE308" s="297"/>
      <c r="AF308" s="9"/>
      <c r="AG308" s="9"/>
      <c r="AH308" s="300"/>
      <c r="AI308" s="9"/>
      <c r="AJ308" s="300"/>
      <c r="AK308" s="73"/>
    </row>
    <row r="309" spans="1:37" s="114" customFormat="1" ht="12" hidden="1" customHeight="1">
      <c r="A309" s="53"/>
      <c r="B309" s="758" t="s">
        <v>140</v>
      </c>
      <c r="C309" s="759">
        <v>12</v>
      </c>
      <c r="D309" s="760" t="s">
        <v>95</v>
      </c>
      <c r="E309" s="761" t="s">
        <v>357</v>
      </c>
      <c r="F309" s="1506" t="s">
        <v>3074</v>
      </c>
      <c r="G309" s="761" t="s">
        <v>1616</v>
      </c>
      <c r="H309" s="761" t="s">
        <v>3728</v>
      </c>
      <c r="I309" s="761" t="s">
        <v>3729</v>
      </c>
      <c r="J309" s="658"/>
      <c r="K309" s="762">
        <v>16260000</v>
      </c>
      <c r="L309" s="762">
        <f t="shared" si="113"/>
        <v>1626000</v>
      </c>
      <c r="M309" s="658"/>
      <c r="N309" s="763">
        <f t="shared" si="114"/>
        <v>17886000</v>
      </c>
      <c r="O309" s="1202"/>
      <c r="P309" s="1202"/>
      <c r="Q309" s="175"/>
      <c r="R309" s="175"/>
      <c r="S309" s="116"/>
      <c r="T309" s="116"/>
      <c r="U309" s="116"/>
      <c r="V309" s="210"/>
      <c r="W309" s="115"/>
      <c r="X309" s="181"/>
      <c r="Y309" s="116"/>
      <c r="Z309" s="185"/>
      <c r="AA309" s="592"/>
      <c r="AB309" s="186"/>
      <c r="AC309" s="9"/>
      <c r="AD309" s="297"/>
      <c r="AE309" s="297"/>
      <c r="AF309" s="9"/>
      <c r="AG309" s="9"/>
      <c r="AH309" s="300"/>
      <c r="AI309" s="9"/>
      <c r="AJ309" s="300"/>
      <c r="AK309" s="73"/>
    </row>
    <row r="310" spans="1:37" s="114" customFormat="1" ht="12" hidden="1" customHeight="1">
      <c r="A310" s="53"/>
      <c r="B310" s="758" t="s">
        <v>140</v>
      </c>
      <c r="C310" s="759">
        <v>12</v>
      </c>
      <c r="D310" s="760" t="s">
        <v>95</v>
      </c>
      <c r="E310" s="761" t="s">
        <v>357</v>
      </c>
      <c r="F310" s="1506" t="s">
        <v>3075</v>
      </c>
      <c r="G310" s="761" t="s">
        <v>1616</v>
      </c>
      <c r="H310" s="761" t="s">
        <v>3730</v>
      </c>
      <c r="I310" s="761" t="s">
        <v>3731</v>
      </c>
      <c r="J310" s="658"/>
      <c r="K310" s="762">
        <v>20325000</v>
      </c>
      <c r="L310" s="762">
        <f t="shared" si="113"/>
        <v>2032500</v>
      </c>
      <c r="M310" s="658"/>
      <c r="N310" s="763">
        <f t="shared" si="114"/>
        <v>22357500</v>
      </c>
      <c r="O310" s="1202"/>
      <c r="P310" s="1202"/>
      <c r="Q310" s="175"/>
      <c r="R310" s="175"/>
      <c r="S310" s="116"/>
      <c r="T310" s="116"/>
      <c r="U310" s="116"/>
      <c r="V310" s="210"/>
      <c r="W310" s="115"/>
      <c r="X310" s="181"/>
      <c r="Y310" s="116"/>
      <c r="Z310" s="185"/>
      <c r="AA310" s="592"/>
      <c r="AB310" s="186"/>
      <c r="AC310" s="9"/>
      <c r="AD310" s="297"/>
      <c r="AE310" s="297"/>
      <c r="AF310" s="9"/>
      <c r="AG310" s="9"/>
      <c r="AH310" s="300"/>
      <c r="AI310" s="9"/>
      <c r="AJ310" s="300"/>
      <c r="AK310" s="73"/>
    </row>
    <row r="311" spans="1:37" s="114" customFormat="1" ht="12" hidden="1" customHeight="1">
      <c r="A311" s="53"/>
      <c r="B311" s="758" t="s">
        <v>140</v>
      </c>
      <c r="C311" s="759">
        <v>12</v>
      </c>
      <c r="D311" s="760" t="s">
        <v>95</v>
      </c>
      <c r="E311" s="761" t="s">
        <v>357</v>
      </c>
      <c r="F311" s="1506" t="s">
        <v>3076</v>
      </c>
      <c r="G311" s="761" t="s">
        <v>1616</v>
      </c>
      <c r="H311" s="761" t="s">
        <v>3732</v>
      </c>
      <c r="I311" s="761" t="s">
        <v>3733</v>
      </c>
      <c r="J311" s="658"/>
      <c r="K311" s="762">
        <v>17615000</v>
      </c>
      <c r="L311" s="762">
        <f t="shared" si="113"/>
        <v>1761500</v>
      </c>
      <c r="M311" s="658"/>
      <c r="N311" s="763">
        <f t="shared" si="114"/>
        <v>19376500</v>
      </c>
      <c r="O311" s="1202"/>
      <c r="P311" s="1202"/>
      <c r="Q311" s="175"/>
      <c r="R311" s="175"/>
      <c r="S311" s="116"/>
      <c r="T311" s="116"/>
      <c r="U311" s="116"/>
      <c r="V311" s="210"/>
      <c r="W311" s="115"/>
      <c r="X311" s="181"/>
      <c r="Y311" s="116"/>
      <c r="Z311" s="185"/>
      <c r="AA311" s="592"/>
      <c r="AB311" s="186"/>
      <c r="AC311" s="9"/>
      <c r="AD311" s="297"/>
      <c r="AE311" s="297"/>
      <c r="AF311" s="9"/>
      <c r="AG311" s="9"/>
      <c r="AH311" s="300"/>
      <c r="AI311" s="9"/>
      <c r="AJ311" s="300"/>
      <c r="AK311" s="73"/>
    </row>
    <row r="312" spans="1:37" s="114" customFormat="1" ht="12" hidden="1" customHeight="1">
      <c r="A312" s="53"/>
      <c r="B312" s="758" t="s">
        <v>140</v>
      </c>
      <c r="C312" s="759">
        <v>12</v>
      </c>
      <c r="D312" s="760" t="s">
        <v>95</v>
      </c>
      <c r="E312" s="761" t="s">
        <v>354</v>
      </c>
      <c r="F312" s="1506" t="s">
        <v>3077</v>
      </c>
      <c r="G312" s="761" t="s">
        <v>1616</v>
      </c>
      <c r="H312" s="761" t="s">
        <v>3734</v>
      </c>
      <c r="I312" s="761" t="s">
        <v>3735</v>
      </c>
      <c r="J312" s="658"/>
      <c r="K312" s="762">
        <v>29000000</v>
      </c>
      <c r="L312" s="762">
        <f t="shared" si="113"/>
        <v>2900000</v>
      </c>
      <c r="M312" s="658"/>
      <c r="N312" s="763">
        <f t="shared" si="114"/>
        <v>31900000</v>
      </c>
      <c r="O312" s="1202"/>
      <c r="P312" s="1202"/>
      <c r="Q312" s="175"/>
      <c r="R312" s="175"/>
      <c r="S312" s="116"/>
      <c r="T312" s="116"/>
      <c r="U312" s="116"/>
      <c r="V312" s="210"/>
      <c r="W312" s="115"/>
      <c r="X312" s="181"/>
      <c r="Y312" s="116"/>
      <c r="Z312" s="185"/>
      <c r="AA312" s="592"/>
      <c r="AB312" s="186"/>
      <c r="AC312" s="9"/>
      <c r="AD312" s="297"/>
      <c r="AE312" s="297"/>
      <c r="AF312" s="9"/>
      <c r="AG312" s="9"/>
      <c r="AH312" s="300"/>
      <c r="AI312" s="9"/>
      <c r="AJ312" s="300"/>
      <c r="AK312" s="73"/>
    </row>
    <row r="313" spans="1:37" s="114" customFormat="1" ht="12" hidden="1" customHeight="1">
      <c r="A313" s="53"/>
      <c r="B313" s="758" t="s">
        <v>140</v>
      </c>
      <c r="C313" s="759">
        <v>12</v>
      </c>
      <c r="D313" s="760" t="s">
        <v>95</v>
      </c>
      <c r="E313" s="761" t="s">
        <v>354</v>
      </c>
      <c r="F313" s="1506" t="s">
        <v>3078</v>
      </c>
      <c r="G313" s="761" t="s">
        <v>1616</v>
      </c>
      <c r="H313" s="761" t="s">
        <v>3736</v>
      </c>
      <c r="I313" s="761" t="s">
        <v>3737</v>
      </c>
      <c r="J313" s="658"/>
      <c r="K313" s="762">
        <v>6000000</v>
      </c>
      <c r="L313" s="762">
        <f t="shared" si="113"/>
        <v>600000</v>
      </c>
      <c r="M313" s="658"/>
      <c r="N313" s="763">
        <f t="shared" si="114"/>
        <v>6600000</v>
      </c>
      <c r="O313" s="1202"/>
      <c r="P313" s="1202"/>
      <c r="Q313" s="175"/>
      <c r="R313" s="175"/>
      <c r="S313" s="116"/>
      <c r="T313" s="116"/>
      <c r="U313" s="116"/>
      <c r="V313" s="210"/>
      <c r="W313" s="115"/>
      <c r="X313" s="181"/>
      <c r="Y313" s="116"/>
      <c r="Z313" s="185"/>
      <c r="AA313" s="592"/>
      <c r="AB313" s="186"/>
      <c r="AC313" s="9"/>
      <c r="AD313" s="297"/>
      <c r="AE313" s="297"/>
      <c r="AF313" s="9"/>
      <c r="AG313" s="9"/>
      <c r="AH313" s="300"/>
      <c r="AI313" s="9"/>
      <c r="AJ313" s="300"/>
      <c r="AK313" s="73"/>
    </row>
    <row r="314" spans="1:37" s="114" customFormat="1" ht="12" hidden="1" customHeight="1">
      <c r="A314" s="53"/>
      <c r="B314" s="758" t="s">
        <v>140</v>
      </c>
      <c r="C314" s="759">
        <v>12</v>
      </c>
      <c r="D314" s="760" t="s">
        <v>95</v>
      </c>
      <c r="E314" s="761" t="s">
        <v>354</v>
      </c>
      <c r="F314" s="1506" t="s">
        <v>3079</v>
      </c>
      <c r="G314" s="761" t="s">
        <v>1616</v>
      </c>
      <c r="H314" s="761" t="s">
        <v>3738</v>
      </c>
      <c r="I314" s="761" t="s">
        <v>3739</v>
      </c>
      <c r="J314" s="658"/>
      <c r="K314" s="762">
        <v>21000000</v>
      </c>
      <c r="L314" s="762">
        <f t="shared" si="113"/>
        <v>2100000</v>
      </c>
      <c r="M314" s="658"/>
      <c r="N314" s="763">
        <f t="shared" si="114"/>
        <v>23100000</v>
      </c>
      <c r="O314" s="1202"/>
      <c r="P314" s="1202"/>
      <c r="Q314" s="175"/>
      <c r="R314" s="175"/>
      <c r="S314" s="116"/>
      <c r="T314" s="116"/>
      <c r="U314" s="116"/>
      <c r="V314" s="210"/>
      <c r="W314" s="115"/>
      <c r="X314" s="181"/>
      <c r="Y314" s="116"/>
      <c r="Z314" s="185"/>
      <c r="AA314" s="592"/>
      <c r="AB314" s="186"/>
      <c r="AC314" s="9"/>
      <c r="AD314" s="297"/>
      <c r="AE314" s="297"/>
      <c r="AF314" s="9"/>
      <c r="AG314" s="9"/>
      <c r="AH314" s="300"/>
      <c r="AI314" s="9"/>
      <c r="AJ314" s="300"/>
      <c r="AK314" s="73"/>
    </row>
    <row r="315" spans="1:37" s="114" customFormat="1" ht="12" hidden="1" customHeight="1">
      <c r="A315" s="53"/>
      <c r="B315" s="758" t="s">
        <v>140</v>
      </c>
      <c r="C315" s="759">
        <v>12</v>
      </c>
      <c r="D315" s="760" t="s">
        <v>95</v>
      </c>
      <c r="E315" s="761" t="s">
        <v>354</v>
      </c>
      <c r="F315" s="1506" t="s">
        <v>3080</v>
      </c>
      <c r="G315" s="761" t="s">
        <v>1616</v>
      </c>
      <c r="H315" s="761" t="s">
        <v>3740</v>
      </c>
      <c r="I315" s="761" t="s">
        <v>3741</v>
      </c>
      <c r="J315" s="658"/>
      <c r="K315" s="762">
        <v>6000000</v>
      </c>
      <c r="L315" s="762">
        <f t="shared" si="113"/>
        <v>600000</v>
      </c>
      <c r="M315" s="658"/>
      <c r="N315" s="763">
        <f t="shared" si="114"/>
        <v>6600000</v>
      </c>
      <c r="O315" s="1202"/>
      <c r="P315" s="1202"/>
      <c r="Q315" s="175"/>
      <c r="R315" s="175"/>
      <c r="S315" s="116"/>
      <c r="T315" s="116"/>
      <c r="U315" s="116"/>
      <c r="V315" s="210"/>
      <c r="W315" s="115"/>
      <c r="X315" s="181"/>
      <c r="Y315" s="116"/>
      <c r="Z315" s="185"/>
      <c r="AA315" s="592"/>
      <c r="AB315" s="186"/>
      <c r="AC315" s="9"/>
      <c r="AD315" s="297"/>
      <c r="AE315" s="297"/>
      <c r="AF315" s="9"/>
      <c r="AG315" s="9"/>
      <c r="AH315" s="300"/>
      <c r="AI315" s="9"/>
      <c r="AJ315" s="300"/>
      <c r="AK315" s="73"/>
    </row>
    <row r="316" spans="1:37" s="114" customFormat="1" ht="12" hidden="1" customHeight="1">
      <c r="A316" s="53"/>
      <c r="B316" s="758" t="s">
        <v>140</v>
      </c>
      <c r="C316" s="759">
        <v>12</v>
      </c>
      <c r="D316" s="760" t="s">
        <v>95</v>
      </c>
      <c r="E316" s="761" t="s">
        <v>354</v>
      </c>
      <c r="F316" s="1506" t="s">
        <v>3742</v>
      </c>
      <c r="G316" s="761" t="s">
        <v>3743</v>
      </c>
      <c r="H316" s="761" t="s">
        <v>3744</v>
      </c>
      <c r="I316" s="761" t="s">
        <v>3745</v>
      </c>
      <c r="J316" s="658"/>
      <c r="K316" s="762">
        <v>2000000</v>
      </c>
      <c r="L316" s="762">
        <f t="shared" si="113"/>
        <v>200000</v>
      </c>
      <c r="M316" s="658"/>
      <c r="N316" s="763">
        <f t="shared" si="114"/>
        <v>2200000</v>
      </c>
      <c r="O316" s="1202"/>
      <c r="P316" s="1202"/>
      <c r="Q316" s="175"/>
      <c r="R316" s="175"/>
      <c r="S316" s="116"/>
      <c r="T316" s="116"/>
      <c r="U316" s="116"/>
      <c r="V316" s="210"/>
      <c r="W316" s="115"/>
      <c r="X316" s="181"/>
      <c r="Y316" s="116"/>
      <c r="Z316" s="185"/>
      <c r="AA316" s="592"/>
      <c r="AB316" s="186"/>
      <c r="AC316" s="9"/>
      <c r="AD316" s="297"/>
      <c r="AE316" s="297"/>
      <c r="AF316" s="9"/>
      <c r="AG316" s="9"/>
      <c r="AH316" s="300"/>
      <c r="AI316" s="9"/>
      <c r="AJ316" s="300"/>
      <c r="AK316" s="73"/>
    </row>
    <row r="317" spans="1:37" s="114" customFormat="1" ht="12" hidden="1" customHeight="1">
      <c r="A317" s="53"/>
      <c r="B317" s="758" t="s">
        <v>140</v>
      </c>
      <c r="C317" s="759">
        <v>12</v>
      </c>
      <c r="D317" s="760" t="s">
        <v>95</v>
      </c>
      <c r="E317" s="761"/>
      <c r="F317" s="1506" t="s">
        <v>3746</v>
      </c>
      <c r="G317" s="761" t="s">
        <v>3747</v>
      </c>
      <c r="H317" s="761" t="s">
        <v>3748</v>
      </c>
      <c r="I317" s="1197" t="s">
        <v>14</v>
      </c>
      <c r="J317" s="658"/>
      <c r="K317" s="762">
        <v>1490000</v>
      </c>
      <c r="L317" s="762">
        <v>0</v>
      </c>
      <c r="M317" s="658"/>
      <c r="N317" s="763">
        <f t="shared" si="114"/>
        <v>1490000</v>
      </c>
      <c r="O317" s="1202"/>
      <c r="P317" s="1202"/>
      <c r="Q317" s="175"/>
      <c r="R317" s="175"/>
      <c r="S317" s="116"/>
      <c r="T317" s="116"/>
      <c r="U317" s="116"/>
      <c r="V317" s="210"/>
      <c r="W317" s="115"/>
      <c r="X317" s="181"/>
      <c r="Y317" s="116"/>
      <c r="Z317" s="185"/>
      <c r="AA317" s="592"/>
      <c r="AB317" s="186"/>
      <c r="AC317" s="9"/>
      <c r="AD317" s="297"/>
      <c r="AE317" s="297"/>
      <c r="AF317" s="9"/>
      <c r="AG317" s="9"/>
      <c r="AH317" s="300"/>
      <c r="AI317" s="9"/>
      <c r="AJ317" s="300"/>
      <c r="AK317" s="73"/>
    </row>
    <row r="318" spans="1:37" s="114" customFormat="1" ht="12" hidden="1" customHeight="1">
      <c r="A318" s="53"/>
      <c r="B318" s="53" t="s">
        <v>194</v>
      </c>
      <c r="C318" s="9">
        <v>9</v>
      </c>
      <c r="D318" s="8" t="s">
        <v>96</v>
      </c>
      <c r="E318" s="10" t="s">
        <v>357</v>
      </c>
      <c r="F318" s="356"/>
      <c r="G318" s="10"/>
      <c r="H318" s="10" t="s">
        <v>1798</v>
      </c>
      <c r="I318" s="10" t="s">
        <v>1802</v>
      </c>
      <c r="J318" s="658">
        <v>0</v>
      </c>
      <c r="K318" s="116">
        <f>1300*13385</f>
        <v>17400500</v>
      </c>
      <c r="L318" s="116">
        <f t="shared" ref="L318:L370" si="115">K318*10%</f>
        <v>1740050</v>
      </c>
      <c r="M318" s="658">
        <v>0</v>
      </c>
      <c r="N318" s="189">
        <f t="shared" ref="N318:N370" si="116">K318+L318</f>
        <v>19140550</v>
      </c>
      <c r="O318" s="197" t="s">
        <v>195</v>
      </c>
      <c r="P318" s="197" t="s">
        <v>34</v>
      </c>
      <c r="Q318" s="175"/>
      <c r="R318" s="175"/>
      <c r="S318" s="116">
        <v>0</v>
      </c>
      <c r="T318" s="116">
        <f t="shared" ref="T318:T344" si="117">-K318*2%</f>
        <v>-348010</v>
      </c>
      <c r="U318" s="116">
        <v>18792540</v>
      </c>
      <c r="V318" s="210">
        <f t="shared" si="94"/>
        <v>0</v>
      </c>
      <c r="W318" s="115">
        <f t="shared" si="101"/>
        <v>0</v>
      </c>
      <c r="X318" s="181" t="s">
        <v>237</v>
      </c>
      <c r="Y318" s="116"/>
      <c r="Z318" s="185"/>
      <c r="AA318" s="592">
        <f>-S318-Z318</f>
        <v>0</v>
      </c>
      <c r="AB318" s="829"/>
      <c r="AC318" s="829">
        <v>42786</v>
      </c>
      <c r="AD318" s="297">
        <v>348010</v>
      </c>
      <c r="AE318" s="297">
        <f t="shared" si="51"/>
        <v>0</v>
      </c>
      <c r="AF318" s="9" t="s">
        <v>2224</v>
      </c>
      <c r="AG318" s="9" t="s">
        <v>1422</v>
      </c>
      <c r="AH318" s="300">
        <v>42746</v>
      </c>
      <c r="AI318" s="9" t="s">
        <v>1595</v>
      </c>
      <c r="AJ318" s="300">
        <v>42748</v>
      </c>
      <c r="AK318" s="73" t="str">
        <f t="shared" si="98"/>
        <v>HASTA PANCA MANDIRI UTAMA, PTFEB</v>
      </c>
    </row>
    <row r="319" spans="1:37" s="114" customFormat="1" ht="12" hidden="1" customHeight="1">
      <c r="A319" s="53"/>
      <c r="B319" s="53" t="s">
        <v>194</v>
      </c>
      <c r="C319" s="9">
        <v>9</v>
      </c>
      <c r="D319" s="8" t="s">
        <v>96</v>
      </c>
      <c r="E319" s="10" t="s">
        <v>354</v>
      </c>
      <c r="F319" s="356"/>
      <c r="G319" s="10"/>
      <c r="H319" s="10" t="s">
        <v>1799</v>
      </c>
      <c r="I319" s="10" t="s">
        <v>1803</v>
      </c>
      <c r="J319" s="658">
        <v>0</v>
      </c>
      <c r="K319" s="116">
        <v>9000000</v>
      </c>
      <c r="L319" s="116">
        <f t="shared" si="115"/>
        <v>900000</v>
      </c>
      <c r="M319" s="658">
        <v>0</v>
      </c>
      <c r="N319" s="189">
        <f t="shared" si="116"/>
        <v>9900000</v>
      </c>
      <c r="O319" s="197" t="s">
        <v>195</v>
      </c>
      <c r="P319" s="197" t="s">
        <v>34</v>
      </c>
      <c r="Q319" s="175"/>
      <c r="R319" s="175"/>
      <c r="S319" s="116">
        <v>0</v>
      </c>
      <c r="T319" s="116">
        <f t="shared" si="117"/>
        <v>-180000</v>
      </c>
      <c r="U319" s="116">
        <v>9720000</v>
      </c>
      <c r="V319" s="210">
        <f t="shared" si="94"/>
        <v>0</v>
      </c>
      <c r="W319" s="115">
        <f t="shared" si="101"/>
        <v>0</v>
      </c>
      <c r="X319" s="181" t="s">
        <v>237</v>
      </c>
      <c r="Y319" s="116"/>
      <c r="Z319" s="185"/>
      <c r="AA319" s="592">
        <f>-S319-Z319</f>
        <v>0</v>
      </c>
      <c r="AB319" s="829"/>
      <c r="AC319" s="829">
        <v>42786</v>
      </c>
      <c r="AD319" s="297">
        <v>180000</v>
      </c>
      <c r="AE319" s="297">
        <f t="shared" si="51"/>
        <v>0</v>
      </c>
      <c r="AF319" s="9" t="s">
        <v>2225</v>
      </c>
      <c r="AG319" s="9" t="s">
        <v>1422</v>
      </c>
      <c r="AH319" s="300">
        <v>42746</v>
      </c>
      <c r="AI319" s="9" t="s">
        <v>1595</v>
      </c>
      <c r="AJ319" s="300">
        <v>42748</v>
      </c>
      <c r="AK319" s="73" t="str">
        <f t="shared" si="98"/>
        <v>HASTA PANCA MANDIRI UTAMA, PTFEB</v>
      </c>
    </row>
    <row r="320" spans="1:37" s="114" customFormat="1" ht="12" hidden="1" customHeight="1">
      <c r="A320" s="53"/>
      <c r="B320" s="53" t="s">
        <v>194</v>
      </c>
      <c r="C320" s="9">
        <v>9</v>
      </c>
      <c r="D320" s="8" t="s">
        <v>96</v>
      </c>
      <c r="E320" s="10" t="s">
        <v>354</v>
      </c>
      <c r="F320" s="356"/>
      <c r="G320" s="10"/>
      <c r="H320" s="10" t="s">
        <v>1800</v>
      </c>
      <c r="I320" s="10" t="s">
        <v>1804</v>
      </c>
      <c r="J320" s="658">
        <v>0</v>
      </c>
      <c r="K320" s="116">
        <v>9000000</v>
      </c>
      <c r="L320" s="116">
        <f t="shared" si="115"/>
        <v>900000</v>
      </c>
      <c r="M320" s="658">
        <v>0</v>
      </c>
      <c r="N320" s="189">
        <f t="shared" si="116"/>
        <v>9900000</v>
      </c>
      <c r="O320" s="197" t="s">
        <v>195</v>
      </c>
      <c r="P320" s="197" t="s">
        <v>34</v>
      </c>
      <c r="Q320" s="175"/>
      <c r="R320" s="175"/>
      <c r="S320" s="116">
        <v>0</v>
      </c>
      <c r="T320" s="116">
        <f t="shared" si="117"/>
        <v>-180000</v>
      </c>
      <c r="U320" s="116">
        <v>9720000</v>
      </c>
      <c r="V320" s="210">
        <f t="shared" si="94"/>
        <v>0</v>
      </c>
      <c r="W320" s="115">
        <f t="shared" si="101"/>
        <v>0</v>
      </c>
      <c r="X320" s="181" t="s">
        <v>237</v>
      </c>
      <c r="Y320" s="116"/>
      <c r="Z320" s="185"/>
      <c r="AA320" s="592">
        <f>-S320-Z320</f>
        <v>0</v>
      </c>
      <c r="AB320" s="829"/>
      <c r="AC320" s="829">
        <v>42786</v>
      </c>
      <c r="AD320" s="297">
        <v>180000</v>
      </c>
      <c r="AE320" s="297">
        <f t="shared" si="51"/>
        <v>0</v>
      </c>
      <c r="AF320" s="9" t="s">
        <v>2226</v>
      </c>
      <c r="AG320" s="9" t="s">
        <v>1422</v>
      </c>
      <c r="AH320" s="300">
        <v>42746</v>
      </c>
      <c r="AI320" s="9" t="s">
        <v>1595</v>
      </c>
      <c r="AJ320" s="300">
        <v>42748</v>
      </c>
      <c r="AK320" s="73" t="str">
        <f t="shared" si="98"/>
        <v>HASTA PANCA MANDIRI UTAMA, PTFEB</v>
      </c>
    </row>
    <row r="321" spans="1:37" s="114" customFormat="1" ht="12" hidden="1" customHeight="1">
      <c r="A321" s="53"/>
      <c r="B321" s="53" t="s">
        <v>194</v>
      </c>
      <c r="C321" s="9">
        <v>9</v>
      </c>
      <c r="D321" s="8" t="s">
        <v>96</v>
      </c>
      <c r="E321" s="10" t="s">
        <v>354</v>
      </c>
      <c r="F321" s="356"/>
      <c r="G321" s="10"/>
      <c r="H321" s="10" t="s">
        <v>1801</v>
      </c>
      <c r="I321" s="10" t="s">
        <v>1805</v>
      </c>
      <c r="J321" s="658">
        <v>0</v>
      </c>
      <c r="K321" s="116">
        <v>9000000</v>
      </c>
      <c r="L321" s="116">
        <f t="shared" si="115"/>
        <v>900000</v>
      </c>
      <c r="M321" s="658">
        <v>0</v>
      </c>
      <c r="N321" s="189">
        <f t="shared" si="116"/>
        <v>9900000</v>
      </c>
      <c r="O321" s="197" t="s">
        <v>195</v>
      </c>
      <c r="P321" s="197" t="s">
        <v>34</v>
      </c>
      <c r="Q321" s="175"/>
      <c r="R321" s="175"/>
      <c r="S321" s="116">
        <v>0</v>
      </c>
      <c r="T321" s="116">
        <f t="shared" si="117"/>
        <v>-180000</v>
      </c>
      <c r="U321" s="116">
        <v>9720000</v>
      </c>
      <c r="V321" s="210">
        <f t="shared" si="94"/>
        <v>0</v>
      </c>
      <c r="W321" s="115">
        <f t="shared" si="101"/>
        <v>0</v>
      </c>
      <c r="X321" s="181" t="s">
        <v>237</v>
      </c>
      <c r="Y321" s="116"/>
      <c r="Z321" s="185"/>
      <c r="AA321" s="592">
        <f>-S321-Z321</f>
        <v>0</v>
      </c>
      <c r="AB321" s="829"/>
      <c r="AC321" s="829">
        <v>42786</v>
      </c>
      <c r="AD321" s="297">
        <v>180000</v>
      </c>
      <c r="AE321" s="297">
        <f t="shared" si="51"/>
        <v>0</v>
      </c>
      <c r="AF321" s="9" t="s">
        <v>2227</v>
      </c>
      <c r="AG321" s="9" t="s">
        <v>1422</v>
      </c>
      <c r="AH321" s="300">
        <v>42746</v>
      </c>
      <c r="AI321" s="9" t="s">
        <v>1595</v>
      </c>
      <c r="AJ321" s="300">
        <v>42748</v>
      </c>
      <c r="AK321" s="73" t="str">
        <f t="shared" si="98"/>
        <v>HASTA PANCA MANDIRI UTAMA, PTFEB</v>
      </c>
    </row>
    <row r="322" spans="1:37" s="114" customFormat="1" ht="12" hidden="1" customHeight="1">
      <c r="A322" s="53"/>
      <c r="B322" s="53" t="s">
        <v>195</v>
      </c>
      <c r="C322" s="9">
        <v>1</v>
      </c>
      <c r="D322" s="8" t="s">
        <v>96</v>
      </c>
      <c r="E322" s="10" t="s">
        <v>357</v>
      </c>
      <c r="F322" s="356"/>
      <c r="G322" s="10"/>
      <c r="H322" s="10" t="s">
        <v>1979</v>
      </c>
      <c r="I322" s="10" t="s">
        <v>1980</v>
      </c>
      <c r="J322" s="658">
        <v>0</v>
      </c>
      <c r="K322" s="116">
        <f>1300*13349</f>
        <v>17353700</v>
      </c>
      <c r="L322" s="116">
        <f t="shared" si="115"/>
        <v>1735370</v>
      </c>
      <c r="M322" s="658">
        <v>0</v>
      </c>
      <c r="N322" s="189">
        <f t="shared" si="116"/>
        <v>19089070</v>
      </c>
      <c r="O322" s="197" t="s">
        <v>239</v>
      </c>
      <c r="P322" s="197" t="s">
        <v>104</v>
      </c>
      <c r="Q322" s="175"/>
      <c r="R322" s="175"/>
      <c r="S322" s="116">
        <v>0</v>
      </c>
      <c r="T322" s="116">
        <f t="shared" si="117"/>
        <v>-347074</v>
      </c>
      <c r="U322" s="116">
        <v>18741996</v>
      </c>
      <c r="V322" s="210">
        <f t="shared" si="94"/>
        <v>0</v>
      </c>
      <c r="W322" s="115">
        <f t="shared" si="101"/>
        <v>0</v>
      </c>
      <c r="X322" s="181" t="s">
        <v>237</v>
      </c>
      <c r="Y322" s="116"/>
      <c r="Z322" s="185"/>
      <c r="AA322" s="592"/>
      <c r="AB322" s="186"/>
      <c r="AC322" s="300">
        <v>42804</v>
      </c>
      <c r="AD322" s="297">
        <v>347074</v>
      </c>
      <c r="AE322" s="297">
        <f t="shared" si="51"/>
        <v>0</v>
      </c>
      <c r="AF322" s="9" t="s">
        <v>2588</v>
      </c>
      <c r="AG322" s="9" t="s">
        <v>1395</v>
      </c>
      <c r="AH322" s="300">
        <v>42769</v>
      </c>
      <c r="AI322" s="9" t="s">
        <v>2036</v>
      </c>
      <c r="AJ322" s="300">
        <v>42772</v>
      </c>
      <c r="AK322" s="73" t="str">
        <f t="shared" si="98"/>
        <v>HASTA PANCA MANDIRI UTAMA, PTMAR</v>
      </c>
    </row>
    <row r="323" spans="1:37" s="114" customFormat="1" ht="12" hidden="1" customHeight="1">
      <c r="A323" s="53"/>
      <c r="B323" s="53" t="s">
        <v>195</v>
      </c>
      <c r="C323" s="9">
        <v>1</v>
      </c>
      <c r="D323" s="8" t="s">
        <v>96</v>
      </c>
      <c r="E323" s="10" t="s">
        <v>354</v>
      </c>
      <c r="F323" s="356"/>
      <c r="G323" s="10"/>
      <c r="H323" s="10" t="s">
        <v>1981</v>
      </c>
      <c r="I323" s="10" t="s">
        <v>1982</v>
      </c>
      <c r="J323" s="658">
        <v>0</v>
      </c>
      <c r="K323" s="116">
        <v>9000000</v>
      </c>
      <c r="L323" s="116">
        <f t="shared" si="115"/>
        <v>900000</v>
      </c>
      <c r="M323" s="658">
        <v>0</v>
      </c>
      <c r="N323" s="189">
        <f t="shared" si="116"/>
        <v>9900000</v>
      </c>
      <c r="O323" s="197" t="s">
        <v>239</v>
      </c>
      <c r="P323" s="197" t="s">
        <v>104</v>
      </c>
      <c r="Q323" s="175"/>
      <c r="R323" s="175"/>
      <c r="S323" s="116">
        <v>0</v>
      </c>
      <c r="T323" s="116">
        <f t="shared" si="117"/>
        <v>-180000</v>
      </c>
      <c r="U323" s="116">
        <v>9720000</v>
      </c>
      <c r="V323" s="210">
        <f t="shared" si="94"/>
        <v>0</v>
      </c>
      <c r="W323" s="115">
        <f t="shared" si="101"/>
        <v>0</v>
      </c>
      <c r="X323" s="181" t="s">
        <v>237</v>
      </c>
      <c r="Y323" s="116"/>
      <c r="Z323" s="185"/>
      <c r="AA323" s="592"/>
      <c r="AB323" s="186"/>
      <c r="AC323" s="300">
        <v>42804</v>
      </c>
      <c r="AD323" s="297">
        <v>180000</v>
      </c>
      <c r="AE323" s="297">
        <f t="shared" si="51"/>
        <v>0</v>
      </c>
      <c r="AF323" s="9" t="s">
        <v>2589</v>
      </c>
      <c r="AG323" s="9" t="s">
        <v>1395</v>
      </c>
      <c r="AH323" s="300">
        <v>42769</v>
      </c>
      <c r="AI323" s="9" t="s">
        <v>2036</v>
      </c>
      <c r="AJ323" s="300">
        <v>42772</v>
      </c>
      <c r="AK323" s="73" t="str">
        <f t="shared" si="98"/>
        <v>HASTA PANCA MANDIRI UTAMA, PTMAR</v>
      </c>
    </row>
    <row r="324" spans="1:37" s="114" customFormat="1" ht="12" hidden="1" customHeight="1">
      <c r="A324" s="53"/>
      <c r="B324" s="53" t="s">
        <v>195</v>
      </c>
      <c r="C324" s="9">
        <v>1</v>
      </c>
      <c r="D324" s="8" t="s">
        <v>96</v>
      </c>
      <c r="E324" s="10" t="s">
        <v>354</v>
      </c>
      <c r="F324" s="356"/>
      <c r="G324" s="10"/>
      <c r="H324" s="10" t="s">
        <v>1985</v>
      </c>
      <c r="I324" s="10" t="s">
        <v>1983</v>
      </c>
      <c r="J324" s="658">
        <v>0</v>
      </c>
      <c r="K324" s="116">
        <v>9000000</v>
      </c>
      <c r="L324" s="116">
        <f t="shared" si="115"/>
        <v>900000</v>
      </c>
      <c r="M324" s="658">
        <v>0</v>
      </c>
      <c r="N324" s="189">
        <f t="shared" si="116"/>
        <v>9900000</v>
      </c>
      <c r="O324" s="197" t="s">
        <v>239</v>
      </c>
      <c r="P324" s="197" t="s">
        <v>104</v>
      </c>
      <c r="Q324" s="175"/>
      <c r="R324" s="175"/>
      <c r="S324" s="116">
        <v>0</v>
      </c>
      <c r="T324" s="116">
        <f t="shared" si="117"/>
        <v>-180000</v>
      </c>
      <c r="U324" s="116">
        <v>9720000</v>
      </c>
      <c r="V324" s="210">
        <f t="shared" si="94"/>
        <v>0</v>
      </c>
      <c r="W324" s="115">
        <f t="shared" si="101"/>
        <v>0</v>
      </c>
      <c r="X324" s="181" t="s">
        <v>237</v>
      </c>
      <c r="Y324" s="116"/>
      <c r="Z324" s="185"/>
      <c r="AA324" s="592"/>
      <c r="AB324" s="186"/>
      <c r="AC324" s="300">
        <v>42804</v>
      </c>
      <c r="AD324" s="297">
        <v>180000</v>
      </c>
      <c r="AE324" s="297">
        <f t="shared" si="51"/>
        <v>0</v>
      </c>
      <c r="AF324" s="9" t="s">
        <v>2590</v>
      </c>
      <c r="AG324" s="9" t="s">
        <v>1395</v>
      </c>
      <c r="AH324" s="300">
        <v>42769</v>
      </c>
      <c r="AI324" s="9" t="s">
        <v>2036</v>
      </c>
      <c r="AJ324" s="300">
        <v>42772</v>
      </c>
      <c r="AK324" s="73" t="str">
        <f t="shared" si="98"/>
        <v>HASTA PANCA MANDIRI UTAMA, PTMAR</v>
      </c>
    </row>
    <row r="325" spans="1:37" s="114" customFormat="1" ht="12" hidden="1" customHeight="1">
      <c r="A325" s="53"/>
      <c r="B325" s="53" t="s">
        <v>195</v>
      </c>
      <c r="C325" s="9">
        <v>1</v>
      </c>
      <c r="D325" s="8" t="s">
        <v>96</v>
      </c>
      <c r="E325" s="10" t="s">
        <v>354</v>
      </c>
      <c r="F325" s="356"/>
      <c r="G325" s="10"/>
      <c r="H325" s="10" t="s">
        <v>1986</v>
      </c>
      <c r="I325" s="10" t="s">
        <v>1984</v>
      </c>
      <c r="J325" s="658">
        <v>0</v>
      </c>
      <c r="K325" s="116">
        <v>9000000</v>
      </c>
      <c r="L325" s="116">
        <f t="shared" si="115"/>
        <v>900000</v>
      </c>
      <c r="M325" s="658">
        <v>0</v>
      </c>
      <c r="N325" s="189">
        <f t="shared" si="116"/>
        <v>9900000</v>
      </c>
      <c r="O325" s="197" t="s">
        <v>239</v>
      </c>
      <c r="P325" s="197" t="s">
        <v>104</v>
      </c>
      <c r="Q325" s="175"/>
      <c r="R325" s="175"/>
      <c r="S325" s="116">
        <v>0</v>
      </c>
      <c r="T325" s="116">
        <f t="shared" si="117"/>
        <v>-180000</v>
      </c>
      <c r="U325" s="116">
        <v>9720000</v>
      </c>
      <c r="V325" s="210">
        <f t="shared" si="94"/>
        <v>0</v>
      </c>
      <c r="W325" s="115">
        <f t="shared" si="101"/>
        <v>0</v>
      </c>
      <c r="X325" s="181" t="s">
        <v>237</v>
      </c>
      <c r="Y325" s="116"/>
      <c r="Z325" s="185"/>
      <c r="AA325" s="592"/>
      <c r="AB325" s="186"/>
      <c r="AC325" s="300">
        <v>42804</v>
      </c>
      <c r="AD325" s="297">
        <v>180000</v>
      </c>
      <c r="AE325" s="297">
        <f t="shared" si="51"/>
        <v>0</v>
      </c>
      <c r="AF325" s="9" t="s">
        <v>2591</v>
      </c>
      <c r="AG325" s="9" t="s">
        <v>1395</v>
      </c>
      <c r="AH325" s="300">
        <v>42769</v>
      </c>
      <c r="AI325" s="9" t="s">
        <v>2036</v>
      </c>
      <c r="AJ325" s="300">
        <v>42772</v>
      </c>
      <c r="AK325" s="73" t="str">
        <f t="shared" si="98"/>
        <v>HASTA PANCA MANDIRI UTAMA, PTMAR</v>
      </c>
    </row>
    <row r="326" spans="1:37" s="114" customFormat="1" ht="12" hidden="1" customHeight="1">
      <c r="A326" s="53"/>
      <c r="B326" s="53" t="s">
        <v>240</v>
      </c>
      <c r="C326" s="9">
        <v>6</v>
      </c>
      <c r="D326" s="8" t="s">
        <v>96</v>
      </c>
      <c r="E326" s="10" t="s">
        <v>357</v>
      </c>
      <c r="F326" s="356"/>
      <c r="G326" s="10"/>
      <c r="H326" s="10" t="s">
        <v>2162</v>
      </c>
      <c r="I326" s="10" t="s">
        <v>2163</v>
      </c>
      <c r="J326" s="658">
        <v>0</v>
      </c>
      <c r="K326" s="116">
        <f>823.27*13361</f>
        <v>10999710.470000001</v>
      </c>
      <c r="L326" s="116">
        <f t="shared" si="115"/>
        <v>1099971.047</v>
      </c>
      <c r="M326" s="658">
        <v>0</v>
      </c>
      <c r="N326" s="189">
        <f t="shared" si="116"/>
        <v>12099681.517000001</v>
      </c>
      <c r="O326" s="197" t="s">
        <v>58</v>
      </c>
      <c r="P326" s="197" t="s">
        <v>19</v>
      </c>
      <c r="Q326" s="175"/>
      <c r="R326" s="175"/>
      <c r="S326" s="116">
        <v>0</v>
      </c>
      <c r="T326" s="116">
        <f t="shared" si="117"/>
        <v>-219994.20940000002</v>
      </c>
      <c r="U326" s="116">
        <v>11879687</v>
      </c>
      <c r="V326" s="210">
        <f t="shared" si="94"/>
        <v>0</v>
      </c>
      <c r="W326" s="115">
        <f t="shared" si="101"/>
        <v>0.30760000087320805</v>
      </c>
      <c r="X326" s="181" t="s">
        <v>237</v>
      </c>
      <c r="Y326" s="116"/>
      <c r="Z326" s="185"/>
      <c r="AA326" s="592"/>
      <c r="AB326" s="186"/>
      <c r="AC326" s="300">
        <v>42864</v>
      </c>
      <c r="AD326" s="297">
        <v>219994</v>
      </c>
      <c r="AE326" s="297">
        <f t="shared" si="51"/>
        <v>0.20940000002156012</v>
      </c>
      <c r="AF326" s="9" t="s">
        <v>2862</v>
      </c>
      <c r="AG326" s="9" t="s">
        <v>1395</v>
      </c>
      <c r="AH326" s="300">
        <v>42797</v>
      </c>
      <c r="AI326" s="9" t="s">
        <v>1595</v>
      </c>
      <c r="AJ326" s="300">
        <v>42797</v>
      </c>
      <c r="AK326" s="73" t="str">
        <f t="shared" si="98"/>
        <v>HASTA PANCA MANDIRI UTAMA, PTMEI</v>
      </c>
    </row>
    <row r="327" spans="1:37" s="114" customFormat="1" ht="12" hidden="1" customHeight="1">
      <c r="A327" s="53"/>
      <c r="B327" s="53" t="s">
        <v>239</v>
      </c>
      <c r="C327" s="9">
        <v>1</v>
      </c>
      <c r="D327" s="8" t="s">
        <v>96</v>
      </c>
      <c r="E327" s="10" t="s">
        <v>354</v>
      </c>
      <c r="F327" s="356"/>
      <c r="G327" s="10"/>
      <c r="H327" s="10" t="s">
        <v>2164</v>
      </c>
      <c r="I327" s="10" t="s">
        <v>2167</v>
      </c>
      <c r="J327" s="658">
        <v>0</v>
      </c>
      <c r="K327" s="116">
        <v>9000000</v>
      </c>
      <c r="L327" s="116">
        <f t="shared" si="115"/>
        <v>900000</v>
      </c>
      <c r="M327" s="658">
        <v>0</v>
      </c>
      <c r="N327" s="189">
        <f t="shared" si="116"/>
        <v>9900000</v>
      </c>
      <c r="O327" s="197" t="s">
        <v>239</v>
      </c>
      <c r="P327" s="197" t="s">
        <v>66</v>
      </c>
      <c r="Q327" s="175"/>
      <c r="R327" s="175"/>
      <c r="S327" s="116">
        <v>0</v>
      </c>
      <c r="T327" s="116">
        <f t="shared" si="117"/>
        <v>-180000</v>
      </c>
      <c r="U327" s="116">
        <v>9720000</v>
      </c>
      <c r="V327" s="210">
        <f t="shared" si="94"/>
        <v>0</v>
      </c>
      <c r="W327" s="115">
        <f t="shared" si="101"/>
        <v>0</v>
      </c>
      <c r="X327" s="181" t="s">
        <v>237</v>
      </c>
      <c r="Y327" s="116"/>
      <c r="Z327" s="185"/>
      <c r="AA327" s="592"/>
      <c r="AB327" s="186"/>
      <c r="AC327" s="300">
        <v>42824</v>
      </c>
      <c r="AD327" s="297">
        <v>180000</v>
      </c>
      <c r="AE327" s="297">
        <f t="shared" si="51"/>
        <v>0</v>
      </c>
      <c r="AF327" s="9" t="s">
        <v>2592</v>
      </c>
      <c r="AG327" s="9" t="s">
        <v>1395</v>
      </c>
      <c r="AH327" s="300">
        <v>42797</v>
      </c>
      <c r="AI327" s="9" t="s">
        <v>1595</v>
      </c>
      <c r="AJ327" s="300">
        <v>42797</v>
      </c>
      <c r="AK327" s="73" t="str">
        <f t="shared" si="98"/>
        <v>HASTA PANCA MANDIRI UTAMA, PTMAR</v>
      </c>
    </row>
    <row r="328" spans="1:37" s="114" customFormat="1" ht="12" hidden="1" customHeight="1">
      <c r="A328" s="53"/>
      <c r="B328" s="53" t="s">
        <v>239</v>
      </c>
      <c r="C328" s="9">
        <v>1</v>
      </c>
      <c r="D328" s="8" t="s">
        <v>96</v>
      </c>
      <c r="E328" s="10" t="s">
        <v>354</v>
      </c>
      <c r="F328" s="356"/>
      <c r="G328" s="10"/>
      <c r="H328" s="10" t="s">
        <v>2165</v>
      </c>
      <c r="I328" s="10" t="s">
        <v>2168</v>
      </c>
      <c r="J328" s="658">
        <v>0</v>
      </c>
      <c r="K328" s="116">
        <v>9000000</v>
      </c>
      <c r="L328" s="116">
        <f t="shared" si="115"/>
        <v>900000</v>
      </c>
      <c r="M328" s="658">
        <v>0</v>
      </c>
      <c r="N328" s="189">
        <f t="shared" si="116"/>
        <v>9900000</v>
      </c>
      <c r="O328" s="197" t="s">
        <v>239</v>
      </c>
      <c r="P328" s="197" t="s">
        <v>66</v>
      </c>
      <c r="Q328" s="175"/>
      <c r="R328" s="175"/>
      <c r="S328" s="116">
        <v>0</v>
      </c>
      <c r="T328" s="116">
        <f t="shared" si="117"/>
        <v>-180000</v>
      </c>
      <c r="U328" s="116">
        <v>9720000</v>
      </c>
      <c r="V328" s="210">
        <f t="shared" si="94"/>
        <v>0</v>
      </c>
      <c r="W328" s="115">
        <f t="shared" si="101"/>
        <v>0</v>
      </c>
      <c r="X328" s="181" t="s">
        <v>237</v>
      </c>
      <c r="Y328" s="116"/>
      <c r="Z328" s="185"/>
      <c r="AA328" s="592"/>
      <c r="AB328" s="186"/>
      <c r="AC328" s="300">
        <v>42824</v>
      </c>
      <c r="AD328" s="297">
        <v>180000</v>
      </c>
      <c r="AE328" s="297">
        <f t="shared" si="51"/>
        <v>0</v>
      </c>
      <c r="AF328" s="9" t="s">
        <v>2593</v>
      </c>
      <c r="AG328" s="9" t="s">
        <v>1395</v>
      </c>
      <c r="AH328" s="300">
        <v>42797</v>
      </c>
      <c r="AI328" s="9" t="s">
        <v>1595</v>
      </c>
      <c r="AJ328" s="300">
        <v>42797</v>
      </c>
      <c r="AK328" s="73" t="str">
        <f t="shared" si="98"/>
        <v>HASTA PANCA MANDIRI UTAMA, PTMAR</v>
      </c>
    </row>
    <row r="329" spans="1:37" s="114" customFormat="1" ht="12" hidden="1" customHeight="1">
      <c r="A329" s="53"/>
      <c r="B329" s="53" t="s">
        <v>239</v>
      </c>
      <c r="C329" s="9">
        <v>1</v>
      </c>
      <c r="D329" s="8" t="s">
        <v>96</v>
      </c>
      <c r="E329" s="10" t="s">
        <v>354</v>
      </c>
      <c r="F329" s="356"/>
      <c r="G329" s="10"/>
      <c r="H329" s="10" t="s">
        <v>2166</v>
      </c>
      <c r="I329" s="10" t="s">
        <v>2169</v>
      </c>
      <c r="J329" s="658">
        <v>0</v>
      </c>
      <c r="K329" s="116">
        <v>9000000</v>
      </c>
      <c r="L329" s="116">
        <f t="shared" si="115"/>
        <v>900000</v>
      </c>
      <c r="M329" s="658">
        <v>0</v>
      </c>
      <c r="N329" s="189">
        <f t="shared" si="116"/>
        <v>9900000</v>
      </c>
      <c r="O329" s="197" t="s">
        <v>239</v>
      </c>
      <c r="P329" s="197" t="s">
        <v>66</v>
      </c>
      <c r="Q329" s="175"/>
      <c r="R329" s="175"/>
      <c r="S329" s="116">
        <v>0</v>
      </c>
      <c r="T329" s="116">
        <f t="shared" si="117"/>
        <v>-180000</v>
      </c>
      <c r="U329" s="116">
        <v>9720000</v>
      </c>
      <c r="V329" s="210">
        <f t="shared" si="94"/>
        <v>0</v>
      </c>
      <c r="W329" s="115">
        <f t="shared" si="101"/>
        <v>0</v>
      </c>
      <c r="X329" s="181" t="s">
        <v>237</v>
      </c>
      <c r="Y329" s="116"/>
      <c r="Z329" s="185"/>
      <c r="AA329" s="592"/>
      <c r="AB329" s="186"/>
      <c r="AC329" s="300">
        <v>42824</v>
      </c>
      <c r="AD329" s="297">
        <v>180000</v>
      </c>
      <c r="AE329" s="297">
        <f t="shared" si="51"/>
        <v>0</v>
      </c>
      <c r="AF329" s="9" t="s">
        <v>2594</v>
      </c>
      <c r="AG329" s="9" t="s">
        <v>1395</v>
      </c>
      <c r="AH329" s="300">
        <v>42797</v>
      </c>
      <c r="AI329" s="9" t="s">
        <v>1595</v>
      </c>
      <c r="AJ329" s="300">
        <v>42797</v>
      </c>
      <c r="AK329" s="73" t="str">
        <f t="shared" si="98"/>
        <v>HASTA PANCA MANDIRI UTAMA, PTMAR</v>
      </c>
    </row>
    <row r="330" spans="1:37" s="114" customFormat="1" ht="12" hidden="1" customHeight="1">
      <c r="A330" s="53"/>
      <c r="B330" s="53" t="s">
        <v>240</v>
      </c>
      <c r="C330" s="9">
        <v>4</v>
      </c>
      <c r="D330" s="8" t="s">
        <v>96</v>
      </c>
      <c r="E330" s="10" t="s">
        <v>354</v>
      </c>
      <c r="F330" s="356"/>
      <c r="G330" s="10"/>
      <c r="H330" s="10" t="s">
        <v>2296</v>
      </c>
      <c r="I330" s="10" t="s">
        <v>2297</v>
      </c>
      <c r="J330" s="658">
        <v>0</v>
      </c>
      <c r="K330" s="116">
        <v>3000000</v>
      </c>
      <c r="L330" s="116">
        <f t="shared" si="115"/>
        <v>300000</v>
      </c>
      <c r="M330" s="658">
        <v>0</v>
      </c>
      <c r="N330" s="189">
        <f t="shared" si="116"/>
        <v>3300000</v>
      </c>
      <c r="O330" s="197" t="s">
        <v>58</v>
      </c>
      <c r="P330" s="197" t="s">
        <v>19</v>
      </c>
      <c r="Q330" s="175"/>
      <c r="R330" s="175"/>
      <c r="S330" s="116">
        <v>0</v>
      </c>
      <c r="T330" s="116">
        <f t="shared" si="117"/>
        <v>-60000</v>
      </c>
      <c r="U330" s="116">
        <v>3240000</v>
      </c>
      <c r="V330" s="210">
        <f t="shared" si="94"/>
        <v>0</v>
      </c>
      <c r="W330" s="115">
        <f t="shared" si="101"/>
        <v>0</v>
      </c>
      <c r="X330" s="181" t="s">
        <v>237</v>
      </c>
      <c r="Y330" s="116"/>
      <c r="Z330" s="185"/>
      <c r="AA330" s="592"/>
      <c r="AB330" s="186"/>
      <c r="AC330" s="300">
        <v>42864</v>
      </c>
      <c r="AD330" s="297">
        <v>60000</v>
      </c>
      <c r="AE330" s="297">
        <f t="shared" si="51"/>
        <v>0</v>
      </c>
      <c r="AF330" s="9" t="s">
        <v>2863</v>
      </c>
      <c r="AG330" s="9" t="s">
        <v>1395</v>
      </c>
      <c r="AH330" s="300">
        <v>42835</v>
      </c>
      <c r="AI330" s="9" t="s">
        <v>2336</v>
      </c>
      <c r="AJ330" s="300">
        <v>42835</v>
      </c>
      <c r="AK330" s="73" t="str">
        <f t="shared" si="98"/>
        <v>HASTA PANCA MANDIRI UTAMA, PTMEI</v>
      </c>
    </row>
    <row r="331" spans="1:37" s="114" customFormat="1" ht="12" hidden="1" customHeight="1">
      <c r="A331" s="53"/>
      <c r="B331" s="53" t="s">
        <v>240</v>
      </c>
      <c r="C331" s="9">
        <v>4</v>
      </c>
      <c r="D331" s="8" t="s">
        <v>96</v>
      </c>
      <c r="E331" s="10" t="s">
        <v>354</v>
      </c>
      <c r="F331" s="356"/>
      <c r="G331" s="10"/>
      <c r="H331" s="10" t="s">
        <v>2298</v>
      </c>
      <c r="I331" s="10" t="s">
        <v>2301</v>
      </c>
      <c r="J331" s="658">
        <v>0</v>
      </c>
      <c r="K331" s="116">
        <f>2000000+21000000-6900000</f>
        <v>16100000</v>
      </c>
      <c r="L331" s="116">
        <f t="shared" si="115"/>
        <v>1610000</v>
      </c>
      <c r="M331" s="658">
        <v>0</v>
      </c>
      <c r="N331" s="189">
        <f t="shared" si="116"/>
        <v>17710000</v>
      </c>
      <c r="O331" s="197" t="s">
        <v>58</v>
      </c>
      <c r="P331" s="197" t="s">
        <v>19</v>
      </c>
      <c r="Q331" s="175"/>
      <c r="R331" s="175"/>
      <c r="S331" s="116">
        <v>0</v>
      </c>
      <c r="T331" s="116">
        <f t="shared" si="117"/>
        <v>-322000</v>
      </c>
      <c r="U331" s="116">
        <v>17388000</v>
      </c>
      <c r="V331" s="210">
        <f t="shared" si="94"/>
        <v>0</v>
      </c>
      <c r="W331" s="115">
        <f t="shared" si="101"/>
        <v>0</v>
      </c>
      <c r="X331" s="181" t="s">
        <v>237</v>
      </c>
      <c r="Y331" s="116"/>
      <c r="Z331" s="185"/>
      <c r="AA331" s="592"/>
      <c r="AB331" s="186"/>
      <c r="AC331" s="300">
        <v>42864</v>
      </c>
      <c r="AD331" s="297">
        <v>322000</v>
      </c>
      <c r="AE331" s="297">
        <f t="shared" si="51"/>
        <v>0</v>
      </c>
      <c r="AF331" s="9" t="s">
        <v>2864</v>
      </c>
      <c r="AG331" s="9" t="s">
        <v>1395</v>
      </c>
      <c r="AH331" s="300">
        <v>42835</v>
      </c>
      <c r="AI331" s="9" t="s">
        <v>2336</v>
      </c>
      <c r="AJ331" s="300">
        <v>42835</v>
      </c>
      <c r="AK331" s="73" t="str">
        <f t="shared" si="98"/>
        <v>HASTA PANCA MANDIRI UTAMA, PTMEI</v>
      </c>
    </row>
    <row r="332" spans="1:37" s="114" customFormat="1" ht="12" hidden="1" customHeight="1">
      <c r="A332" s="53"/>
      <c r="B332" s="53" t="s">
        <v>240</v>
      </c>
      <c r="C332" s="9">
        <v>4</v>
      </c>
      <c r="D332" s="8" t="s">
        <v>96</v>
      </c>
      <c r="E332" s="10" t="s">
        <v>354</v>
      </c>
      <c r="F332" s="356"/>
      <c r="G332" s="10"/>
      <c r="H332" s="10" t="s">
        <v>2299</v>
      </c>
      <c r="I332" s="10" t="s">
        <v>2302</v>
      </c>
      <c r="J332" s="658">
        <v>0</v>
      </c>
      <c r="K332" s="116">
        <f>2000000+21000000-5400000</f>
        <v>17600000</v>
      </c>
      <c r="L332" s="116">
        <f t="shared" si="115"/>
        <v>1760000</v>
      </c>
      <c r="M332" s="658">
        <v>0</v>
      </c>
      <c r="N332" s="189">
        <f t="shared" si="116"/>
        <v>19360000</v>
      </c>
      <c r="O332" s="197" t="s">
        <v>58</v>
      </c>
      <c r="P332" s="197" t="s">
        <v>19</v>
      </c>
      <c r="Q332" s="175"/>
      <c r="R332" s="175"/>
      <c r="S332" s="116">
        <v>0</v>
      </c>
      <c r="T332" s="116">
        <f t="shared" si="117"/>
        <v>-352000</v>
      </c>
      <c r="U332" s="116">
        <v>19008000</v>
      </c>
      <c r="V332" s="210">
        <f t="shared" si="94"/>
        <v>0</v>
      </c>
      <c r="W332" s="115">
        <f t="shared" si="101"/>
        <v>0</v>
      </c>
      <c r="X332" s="181" t="s">
        <v>237</v>
      </c>
      <c r="Y332" s="116"/>
      <c r="Z332" s="185"/>
      <c r="AA332" s="592"/>
      <c r="AB332" s="186"/>
      <c r="AC332" s="300">
        <v>42864</v>
      </c>
      <c r="AD332" s="297">
        <v>352000</v>
      </c>
      <c r="AE332" s="297">
        <f t="shared" si="51"/>
        <v>0</v>
      </c>
      <c r="AF332" s="9" t="s">
        <v>2865</v>
      </c>
      <c r="AG332" s="9" t="s">
        <v>1395</v>
      </c>
      <c r="AH332" s="300">
        <v>42835</v>
      </c>
      <c r="AI332" s="9" t="s">
        <v>2336</v>
      </c>
      <c r="AJ332" s="300">
        <v>42835</v>
      </c>
      <c r="AK332" s="73" t="str">
        <f t="shared" si="98"/>
        <v>HASTA PANCA MANDIRI UTAMA, PTMEI</v>
      </c>
    </row>
    <row r="333" spans="1:37" s="114" customFormat="1" ht="12" hidden="1" customHeight="1">
      <c r="A333" s="53"/>
      <c r="B333" s="53" t="s">
        <v>240</v>
      </c>
      <c r="C333" s="9">
        <v>4</v>
      </c>
      <c r="D333" s="8" t="s">
        <v>96</v>
      </c>
      <c r="E333" s="10" t="s">
        <v>354</v>
      </c>
      <c r="F333" s="356"/>
      <c r="G333" s="10"/>
      <c r="H333" s="10" t="s">
        <v>2300</v>
      </c>
      <c r="I333" s="10" t="s">
        <v>2303</v>
      </c>
      <c r="J333" s="658">
        <v>0</v>
      </c>
      <c r="K333" s="116">
        <f>2000000+21000000-4800000</f>
        <v>18200000</v>
      </c>
      <c r="L333" s="116">
        <f t="shared" si="115"/>
        <v>1820000</v>
      </c>
      <c r="M333" s="658">
        <v>0</v>
      </c>
      <c r="N333" s="189">
        <f t="shared" si="116"/>
        <v>20020000</v>
      </c>
      <c r="O333" s="197" t="s">
        <v>58</v>
      </c>
      <c r="P333" s="197" t="s">
        <v>19</v>
      </c>
      <c r="Q333" s="175"/>
      <c r="R333" s="175"/>
      <c r="S333" s="116">
        <v>0</v>
      </c>
      <c r="T333" s="116">
        <f t="shared" si="117"/>
        <v>-364000</v>
      </c>
      <c r="U333" s="116">
        <v>19656000</v>
      </c>
      <c r="V333" s="210">
        <f t="shared" si="94"/>
        <v>0</v>
      </c>
      <c r="W333" s="115">
        <f t="shared" si="101"/>
        <v>0</v>
      </c>
      <c r="X333" s="181" t="s">
        <v>237</v>
      </c>
      <c r="Y333" s="116"/>
      <c r="Z333" s="185"/>
      <c r="AA333" s="592"/>
      <c r="AB333" s="186"/>
      <c r="AC333" s="300">
        <v>42864</v>
      </c>
      <c r="AD333" s="297">
        <v>364000</v>
      </c>
      <c r="AE333" s="297">
        <f t="shared" si="51"/>
        <v>0</v>
      </c>
      <c r="AF333" s="9" t="s">
        <v>2866</v>
      </c>
      <c r="AG333" s="9" t="s">
        <v>1395</v>
      </c>
      <c r="AH333" s="300">
        <v>42835</v>
      </c>
      <c r="AI333" s="9" t="s">
        <v>2336</v>
      </c>
      <c r="AJ333" s="300">
        <v>42835</v>
      </c>
      <c r="AK333" s="73" t="str">
        <f t="shared" si="98"/>
        <v>HASTA PANCA MANDIRI UTAMA, PTMEI</v>
      </c>
    </row>
    <row r="334" spans="1:37" s="114" customFormat="1" ht="12" hidden="1" customHeight="1">
      <c r="A334" s="53"/>
      <c r="B334" s="53" t="s">
        <v>58</v>
      </c>
      <c r="C334" s="9">
        <v>4</v>
      </c>
      <c r="D334" s="8" t="s">
        <v>96</v>
      </c>
      <c r="E334" s="10" t="s">
        <v>354</v>
      </c>
      <c r="F334" s="356"/>
      <c r="G334" s="10"/>
      <c r="H334" s="10" t="s">
        <v>2495</v>
      </c>
      <c r="I334" s="10" t="s">
        <v>2496</v>
      </c>
      <c r="J334" s="658">
        <v>0</v>
      </c>
      <c r="K334" s="116">
        <v>14700000</v>
      </c>
      <c r="L334" s="116">
        <f t="shared" si="115"/>
        <v>1470000</v>
      </c>
      <c r="M334" s="658">
        <v>0</v>
      </c>
      <c r="N334" s="189">
        <f t="shared" si="116"/>
        <v>16170000</v>
      </c>
      <c r="O334" s="197" t="s">
        <v>241</v>
      </c>
      <c r="P334" s="197" t="s">
        <v>102</v>
      </c>
      <c r="Q334" s="175"/>
      <c r="R334" s="175"/>
      <c r="S334" s="116">
        <v>0</v>
      </c>
      <c r="T334" s="116">
        <f t="shared" si="117"/>
        <v>-294000</v>
      </c>
      <c r="U334" s="116">
        <v>15876000</v>
      </c>
      <c r="V334" s="210">
        <f t="shared" si="94"/>
        <v>0</v>
      </c>
      <c r="W334" s="115">
        <f t="shared" si="101"/>
        <v>0</v>
      </c>
      <c r="X334" s="181" t="s">
        <v>237</v>
      </c>
      <c r="Y334" s="116"/>
      <c r="Z334" s="185"/>
      <c r="AA334" s="592"/>
      <c r="AB334" s="186"/>
      <c r="AC334" s="300">
        <v>42892</v>
      </c>
      <c r="AD334" s="297">
        <v>294000</v>
      </c>
      <c r="AE334" s="297">
        <f t="shared" si="51"/>
        <v>0</v>
      </c>
      <c r="AF334" s="9" t="s">
        <v>3022</v>
      </c>
      <c r="AG334" s="9" t="s">
        <v>1395</v>
      </c>
      <c r="AH334" s="300">
        <v>42865</v>
      </c>
      <c r="AI334" s="9" t="s">
        <v>1595</v>
      </c>
      <c r="AJ334" s="300">
        <v>42865</v>
      </c>
      <c r="AK334" s="73" t="str">
        <f t="shared" si="98"/>
        <v>HASTA PANCA MANDIRI UTAMA, PTJUN</v>
      </c>
    </row>
    <row r="335" spans="1:37" s="114" customFormat="1" ht="12" hidden="1" customHeight="1">
      <c r="A335" s="53"/>
      <c r="B335" s="53" t="s">
        <v>58</v>
      </c>
      <c r="C335" s="9">
        <v>4</v>
      </c>
      <c r="D335" s="8" t="s">
        <v>96</v>
      </c>
      <c r="E335" s="10" t="s">
        <v>354</v>
      </c>
      <c r="F335" s="356"/>
      <c r="G335" s="10"/>
      <c r="H335" s="10" t="s">
        <v>2497</v>
      </c>
      <c r="I335" s="10" t="s">
        <v>2498</v>
      </c>
      <c r="J335" s="658">
        <v>0</v>
      </c>
      <c r="K335" s="116">
        <v>11200000</v>
      </c>
      <c r="L335" s="116">
        <f t="shared" si="115"/>
        <v>1120000</v>
      </c>
      <c r="M335" s="658">
        <v>0</v>
      </c>
      <c r="N335" s="189">
        <f t="shared" si="116"/>
        <v>12320000</v>
      </c>
      <c r="O335" s="197" t="s">
        <v>241</v>
      </c>
      <c r="P335" s="197" t="s">
        <v>102</v>
      </c>
      <c r="Q335" s="175"/>
      <c r="R335" s="175"/>
      <c r="S335" s="116">
        <v>0</v>
      </c>
      <c r="T335" s="116">
        <f t="shared" si="117"/>
        <v>-224000</v>
      </c>
      <c r="U335" s="116">
        <v>12096000</v>
      </c>
      <c r="V335" s="210">
        <f t="shared" si="94"/>
        <v>0</v>
      </c>
      <c r="W335" s="115">
        <f t="shared" si="101"/>
        <v>0</v>
      </c>
      <c r="X335" s="181" t="s">
        <v>237</v>
      </c>
      <c r="Y335" s="116"/>
      <c r="Z335" s="185"/>
      <c r="AA335" s="592"/>
      <c r="AB335" s="186"/>
      <c r="AC335" s="300">
        <v>42892</v>
      </c>
      <c r="AD335" s="297">
        <v>224000</v>
      </c>
      <c r="AE335" s="297">
        <f t="shared" si="51"/>
        <v>0</v>
      </c>
      <c r="AF335" s="9" t="s">
        <v>3023</v>
      </c>
      <c r="AG335" s="9" t="s">
        <v>1395</v>
      </c>
      <c r="AH335" s="300">
        <v>42865</v>
      </c>
      <c r="AI335" s="9" t="s">
        <v>1595</v>
      </c>
      <c r="AJ335" s="300">
        <v>42865</v>
      </c>
      <c r="AK335" s="73" t="str">
        <f t="shared" si="98"/>
        <v>HASTA PANCA MANDIRI UTAMA, PTJUN</v>
      </c>
    </row>
    <row r="336" spans="1:37" s="114" customFormat="1" ht="12" hidden="1" customHeight="1">
      <c r="A336" s="53"/>
      <c r="B336" s="53" t="s">
        <v>58</v>
      </c>
      <c r="C336" s="9">
        <v>4</v>
      </c>
      <c r="D336" s="8" t="s">
        <v>96</v>
      </c>
      <c r="E336" s="10" t="s">
        <v>354</v>
      </c>
      <c r="F336" s="356"/>
      <c r="G336" s="10"/>
      <c r="H336" s="10" t="s">
        <v>2500</v>
      </c>
      <c r="I336" s="10" t="s">
        <v>2499</v>
      </c>
      <c r="J336" s="658">
        <v>0</v>
      </c>
      <c r="K336" s="116">
        <v>9800000</v>
      </c>
      <c r="L336" s="116">
        <f t="shared" si="115"/>
        <v>980000</v>
      </c>
      <c r="M336" s="658">
        <v>0</v>
      </c>
      <c r="N336" s="189">
        <f t="shared" si="116"/>
        <v>10780000</v>
      </c>
      <c r="O336" s="197" t="s">
        <v>241</v>
      </c>
      <c r="P336" s="197" t="s">
        <v>102</v>
      </c>
      <c r="Q336" s="175"/>
      <c r="R336" s="175"/>
      <c r="S336" s="116">
        <v>0</v>
      </c>
      <c r="T336" s="116">
        <f t="shared" si="117"/>
        <v>-196000</v>
      </c>
      <c r="U336" s="116">
        <v>10584000</v>
      </c>
      <c r="V336" s="210">
        <f t="shared" si="94"/>
        <v>0</v>
      </c>
      <c r="W336" s="115">
        <f t="shared" si="101"/>
        <v>0</v>
      </c>
      <c r="X336" s="181" t="s">
        <v>237</v>
      </c>
      <c r="Y336" s="116"/>
      <c r="Z336" s="185"/>
      <c r="AA336" s="592"/>
      <c r="AB336" s="186"/>
      <c r="AC336" s="300">
        <v>42902</v>
      </c>
      <c r="AD336" s="297">
        <v>196000</v>
      </c>
      <c r="AE336" s="297">
        <f t="shared" si="51"/>
        <v>0</v>
      </c>
      <c r="AF336" s="9" t="s">
        <v>3024</v>
      </c>
      <c r="AG336" s="9" t="s">
        <v>1395</v>
      </c>
      <c r="AH336" s="300">
        <v>42865</v>
      </c>
      <c r="AI336" s="9" t="s">
        <v>1595</v>
      </c>
      <c r="AJ336" s="300">
        <v>42865</v>
      </c>
      <c r="AK336" s="73" t="str">
        <f t="shared" si="98"/>
        <v>HASTA PANCA MANDIRI UTAMA, PTJUN</v>
      </c>
    </row>
    <row r="337" spans="1:37" s="114" customFormat="1" ht="12" hidden="1" customHeight="1">
      <c r="A337" s="53"/>
      <c r="B337" s="53" t="s">
        <v>241</v>
      </c>
      <c r="C337" s="9">
        <v>2</v>
      </c>
      <c r="D337" s="8" t="s">
        <v>96</v>
      </c>
      <c r="E337" s="10" t="s">
        <v>354</v>
      </c>
      <c r="F337" s="356"/>
      <c r="G337" s="10"/>
      <c r="H337" s="10" t="s">
        <v>2624</v>
      </c>
      <c r="I337" s="10" t="s">
        <v>2665</v>
      </c>
      <c r="J337" s="658">
        <v>0</v>
      </c>
      <c r="K337" s="116">
        <v>21000000</v>
      </c>
      <c r="L337" s="116">
        <f t="shared" si="115"/>
        <v>2100000</v>
      </c>
      <c r="M337" s="658">
        <v>0</v>
      </c>
      <c r="N337" s="189">
        <f t="shared" si="116"/>
        <v>23100000</v>
      </c>
      <c r="O337" s="197" t="s">
        <v>242</v>
      </c>
      <c r="P337" s="197" t="s">
        <v>99</v>
      </c>
      <c r="Q337" s="175"/>
      <c r="R337" s="175"/>
      <c r="S337" s="116">
        <v>0</v>
      </c>
      <c r="T337" s="116">
        <f t="shared" si="117"/>
        <v>-420000</v>
      </c>
      <c r="U337" s="116">
        <v>22680000</v>
      </c>
      <c r="V337" s="210">
        <f t="shared" si="94"/>
        <v>0</v>
      </c>
      <c r="W337" s="115">
        <f t="shared" si="101"/>
        <v>0</v>
      </c>
      <c r="X337" s="181" t="s">
        <v>237</v>
      </c>
      <c r="Y337" s="116"/>
      <c r="Z337" s="185"/>
      <c r="AA337" s="592"/>
      <c r="AB337" s="186"/>
      <c r="AC337" s="9"/>
      <c r="AD337" s="297"/>
      <c r="AE337" s="297">
        <f t="shared" si="51"/>
        <v>420000</v>
      </c>
      <c r="AF337" s="9"/>
      <c r="AG337" s="9" t="s">
        <v>1395</v>
      </c>
      <c r="AH337" s="300">
        <v>42892</v>
      </c>
      <c r="AI337" s="9" t="s">
        <v>1595</v>
      </c>
      <c r="AJ337" s="300">
        <v>42892</v>
      </c>
      <c r="AK337" s="73" t="str">
        <f t="shared" si="98"/>
        <v>HASTA PANCA MANDIRI UTAMA, PTJUL</v>
      </c>
    </row>
    <row r="338" spans="1:37" s="114" customFormat="1" ht="12" hidden="1" customHeight="1">
      <c r="A338" s="53"/>
      <c r="B338" s="53" t="s">
        <v>241</v>
      </c>
      <c r="C338" s="9">
        <v>2</v>
      </c>
      <c r="D338" s="8" t="s">
        <v>96</v>
      </c>
      <c r="E338" s="10" t="s">
        <v>354</v>
      </c>
      <c r="F338" s="356"/>
      <c r="G338" s="10"/>
      <c r="H338" s="10" t="s">
        <v>2625</v>
      </c>
      <c r="I338" s="10" t="s">
        <v>2666</v>
      </c>
      <c r="J338" s="658">
        <v>0</v>
      </c>
      <c r="K338" s="116">
        <v>21000000</v>
      </c>
      <c r="L338" s="116">
        <f t="shared" si="115"/>
        <v>2100000</v>
      </c>
      <c r="M338" s="658">
        <v>0</v>
      </c>
      <c r="N338" s="189">
        <f t="shared" si="116"/>
        <v>23100000</v>
      </c>
      <c r="O338" s="197" t="s">
        <v>242</v>
      </c>
      <c r="P338" s="197" t="s">
        <v>99</v>
      </c>
      <c r="Q338" s="175"/>
      <c r="R338" s="175"/>
      <c r="S338" s="116">
        <v>0</v>
      </c>
      <c r="T338" s="116">
        <f t="shared" si="117"/>
        <v>-420000</v>
      </c>
      <c r="U338" s="116">
        <v>22680000</v>
      </c>
      <c r="V338" s="210">
        <f t="shared" si="94"/>
        <v>0</v>
      </c>
      <c r="W338" s="115">
        <f t="shared" si="101"/>
        <v>0</v>
      </c>
      <c r="X338" s="181" t="s">
        <v>237</v>
      </c>
      <c r="Y338" s="116"/>
      <c r="Z338" s="185"/>
      <c r="AA338" s="592"/>
      <c r="AB338" s="186"/>
      <c r="AC338" s="9"/>
      <c r="AD338" s="297"/>
      <c r="AE338" s="297">
        <f t="shared" si="51"/>
        <v>420000</v>
      </c>
      <c r="AF338" s="9"/>
      <c r="AG338" s="9" t="s">
        <v>1395</v>
      </c>
      <c r="AH338" s="300">
        <v>42892</v>
      </c>
      <c r="AI338" s="9" t="s">
        <v>1595</v>
      </c>
      <c r="AJ338" s="300">
        <v>42892</v>
      </c>
      <c r="AK338" s="73" t="str">
        <f t="shared" si="98"/>
        <v>HASTA PANCA MANDIRI UTAMA, PTJUL</v>
      </c>
    </row>
    <row r="339" spans="1:37" s="114" customFormat="1" ht="12" hidden="1" customHeight="1">
      <c r="A339" s="53"/>
      <c r="B339" s="53" t="s">
        <v>241</v>
      </c>
      <c r="C339" s="9">
        <v>2</v>
      </c>
      <c r="D339" s="8" t="s">
        <v>96</v>
      </c>
      <c r="E339" s="10" t="s">
        <v>354</v>
      </c>
      <c r="F339" s="356"/>
      <c r="G339" s="10"/>
      <c r="H339" s="10" t="s">
        <v>2626</v>
      </c>
      <c r="I339" s="10" t="s">
        <v>2667</v>
      </c>
      <c r="J339" s="658">
        <v>0</v>
      </c>
      <c r="K339" s="116">
        <v>21000000</v>
      </c>
      <c r="L339" s="116">
        <f t="shared" si="115"/>
        <v>2100000</v>
      </c>
      <c r="M339" s="658">
        <v>0</v>
      </c>
      <c r="N339" s="189">
        <f t="shared" si="116"/>
        <v>23100000</v>
      </c>
      <c r="O339" s="197" t="s">
        <v>242</v>
      </c>
      <c r="P339" s="197" t="s">
        <v>99</v>
      </c>
      <c r="Q339" s="175"/>
      <c r="R339" s="175"/>
      <c r="S339" s="116">
        <v>0</v>
      </c>
      <c r="T339" s="116">
        <f t="shared" si="117"/>
        <v>-420000</v>
      </c>
      <c r="U339" s="116">
        <v>22680000</v>
      </c>
      <c r="V339" s="210">
        <f t="shared" si="94"/>
        <v>0</v>
      </c>
      <c r="W339" s="115">
        <f t="shared" si="101"/>
        <v>0</v>
      </c>
      <c r="X339" s="181" t="s">
        <v>237</v>
      </c>
      <c r="Y339" s="116"/>
      <c r="Z339" s="185"/>
      <c r="AA339" s="592"/>
      <c r="AB339" s="186"/>
      <c r="AC339" s="9"/>
      <c r="AD339" s="297"/>
      <c r="AE339" s="297">
        <f t="shared" si="51"/>
        <v>420000</v>
      </c>
      <c r="AF339" s="9"/>
      <c r="AG339" s="9" t="s">
        <v>1395</v>
      </c>
      <c r="AH339" s="300">
        <v>42892</v>
      </c>
      <c r="AI339" s="9" t="s">
        <v>1595</v>
      </c>
      <c r="AJ339" s="300">
        <v>42892</v>
      </c>
      <c r="AK339" s="73" t="str">
        <f t="shared" si="98"/>
        <v>HASTA PANCA MANDIRI UTAMA, PTJUL</v>
      </c>
    </row>
    <row r="340" spans="1:37" s="114" customFormat="1" ht="12" hidden="1" customHeight="1">
      <c r="A340" s="53"/>
      <c r="B340" s="53" t="s">
        <v>241</v>
      </c>
      <c r="C340" s="9">
        <v>2</v>
      </c>
      <c r="D340" s="8" t="s">
        <v>96</v>
      </c>
      <c r="E340" s="10" t="s">
        <v>144</v>
      </c>
      <c r="F340" s="356"/>
      <c r="G340" s="10"/>
      <c r="H340" s="10" t="s">
        <v>2629</v>
      </c>
      <c r="I340" s="10" t="s">
        <v>2668</v>
      </c>
      <c r="J340" s="658">
        <v>0</v>
      </c>
      <c r="K340" s="116">
        <v>1500000</v>
      </c>
      <c r="L340" s="116">
        <f t="shared" si="115"/>
        <v>150000</v>
      </c>
      <c r="M340" s="658">
        <v>0</v>
      </c>
      <c r="N340" s="189">
        <f t="shared" si="116"/>
        <v>1650000</v>
      </c>
      <c r="O340" s="197" t="s">
        <v>242</v>
      </c>
      <c r="P340" s="197" t="s">
        <v>99</v>
      </c>
      <c r="Q340" s="175"/>
      <c r="R340" s="175"/>
      <c r="S340" s="116">
        <v>0</v>
      </c>
      <c r="T340" s="116">
        <f t="shared" si="117"/>
        <v>-30000</v>
      </c>
      <c r="U340" s="116">
        <v>1620000</v>
      </c>
      <c r="V340" s="210">
        <f t="shared" si="94"/>
        <v>0</v>
      </c>
      <c r="W340" s="115">
        <f t="shared" si="101"/>
        <v>0</v>
      </c>
      <c r="X340" s="181" t="s">
        <v>237</v>
      </c>
      <c r="Y340" s="116"/>
      <c r="Z340" s="185"/>
      <c r="AA340" s="592"/>
      <c r="AB340" s="186"/>
      <c r="AC340" s="9"/>
      <c r="AD340" s="297"/>
      <c r="AE340" s="297">
        <f t="shared" si="51"/>
        <v>30000</v>
      </c>
      <c r="AF340" s="9"/>
      <c r="AG340" s="9" t="s">
        <v>1395</v>
      </c>
      <c r="AH340" s="300">
        <v>42892</v>
      </c>
      <c r="AI340" s="9" t="s">
        <v>1595</v>
      </c>
      <c r="AJ340" s="300">
        <v>42892</v>
      </c>
      <c r="AK340" s="73" t="str">
        <f t="shared" si="98"/>
        <v>HASTA PANCA MANDIRI UTAMA, PTJUL</v>
      </c>
    </row>
    <row r="341" spans="1:37" s="114" customFormat="1" ht="12" hidden="1" customHeight="1">
      <c r="A341" s="53"/>
      <c r="B341" s="53" t="s">
        <v>242</v>
      </c>
      <c r="C341" s="9">
        <v>3</v>
      </c>
      <c r="D341" s="8" t="s">
        <v>96</v>
      </c>
      <c r="E341" s="10" t="s">
        <v>354</v>
      </c>
      <c r="F341" s="356" t="s">
        <v>3070</v>
      </c>
      <c r="G341" s="10" t="s">
        <v>59</v>
      </c>
      <c r="H341" s="10" t="s">
        <v>2785</v>
      </c>
      <c r="I341" s="10" t="s">
        <v>2826</v>
      </c>
      <c r="J341" s="658">
        <v>0</v>
      </c>
      <c r="K341" s="116">
        <v>21000000</v>
      </c>
      <c r="L341" s="116">
        <f t="shared" si="115"/>
        <v>2100000</v>
      </c>
      <c r="M341" s="658">
        <v>0</v>
      </c>
      <c r="N341" s="189">
        <f t="shared" si="116"/>
        <v>23100000</v>
      </c>
      <c r="O341" s="197" t="s">
        <v>242</v>
      </c>
      <c r="P341" s="197" t="s">
        <v>106</v>
      </c>
      <c r="Q341" s="175"/>
      <c r="R341" s="175"/>
      <c r="S341" s="116">
        <v>0</v>
      </c>
      <c r="T341" s="116">
        <f t="shared" si="117"/>
        <v>-420000</v>
      </c>
      <c r="U341" s="116">
        <v>22680000</v>
      </c>
      <c r="V341" s="210">
        <f t="shared" ref="V341:V450" si="118">M341+Q341-R341</f>
        <v>0</v>
      </c>
      <c r="W341" s="115">
        <f t="shared" si="101"/>
        <v>0</v>
      </c>
      <c r="X341" s="181" t="s">
        <v>237</v>
      </c>
      <c r="Y341" s="116"/>
      <c r="Z341" s="185"/>
      <c r="AA341" s="592"/>
      <c r="AB341" s="186"/>
      <c r="AC341" s="9"/>
      <c r="AD341" s="297"/>
      <c r="AE341" s="297">
        <f t="shared" si="51"/>
        <v>420000</v>
      </c>
      <c r="AF341" s="9"/>
      <c r="AG341" s="9" t="s">
        <v>1395</v>
      </c>
      <c r="AH341" s="300">
        <v>42921</v>
      </c>
      <c r="AI341" s="9" t="s">
        <v>1595</v>
      </c>
      <c r="AJ341" s="300">
        <v>42921</v>
      </c>
      <c r="AK341" s="73" t="str">
        <f t="shared" si="98"/>
        <v>HASTA PANCA MANDIRI UTAMA, PTJUL</v>
      </c>
    </row>
    <row r="342" spans="1:37" s="114" customFormat="1" ht="12" hidden="1" customHeight="1">
      <c r="A342" s="53"/>
      <c r="B342" s="53" t="s">
        <v>242</v>
      </c>
      <c r="C342" s="9">
        <v>3</v>
      </c>
      <c r="D342" s="8" t="s">
        <v>96</v>
      </c>
      <c r="E342" s="10" t="s">
        <v>354</v>
      </c>
      <c r="F342" s="356" t="s">
        <v>3071</v>
      </c>
      <c r="G342" s="10" t="s">
        <v>59</v>
      </c>
      <c r="H342" s="10" t="s">
        <v>2786</v>
      </c>
      <c r="I342" s="10" t="s">
        <v>2827</v>
      </c>
      <c r="J342" s="658">
        <v>0</v>
      </c>
      <c r="K342" s="116">
        <v>21000000</v>
      </c>
      <c r="L342" s="116">
        <f t="shared" si="115"/>
        <v>2100000</v>
      </c>
      <c r="M342" s="658">
        <v>0</v>
      </c>
      <c r="N342" s="189">
        <f t="shared" si="116"/>
        <v>23100000</v>
      </c>
      <c r="O342" s="197" t="s">
        <v>242</v>
      </c>
      <c r="P342" s="197" t="s">
        <v>106</v>
      </c>
      <c r="Q342" s="175"/>
      <c r="R342" s="175"/>
      <c r="S342" s="116">
        <v>0</v>
      </c>
      <c r="T342" s="116">
        <f t="shared" si="117"/>
        <v>-420000</v>
      </c>
      <c r="U342" s="116">
        <v>22680000</v>
      </c>
      <c r="V342" s="210">
        <f t="shared" si="118"/>
        <v>0</v>
      </c>
      <c r="W342" s="115">
        <f t="shared" si="101"/>
        <v>0</v>
      </c>
      <c r="X342" s="181" t="s">
        <v>237</v>
      </c>
      <c r="Y342" s="116"/>
      <c r="Z342" s="185"/>
      <c r="AA342" s="592"/>
      <c r="AB342" s="186"/>
      <c r="AC342" s="9"/>
      <c r="AD342" s="297"/>
      <c r="AE342" s="297">
        <f t="shared" si="51"/>
        <v>420000</v>
      </c>
      <c r="AF342" s="9"/>
      <c r="AG342" s="9" t="s">
        <v>1395</v>
      </c>
      <c r="AH342" s="300">
        <v>42921</v>
      </c>
      <c r="AI342" s="9" t="s">
        <v>1595</v>
      </c>
      <c r="AJ342" s="300">
        <v>42921</v>
      </c>
      <c r="AK342" s="73" t="str">
        <f t="shared" si="98"/>
        <v>HASTA PANCA MANDIRI UTAMA, PTJUL</v>
      </c>
    </row>
    <row r="343" spans="1:37" s="114" customFormat="1" ht="12" hidden="1" customHeight="1">
      <c r="A343" s="53"/>
      <c r="B343" s="53" t="s">
        <v>242</v>
      </c>
      <c r="C343" s="9">
        <v>3</v>
      </c>
      <c r="D343" s="8" t="s">
        <v>96</v>
      </c>
      <c r="E343" s="10" t="s">
        <v>354</v>
      </c>
      <c r="F343" s="356" t="s">
        <v>3072</v>
      </c>
      <c r="G343" s="10" t="s">
        <v>59</v>
      </c>
      <c r="H343" s="10" t="s">
        <v>2787</v>
      </c>
      <c r="I343" s="10" t="s">
        <v>2828</v>
      </c>
      <c r="J343" s="658">
        <v>0</v>
      </c>
      <c r="K343" s="116">
        <v>21000000</v>
      </c>
      <c r="L343" s="116">
        <f>K343*10%</f>
        <v>2100000</v>
      </c>
      <c r="M343" s="658">
        <v>0</v>
      </c>
      <c r="N343" s="189">
        <f t="shared" ref="N343:N349" si="119">K343+L343</f>
        <v>23100000</v>
      </c>
      <c r="O343" s="197" t="s">
        <v>242</v>
      </c>
      <c r="P343" s="197" t="s">
        <v>106</v>
      </c>
      <c r="Q343" s="175"/>
      <c r="R343" s="175"/>
      <c r="S343" s="116">
        <v>0</v>
      </c>
      <c r="T343" s="116">
        <f t="shared" si="117"/>
        <v>-420000</v>
      </c>
      <c r="U343" s="116">
        <v>22680000</v>
      </c>
      <c r="V343" s="210">
        <f t="shared" si="118"/>
        <v>0</v>
      </c>
      <c r="W343" s="115">
        <f t="shared" si="101"/>
        <v>0</v>
      </c>
      <c r="X343" s="181" t="s">
        <v>237</v>
      </c>
      <c r="Y343" s="116"/>
      <c r="Z343" s="185"/>
      <c r="AA343" s="592"/>
      <c r="AB343" s="186"/>
      <c r="AC343" s="9"/>
      <c r="AD343" s="297"/>
      <c r="AE343" s="297">
        <f t="shared" si="51"/>
        <v>420000</v>
      </c>
      <c r="AF343" s="9"/>
      <c r="AG343" s="9" t="s">
        <v>1395</v>
      </c>
      <c r="AH343" s="300">
        <v>42921</v>
      </c>
      <c r="AI343" s="9" t="s">
        <v>1595</v>
      </c>
      <c r="AJ343" s="300">
        <v>42921</v>
      </c>
      <c r="AK343" s="73" t="str">
        <f t="shared" si="98"/>
        <v>HASTA PANCA MANDIRI UTAMA, PTJUL</v>
      </c>
    </row>
    <row r="344" spans="1:37" s="114" customFormat="1" ht="12" hidden="1" customHeight="1">
      <c r="A344" s="53"/>
      <c r="B344" s="1220" t="s">
        <v>243</v>
      </c>
      <c r="C344" s="1221">
        <v>1</v>
      </c>
      <c r="D344" s="1222" t="s">
        <v>96</v>
      </c>
      <c r="E344" s="1223" t="s">
        <v>354</v>
      </c>
      <c r="F344" s="1505" t="s">
        <v>3070</v>
      </c>
      <c r="G344" s="1223" t="s">
        <v>60</v>
      </c>
      <c r="H344" s="1223" t="s">
        <v>2905</v>
      </c>
      <c r="I344" s="1223" t="s">
        <v>2968</v>
      </c>
      <c r="J344" s="1237"/>
      <c r="K344" s="1224">
        <v>21000000</v>
      </c>
      <c r="L344" s="1224">
        <f>K344*10%</f>
        <v>2100000</v>
      </c>
      <c r="M344" s="1237"/>
      <c r="N344" s="1225">
        <f t="shared" si="119"/>
        <v>23100000</v>
      </c>
      <c r="O344" s="197" t="s">
        <v>244</v>
      </c>
      <c r="P344" s="197" t="s">
        <v>102</v>
      </c>
      <c r="Q344" s="175"/>
      <c r="R344" s="175"/>
      <c r="S344" s="116">
        <v>0</v>
      </c>
      <c r="T344" s="116">
        <f t="shared" si="117"/>
        <v>-420000</v>
      </c>
      <c r="U344" s="116">
        <v>22680000</v>
      </c>
      <c r="V344" s="210">
        <f t="shared" si="118"/>
        <v>0</v>
      </c>
      <c r="W344" s="115"/>
      <c r="X344" s="181"/>
      <c r="Y344" s="116"/>
      <c r="Z344" s="185"/>
      <c r="AA344" s="592"/>
      <c r="AB344" s="186"/>
      <c r="AC344" s="9"/>
      <c r="AD344" s="297"/>
      <c r="AE344" s="297">
        <f t="shared" si="51"/>
        <v>420000</v>
      </c>
      <c r="AF344" s="9"/>
      <c r="AG344" s="9" t="s">
        <v>1395</v>
      </c>
      <c r="AH344" s="300">
        <v>42949</v>
      </c>
      <c r="AI344" s="9" t="s">
        <v>1595</v>
      </c>
      <c r="AJ344" s="300">
        <v>42949</v>
      </c>
      <c r="AK344" s="73" t="str">
        <f t="shared" si="98"/>
        <v>HASTA PANCA MANDIRI UTAMA, PTSEP</v>
      </c>
    </row>
    <row r="345" spans="1:37" s="114" customFormat="1" ht="12" hidden="1" customHeight="1">
      <c r="A345" s="53"/>
      <c r="B345" s="1220" t="s">
        <v>243</v>
      </c>
      <c r="C345" s="1221">
        <v>1</v>
      </c>
      <c r="D345" s="1222" t="s">
        <v>96</v>
      </c>
      <c r="E345" s="1223" t="s">
        <v>354</v>
      </c>
      <c r="F345" s="1505" t="s">
        <v>3071</v>
      </c>
      <c r="G345" s="1223" t="s">
        <v>60</v>
      </c>
      <c r="H345" s="1223" t="s">
        <v>2906</v>
      </c>
      <c r="I345" s="1223" t="s">
        <v>2969</v>
      </c>
      <c r="J345" s="1054"/>
      <c r="K345" s="1224">
        <v>21000000</v>
      </c>
      <c r="L345" s="1224">
        <f>K345*10%</f>
        <v>2100000</v>
      </c>
      <c r="M345" s="1054"/>
      <c r="N345" s="1225">
        <f t="shared" si="119"/>
        <v>23100000</v>
      </c>
      <c r="O345" s="197" t="s">
        <v>243</v>
      </c>
      <c r="P345" s="197" t="s">
        <v>106</v>
      </c>
      <c r="Q345" s="175"/>
      <c r="R345" s="175"/>
      <c r="S345" s="116">
        <v>0</v>
      </c>
      <c r="T345" s="116">
        <f t="shared" ref="T345" si="120">-K345*2%</f>
        <v>-420000</v>
      </c>
      <c r="U345" s="116">
        <v>22680000</v>
      </c>
      <c r="V345" s="210">
        <f t="shared" si="118"/>
        <v>0</v>
      </c>
      <c r="W345" s="115"/>
      <c r="X345" s="181"/>
      <c r="Y345" s="116"/>
      <c r="Z345" s="185"/>
      <c r="AA345" s="592"/>
      <c r="AB345" s="186"/>
      <c r="AC345" s="9"/>
      <c r="AD345" s="297"/>
      <c r="AE345" s="297"/>
      <c r="AF345" s="9"/>
      <c r="AG345" s="9" t="s">
        <v>1395</v>
      </c>
      <c r="AH345" s="300">
        <v>42949</v>
      </c>
      <c r="AI345" s="9" t="s">
        <v>1595</v>
      </c>
      <c r="AJ345" s="300">
        <v>42949</v>
      </c>
      <c r="AK345" s="73"/>
    </row>
    <row r="346" spans="1:37" s="114" customFormat="1" ht="12" hidden="1" customHeight="1">
      <c r="A346" s="53"/>
      <c r="B346" s="1220" t="s">
        <v>243</v>
      </c>
      <c r="C346" s="1221">
        <v>1</v>
      </c>
      <c r="D346" s="1222" t="s">
        <v>96</v>
      </c>
      <c r="E346" s="1223" t="s">
        <v>354</v>
      </c>
      <c r="F346" s="1505" t="s">
        <v>3072</v>
      </c>
      <c r="G346" s="1223" t="s">
        <v>60</v>
      </c>
      <c r="H346" s="1223" t="s">
        <v>2907</v>
      </c>
      <c r="I346" s="1223" t="s">
        <v>2970</v>
      </c>
      <c r="J346" s="1054"/>
      <c r="K346" s="1224">
        <v>21000000</v>
      </c>
      <c r="L346" s="1224">
        <f>K346*10%</f>
        <v>2100000</v>
      </c>
      <c r="M346" s="1054"/>
      <c r="N346" s="1225">
        <f t="shared" si="119"/>
        <v>23100000</v>
      </c>
      <c r="O346" s="197" t="s">
        <v>243</v>
      </c>
      <c r="P346" s="197" t="s">
        <v>106</v>
      </c>
      <c r="Q346" s="175"/>
      <c r="R346" s="175"/>
      <c r="S346" s="116">
        <v>0</v>
      </c>
      <c r="T346" s="116">
        <f t="shared" ref="T346:T352" si="121">-K346*2%</f>
        <v>-420000</v>
      </c>
      <c r="U346" s="116">
        <v>22680000</v>
      </c>
      <c r="V346" s="210">
        <f t="shared" si="118"/>
        <v>0</v>
      </c>
      <c r="W346" s="115"/>
      <c r="X346" s="181"/>
      <c r="Y346" s="116"/>
      <c r="Z346" s="185"/>
      <c r="AA346" s="592"/>
      <c r="AB346" s="186"/>
      <c r="AC346" s="9"/>
      <c r="AD346" s="297"/>
      <c r="AE346" s="297"/>
      <c r="AF346" s="9"/>
      <c r="AG346" s="9" t="s">
        <v>1395</v>
      </c>
      <c r="AH346" s="300">
        <v>42949</v>
      </c>
      <c r="AI346" s="9" t="s">
        <v>1595</v>
      </c>
      <c r="AJ346" s="300">
        <v>42949</v>
      </c>
      <c r="AK346" s="73"/>
    </row>
    <row r="347" spans="1:37" s="114" customFormat="1" ht="12" hidden="1" customHeight="1">
      <c r="A347" s="53"/>
      <c r="B347" s="1220" t="s">
        <v>3259</v>
      </c>
      <c r="C347" s="1221">
        <v>11</v>
      </c>
      <c r="D347" s="1222" t="s">
        <v>96</v>
      </c>
      <c r="E347" s="1223" t="s">
        <v>354</v>
      </c>
      <c r="F347" s="1505" t="s">
        <v>3070</v>
      </c>
      <c r="G347" s="1223" t="s">
        <v>559</v>
      </c>
      <c r="H347" s="1223" t="s">
        <v>3208</v>
      </c>
      <c r="I347" s="1223" t="s">
        <v>3209</v>
      </c>
      <c r="J347" s="1237"/>
      <c r="K347" s="1224">
        <v>21000000</v>
      </c>
      <c r="L347" s="1224">
        <f t="shared" ref="L347:L349" si="122">K347*10%</f>
        <v>2100000</v>
      </c>
      <c r="M347" s="1237"/>
      <c r="N347" s="1225">
        <f t="shared" si="119"/>
        <v>23100000</v>
      </c>
      <c r="O347" s="197" t="s">
        <v>245</v>
      </c>
      <c r="P347" s="197" t="s">
        <v>94</v>
      </c>
      <c r="Q347" s="175"/>
      <c r="R347" s="175"/>
      <c r="S347" s="116">
        <v>0</v>
      </c>
      <c r="T347" s="116">
        <f t="shared" si="121"/>
        <v>-420000</v>
      </c>
      <c r="U347" s="116">
        <v>22680000</v>
      </c>
      <c r="V347" s="210"/>
      <c r="W347" s="115"/>
      <c r="X347" s="181"/>
      <c r="Y347" s="116"/>
      <c r="Z347" s="185"/>
      <c r="AA347" s="592"/>
      <c r="AB347" s="186"/>
      <c r="AC347" s="9"/>
      <c r="AD347" s="297"/>
      <c r="AE347" s="297"/>
      <c r="AF347" s="9"/>
      <c r="AG347" s="9"/>
      <c r="AH347" s="300"/>
      <c r="AI347" s="9"/>
      <c r="AJ347" s="300"/>
      <c r="AK347" s="73"/>
    </row>
    <row r="348" spans="1:37" s="114" customFormat="1" ht="12" hidden="1" customHeight="1">
      <c r="A348" s="53"/>
      <c r="B348" s="1220" t="s">
        <v>3259</v>
      </c>
      <c r="C348" s="1221">
        <v>11</v>
      </c>
      <c r="D348" s="1222" t="s">
        <v>96</v>
      </c>
      <c r="E348" s="1223" t="s">
        <v>354</v>
      </c>
      <c r="F348" s="1505" t="s">
        <v>3071</v>
      </c>
      <c r="G348" s="1223" t="s">
        <v>559</v>
      </c>
      <c r="H348" s="1223" t="s">
        <v>3210</v>
      </c>
      <c r="I348" s="1223" t="s">
        <v>3211</v>
      </c>
      <c r="J348" s="1237"/>
      <c r="K348" s="1224">
        <v>21000000</v>
      </c>
      <c r="L348" s="1224">
        <f t="shared" si="122"/>
        <v>2100000</v>
      </c>
      <c r="M348" s="1237"/>
      <c r="N348" s="1225">
        <f t="shared" si="119"/>
        <v>23100000</v>
      </c>
      <c r="O348" s="197" t="s">
        <v>245</v>
      </c>
      <c r="P348" s="197" t="s">
        <v>91</v>
      </c>
      <c r="Q348" s="175"/>
      <c r="R348" s="175"/>
      <c r="S348" s="116">
        <v>0</v>
      </c>
      <c r="T348" s="116">
        <f t="shared" si="121"/>
        <v>-420000</v>
      </c>
      <c r="U348" s="116">
        <v>22680000</v>
      </c>
      <c r="V348" s="210"/>
      <c r="W348" s="115"/>
      <c r="X348" s="181"/>
      <c r="Y348" s="116"/>
      <c r="Z348" s="185"/>
      <c r="AA348" s="592"/>
      <c r="AB348" s="186"/>
      <c r="AC348" s="9"/>
      <c r="AD348" s="297"/>
      <c r="AE348" s="297"/>
      <c r="AF348" s="9"/>
      <c r="AG348" s="9"/>
      <c r="AH348" s="300"/>
      <c r="AI348" s="9"/>
      <c r="AJ348" s="300"/>
      <c r="AK348" s="73"/>
    </row>
    <row r="349" spans="1:37" s="114" customFormat="1" ht="12" hidden="1" customHeight="1">
      <c r="A349" s="53"/>
      <c r="B349" s="1220" t="s">
        <v>3259</v>
      </c>
      <c r="C349" s="1221">
        <v>11</v>
      </c>
      <c r="D349" s="1222" t="s">
        <v>96</v>
      </c>
      <c r="E349" s="1223" t="s">
        <v>354</v>
      </c>
      <c r="F349" s="1505" t="s">
        <v>3072</v>
      </c>
      <c r="G349" s="1223" t="s">
        <v>559</v>
      </c>
      <c r="H349" s="1223" t="s">
        <v>3212</v>
      </c>
      <c r="I349" s="1223" t="s">
        <v>3213</v>
      </c>
      <c r="J349" s="1237"/>
      <c r="K349" s="1224">
        <v>21000000</v>
      </c>
      <c r="L349" s="1224">
        <f t="shared" si="122"/>
        <v>2100000</v>
      </c>
      <c r="M349" s="1237"/>
      <c r="N349" s="1225">
        <f t="shared" si="119"/>
        <v>23100000</v>
      </c>
      <c r="O349" s="197" t="s">
        <v>245</v>
      </c>
      <c r="P349" s="197" t="s">
        <v>91</v>
      </c>
      <c r="Q349" s="175"/>
      <c r="R349" s="175"/>
      <c r="S349" s="116">
        <v>0</v>
      </c>
      <c r="T349" s="116">
        <f t="shared" si="121"/>
        <v>-420000</v>
      </c>
      <c r="U349" s="116">
        <v>22680000</v>
      </c>
      <c r="V349" s="210"/>
      <c r="W349" s="115"/>
      <c r="X349" s="181"/>
      <c r="Y349" s="116"/>
      <c r="Z349" s="185"/>
      <c r="AA349" s="592"/>
      <c r="AB349" s="186"/>
      <c r="AC349" s="9"/>
      <c r="AD349" s="297"/>
      <c r="AE349" s="297"/>
      <c r="AF349" s="9"/>
      <c r="AG349" s="9"/>
      <c r="AH349" s="300"/>
      <c r="AI349" s="9"/>
      <c r="AJ349" s="300"/>
      <c r="AK349" s="73"/>
    </row>
    <row r="350" spans="1:37" s="114" customFormat="1" ht="12" hidden="1" customHeight="1">
      <c r="A350" s="1220"/>
      <c r="B350" s="1220" t="s">
        <v>245</v>
      </c>
      <c r="C350" s="1221">
        <v>3</v>
      </c>
      <c r="D350" s="1222" t="s">
        <v>96</v>
      </c>
      <c r="E350" s="1223" t="s">
        <v>354</v>
      </c>
      <c r="F350" s="1505" t="s">
        <v>3384</v>
      </c>
      <c r="G350" s="1223" t="s">
        <v>602</v>
      </c>
      <c r="H350" s="1223" t="s">
        <v>3385</v>
      </c>
      <c r="I350" s="1223" t="s">
        <v>3386</v>
      </c>
      <c r="J350" s="1237"/>
      <c r="K350" s="1224">
        <v>24300000</v>
      </c>
      <c r="L350" s="1224">
        <f t="shared" ref="L350:L358" si="123">K350*10%</f>
        <v>2430000</v>
      </c>
      <c r="M350" s="1237"/>
      <c r="N350" s="1225">
        <f t="shared" ref="N350:N358" si="124">K350+L350</f>
        <v>26730000</v>
      </c>
      <c r="O350" s="1202" t="s">
        <v>140</v>
      </c>
      <c r="P350" s="1202" t="s">
        <v>106</v>
      </c>
      <c r="Q350" s="175"/>
      <c r="R350" s="175"/>
      <c r="S350" s="116">
        <v>0</v>
      </c>
      <c r="T350" s="116">
        <f t="shared" si="121"/>
        <v>-486000</v>
      </c>
      <c r="U350" s="116">
        <v>26244000</v>
      </c>
      <c r="V350" s="210"/>
      <c r="W350" s="115"/>
      <c r="X350" s="181"/>
      <c r="Y350" s="116"/>
      <c r="Z350" s="185"/>
      <c r="AA350" s="592"/>
      <c r="AB350" s="186"/>
      <c r="AC350" s="9"/>
      <c r="AD350" s="297"/>
      <c r="AE350" s="297"/>
      <c r="AF350" s="9"/>
      <c r="AG350" s="9"/>
      <c r="AH350" s="300"/>
      <c r="AI350" s="9"/>
      <c r="AJ350" s="300"/>
      <c r="AK350" s="73"/>
    </row>
    <row r="351" spans="1:37" s="114" customFormat="1" ht="12" hidden="1" customHeight="1">
      <c r="A351" s="1220"/>
      <c r="B351" s="1220" t="s">
        <v>245</v>
      </c>
      <c r="C351" s="1221">
        <v>3</v>
      </c>
      <c r="D351" s="1222" t="s">
        <v>96</v>
      </c>
      <c r="E351" s="1223" t="s">
        <v>354</v>
      </c>
      <c r="F351" s="1505" t="s">
        <v>3071</v>
      </c>
      <c r="G351" s="1223" t="s">
        <v>602</v>
      </c>
      <c r="H351" s="1223" t="s">
        <v>3387</v>
      </c>
      <c r="I351" s="1223" t="s">
        <v>3388</v>
      </c>
      <c r="J351" s="1237"/>
      <c r="K351" s="1224">
        <v>21000000</v>
      </c>
      <c r="L351" s="1224">
        <f t="shared" si="123"/>
        <v>2100000</v>
      </c>
      <c r="M351" s="1237"/>
      <c r="N351" s="1225">
        <f t="shared" si="124"/>
        <v>23100000</v>
      </c>
      <c r="O351" s="1202" t="s">
        <v>140</v>
      </c>
      <c r="P351" s="1202" t="s">
        <v>106</v>
      </c>
      <c r="Q351" s="175"/>
      <c r="R351" s="175"/>
      <c r="S351" s="116">
        <v>0</v>
      </c>
      <c r="T351" s="116">
        <f t="shared" si="121"/>
        <v>-420000</v>
      </c>
      <c r="U351" s="116">
        <v>22680000</v>
      </c>
      <c r="V351" s="210"/>
      <c r="W351" s="115"/>
      <c r="X351" s="181"/>
      <c r="Y351" s="116"/>
      <c r="Z351" s="185"/>
      <c r="AA351" s="592"/>
      <c r="AB351" s="186"/>
      <c r="AC351" s="9"/>
      <c r="AD351" s="297"/>
      <c r="AE351" s="297"/>
      <c r="AF351" s="9"/>
      <c r="AG351" s="9"/>
      <c r="AH351" s="300"/>
      <c r="AI351" s="9"/>
      <c r="AJ351" s="300"/>
      <c r="AK351" s="73"/>
    </row>
    <row r="352" spans="1:37" s="114" customFormat="1" ht="12" hidden="1" customHeight="1">
      <c r="A352" s="1220"/>
      <c r="B352" s="1220" t="s">
        <v>245</v>
      </c>
      <c r="C352" s="1221">
        <v>3</v>
      </c>
      <c r="D352" s="1222" t="s">
        <v>96</v>
      </c>
      <c r="E352" s="1223" t="s">
        <v>354</v>
      </c>
      <c r="F352" s="1505" t="s">
        <v>3072</v>
      </c>
      <c r="G352" s="1223" t="s">
        <v>602</v>
      </c>
      <c r="H352" s="1223" t="s">
        <v>3389</v>
      </c>
      <c r="I352" s="1223" t="s">
        <v>3390</v>
      </c>
      <c r="J352" s="1237"/>
      <c r="K352" s="1224">
        <v>21000000</v>
      </c>
      <c r="L352" s="1224">
        <f t="shared" si="123"/>
        <v>2100000</v>
      </c>
      <c r="M352" s="1237"/>
      <c r="N352" s="1225">
        <f t="shared" si="124"/>
        <v>23100000</v>
      </c>
      <c r="O352" s="1202" t="s">
        <v>140</v>
      </c>
      <c r="P352" s="1202" t="s">
        <v>106</v>
      </c>
      <c r="Q352" s="175"/>
      <c r="R352" s="175"/>
      <c r="S352" s="116">
        <v>0</v>
      </c>
      <c r="T352" s="116">
        <f t="shared" si="121"/>
        <v>-420000</v>
      </c>
      <c r="U352" s="116">
        <v>22680000</v>
      </c>
      <c r="V352" s="210"/>
      <c r="W352" s="115"/>
      <c r="X352" s="181"/>
      <c r="Y352" s="116"/>
      <c r="Z352" s="185"/>
      <c r="AA352" s="592"/>
      <c r="AB352" s="186"/>
      <c r="AC352" s="9"/>
      <c r="AD352" s="297"/>
      <c r="AE352" s="297"/>
      <c r="AF352" s="9"/>
      <c r="AG352" s="9"/>
      <c r="AH352" s="300"/>
      <c r="AI352" s="9"/>
      <c r="AJ352" s="300"/>
      <c r="AK352" s="73"/>
    </row>
    <row r="353" spans="1:37" s="114" customFormat="1" ht="12" hidden="1" customHeight="1">
      <c r="A353" s="53"/>
      <c r="B353" s="758" t="s">
        <v>238</v>
      </c>
      <c r="C353" s="759">
        <v>13</v>
      </c>
      <c r="D353" s="760" t="s">
        <v>96</v>
      </c>
      <c r="E353" s="761" t="s">
        <v>354</v>
      </c>
      <c r="F353" s="1506" t="s">
        <v>3384</v>
      </c>
      <c r="G353" s="761" t="s">
        <v>641</v>
      </c>
      <c r="H353" s="761" t="s">
        <v>3568</v>
      </c>
      <c r="I353" s="761" t="s">
        <v>3569</v>
      </c>
      <c r="J353" s="1054"/>
      <c r="K353" s="762">
        <v>29000000</v>
      </c>
      <c r="L353" s="762">
        <f t="shared" si="123"/>
        <v>2900000</v>
      </c>
      <c r="M353" s="1054"/>
      <c r="N353" s="763">
        <f t="shared" si="124"/>
        <v>31900000</v>
      </c>
      <c r="O353" s="1202"/>
      <c r="P353" s="1202"/>
      <c r="Q353" s="175"/>
      <c r="R353" s="175"/>
      <c r="S353" s="116"/>
      <c r="T353" s="116"/>
      <c r="U353" s="116"/>
      <c r="V353" s="210"/>
      <c r="W353" s="115"/>
      <c r="X353" s="181"/>
      <c r="Y353" s="116"/>
      <c r="Z353" s="185"/>
      <c r="AA353" s="592"/>
      <c r="AB353" s="186"/>
      <c r="AC353" s="9"/>
      <c r="AD353" s="297"/>
      <c r="AE353" s="297"/>
      <c r="AF353" s="9"/>
      <c r="AG353" s="9"/>
      <c r="AH353" s="300"/>
      <c r="AI353" s="9"/>
      <c r="AJ353" s="300"/>
      <c r="AK353" s="73"/>
    </row>
    <row r="354" spans="1:37" s="114" customFormat="1" ht="12" hidden="1" customHeight="1">
      <c r="A354" s="53"/>
      <c r="B354" s="758" t="s">
        <v>238</v>
      </c>
      <c r="C354" s="759">
        <v>13</v>
      </c>
      <c r="D354" s="760" t="s">
        <v>96</v>
      </c>
      <c r="E354" s="761" t="s">
        <v>354</v>
      </c>
      <c r="F354" s="1506" t="s">
        <v>3071</v>
      </c>
      <c r="G354" s="761" t="s">
        <v>641</v>
      </c>
      <c r="H354" s="761" t="s">
        <v>3570</v>
      </c>
      <c r="I354" s="761" t="s">
        <v>3571</v>
      </c>
      <c r="J354" s="1054"/>
      <c r="K354" s="762">
        <v>21000000</v>
      </c>
      <c r="L354" s="762">
        <f t="shared" si="123"/>
        <v>2100000</v>
      </c>
      <c r="M354" s="1054"/>
      <c r="N354" s="763">
        <f t="shared" si="124"/>
        <v>23100000</v>
      </c>
      <c r="O354" s="1202"/>
      <c r="P354" s="1202"/>
      <c r="Q354" s="175"/>
      <c r="R354" s="175"/>
      <c r="S354" s="116"/>
      <c r="T354" s="116"/>
      <c r="U354" s="116"/>
      <c r="V354" s="210"/>
      <c r="W354" s="115"/>
      <c r="X354" s="181"/>
      <c r="Y354" s="116"/>
      <c r="Z354" s="185"/>
      <c r="AA354" s="592"/>
      <c r="AB354" s="186"/>
      <c r="AC354" s="9"/>
      <c r="AD354" s="297"/>
      <c r="AE354" s="297"/>
      <c r="AF354" s="9"/>
      <c r="AG354" s="9"/>
      <c r="AH354" s="300"/>
      <c r="AI354" s="9"/>
      <c r="AJ354" s="300"/>
      <c r="AK354" s="73"/>
    </row>
    <row r="355" spans="1:37" s="114" customFormat="1" ht="12" hidden="1" customHeight="1">
      <c r="A355" s="53"/>
      <c r="B355" s="758" t="s">
        <v>238</v>
      </c>
      <c r="C355" s="759">
        <v>13</v>
      </c>
      <c r="D355" s="760" t="s">
        <v>96</v>
      </c>
      <c r="E355" s="761" t="s">
        <v>354</v>
      </c>
      <c r="F355" s="1506" t="s">
        <v>3072</v>
      </c>
      <c r="G355" s="761" t="s">
        <v>641</v>
      </c>
      <c r="H355" s="761" t="s">
        <v>3572</v>
      </c>
      <c r="I355" s="761" t="s">
        <v>3573</v>
      </c>
      <c r="J355" s="1054"/>
      <c r="K355" s="762">
        <v>21000000</v>
      </c>
      <c r="L355" s="762">
        <f t="shared" si="123"/>
        <v>2100000</v>
      </c>
      <c r="M355" s="1054"/>
      <c r="N355" s="763">
        <f t="shared" si="124"/>
        <v>23100000</v>
      </c>
      <c r="O355" s="1202"/>
      <c r="P355" s="1202"/>
      <c r="Q355" s="175"/>
      <c r="R355" s="175"/>
      <c r="S355" s="116"/>
      <c r="T355" s="116"/>
      <c r="U355" s="116"/>
      <c r="V355" s="210"/>
      <c r="W355" s="115"/>
      <c r="X355" s="181"/>
      <c r="Y355" s="116"/>
      <c r="Z355" s="185"/>
      <c r="AA355" s="592"/>
      <c r="AB355" s="186"/>
      <c r="AC355" s="9"/>
      <c r="AD355" s="297"/>
      <c r="AE355" s="297"/>
      <c r="AF355" s="9"/>
      <c r="AG355" s="9"/>
      <c r="AH355" s="300"/>
      <c r="AI355" s="9"/>
      <c r="AJ355" s="300"/>
      <c r="AK355" s="73"/>
    </row>
    <row r="356" spans="1:37" s="114" customFormat="1" ht="12" hidden="1" customHeight="1">
      <c r="A356" s="53"/>
      <c r="B356" s="758" t="s">
        <v>140</v>
      </c>
      <c r="C356" s="759">
        <v>12</v>
      </c>
      <c r="D356" s="760" t="s">
        <v>96</v>
      </c>
      <c r="E356" s="761" t="s">
        <v>354</v>
      </c>
      <c r="F356" s="1506" t="s">
        <v>3717</v>
      </c>
      <c r="G356" s="761" t="s">
        <v>1616</v>
      </c>
      <c r="H356" s="761" t="s">
        <v>3718</v>
      </c>
      <c r="I356" s="761" t="s">
        <v>3719</v>
      </c>
      <c r="J356" s="1054"/>
      <c r="K356" s="762">
        <v>29000000</v>
      </c>
      <c r="L356" s="762">
        <f t="shared" si="123"/>
        <v>2900000</v>
      </c>
      <c r="M356" s="1054"/>
      <c r="N356" s="763">
        <f t="shared" si="124"/>
        <v>31900000</v>
      </c>
      <c r="O356" s="1202"/>
      <c r="P356" s="1202"/>
      <c r="Q356" s="175"/>
      <c r="R356" s="175"/>
      <c r="S356" s="116"/>
      <c r="T356" s="116"/>
      <c r="U356" s="116"/>
      <c r="V356" s="210"/>
      <c r="W356" s="115"/>
      <c r="X356" s="181"/>
      <c r="Y356" s="116"/>
      <c r="Z356" s="185"/>
      <c r="AA356" s="592"/>
      <c r="AB356" s="186"/>
      <c r="AC356" s="9"/>
      <c r="AD356" s="297"/>
      <c r="AE356" s="297"/>
      <c r="AF356" s="9"/>
      <c r="AG356" s="9"/>
      <c r="AH356" s="300"/>
      <c r="AI356" s="9"/>
      <c r="AJ356" s="300"/>
      <c r="AK356" s="73"/>
    </row>
    <row r="357" spans="1:37" s="114" customFormat="1" ht="12" hidden="1" customHeight="1">
      <c r="A357" s="53"/>
      <c r="B357" s="758" t="s">
        <v>140</v>
      </c>
      <c r="C357" s="759">
        <v>12</v>
      </c>
      <c r="D357" s="760" t="s">
        <v>96</v>
      </c>
      <c r="E357" s="761" t="s">
        <v>354</v>
      </c>
      <c r="F357" s="1506" t="s">
        <v>3071</v>
      </c>
      <c r="G357" s="761" t="s">
        <v>1616</v>
      </c>
      <c r="H357" s="761" t="s">
        <v>3720</v>
      </c>
      <c r="I357" s="761" t="s">
        <v>3721</v>
      </c>
      <c r="J357" s="1054"/>
      <c r="K357" s="762">
        <v>21000000</v>
      </c>
      <c r="L357" s="762">
        <f t="shared" si="123"/>
        <v>2100000</v>
      </c>
      <c r="M357" s="1054"/>
      <c r="N357" s="763">
        <f t="shared" si="124"/>
        <v>23100000</v>
      </c>
      <c r="O357" s="1202"/>
      <c r="P357" s="1202"/>
      <c r="Q357" s="175"/>
      <c r="R357" s="175"/>
      <c r="S357" s="116"/>
      <c r="T357" s="116"/>
      <c r="U357" s="116"/>
      <c r="V357" s="210"/>
      <c r="W357" s="115"/>
      <c r="X357" s="181"/>
      <c r="Y357" s="116"/>
      <c r="Z357" s="185"/>
      <c r="AA357" s="592"/>
      <c r="AB357" s="186"/>
      <c r="AC357" s="9"/>
      <c r="AD357" s="297"/>
      <c r="AE357" s="297"/>
      <c r="AF357" s="9"/>
      <c r="AG357" s="9"/>
      <c r="AH357" s="300"/>
      <c r="AI357" s="9"/>
      <c r="AJ357" s="300"/>
      <c r="AK357" s="73"/>
    </row>
    <row r="358" spans="1:37" s="114" customFormat="1" ht="12" hidden="1" customHeight="1">
      <c r="A358" s="53"/>
      <c r="B358" s="758" t="s">
        <v>140</v>
      </c>
      <c r="C358" s="759">
        <v>12</v>
      </c>
      <c r="D358" s="760" t="s">
        <v>96</v>
      </c>
      <c r="E358" s="761" t="s">
        <v>354</v>
      </c>
      <c r="F358" s="1506" t="s">
        <v>3722</v>
      </c>
      <c r="G358" s="761" t="s">
        <v>3723</v>
      </c>
      <c r="H358" s="761" t="s">
        <v>3724</v>
      </c>
      <c r="I358" s="761" t="s">
        <v>3725</v>
      </c>
      <c r="J358" s="1054"/>
      <c r="K358" s="762">
        <v>58000000</v>
      </c>
      <c r="L358" s="762">
        <f t="shared" si="123"/>
        <v>5800000</v>
      </c>
      <c r="M358" s="1054"/>
      <c r="N358" s="763">
        <f t="shared" si="124"/>
        <v>63800000</v>
      </c>
      <c r="O358" s="1202"/>
      <c r="P358" s="1202"/>
      <c r="Q358" s="175"/>
      <c r="R358" s="175"/>
      <c r="S358" s="116"/>
      <c r="T358" s="116"/>
      <c r="U358" s="116"/>
      <c r="V358" s="210"/>
      <c r="W358" s="115"/>
      <c r="X358" s="181"/>
      <c r="Y358" s="116"/>
      <c r="Z358" s="185"/>
      <c r="AA358" s="592"/>
      <c r="AB358" s="186"/>
      <c r="AC358" s="9"/>
      <c r="AD358" s="297"/>
      <c r="AE358" s="297"/>
      <c r="AF358" s="9"/>
      <c r="AG358" s="9"/>
      <c r="AH358" s="300"/>
      <c r="AI358" s="9"/>
      <c r="AJ358" s="300"/>
      <c r="AK358" s="73"/>
    </row>
    <row r="359" spans="1:37" s="114" customFormat="1" ht="12" hidden="1" customHeight="1">
      <c r="A359" s="53"/>
      <c r="B359" s="53" t="s">
        <v>194</v>
      </c>
      <c r="C359" s="9">
        <v>9</v>
      </c>
      <c r="D359" s="8" t="s">
        <v>206</v>
      </c>
      <c r="E359" s="10" t="s">
        <v>354</v>
      </c>
      <c r="F359" s="356"/>
      <c r="G359" s="10"/>
      <c r="H359" s="10" t="s">
        <v>1822</v>
      </c>
      <c r="I359" s="10" t="s">
        <v>1826</v>
      </c>
      <c r="J359" s="658">
        <v>0</v>
      </c>
      <c r="K359" s="116">
        <v>22000000</v>
      </c>
      <c r="L359" s="116">
        <f t="shared" si="115"/>
        <v>2200000</v>
      </c>
      <c r="M359" s="658">
        <v>0</v>
      </c>
      <c r="N359" s="189">
        <f t="shared" si="116"/>
        <v>24200000</v>
      </c>
      <c r="O359" s="197" t="s">
        <v>195</v>
      </c>
      <c r="P359" s="197" t="s">
        <v>105</v>
      </c>
      <c r="Q359" s="175"/>
      <c r="R359" s="175"/>
      <c r="S359" s="116">
        <v>0</v>
      </c>
      <c r="T359" s="116">
        <f t="shared" ref="T359:T370" si="125">-K359*2%</f>
        <v>-440000</v>
      </c>
      <c r="U359" s="116">
        <v>23760000</v>
      </c>
      <c r="V359" s="210">
        <f t="shared" si="118"/>
        <v>0</v>
      </c>
      <c r="W359" s="115">
        <f t="shared" si="101"/>
        <v>0</v>
      </c>
      <c r="X359" s="181" t="s">
        <v>237</v>
      </c>
      <c r="Y359" s="116"/>
      <c r="Z359" s="185"/>
      <c r="AA359" s="592">
        <f>-S359-Z359</f>
        <v>0</v>
      </c>
      <c r="AB359" s="186"/>
      <c r="AC359" s="300">
        <v>42750</v>
      </c>
      <c r="AD359" s="297">
        <v>440000</v>
      </c>
      <c r="AE359" s="297">
        <f t="shared" si="51"/>
        <v>0</v>
      </c>
      <c r="AF359" s="9" t="s">
        <v>2201</v>
      </c>
      <c r="AG359" s="9" t="s">
        <v>1395</v>
      </c>
      <c r="AH359" s="300">
        <v>42747</v>
      </c>
      <c r="AI359" s="9" t="s">
        <v>1426</v>
      </c>
      <c r="AJ359" s="300">
        <v>42747</v>
      </c>
      <c r="AK359" s="73" t="str">
        <f t="shared" si="98"/>
        <v>HUTAN KETAPANG INDUSTRI, PTFEB</v>
      </c>
    </row>
    <row r="360" spans="1:37" s="114" customFormat="1" ht="12" hidden="1" customHeight="1">
      <c r="A360" s="53"/>
      <c r="B360" s="53" t="s">
        <v>194</v>
      </c>
      <c r="C360" s="9">
        <v>9</v>
      </c>
      <c r="D360" s="8" t="s">
        <v>206</v>
      </c>
      <c r="E360" s="10" t="s">
        <v>354</v>
      </c>
      <c r="F360" s="356"/>
      <c r="G360" s="10"/>
      <c r="H360" s="10" t="s">
        <v>1823</v>
      </c>
      <c r="I360" s="10" t="s">
        <v>1827</v>
      </c>
      <c r="J360" s="658">
        <v>0</v>
      </c>
      <c r="K360" s="116">
        <v>22000000</v>
      </c>
      <c r="L360" s="116">
        <f t="shared" si="115"/>
        <v>2200000</v>
      </c>
      <c r="M360" s="658">
        <v>0</v>
      </c>
      <c r="N360" s="189">
        <f t="shared" si="116"/>
        <v>24200000</v>
      </c>
      <c r="O360" s="197" t="s">
        <v>195</v>
      </c>
      <c r="P360" s="197" t="s">
        <v>105</v>
      </c>
      <c r="Q360" s="175"/>
      <c r="R360" s="175"/>
      <c r="S360" s="116">
        <v>0</v>
      </c>
      <c r="T360" s="116">
        <f t="shared" si="125"/>
        <v>-440000</v>
      </c>
      <c r="U360" s="116">
        <v>23760000</v>
      </c>
      <c r="V360" s="210">
        <f t="shared" si="118"/>
        <v>0</v>
      </c>
      <c r="W360" s="115">
        <f t="shared" si="101"/>
        <v>0</v>
      </c>
      <c r="X360" s="181" t="s">
        <v>237</v>
      </c>
      <c r="Y360" s="116"/>
      <c r="Z360" s="185"/>
      <c r="AA360" s="592">
        <f>-S360-Z360</f>
        <v>0</v>
      </c>
      <c r="AB360" s="186"/>
      <c r="AC360" s="300">
        <v>42750</v>
      </c>
      <c r="AD360" s="297">
        <v>440000</v>
      </c>
      <c r="AE360" s="297">
        <f t="shared" si="51"/>
        <v>0</v>
      </c>
      <c r="AF360" s="9" t="s">
        <v>2202</v>
      </c>
      <c r="AG360" s="9" t="s">
        <v>1395</v>
      </c>
      <c r="AH360" s="300">
        <v>42747</v>
      </c>
      <c r="AI360" s="9" t="s">
        <v>1426</v>
      </c>
      <c r="AJ360" s="300">
        <v>42747</v>
      </c>
      <c r="AK360" s="73" t="str">
        <f t="shared" si="98"/>
        <v>HUTAN KETAPANG INDUSTRI, PTFEB</v>
      </c>
    </row>
    <row r="361" spans="1:37" s="114" customFormat="1" ht="12" hidden="1" customHeight="1">
      <c r="A361" s="53"/>
      <c r="B361" s="53" t="s">
        <v>194</v>
      </c>
      <c r="C361" s="9">
        <v>9</v>
      </c>
      <c r="D361" s="8" t="s">
        <v>206</v>
      </c>
      <c r="E361" s="10" t="s">
        <v>354</v>
      </c>
      <c r="F361" s="356"/>
      <c r="G361" s="10"/>
      <c r="H361" s="10" t="s">
        <v>1824</v>
      </c>
      <c r="I361" s="10" t="s">
        <v>1828</v>
      </c>
      <c r="J361" s="658">
        <v>0</v>
      </c>
      <c r="K361" s="116">
        <v>22000000</v>
      </c>
      <c r="L361" s="116">
        <f t="shared" si="115"/>
        <v>2200000</v>
      </c>
      <c r="M361" s="658">
        <v>0</v>
      </c>
      <c r="N361" s="189">
        <f>K361+L361</f>
        <v>24200000</v>
      </c>
      <c r="O361" s="197" t="s">
        <v>195</v>
      </c>
      <c r="P361" s="197" t="s">
        <v>105</v>
      </c>
      <c r="Q361" s="175"/>
      <c r="R361" s="175"/>
      <c r="S361" s="116">
        <v>0</v>
      </c>
      <c r="T361" s="116">
        <f t="shared" si="125"/>
        <v>-440000</v>
      </c>
      <c r="U361" s="116">
        <v>23760000</v>
      </c>
      <c r="V361" s="210">
        <f t="shared" si="118"/>
        <v>0</v>
      </c>
      <c r="W361" s="115">
        <f t="shared" si="101"/>
        <v>0</v>
      </c>
      <c r="X361" s="181" t="s">
        <v>237</v>
      </c>
      <c r="Y361" s="116"/>
      <c r="Z361" s="185"/>
      <c r="AA361" s="592">
        <f>-S361-Z361</f>
        <v>0</v>
      </c>
      <c r="AB361" s="186"/>
      <c r="AC361" s="300">
        <v>42750</v>
      </c>
      <c r="AD361" s="297">
        <v>440000</v>
      </c>
      <c r="AE361" s="297">
        <f t="shared" si="51"/>
        <v>0</v>
      </c>
      <c r="AF361" s="9" t="s">
        <v>2203</v>
      </c>
      <c r="AG361" s="9" t="s">
        <v>1395</v>
      </c>
      <c r="AH361" s="300">
        <v>42747</v>
      </c>
      <c r="AI361" s="9" t="s">
        <v>1426</v>
      </c>
      <c r="AJ361" s="300">
        <v>42747</v>
      </c>
      <c r="AK361" s="73" t="str">
        <f t="shared" si="98"/>
        <v>HUTAN KETAPANG INDUSTRI, PTFEB</v>
      </c>
    </row>
    <row r="362" spans="1:37" s="114" customFormat="1" ht="12" hidden="1" customHeight="1">
      <c r="A362" s="53"/>
      <c r="B362" s="53" t="s">
        <v>194</v>
      </c>
      <c r="C362" s="9">
        <v>9</v>
      </c>
      <c r="D362" s="8" t="s">
        <v>206</v>
      </c>
      <c r="E362" s="10" t="s">
        <v>354</v>
      </c>
      <c r="F362" s="356"/>
      <c r="G362" s="10"/>
      <c r="H362" s="10" t="s">
        <v>1825</v>
      </c>
      <c r="I362" s="10" t="s">
        <v>1829</v>
      </c>
      <c r="J362" s="658">
        <v>0</v>
      </c>
      <c r="K362" s="116">
        <v>22000000</v>
      </c>
      <c r="L362" s="116">
        <f t="shared" si="115"/>
        <v>2200000</v>
      </c>
      <c r="M362" s="658">
        <v>0</v>
      </c>
      <c r="N362" s="189">
        <f t="shared" si="116"/>
        <v>24200000</v>
      </c>
      <c r="O362" s="197" t="s">
        <v>195</v>
      </c>
      <c r="P362" s="197" t="s">
        <v>105</v>
      </c>
      <c r="Q362" s="175"/>
      <c r="R362" s="175"/>
      <c r="S362" s="116">
        <v>0</v>
      </c>
      <c r="T362" s="116">
        <f t="shared" si="125"/>
        <v>-440000</v>
      </c>
      <c r="U362" s="116">
        <v>23760000</v>
      </c>
      <c r="V362" s="210">
        <f t="shared" si="118"/>
        <v>0</v>
      </c>
      <c r="W362" s="115">
        <f t="shared" si="101"/>
        <v>0</v>
      </c>
      <c r="X362" s="181" t="s">
        <v>237</v>
      </c>
      <c r="Y362" s="116"/>
      <c r="Z362" s="185"/>
      <c r="AA362" s="592">
        <f>-S362-Z362</f>
        <v>0</v>
      </c>
      <c r="AB362" s="186"/>
      <c r="AC362" s="300">
        <v>42750</v>
      </c>
      <c r="AD362" s="297">
        <v>440000</v>
      </c>
      <c r="AE362" s="297">
        <f t="shared" si="51"/>
        <v>0</v>
      </c>
      <c r="AF362" s="9" t="s">
        <v>2204</v>
      </c>
      <c r="AG362" s="9" t="s">
        <v>1395</v>
      </c>
      <c r="AH362" s="300">
        <v>42747</v>
      </c>
      <c r="AI362" s="9" t="s">
        <v>1426</v>
      </c>
      <c r="AJ362" s="300">
        <v>42747</v>
      </c>
      <c r="AK362" s="73" t="str">
        <f t="shared" si="98"/>
        <v>HUTAN KETAPANG INDUSTRI, PTFEB</v>
      </c>
    </row>
    <row r="363" spans="1:37" s="114" customFormat="1" ht="12" hidden="1" customHeight="1">
      <c r="A363" s="53"/>
      <c r="B363" s="53" t="s">
        <v>195</v>
      </c>
      <c r="C363" s="9">
        <v>1</v>
      </c>
      <c r="D363" s="8" t="s">
        <v>206</v>
      </c>
      <c r="E363" s="10" t="s">
        <v>354</v>
      </c>
      <c r="F363" s="356"/>
      <c r="G363" s="10"/>
      <c r="H363" s="10" t="s">
        <v>2002</v>
      </c>
      <c r="I363" s="10" t="s">
        <v>2003</v>
      </c>
      <c r="J363" s="658">
        <v>0</v>
      </c>
      <c r="K363" s="116">
        <v>22000000</v>
      </c>
      <c r="L363" s="116">
        <f t="shared" si="115"/>
        <v>2200000</v>
      </c>
      <c r="M363" s="658">
        <v>0</v>
      </c>
      <c r="N363" s="189">
        <f t="shared" si="116"/>
        <v>24200000</v>
      </c>
      <c r="O363" s="197" t="s">
        <v>239</v>
      </c>
      <c r="P363" s="197" t="s">
        <v>116</v>
      </c>
      <c r="Q363" s="175"/>
      <c r="R363" s="175"/>
      <c r="S363" s="116">
        <v>0</v>
      </c>
      <c r="T363" s="116">
        <f t="shared" si="125"/>
        <v>-440000</v>
      </c>
      <c r="U363" s="116">
        <v>23760000</v>
      </c>
      <c r="V363" s="210">
        <f t="shared" si="118"/>
        <v>0</v>
      </c>
      <c r="W363" s="115">
        <f t="shared" si="101"/>
        <v>0</v>
      </c>
      <c r="X363" s="181" t="s">
        <v>237</v>
      </c>
      <c r="Y363" s="116"/>
      <c r="Z363" s="185"/>
      <c r="AA363" s="592"/>
      <c r="AB363" s="186"/>
      <c r="AC363" s="300">
        <v>42786</v>
      </c>
      <c r="AD363" s="297">
        <v>440000</v>
      </c>
      <c r="AE363" s="297">
        <f t="shared" si="51"/>
        <v>0</v>
      </c>
      <c r="AF363" s="9" t="s">
        <v>2391</v>
      </c>
      <c r="AG363" s="9" t="s">
        <v>1395</v>
      </c>
      <c r="AH363" s="300">
        <v>42769</v>
      </c>
      <c r="AI363" s="9" t="s">
        <v>2035</v>
      </c>
      <c r="AJ363" s="300">
        <v>42772</v>
      </c>
      <c r="AK363" s="73" t="str">
        <f t="shared" si="98"/>
        <v>HUTAN KETAPANG INDUSTRI, PTMAR</v>
      </c>
    </row>
    <row r="364" spans="1:37" s="114" customFormat="1" ht="12" hidden="1" customHeight="1">
      <c r="A364" s="53"/>
      <c r="B364" s="53" t="s">
        <v>195</v>
      </c>
      <c r="C364" s="9">
        <v>1</v>
      </c>
      <c r="D364" s="8" t="s">
        <v>206</v>
      </c>
      <c r="E364" s="10" t="s">
        <v>354</v>
      </c>
      <c r="F364" s="356"/>
      <c r="G364" s="10"/>
      <c r="H364" s="10" t="s">
        <v>2004</v>
      </c>
      <c r="I364" s="10" t="s">
        <v>2007</v>
      </c>
      <c r="J364" s="658">
        <v>0</v>
      </c>
      <c r="K364" s="116">
        <v>22000000</v>
      </c>
      <c r="L364" s="116">
        <f t="shared" si="115"/>
        <v>2200000</v>
      </c>
      <c r="M364" s="658">
        <v>0</v>
      </c>
      <c r="N364" s="189">
        <f t="shared" si="116"/>
        <v>24200000</v>
      </c>
      <c r="O364" s="197" t="s">
        <v>239</v>
      </c>
      <c r="P364" s="197" t="s">
        <v>116</v>
      </c>
      <c r="Q364" s="175"/>
      <c r="R364" s="175"/>
      <c r="S364" s="116">
        <v>0</v>
      </c>
      <c r="T364" s="116">
        <f t="shared" si="125"/>
        <v>-440000</v>
      </c>
      <c r="U364" s="116">
        <v>23760000</v>
      </c>
      <c r="V364" s="210">
        <f t="shared" si="118"/>
        <v>0</v>
      </c>
      <c r="W364" s="115">
        <f t="shared" si="101"/>
        <v>0</v>
      </c>
      <c r="X364" s="181" t="s">
        <v>237</v>
      </c>
      <c r="Y364" s="116"/>
      <c r="Z364" s="185"/>
      <c r="AA364" s="592"/>
      <c r="AB364" s="186"/>
      <c r="AC364" s="300">
        <v>42786</v>
      </c>
      <c r="AD364" s="297">
        <v>440000</v>
      </c>
      <c r="AE364" s="297">
        <f t="shared" ref="AE364:AE477" si="126">-T364-AD364</f>
        <v>0</v>
      </c>
      <c r="AF364" s="9" t="s">
        <v>2392</v>
      </c>
      <c r="AG364" s="9" t="s">
        <v>1395</v>
      </c>
      <c r="AH364" s="300">
        <v>42769</v>
      </c>
      <c r="AI364" s="9" t="s">
        <v>2035</v>
      </c>
      <c r="AJ364" s="300">
        <v>42772</v>
      </c>
      <c r="AK364" s="73" t="str">
        <f t="shared" si="98"/>
        <v>HUTAN KETAPANG INDUSTRI, PTMAR</v>
      </c>
    </row>
    <row r="365" spans="1:37" s="114" customFormat="1" ht="12" hidden="1" customHeight="1">
      <c r="A365" s="53"/>
      <c r="B365" s="53" t="s">
        <v>195</v>
      </c>
      <c r="C365" s="9">
        <v>1</v>
      </c>
      <c r="D365" s="8" t="s">
        <v>206</v>
      </c>
      <c r="E365" s="10" t="s">
        <v>354</v>
      </c>
      <c r="F365" s="356"/>
      <c r="G365" s="10"/>
      <c r="H365" s="10" t="s">
        <v>2005</v>
      </c>
      <c r="I365" s="10" t="s">
        <v>2008</v>
      </c>
      <c r="J365" s="658">
        <v>0</v>
      </c>
      <c r="K365" s="116">
        <v>22000000</v>
      </c>
      <c r="L365" s="116">
        <f t="shared" si="115"/>
        <v>2200000</v>
      </c>
      <c r="M365" s="658">
        <v>0</v>
      </c>
      <c r="N365" s="189">
        <f t="shared" si="116"/>
        <v>24200000</v>
      </c>
      <c r="O365" s="197" t="s">
        <v>239</v>
      </c>
      <c r="P365" s="197" t="s">
        <v>116</v>
      </c>
      <c r="Q365" s="175"/>
      <c r="R365" s="175"/>
      <c r="S365" s="116">
        <v>0</v>
      </c>
      <c r="T365" s="116">
        <f t="shared" si="125"/>
        <v>-440000</v>
      </c>
      <c r="U365" s="116">
        <v>23760000</v>
      </c>
      <c r="V365" s="210">
        <f t="shared" si="118"/>
        <v>0</v>
      </c>
      <c r="W365" s="115">
        <f t="shared" si="101"/>
        <v>0</v>
      </c>
      <c r="X365" s="181" t="s">
        <v>237</v>
      </c>
      <c r="Y365" s="116"/>
      <c r="Z365" s="185"/>
      <c r="AA365" s="592"/>
      <c r="AB365" s="186"/>
      <c r="AC365" s="300">
        <v>42786</v>
      </c>
      <c r="AD365" s="297">
        <v>440000</v>
      </c>
      <c r="AE365" s="297">
        <f t="shared" si="126"/>
        <v>0</v>
      </c>
      <c r="AF365" s="9" t="s">
        <v>2393</v>
      </c>
      <c r="AG365" s="9" t="s">
        <v>1395</v>
      </c>
      <c r="AH365" s="300">
        <v>42769</v>
      </c>
      <c r="AI365" s="9" t="s">
        <v>2035</v>
      </c>
      <c r="AJ365" s="300">
        <v>42772</v>
      </c>
      <c r="AK365" s="73" t="str">
        <f t="shared" si="98"/>
        <v>HUTAN KETAPANG INDUSTRI, PTMAR</v>
      </c>
    </row>
    <row r="366" spans="1:37" s="114" customFormat="1" ht="12" hidden="1" customHeight="1">
      <c r="A366" s="53"/>
      <c r="B366" s="53" t="s">
        <v>195</v>
      </c>
      <c r="C366" s="9">
        <v>1</v>
      </c>
      <c r="D366" s="8" t="s">
        <v>206</v>
      </c>
      <c r="E366" s="10" t="s">
        <v>354</v>
      </c>
      <c r="F366" s="356"/>
      <c r="G366" s="10"/>
      <c r="H366" s="10" t="s">
        <v>2006</v>
      </c>
      <c r="I366" s="10" t="s">
        <v>2009</v>
      </c>
      <c r="J366" s="658">
        <v>0</v>
      </c>
      <c r="K366" s="116">
        <v>22000000</v>
      </c>
      <c r="L366" s="116">
        <f t="shared" si="115"/>
        <v>2200000</v>
      </c>
      <c r="M366" s="658">
        <v>0</v>
      </c>
      <c r="N366" s="189">
        <f t="shared" si="116"/>
        <v>24200000</v>
      </c>
      <c r="O366" s="197" t="s">
        <v>239</v>
      </c>
      <c r="P366" s="197" t="s">
        <v>116</v>
      </c>
      <c r="Q366" s="175"/>
      <c r="R366" s="175"/>
      <c r="S366" s="116">
        <v>0</v>
      </c>
      <c r="T366" s="116">
        <f t="shared" si="125"/>
        <v>-440000</v>
      </c>
      <c r="U366" s="116">
        <v>23760000</v>
      </c>
      <c r="V366" s="210">
        <f t="shared" si="118"/>
        <v>0</v>
      </c>
      <c r="W366" s="115">
        <f t="shared" si="101"/>
        <v>0</v>
      </c>
      <c r="X366" s="181" t="s">
        <v>237</v>
      </c>
      <c r="Y366" s="116"/>
      <c r="Z366" s="185"/>
      <c r="AA366" s="592"/>
      <c r="AB366" s="186"/>
      <c r="AC366" s="300">
        <v>42786</v>
      </c>
      <c r="AD366" s="297">
        <v>440000</v>
      </c>
      <c r="AE366" s="297">
        <f t="shared" si="126"/>
        <v>0</v>
      </c>
      <c r="AF366" s="9" t="s">
        <v>2394</v>
      </c>
      <c r="AG366" s="9" t="s">
        <v>1395</v>
      </c>
      <c r="AH366" s="300">
        <v>42769</v>
      </c>
      <c r="AI366" s="9" t="s">
        <v>2035</v>
      </c>
      <c r="AJ366" s="300">
        <v>42772</v>
      </c>
      <c r="AK366" s="73" t="str">
        <f t="shared" si="98"/>
        <v>HUTAN KETAPANG INDUSTRI, PTMAR</v>
      </c>
    </row>
    <row r="367" spans="1:37" s="114" customFormat="1" ht="12" hidden="1" customHeight="1">
      <c r="A367" s="53"/>
      <c r="B367" s="53" t="s">
        <v>239</v>
      </c>
      <c r="C367" s="9">
        <v>1</v>
      </c>
      <c r="D367" s="8" t="s">
        <v>206</v>
      </c>
      <c r="E367" s="10" t="s">
        <v>354</v>
      </c>
      <c r="F367" s="356"/>
      <c r="G367" s="10"/>
      <c r="H367" s="10" t="s">
        <v>2123</v>
      </c>
      <c r="I367" s="10" t="s">
        <v>2127</v>
      </c>
      <c r="J367" s="658">
        <v>0</v>
      </c>
      <c r="K367" s="116">
        <v>22000000</v>
      </c>
      <c r="L367" s="116">
        <f t="shared" si="115"/>
        <v>2200000</v>
      </c>
      <c r="M367" s="658">
        <v>0</v>
      </c>
      <c r="N367" s="189">
        <f t="shared" si="116"/>
        <v>24200000</v>
      </c>
      <c r="O367" s="197" t="s">
        <v>239</v>
      </c>
      <c r="P367" s="197" t="s">
        <v>66</v>
      </c>
      <c r="Q367" s="175"/>
      <c r="R367" s="175"/>
      <c r="S367" s="116">
        <v>0</v>
      </c>
      <c r="T367" s="116">
        <f t="shared" si="125"/>
        <v>-440000</v>
      </c>
      <c r="U367" s="116">
        <v>23760000</v>
      </c>
      <c r="V367" s="210">
        <f t="shared" si="118"/>
        <v>0</v>
      </c>
      <c r="W367" s="115">
        <f t="shared" si="101"/>
        <v>0</v>
      </c>
      <c r="X367" s="181" t="s">
        <v>237</v>
      </c>
      <c r="Y367" s="116"/>
      <c r="Z367" s="185"/>
      <c r="AA367" s="592"/>
      <c r="AB367" s="186"/>
      <c r="AC367" s="300">
        <v>42814</v>
      </c>
      <c r="AD367" s="297">
        <v>440000</v>
      </c>
      <c r="AE367" s="297">
        <f t="shared" si="126"/>
        <v>0</v>
      </c>
      <c r="AF367" s="9" t="s">
        <v>2395</v>
      </c>
      <c r="AG367" s="9" t="s">
        <v>1395</v>
      </c>
      <c r="AH367" s="300">
        <v>42796</v>
      </c>
      <c r="AI367" s="9" t="s">
        <v>1426</v>
      </c>
      <c r="AJ367" s="300">
        <v>42796</v>
      </c>
      <c r="AK367" s="73" t="str">
        <f t="shared" si="98"/>
        <v>HUTAN KETAPANG INDUSTRI, PTMAR</v>
      </c>
    </row>
    <row r="368" spans="1:37" s="114" customFormat="1" ht="12" hidden="1" customHeight="1">
      <c r="A368" s="53"/>
      <c r="B368" s="53" t="s">
        <v>239</v>
      </c>
      <c r="C368" s="9">
        <v>1</v>
      </c>
      <c r="D368" s="8" t="s">
        <v>206</v>
      </c>
      <c r="E368" s="10" t="s">
        <v>354</v>
      </c>
      <c r="F368" s="356"/>
      <c r="G368" s="10"/>
      <c r="H368" s="10" t="s">
        <v>2124</v>
      </c>
      <c r="I368" s="10" t="s">
        <v>2128</v>
      </c>
      <c r="J368" s="658">
        <v>0</v>
      </c>
      <c r="K368" s="116">
        <v>22000000</v>
      </c>
      <c r="L368" s="116">
        <f t="shared" si="115"/>
        <v>2200000</v>
      </c>
      <c r="M368" s="658">
        <v>0</v>
      </c>
      <c r="N368" s="189">
        <f t="shared" si="116"/>
        <v>24200000</v>
      </c>
      <c r="O368" s="197" t="s">
        <v>239</v>
      </c>
      <c r="P368" s="197" t="s">
        <v>66</v>
      </c>
      <c r="Q368" s="175"/>
      <c r="R368" s="175"/>
      <c r="S368" s="116">
        <v>0</v>
      </c>
      <c r="T368" s="116">
        <f t="shared" si="125"/>
        <v>-440000</v>
      </c>
      <c r="U368" s="116">
        <v>23760000</v>
      </c>
      <c r="V368" s="210">
        <f t="shared" si="118"/>
        <v>0</v>
      </c>
      <c r="W368" s="115">
        <f t="shared" si="101"/>
        <v>0</v>
      </c>
      <c r="X368" s="181" t="s">
        <v>237</v>
      </c>
      <c r="Y368" s="116"/>
      <c r="Z368" s="185"/>
      <c r="AA368" s="592"/>
      <c r="AB368" s="186"/>
      <c r="AC368" s="300">
        <v>42814</v>
      </c>
      <c r="AD368" s="297">
        <v>440000</v>
      </c>
      <c r="AE368" s="297">
        <f t="shared" si="126"/>
        <v>0</v>
      </c>
      <c r="AF368" s="9" t="s">
        <v>2396</v>
      </c>
      <c r="AG368" s="9" t="s">
        <v>1395</v>
      </c>
      <c r="AH368" s="300">
        <v>42796</v>
      </c>
      <c r="AI368" s="9" t="s">
        <v>1426</v>
      </c>
      <c r="AJ368" s="300">
        <v>42796</v>
      </c>
      <c r="AK368" s="73" t="str">
        <f t="shared" si="98"/>
        <v>HUTAN KETAPANG INDUSTRI, PTMAR</v>
      </c>
    </row>
    <row r="369" spans="1:37" s="114" customFormat="1" ht="12" hidden="1" customHeight="1">
      <c r="A369" s="53"/>
      <c r="B369" s="53" t="s">
        <v>239</v>
      </c>
      <c r="C369" s="9">
        <v>1</v>
      </c>
      <c r="D369" s="8" t="s">
        <v>206</v>
      </c>
      <c r="E369" s="10" t="s">
        <v>354</v>
      </c>
      <c r="F369" s="356"/>
      <c r="G369" s="10"/>
      <c r="H369" s="10" t="s">
        <v>2125</v>
      </c>
      <c r="I369" s="10" t="s">
        <v>2129</v>
      </c>
      <c r="J369" s="658">
        <v>0</v>
      </c>
      <c r="K369" s="116">
        <v>22000000</v>
      </c>
      <c r="L369" s="116">
        <f t="shared" si="115"/>
        <v>2200000</v>
      </c>
      <c r="M369" s="658">
        <v>0</v>
      </c>
      <c r="N369" s="189">
        <f t="shared" si="116"/>
        <v>24200000</v>
      </c>
      <c r="O369" s="197" t="s">
        <v>239</v>
      </c>
      <c r="P369" s="197" t="s">
        <v>66</v>
      </c>
      <c r="Q369" s="175"/>
      <c r="R369" s="175"/>
      <c r="S369" s="116">
        <v>0</v>
      </c>
      <c r="T369" s="116">
        <f t="shared" si="125"/>
        <v>-440000</v>
      </c>
      <c r="U369" s="116">
        <v>23760000</v>
      </c>
      <c r="V369" s="210">
        <f t="shared" si="118"/>
        <v>0</v>
      </c>
      <c r="W369" s="115">
        <f t="shared" si="101"/>
        <v>0</v>
      </c>
      <c r="X369" s="181" t="s">
        <v>237</v>
      </c>
      <c r="Y369" s="116"/>
      <c r="Z369" s="185"/>
      <c r="AA369" s="592"/>
      <c r="AB369" s="186"/>
      <c r="AC369" s="300">
        <v>42814</v>
      </c>
      <c r="AD369" s="297">
        <v>440000</v>
      </c>
      <c r="AE369" s="297">
        <f t="shared" si="126"/>
        <v>0</v>
      </c>
      <c r="AF369" s="9" t="s">
        <v>2397</v>
      </c>
      <c r="AG369" s="9" t="s">
        <v>1395</v>
      </c>
      <c r="AH369" s="300">
        <v>42796</v>
      </c>
      <c r="AI369" s="9" t="s">
        <v>1426</v>
      </c>
      <c r="AJ369" s="300">
        <v>42796</v>
      </c>
      <c r="AK369" s="73" t="str">
        <f t="shared" si="98"/>
        <v>HUTAN KETAPANG INDUSTRI, PTMAR</v>
      </c>
    </row>
    <row r="370" spans="1:37" s="114" customFormat="1" ht="12" hidden="1" customHeight="1">
      <c r="A370" s="53"/>
      <c r="B370" s="53" t="s">
        <v>239</v>
      </c>
      <c r="C370" s="9">
        <v>1</v>
      </c>
      <c r="D370" s="8" t="s">
        <v>206</v>
      </c>
      <c r="E370" s="10" t="s">
        <v>354</v>
      </c>
      <c r="F370" s="356"/>
      <c r="G370" s="10"/>
      <c r="H370" s="10" t="s">
        <v>2126</v>
      </c>
      <c r="I370" s="10" t="s">
        <v>2130</v>
      </c>
      <c r="J370" s="658">
        <v>0</v>
      </c>
      <c r="K370" s="116">
        <v>22000000</v>
      </c>
      <c r="L370" s="116">
        <f t="shared" si="115"/>
        <v>2200000</v>
      </c>
      <c r="M370" s="658">
        <v>0</v>
      </c>
      <c r="N370" s="189">
        <f t="shared" si="116"/>
        <v>24200000</v>
      </c>
      <c r="O370" s="197" t="s">
        <v>239</v>
      </c>
      <c r="P370" s="197" t="s">
        <v>66</v>
      </c>
      <c r="Q370" s="175"/>
      <c r="R370" s="175"/>
      <c r="S370" s="116">
        <v>0</v>
      </c>
      <c r="T370" s="116">
        <f t="shared" si="125"/>
        <v>-440000</v>
      </c>
      <c r="U370" s="116">
        <v>23760000</v>
      </c>
      <c r="V370" s="210">
        <f t="shared" si="118"/>
        <v>0</v>
      </c>
      <c r="W370" s="115">
        <f t="shared" si="101"/>
        <v>0</v>
      </c>
      <c r="X370" s="181" t="s">
        <v>237</v>
      </c>
      <c r="Y370" s="116"/>
      <c r="Z370" s="185"/>
      <c r="AA370" s="592"/>
      <c r="AB370" s="186"/>
      <c r="AC370" s="300">
        <v>42814</v>
      </c>
      <c r="AD370" s="297">
        <v>440000</v>
      </c>
      <c r="AE370" s="297">
        <f t="shared" si="126"/>
        <v>0</v>
      </c>
      <c r="AF370" s="9" t="s">
        <v>2398</v>
      </c>
      <c r="AG370" s="9" t="s">
        <v>1395</v>
      </c>
      <c r="AH370" s="300">
        <v>42796</v>
      </c>
      <c r="AI370" s="9" t="s">
        <v>1426</v>
      </c>
      <c r="AJ370" s="300">
        <v>42796</v>
      </c>
      <c r="AK370" s="73" t="str">
        <f t="shared" si="98"/>
        <v>HUTAN KETAPANG INDUSTRI, PTMAR</v>
      </c>
    </row>
    <row r="371" spans="1:37" s="114" customFormat="1" ht="12" hidden="1" customHeight="1">
      <c r="A371" s="53"/>
      <c r="B371" s="53" t="s">
        <v>240</v>
      </c>
      <c r="C371" s="9">
        <v>3</v>
      </c>
      <c r="D371" s="8" t="s">
        <v>206</v>
      </c>
      <c r="E371" s="10" t="s">
        <v>354</v>
      </c>
      <c r="F371" s="356"/>
      <c r="G371" s="10"/>
      <c r="H371" s="10" t="s">
        <v>2265</v>
      </c>
      <c r="I371" s="10" t="s">
        <v>2266</v>
      </c>
      <c r="J371" s="658">
        <v>0</v>
      </c>
      <c r="K371" s="116">
        <v>22000000</v>
      </c>
      <c r="L371" s="116">
        <f t="shared" ref="L371:L379" si="127">K371*10%</f>
        <v>2200000</v>
      </c>
      <c r="M371" s="658">
        <v>0</v>
      </c>
      <c r="N371" s="189">
        <f>K371+L371</f>
        <v>24200000</v>
      </c>
      <c r="O371" s="197" t="s">
        <v>58</v>
      </c>
      <c r="P371" s="197" t="s">
        <v>42</v>
      </c>
      <c r="Q371" s="175"/>
      <c r="R371" s="175"/>
      <c r="S371" s="116">
        <v>0</v>
      </c>
      <c r="T371" s="116">
        <f>-K371*2%</f>
        <v>-440000</v>
      </c>
      <c r="U371" s="116">
        <v>23760000</v>
      </c>
      <c r="V371" s="210">
        <f t="shared" si="118"/>
        <v>0</v>
      </c>
      <c r="W371" s="115">
        <f t="shared" si="101"/>
        <v>0</v>
      </c>
      <c r="X371" s="181" t="s">
        <v>237</v>
      </c>
      <c r="Y371" s="116"/>
      <c r="Z371" s="185"/>
      <c r="AA371" s="592"/>
      <c r="AB371" s="186"/>
      <c r="AC371" s="300">
        <v>42842</v>
      </c>
      <c r="AD371" s="297">
        <v>440000</v>
      </c>
      <c r="AE371" s="297">
        <f t="shared" si="126"/>
        <v>0</v>
      </c>
      <c r="AF371" s="9" t="s">
        <v>2874</v>
      </c>
      <c r="AG371" s="9" t="s">
        <v>1395</v>
      </c>
      <c r="AH371" s="300">
        <v>42829</v>
      </c>
      <c r="AI371" s="9" t="s">
        <v>1426</v>
      </c>
      <c r="AJ371" s="300">
        <v>42829</v>
      </c>
      <c r="AK371" s="73" t="str">
        <f t="shared" si="98"/>
        <v>HUTAN KETAPANG INDUSTRI, PTMEI</v>
      </c>
    </row>
    <row r="372" spans="1:37" s="114" customFormat="1" ht="12" hidden="1" customHeight="1">
      <c r="A372" s="53"/>
      <c r="B372" s="53" t="s">
        <v>240</v>
      </c>
      <c r="C372" s="9">
        <v>3</v>
      </c>
      <c r="D372" s="8" t="s">
        <v>206</v>
      </c>
      <c r="E372" s="10" t="s">
        <v>354</v>
      </c>
      <c r="F372" s="356"/>
      <c r="G372" s="10"/>
      <c r="H372" s="10" t="s">
        <v>2267</v>
      </c>
      <c r="I372" s="10" t="s">
        <v>2268</v>
      </c>
      <c r="J372" s="658">
        <v>0</v>
      </c>
      <c r="K372" s="116">
        <v>22000000</v>
      </c>
      <c r="L372" s="116">
        <f t="shared" si="127"/>
        <v>2200000</v>
      </c>
      <c r="M372" s="658">
        <v>0</v>
      </c>
      <c r="N372" s="189">
        <f>K372+L372</f>
        <v>24200000</v>
      </c>
      <c r="O372" s="197" t="s">
        <v>58</v>
      </c>
      <c r="P372" s="197" t="s">
        <v>42</v>
      </c>
      <c r="Q372" s="175"/>
      <c r="R372" s="175"/>
      <c r="S372" s="116">
        <v>0</v>
      </c>
      <c r="T372" s="116">
        <f>-K372*2%</f>
        <v>-440000</v>
      </c>
      <c r="U372" s="116">
        <v>23760000</v>
      </c>
      <c r="V372" s="210">
        <f t="shared" si="118"/>
        <v>0</v>
      </c>
      <c r="W372" s="115">
        <f t="shared" si="101"/>
        <v>0</v>
      </c>
      <c r="X372" s="181" t="s">
        <v>237</v>
      </c>
      <c r="Y372" s="116"/>
      <c r="Z372" s="185"/>
      <c r="AA372" s="592"/>
      <c r="AB372" s="186"/>
      <c r="AC372" s="300">
        <v>42842</v>
      </c>
      <c r="AD372" s="297">
        <v>440000</v>
      </c>
      <c r="AE372" s="297">
        <f t="shared" si="126"/>
        <v>0</v>
      </c>
      <c r="AF372" s="9" t="s">
        <v>2875</v>
      </c>
      <c r="AG372" s="9" t="s">
        <v>1395</v>
      </c>
      <c r="AH372" s="300">
        <v>42829</v>
      </c>
      <c r="AI372" s="9" t="s">
        <v>1426</v>
      </c>
      <c r="AJ372" s="300">
        <v>42829</v>
      </c>
      <c r="AK372" s="73" t="str">
        <f t="shared" si="98"/>
        <v>HUTAN KETAPANG INDUSTRI, PTMEI</v>
      </c>
    </row>
    <row r="373" spans="1:37" s="114" customFormat="1" ht="12" hidden="1" customHeight="1">
      <c r="A373" s="53"/>
      <c r="B373" s="53" t="s">
        <v>240</v>
      </c>
      <c r="C373" s="9">
        <v>3</v>
      </c>
      <c r="D373" s="8" t="s">
        <v>206</v>
      </c>
      <c r="E373" s="10" t="s">
        <v>354</v>
      </c>
      <c r="F373" s="356"/>
      <c r="G373" s="10"/>
      <c r="H373" s="10" t="s">
        <v>2270</v>
      </c>
      <c r="I373" s="10" t="s">
        <v>2269</v>
      </c>
      <c r="J373" s="658">
        <v>0</v>
      </c>
      <c r="K373" s="116">
        <v>22000000</v>
      </c>
      <c r="L373" s="116">
        <f t="shared" si="127"/>
        <v>2200000</v>
      </c>
      <c r="M373" s="658">
        <v>0</v>
      </c>
      <c r="N373" s="189">
        <f>K373+L373</f>
        <v>24200000</v>
      </c>
      <c r="O373" s="197" t="s">
        <v>58</v>
      </c>
      <c r="P373" s="197" t="s">
        <v>42</v>
      </c>
      <c r="Q373" s="175"/>
      <c r="R373" s="175"/>
      <c r="S373" s="116">
        <v>0</v>
      </c>
      <c r="T373" s="116">
        <f>-K373*2%</f>
        <v>-440000</v>
      </c>
      <c r="U373" s="116">
        <v>23760000</v>
      </c>
      <c r="V373" s="210">
        <f t="shared" si="118"/>
        <v>0</v>
      </c>
      <c r="W373" s="115">
        <f t="shared" si="101"/>
        <v>0</v>
      </c>
      <c r="X373" s="181" t="s">
        <v>237</v>
      </c>
      <c r="Y373" s="116"/>
      <c r="Z373" s="185"/>
      <c r="AA373" s="592"/>
      <c r="AB373" s="186"/>
      <c r="AC373" s="300">
        <v>42842</v>
      </c>
      <c r="AD373" s="297">
        <v>440000</v>
      </c>
      <c r="AE373" s="297">
        <f t="shared" si="126"/>
        <v>0</v>
      </c>
      <c r="AF373" s="9" t="s">
        <v>2876</v>
      </c>
      <c r="AG373" s="9" t="s">
        <v>1395</v>
      </c>
      <c r="AH373" s="300">
        <v>42829</v>
      </c>
      <c r="AI373" s="9" t="s">
        <v>1426</v>
      </c>
      <c r="AJ373" s="300">
        <v>42829</v>
      </c>
      <c r="AK373" s="73" t="str">
        <f t="shared" ref="AK373:AK486" si="128">CONCATENATE(D373,O373)</f>
        <v>HUTAN KETAPANG INDUSTRI, PTMEI</v>
      </c>
    </row>
    <row r="374" spans="1:37" s="114" customFormat="1" ht="12" hidden="1" customHeight="1">
      <c r="A374" s="53"/>
      <c r="B374" s="53" t="s">
        <v>240</v>
      </c>
      <c r="C374" s="9">
        <v>3</v>
      </c>
      <c r="D374" s="8" t="s">
        <v>206</v>
      </c>
      <c r="E374" s="10" t="s">
        <v>354</v>
      </c>
      <c r="F374" s="356"/>
      <c r="G374" s="10"/>
      <c r="H374" s="10" t="s">
        <v>2271</v>
      </c>
      <c r="I374" s="10" t="s">
        <v>2272</v>
      </c>
      <c r="J374" s="658">
        <v>0</v>
      </c>
      <c r="K374" s="116">
        <v>22000000</v>
      </c>
      <c r="L374" s="116">
        <f t="shared" si="127"/>
        <v>2200000</v>
      </c>
      <c r="M374" s="658">
        <v>0</v>
      </c>
      <c r="N374" s="189">
        <f>K374+L374</f>
        <v>24200000</v>
      </c>
      <c r="O374" s="197" t="s">
        <v>58</v>
      </c>
      <c r="P374" s="197" t="s">
        <v>42</v>
      </c>
      <c r="Q374" s="175"/>
      <c r="R374" s="175"/>
      <c r="S374" s="116">
        <v>0</v>
      </c>
      <c r="T374" s="116">
        <f>-K374*2%</f>
        <v>-440000</v>
      </c>
      <c r="U374" s="116">
        <v>23760000</v>
      </c>
      <c r="V374" s="210">
        <f t="shared" si="118"/>
        <v>0</v>
      </c>
      <c r="W374" s="115">
        <f t="shared" si="101"/>
        <v>0</v>
      </c>
      <c r="X374" s="181" t="s">
        <v>237</v>
      </c>
      <c r="Y374" s="116"/>
      <c r="Z374" s="185"/>
      <c r="AA374" s="592"/>
      <c r="AB374" s="186"/>
      <c r="AC374" s="300">
        <v>42842</v>
      </c>
      <c r="AD374" s="297">
        <v>440000</v>
      </c>
      <c r="AE374" s="297">
        <f t="shared" si="126"/>
        <v>0</v>
      </c>
      <c r="AF374" s="9" t="s">
        <v>2877</v>
      </c>
      <c r="AG374" s="9" t="s">
        <v>1395</v>
      </c>
      <c r="AH374" s="300">
        <v>42829</v>
      </c>
      <c r="AI374" s="9" t="s">
        <v>1426</v>
      </c>
      <c r="AJ374" s="300">
        <v>42829</v>
      </c>
      <c r="AK374" s="73" t="str">
        <f t="shared" si="128"/>
        <v>HUTAN KETAPANG INDUSTRI, PTMEI</v>
      </c>
    </row>
    <row r="375" spans="1:37" s="114" customFormat="1" ht="12" hidden="1" customHeight="1">
      <c r="A375" s="53"/>
      <c r="B375" s="53" t="s">
        <v>58</v>
      </c>
      <c r="C375" s="9">
        <v>2</v>
      </c>
      <c r="D375" s="8" t="s">
        <v>206</v>
      </c>
      <c r="E375" s="10" t="s">
        <v>354</v>
      </c>
      <c r="F375" s="356"/>
      <c r="G375" s="10"/>
      <c r="H375" s="10" t="s">
        <v>2444</v>
      </c>
      <c r="I375" s="10" t="s">
        <v>2445</v>
      </c>
      <c r="J375" s="658">
        <v>0</v>
      </c>
      <c r="K375" s="116">
        <v>22000000</v>
      </c>
      <c r="L375" s="116">
        <f t="shared" si="127"/>
        <v>2200000</v>
      </c>
      <c r="M375" s="658">
        <v>0</v>
      </c>
      <c r="N375" s="189">
        <f t="shared" ref="N375:N380" si="129">K375+L375</f>
        <v>24200000</v>
      </c>
      <c r="O375" s="197" t="s">
        <v>58</v>
      </c>
      <c r="P375" s="197" t="s">
        <v>113</v>
      </c>
      <c r="Q375" s="175"/>
      <c r="R375" s="175"/>
      <c r="S375" s="116">
        <v>0</v>
      </c>
      <c r="T375" s="116">
        <f t="shared" ref="T375:T392" si="130">-K375*2%</f>
        <v>-440000</v>
      </c>
      <c r="U375" s="116">
        <v>23760000</v>
      </c>
      <c r="V375" s="210">
        <f t="shared" si="118"/>
        <v>0</v>
      </c>
      <c r="W375" s="115">
        <f t="shared" ref="W375:W488" si="131">N375+S375+T375-U375</f>
        <v>0</v>
      </c>
      <c r="X375" s="181" t="s">
        <v>237</v>
      </c>
      <c r="Y375" s="116"/>
      <c r="Z375" s="185"/>
      <c r="AA375" s="592"/>
      <c r="AB375" s="186"/>
      <c r="AC375" s="300">
        <v>42877</v>
      </c>
      <c r="AD375" s="297">
        <v>440000</v>
      </c>
      <c r="AE375" s="297">
        <f t="shared" si="126"/>
        <v>0</v>
      </c>
      <c r="AF375" s="9" t="s">
        <v>2881</v>
      </c>
      <c r="AG375" s="9" t="s">
        <v>1395</v>
      </c>
      <c r="AH375" s="300">
        <v>42860</v>
      </c>
      <c r="AI375" s="9" t="s">
        <v>2515</v>
      </c>
      <c r="AJ375" s="300">
        <v>42860</v>
      </c>
      <c r="AK375" s="73" t="str">
        <f t="shared" si="128"/>
        <v>HUTAN KETAPANG INDUSTRI, PTMEI</v>
      </c>
    </row>
    <row r="376" spans="1:37" s="114" customFormat="1" ht="12" hidden="1" customHeight="1">
      <c r="A376" s="53"/>
      <c r="B376" s="53" t="s">
        <v>58</v>
      </c>
      <c r="C376" s="9">
        <v>2</v>
      </c>
      <c r="D376" s="8" t="s">
        <v>206</v>
      </c>
      <c r="E376" s="10" t="s">
        <v>354</v>
      </c>
      <c r="F376" s="356"/>
      <c r="G376" s="10"/>
      <c r="H376" s="10" t="s">
        <v>2446</v>
      </c>
      <c r="I376" s="10" t="s">
        <v>2447</v>
      </c>
      <c r="J376" s="658">
        <v>0</v>
      </c>
      <c r="K376" s="116">
        <v>19066666.670000002</v>
      </c>
      <c r="L376" s="116">
        <f t="shared" si="127"/>
        <v>1906666.6670000004</v>
      </c>
      <c r="M376" s="658">
        <v>0</v>
      </c>
      <c r="N376" s="189">
        <f t="shared" si="129"/>
        <v>20973333.337000001</v>
      </c>
      <c r="O376" s="197" t="s">
        <v>58</v>
      </c>
      <c r="P376" s="197" t="s">
        <v>113</v>
      </c>
      <c r="Q376" s="175"/>
      <c r="R376" s="175"/>
      <c r="S376" s="116">
        <v>0</v>
      </c>
      <c r="T376" s="116">
        <f t="shared" si="130"/>
        <v>-381333.33340000006</v>
      </c>
      <c r="U376" s="116">
        <v>20592000</v>
      </c>
      <c r="V376" s="210">
        <f t="shared" si="118"/>
        <v>0</v>
      </c>
      <c r="W376" s="115">
        <f t="shared" si="131"/>
        <v>3.600001335144043E-3</v>
      </c>
      <c r="X376" s="181" t="s">
        <v>237</v>
      </c>
      <c r="Y376" s="116"/>
      <c r="Z376" s="185"/>
      <c r="AA376" s="592"/>
      <c r="AB376" s="186"/>
      <c r="AC376" s="300">
        <v>42877</v>
      </c>
      <c r="AD376" s="297">
        <v>381333</v>
      </c>
      <c r="AE376" s="297">
        <f t="shared" si="126"/>
        <v>0.33340000006137416</v>
      </c>
      <c r="AF376" s="9" t="s">
        <v>2880</v>
      </c>
      <c r="AG376" s="9" t="s">
        <v>1395</v>
      </c>
      <c r="AH376" s="300">
        <v>42860</v>
      </c>
      <c r="AI376" s="9" t="s">
        <v>2515</v>
      </c>
      <c r="AJ376" s="300">
        <v>42860</v>
      </c>
      <c r="AK376" s="73" t="str">
        <f t="shared" si="128"/>
        <v>HUTAN KETAPANG INDUSTRI, PTMEI</v>
      </c>
    </row>
    <row r="377" spans="1:37" s="114" customFormat="1" ht="12" hidden="1" customHeight="1">
      <c r="A377" s="53"/>
      <c r="B377" s="53" t="s">
        <v>58</v>
      </c>
      <c r="C377" s="9">
        <v>2</v>
      </c>
      <c r="D377" s="8" t="s">
        <v>206</v>
      </c>
      <c r="E377" s="10" t="s">
        <v>354</v>
      </c>
      <c r="F377" s="356"/>
      <c r="G377" s="10"/>
      <c r="H377" s="10" t="s">
        <v>2450</v>
      </c>
      <c r="I377" s="10" t="s">
        <v>2448</v>
      </c>
      <c r="J377" s="658">
        <v>0</v>
      </c>
      <c r="K377" s="116">
        <v>2933333.33</v>
      </c>
      <c r="L377" s="116">
        <f t="shared" si="127"/>
        <v>293333.33300000004</v>
      </c>
      <c r="M377" s="658">
        <v>0</v>
      </c>
      <c r="N377" s="189">
        <f t="shared" si="129"/>
        <v>3226666.6630000002</v>
      </c>
      <c r="O377" s="197" t="s">
        <v>58</v>
      </c>
      <c r="P377" s="197" t="s">
        <v>113</v>
      </c>
      <c r="Q377" s="175"/>
      <c r="R377" s="175"/>
      <c r="S377" s="116">
        <v>0</v>
      </c>
      <c r="T377" s="116">
        <f t="shared" si="130"/>
        <v>-58666.666600000004</v>
      </c>
      <c r="U377" s="116">
        <v>3168000</v>
      </c>
      <c r="V377" s="210">
        <f t="shared" si="118"/>
        <v>0</v>
      </c>
      <c r="W377" s="115">
        <f t="shared" si="131"/>
        <v>-3.599999938160181E-3</v>
      </c>
      <c r="X377" s="181" t="s">
        <v>237</v>
      </c>
      <c r="Y377" s="116"/>
      <c r="Z377" s="185"/>
      <c r="AA377" s="592"/>
      <c r="AB377" s="186"/>
      <c r="AC377" s="300">
        <v>42877</v>
      </c>
      <c r="AD377" s="297">
        <v>58667</v>
      </c>
      <c r="AE377" s="297">
        <f t="shared" si="126"/>
        <v>-0.33339999999589054</v>
      </c>
      <c r="AF377" s="9" t="s">
        <v>2878</v>
      </c>
      <c r="AG377" s="9" t="s">
        <v>1395</v>
      </c>
      <c r="AH377" s="300">
        <v>42860</v>
      </c>
      <c r="AI377" s="9" t="s">
        <v>2515</v>
      </c>
      <c r="AJ377" s="300">
        <v>42860</v>
      </c>
      <c r="AK377" s="73" t="str">
        <f t="shared" si="128"/>
        <v>HUTAN KETAPANG INDUSTRI, PTMEI</v>
      </c>
    </row>
    <row r="378" spans="1:37" s="114" customFormat="1" ht="12" hidden="1" customHeight="1">
      <c r="A378" s="53"/>
      <c r="B378" s="53" t="s">
        <v>58</v>
      </c>
      <c r="C378" s="9">
        <v>2</v>
      </c>
      <c r="D378" s="8" t="s">
        <v>206</v>
      </c>
      <c r="E378" s="10" t="s">
        <v>354</v>
      </c>
      <c r="F378" s="356"/>
      <c r="G378" s="10"/>
      <c r="H378" s="10" t="s">
        <v>2451</v>
      </c>
      <c r="I378" s="10" t="s">
        <v>2449</v>
      </c>
      <c r="J378" s="658">
        <v>0</v>
      </c>
      <c r="K378" s="116">
        <v>16866666.670000002</v>
      </c>
      <c r="L378" s="116">
        <f t="shared" si="127"/>
        <v>1686666.6670000004</v>
      </c>
      <c r="M378" s="658">
        <v>0</v>
      </c>
      <c r="N378" s="189">
        <f t="shared" si="129"/>
        <v>18553333.337000001</v>
      </c>
      <c r="O378" s="197" t="s">
        <v>58</v>
      </c>
      <c r="P378" s="197" t="s">
        <v>113</v>
      </c>
      <c r="Q378" s="175"/>
      <c r="R378" s="175"/>
      <c r="S378" s="116">
        <v>0</v>
      </c>
      <c r="T378" s="116">
        <f t="shared" si="130"/>
        <v>-337333.33340000006</v>
      </c>
      <c r="U378" s="116">
        <v>18216000</v>
      </c>
      <c r="V378" s="210">
        <f t="shared" si="118"/>
        <v>0</v>
      </c>
      <c r="W378" s="115">
        <f t="shared" si="131"/>
        <v>3.600001335144043E-3</v>
      </c>
      <c r="X378" s="181" t="s">
        <v>237</v>
      </c>
      <c r="Y378" s="116"/>
      <c r="Z378" s="185"/>
      <c r="AA378" s="592"/>
      <c r="AB378" s="186"/>
      <c r="AC378" s="300">
        <v>42877</v>
      </c>
      <c r="AD378" s="297">
        <v>337333</v>
      </c>
      <c r="AE378" s="297">
        <f t="shared" si="126"/>
        <v>0.33340000006137416</v>
      </c>
      <c r="AF378" s="9" t="s">
        <v>2879</v>
      </c>
      <c r="AG378" s="9" t="s">
        <v>1395</v>
      </c>
      <c r="AH378" s="300">
        <v>42860</v>
      </c>
      <c r="AI378" s="9" t="s">
        <v>2515</v>
      </c>
      <c r="AJ378" s="300">
        <v>42860</v>
      </c>
      <c r="AK378" s="73" t="str">
        <f t="shared" si="128"/>
        <v>HUTAN KETAPANG INDUSTRI, PTMEI</v>
      </c>
    </row>
    <row r="379" spans="1:37" s="114" customFormat="1" ht="12" hidden="1" customHeight="1">
      <c r="A379" s="53"/>
      <c r="B379" s="53" t="s">
        <v>58</v>
      </c>
      <c r="C379" s="9">
        <v>4</v>
      </c>
      <c r="D379" s="8" t="s">
        <v>206</v>
      </c>
      <c r="E379" s="10" t="s">
        <v>144</v>
      </c>
      <c r="F379" s="356"/>
      <c r="G379" s="10"/>
      <c r="H379" s="10" t="s">
        <v>2522</v>
      </c>
      <c r="I379" s="10" t="s">
        <v>2523</v>
      </c>
      <c r="J379" s="658">
        <v>0</v>
      </c>
      <c r="K379" s="116">
        <v>5000000</v>
      </c>
      <c r="L379" s="116">
        <f t="shared" si="127"/>
        <v>500000</v>
      </c>
      <c r="M379" s="658">
        <v>0</v>
      </c>
      <c r="N379" s="189">
        <f t="shared" si="129"/>
        <v>5500000</v>
      </c>
      <c r="O379" s="197" t="s">
        <v>242</v>
      </c>
      <c r="P379" s="197" t="s">
        <v>38</v>
      </c>
      <c r="Q379" s="175"/>
      <c r="R379" s="175"/>
      <c r="S379" s="116">
        <v>0</v>
      </c>
      <c r="T379" s="116">
        <f t="shared" si="130"/>
        <v>-100000</v>
      </c>
      <c r="U379" s="116">
        <v>5400000</v>
      </c>
      <c r="V379" s="210">
        <f t="shared" si="118"/>
        <v>0</v>
      </c>
      <c r="W379" s="115">
        <f t="shared" si="131"/>
        <v>0</v>
      </c>
      <c r="X379" s="181" t="s">
        <v>237</v>
      </c>
      <c r="Y379" s="116"/>
      <c r="Z379" s="185"/>
      <c r="AA379" s="592"/>
      <c r="AB379" s="186"/>
      <c r="AC379" s="9"/>
      <c r="AD379" s="297"/>
      <c r="AE379" s="297">
        <f t="shared" si="126"/>
        <v>100000</v>
      </c>
      <c r="AF379" s="9"/>
      <c r="AG379" s="9" t="s">
        <v>1395</v>
      </c>
      <c r="AH379" s="300">
        <v>42865</v>
      </c>
      <c r="AI379" s="9" t="s">
        <v>2515</v>
      </c>
      <c r="AJ379" s="300">
        <v>42865</v>
      </c>
      <c r="AK379" s="73" t="str">
        <f t="shared" si="128"/>
        <v>HUTAN KETAPANG INDUSTRI, PTJUL</v>
      </c>
    </row>
    <row r="380" spans="1:37" s="114" customFormat="1" ht="12" hidden="1" customHeight="1">
      <c r="A380" s="53"/>
      <c r="B380" s="53" t="s">
        <v>58</v>
      </c>
      <c r="C380" s="9">
        <v>4</v>
      </c>
      <c r="D380" s="8" t="s">
        <v>206</v>
      </c>
      <c r="E380" s="10" t="s">
        <v>118</v>
      </c>
      <c r="F380" s="356"/>
      <c r="G380" s="10"/>
      <c r="H380" s="10" t="s">
        <v>2524</v>
      </c>
      <c r="I380" s="10" t="s">
        <v>14</v>
      </c>
      <c r="J380" s="658">
        <v>0</v>
      </c>
      <c r="K380" s="116">
        <v>3139809</v>
      </c>
      <c r="L380" s="116">
        <v>0</v>
      </c>
      <c r="M380" s="658">
        <v>0</v>
      </c>
      <c r="N380" s="189">
        <f t="shared" si="129"/>
        <v>3139809</v>
      </c>
      <c r="O380" s="197" t="s">
        <v>242</v>
      </c>
      <c r="P380" s="197" t="s">
        <v>38</v>
      </c>
      <c r="Q380" s="175"/>
      <c r="R380" s="175"/>
      <c r="S380" s="116">
        <v>0</v>
      </c>
      <c r="T380" s="116">
        <v>0</v>
      </c>
      <c r="U380" s="116">
        <v>3139809</v>
      </c>
      <c r="V380" s="210">
        <f t="shared" si="118"/>
        <v>0</v>
      </c>
      <c r="W380" s="115">
        <f t="shared" si="131"/>
        <v>0</v>
      </c>
      <c r="X380" s="181" t="s">
        <v>237</v>
      </c>
      <c r="Y380" s="116"/>
      <c r="Z380" s="185"/>
      <c r="AA380" s="592"/>
      <c r="AB380" s="186"/>
      <c r="AC380" s="9"/>
      <c r="AD380" s="297"/>
      <c r="AE380" s="297">
        <f t="shared" si="126"/>
        <v>0</v>
      </c>
      <c r="AF380" s="9"/>
      <c r="AG380" s="9" t="s">
        <v>1395</v>
      </c>
      <c r="AH380" s="300">
        <v>42865</v>
      </c>
      <c r="AI380" s="9" t="s">
        <v>2515</v>
      </c>
      <c r="AJ380" s="300">
        <v>42865</v>
      </c>
      <c r="AK380" s="73" t="str">
        <f t="shared" si="128"/>
        <v>HUTAN KETAPANG INDUSTRI, PTJUL</v>
      </c>
    </row>
    <row r="381" spans="1:37" s="114" customFormat="1" ht="12" hidden="1" customHeight="1">
      <c r="A381" s="53"/>
      <c r="B381" s="53" t="s">
        <v>241</v>
      </c>
      <c r="C381" s="9">
        <v>2</v>
      </c>
      <c r="D381" s="8" t="s">
        <v>206</v>
      </c>
      <c r="E381" s="10" t="s">
        <v>354</v>
      </c>
      <c r="F381" s="356"/>
      <c r="G381" s="10"/>
      <c r="H381" s="10" t="s">
        <v>2613</v>
      </c>
      <c r="I381" s="10" t="s">
        <v>2654</v>
      </c>
      <c r="J381" s="658">
        <v>0</v>
      </c>
      <c r="K381" s="116">
        <v>22000000</v>
      </c>
      <c r="L381" s="116">
        <f t="shared" ref="L381:L415" si="132">K381*10%</f>
        <v>2200000</v>
      </c>
      <c r="M381" s="658">
        <v>0</v>
      </c>
      <c r="N381" s="189">
        <f t="shared" ref="N381:N411" si="133">K381+L381</f>
        <v>24200000</v>
      </c>
      <c r="O381" s="197" t="s">
        <v>242</v>
      </c>
      <c r="P381" s="197" t="s">
        <v>38</v>
      </c>
      <c r="Q381" s="175"/>
      <c r="R381" s="175"/>
      <c r="S381" s="116">
        <v>0</v>
      </c>
      <c r="T381" s="116">
        <f t="shared" si="130"/>
        <v>-440000</v>
      </c>
      <c r="U381" s="116">
        <v>23760000</v>
      </c>
      <c r="V381" s="210">
        <f t="shared" si="118"/>
        <v>0</v>
      </c>
      <c r="W381" s="115">
        <f t="shared" si="131"/>
        <v>0</v>
      </c>
      <c r="X381" s="181" t="s">
        <v>237</v>
      </c>
      <c r="Y381" s="116"/>
      <c r="Z381" s="185"/>
      <c r="AA381" s="592"/>
      <c r="AB381" s="186"/>
      <c r="AC381" s="9"/>
      <c r="AD381" s="297"/>
      <c r="AE381" s="297">
        <f t="shared" si="126"/>
        <v>440000</v>
      </c>
      <c r="AF381" s="9"/>
      <c r="AG381" s="9" t="s">
        <v>1395</v>
      </c>
      <c r="AH381" s="300">
        <v>42892</v>
      </c>
      <c r="AI381" s="9" t="s">
        <v>1426</v>
      </c>
      <c r="AJ381" s="300">
        <v>42892</v>
      </c>
      <c r="AK381" s="73" t="str">
        <f t="shared" si="128"/>
        <v>HUTAN KETAPANG INDUSTRI, PTJUL</v>
      </c>
    </row>
    <row r="382" spans="1:37" s="114" customFormat="1" ht="12" hidden="1" customHeight="1">
      <c r="A382" s="53"/>
      <c r="B382" s="53" t="s">
        <v>241</v>
      </c>
      <c r="C382" s="9">
        <v>2</v>
      </c>
      <c r="D382" s="8" t="s">
        <v>206</v>
      </c>
      <c r="E382" s="10" t="s">
        <v>354</v>
      </c>
      <c r="F382" s="356"/>
      <c r="G382" s="10"/>
      <c r="H382" s="10" t="s">
        <v>2614</v>
      </c>
      <c r="I382" s="10" t="s">
        <v>2655</v>
      </c>
      <c r="J382" s="658">
        <v>0</v>
      </c>
      <c r="K382" s="116">
        <v>22000000</v>
      </c>
      <c r="L382" s="116">
        <f t="shared" si="132"/>
        <v>2200000</v>
      </c>
      <c r="M382" s="658">
        <v>0</v>
      </c>
      <c r="N382" s="189">
        <f t="shared" si="133"/>
        <v>24200000</v>
      </c>
      <c r="O382" s="197" t="s">
        <v>242</v>
      </c>
      <c r="P382" s="197" t="s">
        <v>38</v>
      </c>
      <c r="Q382" s="175"/>
      <c r="R382" s="175"/>
      <c r="S382" s="116">
        <v>0</v>
      </c>
      <c r="T382" s="116">
        <f t="shared" si="130"/>
        <v>-440000</v>
      </c>
      <c r="U382" s="116">
        <v>23760000</v>
      </c>
      <c r="V382" s="210">
        <f t="shared" si="118"/>
        <v>0</v>
      </c>
      <c r="W382" s="115">
        <f t="shared" si="131"/>
        <v>0</v>
      </c>
      <c r="X382" s="181" t="s">
        <v>237</v>
      </c>
      <c r="Y382" s="116"/>
      <c r="Z382" s="185"/>
      <c r="AA382" s="592"/>
      <c r="AB382" s="186"/>
      <c r="AC382" s="9"/>
      <c r="AD382" s="297"/>
      <c r="AE382" s="297">
        <f t="shared" si="126"/>
        <v>440000</v>
      </c>
      <c r="AF382" s="9"/>
      <c r="AG382" s="9" t="s">
        <v>1395</v>
      </c>
      <c r="AH382" s="300">
        <v>42892</v>
      </c>
      <c r="AI382" s="9" t="s">
        <v>1426</v>
      </c>
      <c r="AJ382" s="300">
        <v>42892</v>
      </c>
      <c r="AK382" s="73" t="str">
        <f t="shared" si="128"/>
        <v>HUTAN KETAPANG INDUSTRI, PTJUL</v>
      </c>
    </row>
    <row r="383" spans="1:37" s="114" customFormat="1" ht="12" hidden="1" customHeight="1">
      <c r="A383" s="53"/>
      <c r="B383" s="53" t="s">
        <v>241</v>
      </c>
      <c r="C383" s="9">
        <v>2</v>
      </c>
      <c r="D383" s="8" t="s">
        <v>206</v>
      </c>
      <c r="E383" s="10" t="s">
        <v>354</v>
      </c>
      <c r="F383" s="356"/>
      <c r="G383" s="10"/>
      <c r="H383" s="10" t="s">
        <v>2615</v>
      </c>
      <c r="I383" s="10" t="s">
        <v>2656</v>
      </c>
      <c r="J383" s="658">
        <v>0</v>
      </c>
      <c r="K383" s="116">
        <v>22000000</v>
      </c>
      <c r="L383" s="116">
        <f t="shared" si="132"/>
        <v>2200000</v>
      </c>
      <c r="M383" s="658">
        <v>0</v>
      </c>
      <c r="N383" s="189">
        <f t="shared" si="133"/>
        <v>24200000</v>
      </c>
      <c r="O383" s="197" t="s">
        <v>242</v>
      </c>
      <c r="P383" s="197" t="s">
        <v>38</v>
      </c>
      <c r="Q383" s="175"/>
      <c r="R383" s="175"/>
      <c r="S383" s="116">
        <v>0</v>
      </c>
      <c r="T383" s="116">
        <f t="shared" si="130"/>
        <v>-440000</v>
      </c>
      <c r="U383" s="116">
        <v>23760000</v>
      </c>
      <c r="V383" s="210">
        <f t="shared" si="118"/>
        <v>0</v>
      </c>
      <c r="W383" s="115">
        <f t="shared" si="131"/>
        <v>0</v>
      </c>
      <c r="X383" s="181" t="s">
        <v>237</v>
      </c>
      <c r="Y383" s="116"/>
      <c r="Z383" s="185"/>
      <c r="AA383" s="592"/>
      <c r="AB383" s="186"/>
      <c r="AC383" s="9"/>
      <c r="AD383" s="297"/>
      <c r="AE383" s="297">
        <f t="shared" si="126"/>
        <v>440000</v>
      </c>
      <c r="AF383" s="9"/>
      <c r="AG383" s="9" t="s">
        <v>1395</v>
      </c>
      <c r="AH383" s="300">
        <v>42892</v>
      </c>
      <c r="AI383" s="9" t="s">
        <v>1426</v>
      </c>
      <c r="AJ383" s="300">
        <v>42892</v>
      </c>
      <c r="AK383" s="73" t="str">
        <f t="shared" si="128"/>
        <v>HUTAN KETAPANG INDUSTRI, PTJUL</v>
      </c>
    </row>
    <row r="384" spans="1:37" s="114" customFormat="1" ht="12" hidden="1" customHeight="1">
      <c r="A384" s="53"/>
      <c r="B384" s="53" t="s">
        <v>241</v>
      </c>
      <c r="C384" s="9">
        <v>2</v>
      </c>
      <c r="D384" s="8" t="s">
        <v>206</v>
      </c>
      <c r="E384" s="10" t="s">
        <v>354</v>
      </c>
      <c r="F384" s="356"/>
      <c r="G384" s="10"/>
      <c r="H384" s="10" t="s">
        <v>2616</v>
      </c>
      <c r="I384" s="10" t="s">
        <v>2657</v>
      </c>
      <c r="J384" s="658">
        <v>0</v>
      </c>
      <c r="K384" s="116">
        <v>22000000</v>
      </c>
      <c r="L384" s="116">
        <f t="shared" si="132"/>
        <v>2200000</v>
      </c>
      <c r="M384" s="658">
        <v>0</v>
      </c>
      <c r="N384" s="189">
        <f t="shared" si="133"/>
        <v>24200000</v>
      </c>
      <c r="O384" s="197" t="s">
        <v>242</v>
      </c>
      <c r="P384" s="197" t="s">
        <v>38</v>
      </c>
      <c r="Q384" s="175"/>
      <c r="R384" s="175"/>
      <c r="S384" s="116">
        <v>0</v>
      </c>
      <c r="T384" s="116">
        <f t="shared" si="130"/>
        <v>-440000</v>
      </c>
      <c r="U384" s="116">
        <v>23760000</v>
      </c>
      <c r="V384" s="210">
        <f t="shared" si="118"/>
        <v>0</v>
      </c>
      <c r="W384" s="115">
        <f t="shared" si="131"/>
        <v>0</v>
      </c>
      <c r="X384" s="181" t="s">
        <v>237</v>
      </c>
      <c r="Y384" s="116"/>
      <c r="Z384" s="185"/>
      <c r="AA384" s="592"/>
      <c r="AB384" s="186"/>
      <c r="AC384" s="9"/>
      <c r="AD384" s="297"/>
      <c r="AE384" s="297">
        <f t="shared" si="126"/>
        <v>440000</v>
      </c>
      <c r="AF384" s="9"/>
      <c r="AG384" s="9" t="s">
        <v>1395</v>
      </c>
      <c r="AH384" s="300">
        <v>42892</v>
      </c>
      <c r="AI384" s="9" t="s">
        <v>1426</v>
      </c>
      <c r="AJ384" s="300">
        <v>42892</v>
      </c>
      <c r="AK384" s="73" t="str">
        <f t="shared" si="128"/>
        <v>HUTAN KETAPANG INDUSTRI, PTJUL</v>
      </c>
    </row>
    <row r="385" spans="1:37" s="114" customFormat="1" ht="12" hidden="1" customHeight="1">
      <c r="A385" s="53"/>
      <c r="B385" s="53" t="s">
        <v>242</v>
      </c>
      <c r="C385" s="9">
        <v>3</v>
      </c>
      <c r="D385" s="8" t="s">
        <v>206</v>
      </c>
      <c r="E385" s="10" t="s">
        <v>354</v>
      </c>
      <c r="F385" s="356" t="s">
        <v>3051</v>
      </c>
      <c r="G385" s="10" t="s">
        <v>59</v>
      </c>
      <c r="H385" s="10" t="s">
        <v>2754</v>
      </c>
      <c r="I385" s="10" t="s">
        <v>2805</v>
      </c>
      <c r="J385" s="658">
        <v>0</v>
      </c>
      <c r="K385" s="116">
        <v>22000000</v>
      </c>
      <c r="L385" s="116">
        <f t="shared" ref="L385:L396" si="134">K385*10%</f>
        <v>2200000</v>
      </c>
      <c r="M385" s="658">
        <v>0</v>
      </c>
      <c r="N385" s="189">
        <f t="shared" si="133"/>
        <v>24200000</v>
      </c>
      <c r="O385" s="197" t="s">
        <v>243</v>
      </c>
      <c r="P385" s="197" t="s">
        <v>99</v>
      </c>
      <c r="Q385" s="175"/>
      <c r="R385" s="175"/>
      <c r="S385" s="116">
        <v>0</v>
      </c>
      <c r="T385" s="116">
        <f t="shared" si="130"/>
        <v>-440000</v>
      </c>
      <c r="U385" s="116">
        <v>23760000</v>
      </c>
      <c r="V385" s="210">
        <f t="shared" si="118"/>
        <v>0</v>
      </c>
      <c r="W385" s="115">
        <f t="shared" si="131"/>
        <v>0</v>
      </c>
      <c r="X385" s="181" t="s">
        <v>237</v>
      </c>
      <c r="Y385" s="116"/>
      <c r="Z385" s="185"/>
      <c r="AA385" s="592"/>
      <c r="AB385" s="186"/>
      <c r="AC385" s="9"/>
      <c r="AD385" s="297"/>
      <c r="AE385" s="297">
        <f t="shared" si="126"/>
        <v>440000</v>
      </c>
      <c r="AF385" s="9"/>
      <c r="AG385" s="9" t="s">
        <v>1395</v>
      </c>
      <c r="AH385" s="300">
        <v>42922</v>
      </c>
      <c r="AI385" s="9" t="s">
        <v>2832</v>
      </c>
      <c r="AJ385" s="300">
        <v>42922</v>
      </c>
      <c r="AK385" s="73" t="str">
        <f t="shared" si="128"/>
        <v>HUTAN KETAPANG INDUSTRI, PTAGS</v>
      </c>
    </row>
    <row r="386" spans="1:37" s="114" customFormat="1" ht="12" hidden="1" customHeight="1">
      <c r="A386" s="53"/>
      <c r="B386" s="53" t="s">
        <v>242</v>
      </c>
      <c r="C386" s="9">
        <v>3</v>
      </c>
      <c r="D386" s="8" t="s">
        <v>206</v>
      </c>
      <c r="E386" s="10" t="s">
        <v>354</v>
      </c>
      <c r="F386" s="356" t="s">
        <v>3052</v>
      </c>
      <c r="G386" s="10" t="s">
        <v>59</v>
      </c>
      <c r="H386" s="10" t="s">
        <v>2755</v>
      </c>
      <c r="I386" s="10" t="s">
        <v>2806</v>
      </c>
      <c r="J386" s="658">
        <v>0</v>
      </c>
      <c r="K386" s="116">
        <v>22000000</v>
      </c>
      <c r="L386" s="116">
        <f t="shared" si="134"/>
        <v>2200000</v>
      </c>
      <c r="M386" s="658">
        <v>0</v>
      </c>
      <c r="N386" s="189">
        <f t="shared" si="133"/>
        <v>24200000</v>
      </c>
      <c r="O386" s="197" t="s">
        <v>243</v>
      </c>
      <c r="P386" s="197" t="s">
        <v>99</v>
      </c>
      <c r="Q386" s="175"/>
      <c r="R386" s="175"/>
      <c r="S386" s="116">
        <v>0</v>
      </c>
      <c r="T386" s="116">
        <f t="shared" si="130"/>
        <v>-440000</v>
      </c>
      <c r="U386" s="116">
        <v>23760000</v>
      </c>
      <c r="V386" s="210">
        <f t="shared" si="118"/>
        <v>0</v>
      </c>
      <c r="W386" s="115">
        <f t="shared" si="131"/>
        <v>0</v>
      </c>
      <c r="X386" s="181" t="s">
        <v>237</v>
      </c>
      <c r="Y386" s="116"/>
      <c r="Z386" s="185"/>
      <c r="AA386" s="592"/>
      <c r="AB386" s="186"/>
      <c r="AC386" s="9"/>
      <c r="AD386" s="297"/>
      <c r="AE386" s="297">
        <f t="shared" si="126"/>
        <v>440000</v>
      </c>
      <c r="AF386" s="9"/>
      <c r="AG386" s="9" t="s">
        <v>1395</v>
      </c>
      <c r="AH386" s="300">
        <v>42922</v>
      </c>
      <c r="AI386" s="9" t="s">
        <v>2832</v>
      </c>
      <c r="AJ386" s="300">
        <v>42922</v>
      </c>
      <c r="AK386" s="73" t="str">
        <f t="shared" si="128"/>
        <v>HUTAN KETAPANG INDUSTRI, PTAGS</v>
      </c>
    </row>
    <row r="387" spans="1:37" s="114" customFormat="1" ht="12" hidden="1" customHeight="1">
      <c r="A387" s="53"/>
      <c r="B387" s="53" t="s">
        <v>242</v>
      </c>
      <c r="C387" s="9">
        <v>3</v>
      </c>
      <c r="D387" s="8" t="s">
        <v>206</v>
      </c>
      <c r="E387" s="10" t="s">
        <v>354</v>
      </c>
      <c r="F387" s="356" t="s">
        <v>3053</v>
      </c>
      <c r="G387" s="10" t="s">
        <v>59</v>
      </c>
      <c r="H387" s="10" t="s">
        <v>2756</v>
      </c>
      <c r="I387" s="10" t="s">
        <v>2807</v>
      </c>
      <c r="J387" s="658">
        <v>0</v>
      </c>
      <c r="K387" s="116">
        <v>22000000</v>
      </c>
      <c r="L387" s="116">
        <f t="shared" si="134"/>
        <v>2200000</v>
      </c>
      <c r="M387" s="658">
        <v>0</v>
      </c>
      <c r="N387" s="189">
        <f t="shared" si="133"/>
        <v>24200000</v>
      </c>
      <c r="O387" s="197" t="s">
        <v>243</v>
      </c>
      <c r="P387" s="197" t="s">
        <v>99</v>
      </c>
      <c r="Q387" s="175"/>
      <c r="R387" s="175"/>
      <c r="S387" s="116">
        <v>0</v>
      </c>
      <c r="T387" s="116">
        <f t="shared" si="130"/>
        <v>-440000</v>
      </c>
      <c r="U387" s="116">
        <v>23760000</v>
      </c>
      <c r="V387" s="210">
        <f t="shared" si="118"/>
        <v>0</v>
      </c>
      <c r="W387" s="115">
        <f t="shared" si="131"/>
        <v>0</v>
      </c>
      <c r="X387" s="181" t="s">
        <v>237</v>
      </c>
      <c r="Y387" s="116"/>
      <c r="Z387" s="185"/>
      <c r="AA387" s="592"/>
      <c r="AB387" s="186"/>
      <c r="AC387" s="9"/>
      <c r="AD387" s="297"/>
      <c r="AE387" s="297">
        <f t="shared" si="126"/>
        <v>440000</v>
      </c>
      <c r="AF387" s="9"/>
      <c r="AG387" s="9" t="s">
        <v>1395</v>
      </c>
      <c r="AH387" s="300">
        <v>42922</v>
      </c>
      <c r="AI387" s="9" t="s">
        <v>2832</v>
      </c>
      <c r="AJ387" s="300">
        <v>42922</v>
      </c>
      <c r="AK387" s="73" t="str">
        <f t="shared" si="128"/>
        <v>HUTAN KETAPANG INDUSTRI, PTAGS</v>
      </c>
    </row>
    <row r="388" spans="1:37" s="114" customFormat="1" ht="12" hidden="1" customHeight="1">
      <c r="A388" s="53"/>
      <c r="B388" s="53" t="s">
        <v>242</v>
      </c>
      <c r="C388" s="9">
        <v>3</v>
      </c>
      <c r="D388" s="8" t="s">
        <v>206</v>
      </c>
      <c r="E388" s="10" t="s">
        <v>354</v>
      </c>
      <c r="F388" s="356" t="s">
        <v>3054</v>
      </c>
      <c r="G388" s="10" t="s">
        <v>59</v>
      </c>
      <c r="H388" s="10" t="s">
        <v>2757</v>
      </c>
      <c r="I388" s="10" t="s">
        <v>2808</v>
      </c>
      <c r="J388" s="658">
        <v>0</v>
      </c>
      <c r="K388" s="116">
        <v>22000000</v>
      </c>
      <c r="L388" s="116">
        <f t="shared" si="134"/>
        <v>2200000</v>
      </c>
      <c r="M388" s="658">
        <v>0</v>
      </c>
      <c r="N388" s="189">
        <f t="shared" si="133"/>
        <v>24200000</v>
      </c>
      <c r="O388" s="197" t="s">
        <v>243</v>
      </c>
      <c r="P388" s="197" t="s">
        <v>99</v>
      </c>
      <c r="Q388" s="175"/>
      <c r="R388" s="175"/>
      <c r="S388" s="116">
        <v>0</v>
      </c>
      <c r="T388" s="116">
        <f t="shared" si="130"/>
        <v>-440000</v>
      </c>
      <c r="U388" s="116">
        <v>23760000</v>
      </c>
      <c r="V388" s="210">
        <f t="shared" si="118"/>
        <v>0</v>
      </c>
      <c r="W388" s="115">
        <f t="shared" si="131"/>
        <v>0</v>
      </c>
      <c r="X388" s="181" t="s">
        <v>237</v>
      </c>
      <c r="Y388" s="116"/>
      <c r="Z388" s="185"/>
      <c r="AA388" s="592"/>
      <c r="AB388" s="186"/>
      <c r="AC388" s="9"/>
      <c r="AD388" s="297"/>
      <c r="AE388" s="297">
        <f t="shared" si="126"/>
        <v>440000</v>
      </c>
      <c r="AF388" s="9"/>
      <c r="AG388" s="9" t="s">
        <v>1395</v>
      </c>
      <c r="AH388" s="300">
        <v>42922</v>
      </c>
      <c r="AI388" s="9" t="s">
        <v>2832</v>
      </c>
      <c r="AJ388" s="300">
        <v>42922</v>
      </c>
      <c r="AK388" s="73" t="str">
        <f t="shared" si="128"/>
        <v>HUTAN KETAPANG INDUSTRI, PTAGS</v>
      </c>
    </row>
    <row r="389" spans="1:37" s="114" customFormat="1" ht="12" hidden="1" customHeight="1">
      <c r="A389" s="53"/>
      <c r="B389" s="53" t="s">
        <v>243</v>
      </c>
      <c r="C389" s="9">
        <v>1</v>
      </c>
      <c r="D389" s="8" t="s">
        <v>206</v>
      </c>
      <c r="E389" s="10" t="s">
        <v>354</v>
      </c>
      <c r="F389" s="356" t="s">
        <v>3104</v>
      </c>
      <c r="G389" s="10" t="s">
        <v>60</v>
      </c>
      <c r="H389" s="10" t="s">
        <v>2920</v>
      </c>
      <c r="I389" s="10" t="s">
        <v>2953</v>
      </c>
      <c r="J389" s="658"/>
      <c r="K389" s="116">
        <v>22000000</v>
      </c>
      <c r="L389" s="116">
        <f t="shared" si="134"/>
        <v>2200000</v>
      </c>
      <c r="M389" s="658">
        <v>0</v>
      </c>
      <c r="N389" s="189">
        <f t="shared" si="133"/>
        <v>24200000</v>
      </c>
      <c r="O389" s="197" t="s">
        <v>244</v>
      </c>
      <c r="P389" s="197" t="s">
        <v>42</v>
      </c>
      <c r="Q389" s="175"/>
      <c r="R389" s="175"/>
      <c r="S389" s="116">
        <v>0</v>
      </c>
      <c r="T389" s="116">
        <f t="shared" si="130"/>
        <v>-440000</v>
      </c>
      <c r="U389" s="116" t="s">
        <v>3207</v>
      </c>
      <c r="V389" s="210">
        <f t="shared" si="118"/>
        <v>0</v>
      </c>
      <c r="W389" s="115"/>
      <c r="X389" s="181"/>
      <c r="Y389" s="116"/>
      <c r="Z389" s="185"/>
      <c r="AA389" s="592"/>
      <c r="AB389" s="186"/>
      <c r="AC389" s="9"/>
      <c r="AD389" s="297"/>
      <c r="AE389" s="297"/>
      <c r="AF389" s="9"/>
      <c r="AG389" s="9" t="s">
        <v>1395</v>
      </c>
      <c r="AH389" s="300">
        <v>42949</v>
      </c>
      <c r="AI389" s="9" t="s">
        <v>2832</v>
      </c>
      <c r="AJ389" s="300">
        <v>42949</v>
      </c>
      <c r="AK389" s="73"/>
    </row>
    <row r="390" spans="1:37" s="114" customFormat="1" ht="12" hidden="1" customHeight="1">
      <c r="A390" s="53"/>
      <c r="B390" s="53" t="s">
        <v>243</v>
      </c>
      <c r="C390" s="9">
        <v>1</v>
      </c>
      <c r="D390" s="8" t="s">
        <v>206</v>
      </c>
      <c r="E390" s="10" t="s">
        <v>354</v>
      </c>
      <c r="F390" s="356" t="s">
        <v>3105</v>
      </c>
      <c r="G390" s="10" t="s">
        <v>60</v>
      </c>
      <c r="H390" s="10" t="s">
        <v>2921</v>
      </c>
      <c r="I390" s="10" t="s">
        <v>2954</v>
      </c>
      <c r="J390" s="658"/>
      <c r="K390" s="116">
        <v>22000000</v>
      </c>
      <c r="L390" s="116">
        <f t="shared" si="134"/>
        <v>2200000</v>
      </c>
      <c r="M390" s="658">
        <v>0</v>
      </c>
      <c r="N390" s="189">
        <f t="shared" si="133"/>
        <v>24200000</v>
      </c>
      <c r="O390" s="197" t="s">
        <v>244</v>
      </c>
      <c r="P390" s="197" t="s">
        <v>42</v>
      </c>
      <c r="Q390" s="175"/>
      <c r="R390" s="175"/>
      <c r="S390" s="116">
        <v>0</v>
      </c>
      <c r="T390" s="116">
        <f t="shared" si="130"/>
        <v>-440000</v>
      </c>
      <c r="U390" s="116">
        <v>23760000</v>
      </c>
      <c r="V390" s="210">
        <f t="shared" si="118"/>
        <v>0</v>
      </c>
      <c r="W390" s="115"/>
      <c r="X390" s="181"/>
      <c r="Y390" s="116"/>
      <c r="Z390" s="185"/>
      <c r="AA390" s="592"/>
      <c r="AB390" s="186"/>
      <c r="AC390" s="9"/>
      <c r="AD390" s="297"/>
      <c r="AE390" s="297"/>
      <c r="AF390" s="9"/>
      <c r="AG390" s="9" t="s">
        <v>1395</v>
      </c>
      <c r="AH390" s="300">
        <v>42949</v>
      </c>
      <c r="AI390" s="9" t="s">
        <v>2832</v>
      </c>
      <c r="AJ390" s="300">
        <v>42949</v>
      </c>
      <c r="AK390" s="73"/>
    </row>
    <row r="391" spans="1:37" s="114" customFormat="1" ht="12" hidden="1" customHeight="1">
      <c r="A391" s="53"/>
      <c r="B391" s="53" t="s">
        <v>243</v>
      </c>
      <c r="C391" s="9">
        <v>1</v>
      </c>
      <c r="D391" s="8" t="s">
        <v>206</v>
      </c>
      <c r="E391" s="10" t="s">
        <v>354</v>
      </c>
      <c r="F391" s="356" t="s">
        <v>3106</v>
      </c>
      <c r="G391" s="10" t="s">
        <v>60</v>
      </c>
      <c r="H391" s="10" t="s">
        <v>2922</v>
      </c>
      <c r="I391" s="10" t="s">
        <v>2955</v>
      </c>
      <c r="J391" s="762">
        <v>22000000</v>
      </c>
      <c r="K391" s="116">
        <v>22000000</v>
      </c>
      <c r="L391" s="116">
        <f t="shared" si="134"/>
        <v>2200000</v>
      </c>
      <c r="M391" s="658"/>
      <c r="N391" s="189">
        <f t="shared" si="133"/>
        <v>24200000</v>
      </c>
      <c r="O391" s="197" t="s">
        <v>244</v>
      </c>
      <c r="P391" s="197" t="s">
        <v>42</v>
      </c>
      <c r="Q391" s="175"/>
      <c r="R391" s="175"/>
      <c r="S391" s="116">
        <v>0</v>
      </c>
      <c r="T391" s="116">
        <f t="shared" si="130"/>
        <v>-440000</v>
      </c>
      <c r="U391" s="116">
        <v>23760000</v>
      </c>
      <c r="V391" s="210"/>
      <c r="W391" s="115"/>
      <c r="X391" s="181"/>
      <c r="Y391" s="116"/>
      <c r="Z391" s="185"/>
      <c r="AA391" s="592"/>
      <c r="AB391" s="186"/>
      <c r="AC391" s="9"/>
      <c r="AD391" s="297"/>
      <c r="AE391" s="297"/>
      <c r="AF391" s="9"/>
      <c r="AG391" s="9"/>
      <c r="AH391" s="300"/>
      <c r="AI391" s="9"/>
      <c r="AJ391" s="300"/>
      <c r="AK391" s="73"/>
    </row>
    <row r="392" spans="1:37" s="114" customFormat="1" ht="12" hidden="1" customHeight="1">
      <c r="A392" s="53"/>
      <c r="B392" s="53" t="s">
        <v>243</v>
      </c>
      <c r="C392" s="9">
        <v>1</v>
      </c>
      <c r="D392" s="8" t="s">
        <v>206</v>
      </c>
      <c r="E392" s="10" t="s">
        <v>354</v>
      </c>
      <c r="F392" s="356" t="s">
        <v>3107</v>
      </c>
      <c r="G392" s="10" t="s">
        <v>60</v>
      </c>
      <c r="H392" s="10" t="s">
        <v>2923</v>
      </c>
      <c r="I392" s="10" t="s">
        <v>2956</v>
      </c>
      <c r="J392" s="762">
        <v>22000000</v>
      </c>
      <c r="K392" s="116">
        <v>22000000</v>
      </c>
      <c r="L392" s="116">
        <f t="shared" si="134"/>
        <v>2200000</v>
      </c>
      <c r="M392" s="658"/>
      <c r="N392" s="189">
        <f t="shared" si="133"/>
        <v>24200000</v>
      </c>
      <c r="O392" s="197" t="s">
        <v>244</v>
      </c>
      <c r="P392" s="197" t="s">
        <v>42</v>
      </c>
      <c r="Q392" s="175"/>
      <c r="R392" s="175"/>
      <c r="S392" s="116">
        <v>0</v>
      </c>
      <c r="T392" s="116">
        <f t="shared" si="130"/>
        <v>-440000</v>
      </c>
      <c r="U392" s="116">
        <v>23760000</v>
      </c>
      <c r="V392" s="210"/>
      <c r="W392" s="115"/>
      <c r="X392" s="181"/>
      <c r="Y392" s="116"/>
      <c r="Z392" s="185"/>
      <c r="AA392" s="592"/>
      <c r="AB392" s="186"/>
      <c r="AC392" s="9"/>
      <c r="AD392" s="297"/>
      <c r="AE392" s="297"/>
      <c r="AF392" s="9"/>
      <c r="AG392" s="9"/>
      <c r="AH392" s="300"/>
      <c r="AI392" s="9"/>
      <c r="AJ392" s="300"/>
      <c r="AK392" s="73"/>
    </row>
    <row r="393" spans="1:37" s="114" customFormat="1" ht="12" hidden="1" customHeight="1">
      <c r="A393" s="53"/>
      <c r="B393" s="1220" t="s">
        <v>244</v>
      </c>
      <c r="C393" s="1221">
        <v>4</v>
      </c>
      <c r="D393" s="1222" t="s">
        <v>206</v>
      </c>
      <c r="E393" s="1223" t="s">
        <v>354</v>
      </c>
      <c r="F393" s="1505" t="s">
        <v>3104</v>
      </c>
      <c r="G393" s="1223" t="s">
        <v>559</v>
      </c>
      <c r="H393" s="1223" t="s">
        <v>3096</v>
      </c>
      <c r="I393" s="1223" t="s">
        <v>3100</v>
      </c>
      <c r="J393" s="1224"/>
      <c r="K393" s="1224">
        <v>22000000</v>
      </c>
      <c r="L393" s="1225">
        <f t="shared" si="134"/>
        <v>2200000</v>
      </c>
      <c r="M393" s="1237"/>
      <c r="N393" s="1225">
        <f t="shared" si="133"/>
        <v>24200000</v>
      </c>
      <c r="O393" s="197" t="s">
        <v>244</v>
      </c>
      <c r="P393" s="197" t="s">
        <v>106</v>
      </c>
      <c r="Q393" s="175"/>
      <c r="R393" s="175"/>
      <c r="S393" s="116">
        <v>0</v>
      </c>
      <c r="T393" s="116">
        <f t="shared" ref="T393:T406" si="135">-K393*2%</f>
        <v>-440000</v>
      </c>
      <c r="U393" s="116">
        <v>23760000</v>
      </c>
      <c r="V393" s="210"/>
      <c r="W393" s="115"/>
      <c r="X393" s="181"/>
      <c r="Y393" s="116"/>
      <c r="Z393" s="185"/>
      <c r="AA393" s="592"/>
      <c r="AB393" s="186"/>
      <c r="AC393" s="9"/>
      <c r="AD393" s="297"/>
      <c r="AE393" s="297"/>
      <c r="AF393" s="9"/>
      <c r="AG393" s="9"/>
      <c r="AH393" s="300"/>
      <c r="AI393" s="9"/>
      <c r="AJ393" s="300"/>
      <c r="AK393" s="73"/>
    </row>
    <row r="394" spans="1:37" s="114" customFormat="1" ht="12" hidden="1" customHeight="1">
      <c r="A394" s="53"/>
      <c r="B394" s="1220" t="s">
        <v>244</v>
      </c>
      <c r="C394" s="1221">
        <v>4</v>
      </c>
      <c r="D394" s="1222" t="s">
        <v>206</v>
      </c>
      <c r="E394" s="1223" t="s">
        <v>354</v>
      </c>
      <c r="F394" s="1505" t="s">
        <v>3105</v>
      </c>
      <c r="G394" s="1223" t="s">
        <v>559</v>
      </c>
      <c r="H394" s="1223" t="s">
        <v>3097</v>
      </c>
      <c r="I394" s="1223" t="s">
        <v>3101</v>
      </c>
      <c r="J394" s="1224"/>
      <c r="K394" s="1224">
        <v>22000000</v>
      </c>
      <c r="L394" s="1225">
        <f t="shared" si="134"/>
        <v>2200000</v>
      </c>
      <c r="M394" s="1237"/>
      <c r="N394" s="1225">
        <f t="shared" si="133"/>
        <v>24200000</v>
      </c>
      <c r="O394" s="197" t="s">
        <v>244</v>
      </c>
      <c r="P394" s="197" t="s">
        <v>106</v>
      </c>
      <c r="Q394" s="175"/>
      <c r="R394" s="175"/>
      <c r="S394" s="116">
        <v>0</v>
      </c>
      <c r="T394" s="116">
        <f t="shared" si="135"/>
        <v>-440000</v>
      </c>
      <c r="U394" s="116">
        <v>23760000</v>
      </c>
      <c r="V394" s="210"/>
      <c r="W394" s="115"/>
      <c r="X394" s="181"/>
      <c r="Y394" s="116"/>
      <c r="Z394" s="185"/>
      <c r="AA394" s="592"/>
      <c r="AB394" s="186"/>
      <c r="AC394" s="9"/>
      <c r="AD394" s="297"/>
      <c r="AE394" s="297"/>
      <c r="AF394" s="9"/>
      <c r="AG394" s="9"/>
      <c r="AH394" s="300"/>
      <c r="AI394" s="9"/>
      <c r="AJ394" s="300"/>
      <c r="AK394" s="73"/>
    </row>
    <row r="395" spans="1:37" s="114" customFormat="1" ht="12" hidden="1" customHeight="1">
      <c r="A395" s="53"/>
      <c r="B395" s="1220" t="s">
        <v>244</v>
      </c>
      <c r="C395" s="1221">
        <v>4</v>
      </c>
      <c r="D395" s="1222" t="s">
        <v>206</v>
      </c>
      <c r="E395" s="1223" t="s">
        <v>354</v>
      </c>
      <c r="F395" s="1505" t="s">
        <v>3106</v>
      </c>
      <c r="G395" s="1223" t="s">
        <v>559</v>
      </c>
      <c r="H395" s="1223" t="s">
        <v>3098</v>
      </c>
      <c r="I395" s="1223" t="s">
        <v>3102</v>
      </c>
      <c r="J395" s="1237"/>
      <c r="K395" s="1224">
        <v>22000000</v>
      </c>
      <c r="L395" s="1224">
        <f t="shared" si="134"/>
        <v>2200000</v>
      </c>
      <c r="M395" s="1237">
        <v>0</v>
      </c>
      <c r="N395" s="1225">
        <f t="shared" si="133"/>
        <v>24200000</v>
      </c>
      <c r="O395" s="197" t="s">
        <v>244</v>
      </c>
      <c r="P395" s="197" t="s">
        <v>106</v>
      </c>
      <c r="Q395" s="175"/>
      <c r="R395" s="175"/>
      <c r="S395" s="116">
        <v>0</v>
      </c>
      <c r="T395" s="116">
        <f t="shared" si="135"/>
        <v>-440000</v>
      </c>
      <c r="U395" s="116">
        <v>23760000</v>
      </c>
      <c r="V395" s="210">
        <f t="shared" si="118"/>
        <v>0</v>
      </c>
      <c r="W395" s="115"/>
      <c r="X395" s="181"/>
      <c r="Y395" s="116"/>
      <c r="Z395" s="185"/>
      <c r="AA395" s="592"/>
      <c r="AB395" s="186"/>
      <c r="AC395" s="9"/>
      <c r="AD395" s="297"/>
      <c r="AE395" s="297"/>
      <c r="AF395" s="9"/>
      <c r="AG395" s="9" t="s">
        <v>1395</v>
      </c>
      <c r="AH395" s="300">
        <v>42949</v>
      </c>
      <c r="AI395" s="9" t="s">
        <v>2832</v>
      </c>
      <c r="AJ395" s="300">
        <v>42949</v>
      </c>
      <c r="AK395" s="73"/>
    </row>
    <row r="396" spans="1:37" s="114" customFormat="1" ht="12" hidden="1" customHeight="1">
      <c r="A396" s="53"/>
      <c r="B396" s="1220" t="s">
        <v>244</v>
      </c>
      <c r="C396" s="1221">
        <v>4</v>
      </c>
      <c r="D396" s="1222" t="s">
        <v>206</v>
      </c>
      <c r="E396" s="1223" t="s">
        <v>354</v>
      </c>
      <c r="F396" s="1505" t="s">
        <v>3107</v>
      </c>
      <c r="G396" s="1223" t="s">
        <v>559</v>
      </c>
      <c r="H396" s="1223" t="s">
        <v>3099</v>
      </c>
      <c r="I396" s="1223" t="s">
        <v>3103</v>
      </c>
      <c r="J396" s="1237"/>
      <c r="K396" s="1224">
        <v>22000000</v>
      </c>
      <c r="L396" s="1224">
        <f t="shared" si="134"/>
        <v>2200000</v>
      </c>
      <c r="M396" s="1237">
        <v>0</v>
      </c>
      <c r="N396" s="1225">
        <f t="shared" si="133"/>
        <v>24200000</v>
      </c>
      <c r="O396" s="197" t="s">
        <v>244</v>
      </c>
      <c r="P396" s="197" t="s">
        <v>106</v>
      </c>
      <c r="Q396" s="175"/>
      <c r="R396" s="175"/>
      <c r="S396" s="116">
        <v>0</v>
      </c>
      <c r="T396" s="116">
        <f t="shared" si="135"/>
        <v>-440000</v>
      </c>
      <c r="U396" s="116">
        <v>23760000</v>
      </c>
      <c r="V396" s="210">
        <f t="shared" si="118"/>
        <v>0</v>
      </c>
      <c r="W396" s="115"/>
      <c r="X396" s="181"/>
      <c r="Y396" s="116"/>
      <c r="Z396" s="185"/>
      <c r="AA396" s="592"/>
      <c r="AB396" s="186"/>
      <c r="AC396" s="9"/>
      <c r="AD396" s="297"/>
      <c r="AE396" s="297"/>
      <c r="AF396" s="9"/>
      <c r="AG396" s="9" t="s">
        <v>1395</v>
      </c>
      <c r="AH396" s="300">
        <v>42949</v>
      </c>
      <c r="AI396" s="9" t="s">
        <v>2832</v>
      </c>
      <c r="AJ396" s="300">
        <v>42949</v>
      </c>
      <c r="AK396" s="73"/>
    </row>
    <row r="397" spans="1:37" s="114" customFormat="1" ht="12" hidden="1" customHeight="1">
      <c r="A397" s="53"/>
      <c r="B397" s="1220" t="s">
        <v>245</v>
      </c>
      <c r="C397" s="1221">
        <v>3</v>
      </c>
      <c r="D397" s="1222" t="s">
        <v>206</v>
      </c>
      <c r="E397" s="1223" t="s">
        <v>354</v>
      </c>
      <c r="F397" s="1505" t="s">
        <v>3104</v>
      </c>
      <c r="G397" s="1223" t="s">
        <v>602</v>
      </c>
      <c r="H397" s="1223" t="s">
        <v>3315</v>
      </c>
      <c r="I397" s="1223" t="s">
        <v>3316</v>
      </c>
      <c r="J397" s="1224"/>
      <c r="K397" s="1224">
        <v>22000000</v>
      </c>
      <c r="L397" s="1225">
        <f t="shared" ref="L397:L402" si="136">K397*10%</f>
        <v>2200000</v>
      </c>
      <c r="M397" s="1054"/>
      <c r="N397" s="1225">
        <f t="shared" ref="N397:N402" si="137">K397+L397</f>
        <v>24200000</v>
      </c>
      <c r="O397" s="197" t="s">
        <v>245</v>
      </c>
      <c r="P397" s="197" t="s">
        <v>101</v>
      </c>
      <c r="Q397" s="175"/>
      <c r="R397" s="175"/>
      <c r="S397" s="116">
        <v>0</v>
      </c>
      <c r="T397" s="116">
        <f t="shared" si="135"/>
        <v>-440000</v>
      </c>
      <c r="U397" s="116">
        <v>23760000</v>
      </c>
      <c r="V397" s="210"/>
      <c r="W397" s="115"/>
      <c r="X397" s="181"/>
      <c r="Y397" s="116"/>
      <c r="Z397" s="185"/>
      <c r="AA397" s="592"/>
      <c r="AB397" s="186"/>
      <c r="AC397" s="9"/>
      <c r="AD397" s="297"/>
      <c r="AE397" s="297"/>
      <c r="AF397" s="9"/>
      <c r="AG397" s="9"/>
      <c r="AH397" s="300"/>
      <c r="AI397" s="9"/>
      <c r="AJ397" s="300"/>
      <c r="AK397" s="73"/>
    </row>
    <row r="398" spans="1:37" s="114" customFormat="1" ht="12" hidden="1" customHeight="1">
      <c r="A398" s="53"/>
      <c r="B398" s="1220" t="s">
        <v>245</v>
      </c>
      <c r="C398" s="1221">
        <v>3</v>
      </c>
      <c r="D398" s="1222" t="s">
        <v>206</v>
      </c>
      <c r="E398" s="1223" t="s">
        <v>354</v>
      </c>
      <c r="F398" s="1505" t="s">
        <v>3105</v>
      </c>
      <c r="G398" s="1223" t="s">
        <v>602</v>
      </c>
      <c r="H398" s="1223" t="s">
        <v>3317</v>
      </c>
      <c r="I398" s="1223" t="s">
        <v>3318</v>
      </c>
      <c r="J398" s="1224"/>
      <c r="K398" s="1224">
        <v>22000000</v>
      </c>
      <c r="L398" s="1225">
        <f t="shared" si="136"/>
        <v>2200000</v>
      </c>
      <c r="M398" s="1054"/>
      <c r="N398" s="1225">
        <f t="shared" si="137"/>
        <v>24200000</v>
      </c>
      <c r="O398" s="197" t="s">
        <v>245</v>
      </c>
      <c r="P398" s="197" t="s">
        <v>101</v>
      </c>
      <c r="Q398" s="175"/>
      <c r="R398" s="175"/>
      <c r="S398" s="116">
        <v>0</v>
      </c>
      <c r="T398" s="116">
        <f t="shared" si="135"/>
        <v>-440000</v>
      </c>
      <c r="U398" s="116">
        <v>23760000</v>
      </c>
      <c r="V398" s="210"/>
      <c r="W398" s="115"/>
      <c r="X398" s="181"/>
      <c r="Y398" s="116"/>
      <c r="Z398" s="185"/>
      <c r="AA398" s="592"/>
      <c r="AB398" s="186"/>
      <c r="AC398" s="9"/>
      <c r="AD398" s="297"/>
      <c r="AE398" s="297"/>
      <c r="AF398" s="9"/>
      <c r="AG398" s="9"/>
      <c r="AH398" s="300"/>
      <c r="AI398" s="9"/>
      <c r="AJ398" s="300"/>
      <c r="AK398" s="73"/>
    </row>
    <row r="399" spans="1:37" s="114" customFormat="1" ht="12" hidden="1" customHeight="1">
      <c r="A399" s="53"/>
      <c r="B399" s="1220" t="s">
        <v>245</v>
      </c>
      <c r="C399" s="1221">
        <v>3</v>
      </c>
      <c r="D399" s="1222" t="s">
        <v>206</v>
      </c>
      <c r="E399" s="1223" t="s">
        <v>354</v>
      </c>
      <c r="F399" s="1505" t="s">
        <v>3106</v>
      </c>
      <c r="G399" s="1223" t="s">
        <v>602</v>
      </c>
      <c r="H399" s="1223" t="s">
        <v>3319</v>
      </c>
      <c r="I399" s="1223" t="s">
        <v>3320</v>
      </c>
      <c r="J399" s="1237"/>
      <c r="K399" s="1224">
        <v>22000000</v>
      </c>
      <c r="L399" s="1224">
        <f t="shared" si="136"/>
        <v>2200000</v>
      </c>
      <c r="M399" s="1054">
        <v>0</v>
      </c>
      <c r="N399" s="1225">
        <f t="shared" si="137"/>
        <v>24200000</v>
      </c>
      <c r="O399" s="197" t="s">
        <v>245</v>
      </c>
      <c r="P399" s="197" t="s">
        <v>101</v>
      </c>
      <c r="Q399" s="175"/>
      <c r="R399" s="175"/>
      <c r="S399" s="116">
        <v>0</v>
      </c>
      <c r="T399" s="116">
        <f t="shared" si="135"/>
        <v>-440000</v>
      </c>
      <c r="U399" s="116">
        <v>23760000</v>
      </c>
      <c r="V399" s="210"/>
      <c r="W399" s="115"/>
      <c r="X399" s="181"/>
      <c r="Y399" s="116"/>
      <c r="Z399" s="185"/>
      <c r="AA399" s="592"/>
      <c r="AB399" s="186"/>
      <c r="AC399" s="9"/>
      <c r="AD399" s="297"/>
      <c r="AE399" s="297"/>
      <c r="AF399" s="9"/>
      <c r="AG399" s="9"/>
      <c r="AH399" s="300"/>
      <c r="AI399" s="9"/>
      <c r="AJ399" s="300"/>
      <c r="AK399" s="73"/>
    </row>
    <row r="400" spans="1:37" s="114" customFormat="1" ht="12" hidden="1" customHeight="1">
      <c r="A400" s="53"/>
      <c r="B400" s="1220" t="s">
        <v>245</v>
      </c>
      <c r="C400" s="1221">
        <v>3</v>
      </c>
      <c r="D400" s="1222" t="s">
        <v>206</v>
      </c>
      <c r="E400" s="1223" t="s">
        <v>354</v>
      </c>
      <c r="F400" s="1505" t="s">
        <v>3107</v>
      </c>
      <c r="G400" s="1223" t="s">
        <v>602</v>
      </c>
      <c r="H400" s="1223" t="s">
        <v>3321</v>
      </c>
      <c r="I400" s="1223" t="s">
        <v>3322</v>
      </c>
      <c r="J400" s="1237"/>
      <c r="K400" s="1224">
        <v>22000000</v>
      </c>
      <c r="L400" s="1224">
        <f t="shared" si="136"/>
        <v>2200000</v>
      </c>
      <c r="M400" s="1054">
        <v>0</v>
      </c>
      <c r="N400" s="1225">
        <f t="shared" si="137"/>
        <v>24200000</v>
      </c>
      <c r="O400" s="197" t="s">
        <v>245</v>
      </c>
      <c r="P400" s="197" t="s">
        <v>101</v>
      </c>
      <c r="Q400" s="175"/>
      <c r="R400" s="175"/>
      <c r="S400" s="116">
        <v>0</v>
      </c>
      <c r="T400" s="116">
        <f t="shared" si="135"/>
        <v>-440000</v>
      </c>
      <c r="U400" s="116">
        <v>23760000</v>
      </c>
      <c r="V400" s="210"/>
      <c r="W400" s="115"/>
      <c r="X400" s="181"/>
      <c r="Y400" s="116"/>
      <c r="Z400" s="185"/>
      <c r="AA400" s="592"/>
      <c r="AB400" s="186"/>
      <c r="AC400" s="9"/>
      <c r="AD400" s="297"/>
      <c r="AE400" s="297"/>
      <c r="AF400" s="9"/>
      <c r="AG400" s="9"/>
      <c r="AH400" s="300"/>
      <c r="AI400" s="9"/>
      <c r="AJ400" s="300"/>
      <c r="AK400" s="73"/>
    </row>
    <row r="401" spans="1:37" s="1211" customFormat="1" ht="12" hidden="1" customHeight="1">
      <c r="A401" s="1220"/>
      <c r="B401" s="1220" t="s">
        <v>245</v>
      </c>
      <c r="C401" s="1221">
        <v>30</v>
      </c>
      <c r="D401" s="1222" t="s">
        <v>206</v>
      </c>
      <c r="E401" s="1223"/>
      <c r="F401" s="1505" t="s">
        <v>3467</v>
      </c>
      <c r="G401" s="1223" t="s">
        <v>3468</v>
      </c>
      <c r="H401" s="1223" t="s">
        <v>3469</v>
      </c>
      <c r="I401" s="1266" t="s">
        <v>14</v>
      </c>
      <c r="J401" s="1237"/>
      <c r="K401" s="1224">
        <v>2800977</v>
      </c>
      <c r="L401" s="1224">
        <v>0</v>
      </c>
      <c r="M401" s="1237"/>
      <c r="N401" s="1225">
        <f t="shared" si="137"/>
        <v>2800977</v>
      </c>
      <c r="O401" s="1202" t="s">
        <v>238</v>
      </c>
      <c r="P401" s="1202" t="s">
        <v>106</v>
      </c>
      <c r="Q401" s="1308"/>
      <c r="R401" s="1214"/>
      <c r="S401" s="762"/>
      <c r="T401" s="1321">
        <v>0</v>
      </c>
      <c r="U401" s="762">
        <v>2800977</v>
      </c>
      <c r="V401" s="1215"/>
      <c r="W401" s="1203"/>
      <c r="X401" s="1204"/>
      <c r="Y401" s="762"/>
      <c r="Z401" s="1205"/>
      <c r="AA401" s="1206"/>
      <c r="AB401" s="1207"/>
      <c r="AC401" s="759"/>
      <c r="AD401" s="1208"/>
      <c r="AE401" s="1208"/>
      <c r="AF401" s="759"/>
      <c r="AG401" s="759"/>
      <c r="AH401" s="1209"/>
      <c r="AI401" s="759"/>
      <c r="AJ401" s="1209"/>
      <c r="AK401" s="1210"/>
    </row>
    <row r="402" spans="1:37" s="1211" customFormat="1" ht="12" hidden="1" customHeight="1">
      <c r="A402" s="1220"/>
      <c r="B402" s="1220" t="s">
        <v>238</v>
      </c>
      <c r="C402" s="1221">
        <v>1</v>
      </c>
      <c r="D402" s="1222" t="s">
        <v>206</v>
      </c>
      <c r="E402" s="1223" t="s">
        <v>354</v>
      </c>
      <c r="F402" s="1505" t="s">
        <v>3104</v>
      </c>
      <c r="G402" s="1223" t="s">
        <v>641</v>
      </c>
      <c r="H402" s="1223" t="s">
        <v>3487</v>
      </c>
      <c r="I402" s="1223" t="s">
        <v>3488</v>
      </c>
      <c r="J402" s="1237"/>
      <c r="K402" s="1224">
        <v>22000000</v>
      </c>
      <c r="L402" s="1224">
        <f t="shared" si="136"/>
        <v>2200000</v>
      </c>
      <c r="M402" s="1237"/>
      <c r="N402" s="1225">
        <f t="shared" si="137"/>
        <v>24200000</v>
      </c>
      <c r="O402" s="1202" t="s">
        <v>238</v>
      </c>
      <c r="P402" s="1202" t="s">
        <v>106</v>
      </c>
      <c r="Q402" s="1308"/>
      <c r="R402" s="1214"/>
      <c r="S402" s="762"/>
      <c r="T402" s="762">
        <f t="shared" si="135"/>
        <v>-440000</v>
      </c>
      <c r="U402" s="116">
        <v>23760000</v>
      </c>
      <c r="V402" s="1215"/>
      <c r="W402" s="1203"/>
      <c r="X402" s="1204"/>
      <c r="Y402" s="762"/>
      <c r="Z402" s="1205"/>
      <c r="AA402" s="1206"/>
      <c r="AB402" s="1207"/>
      <c r="AC402" s="759"/>
      <c r="AD402" s="1208"/>
      <c r="AE402" s="1208"/>
      <c r="AF402" s="759"/>
      <c r="AG402" s="759"/>
      <c r="AH402" s="1209"/>
      <c r="AI402" s="759"/>
      <c r="AJ402" s="1209"/>
      <c r="AK402" s="1210"/>
    </row>
    <row r="403" spans="1:37" s="1211" customFormat="1" ht="12" hidden="1" customHeight="1">
      <c r="A403" s="1220"/>
      <c r="B403" s="1220" t="s">
        <v>238</v>
      </c>
      <c r="C403" s="1221">
        <v>1</v>
      </c>
      <c r="D403" s="1222" t="s">
        <v>206</v>
      </c>
      <c r="E403" s="1223" t="s">
        <v>354</v>
      </c>
      <c r="F403" s="1505" t="s">
        <v>3105</v>
      </c>
      <c r="G403" s="1223" t="s">
        <v>641</v>
      </c>
      <c r="H403" s="1223" t="s">
        <v>3489</v>
      </c>
      <c r="I403" s="1223" t="s">
        <v>3490</v>
      </c>
      <c r="J403" s="1237"/>
      <c r="K403" s="1224">
        <v>22000000</v>
      </c>
      <c r="L403" s="1224">
        <f t="shared" ref="L403" si="138">K403*10%</f>
        <v>2200000</v>
      </c>
      <c r="M403" s="1237"/>
      <c r="N403" s="1225">
        <f t="shared" ref="N403" si="139">K403+L403</f>
        <v>24200000</v>
      </c>
      <c r="O403" s="1202" t="s">
        <v>238</v>
      </c>
      <c r="P403" s="1202" t="s">
        <v>106</v>
      </c>
      <c r="Q403" s="1308"/>
      <c r="R403" s="1214"/>
      <c r="S403" s="762"/>
      <c r="T403" s="762">
        <f t="shared" si="135"/>
        <v>-440000</v>
      </c>
      <c r="U403" s="116">
        <v>23760000</v>
      </c>
      <c r="V403" s="1215"/>
      <c r="W403" s="1203"/>
      <c r="X403" s="1204"/>
      <c r="Y403" s="762"/>
      <c r="Z403" s="1205"/>
      <c r="AA403" s="1206"/>
      <c r="AB403" s="1207"/>
      <c r="AC403" s="759"/>
      <c r="AD403" s="1208"/>
      <c r="AE403" s="1208"/>
      <c r="AF403" s="759"/>
      <c r="AG403" s="759"/>
      <c r="AH403" s="1209"/>
      <c r="AI403" s="759"/>
      <c r="AJ403" s="1209"/>
      <c r="AK403" s="1210"/>
    </row>
    <row r="404" spans="1:37" s="1211" customFormat="1" ht="12" hidden="1" customHeight="1">
      <c r="A404" s="1220"/>
      <c r="B404" s="1220" t="s">
        <v>238</v>
      </c>
      <c r="C404" s="1221">
        <v>1</v>
      </c>
      <c r="D404" s="1222" t="s">
        <v>206</v>
      </c>
      <c r="E404" s="1223" t="s">
        <v>354</v>
      </c>
      <c r="F404" s="1505" t="s">
        <v>3106</v>
      </c>
      <c r="G404" s="1223" t="s">
        <v>641</v>
      </c>
      <c r="H404" s="1223" t="s">
        <v>3491</v>
      </c>
      <c r="I404" s="1223" t="s">
        <v>3492</v>
      </c>
      <c r="J404" s="1237"/>
      <c r="K404" s="1224">
        <v>22000000</v>
      </c>
      <c r="L404" s="1224">
        <f t="shared" ref="L404" si="140">K404*10%</f>
        <v>2200000</v>
      </c>
      <c r="M404" s="1237"/>
      <c r="N404" s="1225">
        <f t="shared" ref="N404" si="141">K404+L404</f>
        <v>24200000</v>
      </c>
      <c r="O404" s="1202" t="s">
        <v>238</v>
      </c>
      <c r="P404" s="1202" t="s">
        <v>106</v>
      </c>
      <c r="Q404" s="1308"/>
      <c r="R404" s="1214"/>
      <c r="S404" s="762"/>
      <c r="T404" s="762">
        <f t="shared" si="135"/>
        <v>-440000</v>
      </c>
      <c r="U404" s="116">
        <v>23760000</v>
      </c>
      <c r="V404" s="1215"/>
      <c r="W404" s="1203"/>
      <c r="X404" s="1204"/>
      <c r="Y404" s="762"/>
      <c r="Z404" s="1205"/>
      <c r="AA404" s="1206"/>
      <c r="AB404" s="1207"/>
      <c r="AC404" s="759"/>
      <c r="AD404" s="1208"/>
      <c r="AE404" s="1208"/>
      <c r="AF404" s="759"/>
      <c r="AG404" s="759"/>
      <c r="AH404" s="1209"/>
      <c r="AI404" s="759"/>
      <c r="AJ404" s="1209"/>
      <c r="AK404" s="1210"/>
    </row>
    <row r="405" spans="1:37" s="1211" customFormat="1" ht="12" hidden="1" customHeight="1">
      <c r="A405" s="1220"/>
      <c r="B405" s="1220" t="s">
        <v>238</v>
      </c>
      <c r="C405" s="1221">
        <v>1</v>
      </c>
      <c r="D405" s="1222" t="s">
        <v>206</v>
      </c>
      <c r="E405" s="1223" t="s">
        <v>354</v>
      </c>
      <c r="F405" s="1505" t="s">
        <v>3107</v>
      </c>
      <c r="G405" s="1223" t="s">
        <v>641</v>
      </c>
      <c r="H405" s="1223" t="s">
        <v>3493</v>
      </c>
      <c r="I405" s="1223" t="s">
        <v>3494</v>
      </c>
      <c r="J405" s="1237"/>
      <c r="K405" s="1224">
        <v>22000000</v>
      </c>
      <c r="L405" s="1224">
        <f t="shared" ref="L405:L406" si="142">K405*10%</f>
        <v>2200000</v>
      </c>
      <c r="M405" s="1237"/>
      <c r="N405" s="1225">
        <f t="shared" ref="N405:N406" si="143">K405+L405</f>
        <v>24200000</v>
      </c>
      <c r="O405" s="1202" t="s">
        <v>238</v>
      </c>
      <c r="P405" s="1202" t="s">
        <v>106</v>
      </c>
      <c r="Q405" s="1308"/>
      <c r="R405" s="1214"/>
      <c r="S405" s="762"/>
      <c r="T405" s="762">
        <f t="shared" si="135"/>
        <v>-440000</v>
      </c>
      <c r="U405" s="116">
        <v>23760000</v>
      </c>
      <c r="V405" s="1215"/>
      <c r="W405" s="1203"/>
      <c r="X405" s="1204"/>
      <c r="Y405" s="762"/>
      <c r="Z405" s="1205"/>
      <c r="AA405" s="1206"/>
      <c r="AB405" s="1207"/>
      <c r="AC405" s="759"/>
      <c r="AD405" s="1208"/>
      <c r="AE405" s="1208"/>
      <c r="AF405" s="759"/>
      <c r="AG405" s="759"/>
      <c r="AH405" s="1209"/>
      <c r="AI405" s="759"/>
      <c r="AJ405" s="1209"/>
      <c r="AK405" s="1210"/>
    </row>
    <row r="406" spans="1:37" s="1211" customFormat="1" ht="12" hidden="1" customHeight="1">
      <c r="A406" s="1220"/>
      <c r="B406" s="758" t="s">
        <v>140</v>
      </c>
      <c r="C406" s="759">
        <v>4</v>
      </c>
      <c r="D406" s="760" t="s">
        <v>206</v>
      </c>
      <c r="E406" s="761" t="s">
        <v>354</v>
      </c>
      <c r="F406" s="1506" t="s">
        <v>3104</v>
      </c>
      <c r="G406" s="761" t="s">
        <v>1616</v>
      </c>
      <c r="H406" s="761" t="s">
        <v>3624</v>
      </c>
      <c r="I406" s="761" t="s">
        <v>3625</v>
      </c>
      <c r="J406" s="1054"/>
      <c r="K406" s="762">
        <v>22000000</v>
      </c>
      <c r="L406" s="762">
        <f t="shared" si="142"/>
        <v>2200000</v>
      </c>
      <c r="M406" s="1054"/>
      <c r="N406" s="763">
        <f t="shared" si="143"/>
        <v>24200000</v>
      </c>
      <c r="O406" s="1202"/>
      <c r="P406" s="1202"/>
      <c r="Q406" s="1308"/>
      <c r="R406" s="1214"/>
      <c r="S406" s="762"/>
      <c r="T406" s="762">
        <f t="shared" si="135"/>
        <v>-440000</v>
      </c>
      <c r="U406" s="116"/>
      <c r="V406" s="1215"/>
      <c r="W406" s="1203"/>
      <c r="X406" s="1204"/>
      <c r="Y406" s="762"/>
      <c r="Z406" s="1205"/>
      <c r="AA406" s="1206"/>
      <c r="AB406" s="1207"/>
      <c r="AC406" s="759"/>
      <c r="AD406" s="1208"/>
      <c r="AE406" s="1208"/>
      <c r="AF406" s="759"/>
      <c r="AG406" s="759"/>
      <c r="AH406" s="1209"/>
      <c r="AI406" s="759"/>
      <c r="AJ406" s="1209"/>
      <c r="AK406" s="1210"/>
    </row>
    <row r="407" spans="1:37" s="1211" customFormat="1" ht="12" hidden="1" customHeight="1">
      <c r="A407" s="1220"/>
      <c r="B407" s="758" t="s">
        <v>140</v>
      </c>
      <c r="C407" s="759">
        <v>4</v>
      </c>
      <c r="D407" s="760" t="s">
        <v>206</v>
      </c>
      <c r="E407" s="761" t="s">
        <v>354</v>
      </c>
      <c r="F407" s="1506" t="s">
        <v>3105</v>
      </c>
      <c r="G407" s="761" t="s">
        <v>1616</v>
      </c>
      <c r="H407" s="761" t="s">
        <v>3626</v>
      </c>
      <c r="I407" s="761" t="s">
        <v>3627</v>
      </c>
      <c r="J407" s="1054"/>
      <c r="K407" s="762">
        <v>22000000</v>
      </c>
      <c r="L407" s="762">
        <f t="shared" ref="L407" si="144">K407*10%</f>
        <v>2200000</v>
      </c>
      <c r="M407" s="1054"/>
      <c r="N407" s="763">
        <f t="shared" ref="N407" si="145">K407+L407</f>
        <v>24200000</v>
      </c>
      <c r="O407" s="1202"/>
      <c r="P407" s="1202"/>
      <c r="Q407" s="1308"/>
      <c r="R407" s="1214"/>
      <c r="S407" s="762"/>
      <c r="T407" s="762"/>
      <c r="U407" s="116"/>
      <c r="V407" s="1215"/>
      <c r="W407" s="1203"/>
      <c r="X407" s="1204"/>
      <c r="Y407" s="762"/>
      <c r="Z407" s="1205"/>
      <c r="AA407" s="1206"/>
      <c r="AB407" s="1207"/>
      <c r="AC407" s="759"/>
      <c r="AD407" s="1208"/>
      <c r="AE407" s="1208"/>
      <c r="AF407" s="759"/>
      <c r="AG407" s="759"/>
      <c r="AH407" s="1209"/>
      <c r="AI407" s="759"/>
      <c r="AJ407" s="1209"/>
      <c r="AK407" s="1210"/>
    </row>
    <row r="408" spans="1:37" s="1211" customFormat="1" ht="12" hidden="1" customHeight="1">
      <c r="A408" s="1220"/>
      <c r="B408" s="758" t="s">
        <v>140</v>
      </c>
      <c r="C408" s="759">
        <v>4</v>
      </c>
      <c r="D408" s="760" t="s">
        <v>206</v>
      </c>
      <c r="E408" s="761" t="s">
        <v>354</v>
      </c>
      <c r="F408" s="1506" t="s">
        <v>3106</v>
      </c>
      <c r="G408" s="761" t="s">
        <v>1616</v>
      </c>
      <c r="H408" s="761" t="s">
        <v>3628</v>
      </c>
      <c r="I408" s="761" t="s">
        <v>3629</v>
      </c>
      <c r="J408" s="1054"/>
      <c r="K408" s="762">
        <v>22000000</v>
      </c>
      <c r="L408" s="762">
        <f t="shared" ref="L408" si="146">K408*10%</f>
        <v>2200000</v>
      </c>
      <c r="M408" s="1054"/>
      <c r="N408" s="763">
        <f t="shared" ref="N408" si="147">K408+L408</f>
        <v>24200000</v>
      </c>
      <c r="O408" s="1202"/>
      <c r="P408" s="1202"/>
      <c r="Q408" s="1308"/>
      <c r="R408" s="1214"/>
      <c r="S408" s="762"/>
      <c r="T408" s="762"/>
      <c r="U408" s="116"/>
      <c r="V408" s="1215"/>
      <c r="W408" s="1203"/>
      <c r="X408" s="1204"/>
      <c r="Y408" s="762"/>
      <c r="Z408" s="1205"/>
      <c r="AA408" s="1206"/>
      <c r="AB408" s="1207"/>
      <c r="AC408" s="759"/>
      <c r="AD408" s="1208"/>
      <c r="AE408" s="1208"/>
      <c r="AF408" s="759"/>
      <c r="AG408" s="759"/>
      <c r="AH408" s="1209"/>
      <c r="AI408" s="759"/>
      <c r="AJ408" s="1209"/>
      <c r="AK408" s="1210"/>
    </row>
    <row r="409" spans="1:37" s="1211" customFormat="1" ht="12" hidden="1" customHeight="1">
      <c r="A409" s="1220"/>
      <c r="B409" s="758" t="s">
        <v>140</v>
      </c>
      <c r="C409" s="759">
        <v>4</v>
      </c>
      <c r="D409" s="760" t="s">
        <v>206</v>
      </c>
      <c r="E409" s="761" t="s">
        <v>354</v>
      </c>
      <c r="F409" s="1506" t="s">
        <v>3107</v>
      </c>
      <c r="G409" s="761" t="s">
        <v>1616</v>
      </c>
      <c r="H409" s="761" t="s">
        <v>3630</v>
      </c>
      <c r="I409" s="761" t="s">
        <v>3631</v>
      </c>
      <c r="J409" s="1054"/>
      <c r="K409" s="762">
        <v>22000000</v>
      </c>
      <c r="L409" s="762">
        <f t="shared" ref="L409" si="148">K409*10%</f>
        <v>2200000</v>
      </c>
      <c r="M409" s="1054"/>
      <c r="N409" s="763">
        <f t="shared" ref="N409" si="149">K409+L409</f>
        <v>24200000</v>
      </c>
      <c r="O409" s="1202"/>
      <c r="P409" s="1202"/>
      <c r="Q409" s="1308"/>
      <c r="R409" s="1214"/>
      <c r="S409" s="762"/>
      <c r="T409" s="762"/>
      <c r="U409" s="116"/>
      <c r="V409" s="1215"/>
      <c r="W409" s="1203"/>
      <c r="X409" s="1204"/>
      <c r="Y409" s="762"/>
      <c r="Z409" s="1205"/>
      <c r="AA409" s="1206"/>
      <c r="AB409" s="1207"/>
      <c r="AC409" s="759"/>
      <c r="AD409" s="1208"/>
      <c r="AE409" s="1208"/>
      <c r="AF409" s="759"/>
      <c r="AG409" s="759"/>
      <c r="AH409" s="1209"/>
      <c r="AI409" s="759"/>
      <c r="AJ409" s="1209"/>
      <c r="AK409" s="1210"/>
    </row>
    <row r="410" spans="1:37" s="114" customFormat="1" ht="12" hidden="1" customHeight="1">
      <c r="A410" s="53"/>
      <c r="B410" s="53" t="s">
        <v>240</v>
      </c>
      <c r="C410" s="9">
        <v>17</v>
      </c>
      <c r="D410" s="8" t="s">
        <v>2405</v>
      </c>
      <c r="E410" s="10" t="s">
        <v>62</v>
      </c>
      <c r="F410" s="356"/>
      <c r="G410" s="10"/>
      <c r="H410" s="10" t="s">
        <v>2406</v>
      </c>
      <c r="I410" s="10" t="s">
        <v>2494</v>
      </c>
      <c r="J410" s="658">
        <v>0</v>
      </c>
      <c r="K410" s="116">
        <v>79261000</v>
      </c>
      <c r="L410" s="116">
        <f t="shared" si="132"/>
        <v>7926100</v>
      </c>
      <c r="M410" s="658">
        <v>0</v>
      </c>
      <c r="N410" s="189">
        <f t="shared" si="133"/>
        <v>87187100</v>
      </c>
      <c r="O410" s="197" t="s">
        <v>58</v>
      </c>
      <c r="P410" s="197" t="s">
        <v>103</v>
      </c>
      <c r="Q410" s="175"/>
      <c r="R410" s="175"/>
      <c r="S410" s="116">
        <v>0</v>
      </c>
      <c r="T410" s="116">
        <f t="shared" ref="T410:T422" si="150">-K410*2%</f>
        <v>-1585220</v>
      </c>
      <c r="U410" s="116">
        <v>85601880</v>
      </c>
      <c r="V410" s="210">
        <f t="shared" si="118"/>
        <v>0</v>
      </c>
      <c r="W410" s="115">
        <f t="shared" si="131"/>
        <v>0</v>
      </c>
      <c r="X410" s="181" t="s">
        <v>2549</v>
      </c>
      <c r="Y410" s="116"/>
      <c r="Z410" s="185"/>
      <c r="AA410" s="592"/>
      <c r="AB410" s="186"/>
      <c r="AC410" s="300">
        <v>42878</v>
      </c>
      <c r="AD410" s="297">
        <v>1585220</v>
      </c>
      <c r="AE410" s="297">
        <f t="shared" si="126"/>
        <v>0</v>
      </c>
      <c r="AF410" s="9" t="s">
        <v>2873</v>
      </c>
      <c r="AG410" s="9" t="s">
        <v>2407</v>
      </c>
      <c r="AH410" s="300">
        <v>42851</v>
      </c>
      <c r="AI410" s="9" t="s">
        <v>2408</v>
      </c>
      <c r="AJ410" s="300">
        <v>42851</v>
      </c>
      <c r="AK410" s="73" t="str">
        <f t="shared" si="128"/>
        <v>HUTCHISON 3 INDONESIA, PTMEI</v>
      </c>
    </row>
    <row r="411" spans="1:37" s="114" customFormat="1" ht="12" hidden="1" customHeight="1">
      <c r="A411" s="53"/>
      <c r="B411" s="53" t="s">
        <v>243</v>
      </c>
      <c r="C411" s="9">
        <v>1</v>
      </c>
      <c r="D411" s="8" t="s">
        <v>131</v>
      </c>
      <c r="E411" s="10" t="s">
        <v>63</v>
      </c>
      <c r="F411" s="356"/>
      <c r="G411" s="10"/>
      <c r="H411" s="10" t="s">
        <v>2982</v>
      </c>
      <c r="I411" s="10" t="s">
        <v>3009</v>
      </c>
      <c r="J411" s="658"/>
      <c r="K411" s="116">
        <v>727839750</v>
      </c>
      <c r="L411" s="116">
        <f t="shared" si="132"/>
        <v>72783975</v>
      </c>
      <c r="M411" s="658"/>
      <c r="N411" s="189">
        <f t="shared" si="133"/>
        <v>800623725</v>
      </c>
      <c r="O411" s="197"/>
      <c r="P411" s="197"/>
      <c r="Q411" s="175"/>
      <c r="R411" s="175"/>
      <c r="S411" s="116">
        <v>0</v>
      </c>
      <c r="T411" s="116">
        <f t="shared" ref="T411" si="151">-K411*2%</f>
        <v>-14556795</v>
      </c>
      <c r="U411" s="116">
        <v>0</v>
      </c>
      <c r="V411" s="210">
        <f t="shared" si="118"/>
        <v>0</v>
      </c>
      <c r="W411" s="115">
        <f t="shared" si="131"/>
        <v>786066930</v>
      </c>
      <c r="X411" s="181" t="s">
        <v>237</v>
      </c>
      <c r="Y411" s="116"/>
      <c r="Z411" s="185"/>
      <c r="AA411" s="592"/>
      <c r="AB411" s="186"/>
      <c r="AC411" s="300"/>
      <c r="AD411" s="297"/>
      <c r="AE411" s="297"/>
      <c r="AF411" s="9"/>
      <c r="AG411" s="1145" t="s">
        <v>3004</v>
      </c>
      <c r="AH411" s="893"/>
      <c r="AI411" s="892"/>
      <c r="AJ411" s="893"/>
      <c r="AK411" s="73"/>
    </row>
    <row r="412" spans="1:37" s="114" customFormat="1" ht="12" hidden="1" customHeight="1">
      <c r="A412" s="53"/>
      <c r="B412" s="53" t="s">
        <v>194</v>
      </c>
      <c r="C412" s="9">
        <v>9</v>
      </c>
      <c r="D412" s="8" t="s">
        <v>121</v>
      </c>
      <c r="E412" s="10" t="s">
        <v>355</v>
      </c>
      <c r="F412" s="356"/>
      <c r="G412" s="10"/>
      <c r="H412" s="10" t="s">
        <v>1832</v>
      </c>
      <c r="I412" s="10" t="s">
        <v>1833</v>
      </c>
      <c r="J412" s="658">
        <v>0</v>
      </c>
      <c r="K412" s="116">
        <v>52000000</v>
      </c>
      <c r="L412" s="116">
        <f t="shared" si="132"/>
        <v>5200000</v>
      </c>
      <c r="M412" s="658">
        <v>0</v>
      </c>
      <c r="N412" s="189">
        <f t="shared" ref="N412:N458" si="152">K412+L412</f>
        <v>57200000</v>
      </c>
      <c r="O412" s="197" t="s">
        <v>239</v>
      </c>
      <c r="P412" s="197" t="s">
        <v>113</v>
      </c>
      <c r="Q412" s="175"/>
      <c r="R412" s="175"/>
      <c r="S412" s="116">
        <v>0</v>
      </c>
      <c r="T412" s="116">
        <f t="shared" si="150"/>
        <v>-1040000</v>
      </c>
      <c r="U412" s="116">
        <v>56160000</v>
      </c>
      <c r="V412" s="210">
        <f t="shared" si="118"/>
        <v>0</v>
      </c>
      <c r="W412" s="115">
        <f t="shared" si="131"/>
        <v>0</v>
      </c>
      <c r="X412" s="181" t="s">
        <v>237</v>
      </c>
      <c r="Y412" s="116"/>
      <c r="Z412" s="185"/>
      <c r="AA412" s="592">
        <f>-S412-Z412</f>
        <v>0</v>
      </c>
      <c r="AB412" s="186"/>
      <c r="AC412" s="9"/>
      <c r="AD412" s="297"/>
      <c r="AE412" s="297">
        <f t="shared" si="126"/>
        <v>1040000</v>
      </c>
      <c r="AF412" s="9"/>
      <c r="AG412" s="9" t="s">
        <v>1395</v>
      </c>
      <c r="AH412" s="300">
        <v>42747</v>
      </c>
      <c r="AI412" s="9" t="s">
        <v>560</v>
      </c>
      <c r="AJ412" s="300">
        <v>42747</v>
      </c>
      <c r="AK412" s="73" t="str">
        <f t="shared" si="128"/>
        <v>KALIMANTAN PRIMA PERSADA, PTMAR</v>
      </c>
    </row>
    <row r="413" spans="1:37" s="114" customFormat="1" ht="12" hidden="1" customHeight="1">
      <c r="A413" s="53"/>
      <c r="B413" s="53" t="s">
        <v>195</v>
      </c>
      <c r="C413" s="9">
        <v>6</v>
      </c>
      <c r="D413" s="8" t="s">
        <v>121</v>
      </c>
      <c r="E413" s="10" t="s">
        <v>144</v>
      </c>
      <c r="F413" s="356"/>
      <c r="G413" s="10"/>
      <c r="H413" s="10" t="s">
        <v>2042</v>
      </c>
      <c r="I413" s="10" t="s">
        <v>2044</v>
      </c>
      <c r="J413" s="658">
        <v>0</v>
      </c>
      <c r="K413" s="116">
        <v>10000000</v>
      </c>
      <c r="L413" s="116">
        <f t="shared" si="132"/>
        <v>1000000</v>
      </c>
      <c r="M413" s="658">
        <v>0</v>
      </c>
      <c r="N413" s="189">
        <f t="shared" si="152"/>
        <v>11000000</v>
      </c>
      <c r="O413" s="197" t="s">
        <v>58</v>
      </c>
      <c r="P413" s="197" t="s">
        <v>92</v>
      </c>
      <c r="Q413" s="175"/>
      <c r="R413" s="175"/>
      <c r="S413" s="116">
        <v>0</v>
      </c>
      <c r="T413" s="116">
        <f t="shared" si="150"/>
        <v>-200000</v>
      </c>
      <c r="U413" s="116">
        <v>10800000</v>
      </c>
      <c r="V413" s="210">
        <f t="shared" si="118"/>
        <v>0</v>
      </c>
      <c r="W413" s="115">
        <f t="shared" si="131"/>
        <v>0</v>
      </c>
      <c r="X413" s="181" t="s">
        <v>237</v>
      </c>
      <c r="Y413" s="116"/>
      <c r="Z413" s="185"/>
      <c r="AA413" s="592"/>
      <c r="AB413" s="186"/>
      <c r="AC413" s="9"/>
      <c r="AD413" s="297"/>
      <c r="AE413" s="297">
        <f t="shared" si="126"/>
        <v>200000</v>
      </c>
      <c r="AF413" s="9"/>
      <c r="AG413" s="9" t="s">
        <v>1395</v>
      </c>
      <c r="AH413" s="300">
        <v>42779</v>
      </c>
      <c r="AI413" s="9" t="s">
        <v>2062</v>
      </c>
      <c r="AJ413" s="300">
        <v>42779</v>
      </c>
      <c r="AK413" s="73" t="str">
        <f t="shared" si="128"/>
        <v>KALIMANTAN PRIMA PERSADA, PTMEI</v>
      </c>
    </row>
    <row r="414" spans="1:37" s="114" customFormat="1" ht="12" hidden="1" customHeight="1">
      <c r="A414" s="53"/>
      <c r="B414" s="53" t="s">
        <v>195</v>
      </c>
      <c r="C414" s="9">
        <v>6</v>
      </c>
      <c r="D414" s="8" t="s">
        <v>121</v>
      </c>
      <c r="E414" s="10" t="s">
        <v>355</v>
      </c>
      <c r="F414" s="356"/>
      <c r="G414" s="10"/>
      <c r="H414" s="10" t="s">
        <v>2043</v>
      </c>
      <c r="I414" s="10" t="s">
        <v>2045</v>
      </c>
      <c r="J414" s="658">
        <v>0</v>
      </c>
      <c r="K414" s="116">
        <v>63000000</v>
      </c>
      <c r="L414" s="116">
        <f t="shared" si="132"/>
        <v>6300000</v>
      </c>
      <c r="M414" s="658">
        <v>0</v>
      </c>
      <c r="N414" s="189">
        <f t="shared" si="152"/>
        <v>69300000</v>
      </c>
      <c r="O414" s="197" t="s">
        <v>240</v>
      </c>
      <c r="P414" s="197" t="s">
        <v>105</v>
      </c>
      <c r="Q414" s="175"/>
      <c r="R414" s="175"/>
      <c r="S414" s="116">
        <v>0</v>
      </c>
      <c r="T414" s="116">
        <f t="shared" si="150"/>
        <v>-1260000</v>
      </c>
      <c r="U414" s="116">
        <v>68040000</v>
      </c>
      <c r="V414" s="210">
        <f t="shared" si="118"/>
        <v>0</v>
      </c>
      <c r="W414" s="115">
        <f t="shared" si="131"/>
        <v>0</v>
      </c>
      <c r="X414" s="181" t="s">
        <v>237</v>
      </c>
      <c r="Y414" s="116"/>
      <c r="Z414" s="185"/>
      <c r="AA414" s="592"/>
      <c r="AB414" s="186"/>
      <c r="AC414" s="9"/>
      <c r="AD414" s="297"/>
      <c r="AE414" s="297">
        <f t="shared" si="126"/>
        <v>1260000</v>
      </c>
      <c r="AF414" s="9"/>
      <c r="AG414" s="9" t="s">
        <v>1395</v>
      </c>
      <c r="AH414" s="300">
        <v>42779</v>
      </c>
      <c r="AI414" s="9" t="s">
        <v>2062</v>
      </c>
      <c r="AJ414" s="300">
        <v>42779</v>
      </c>
      <c r="AK414" s="73" t="str">
        <f t="shared" si="128"/>
        <v>KALIMANTAN PRIMA PERSADA, PTAPR</v>
      </c>
    </row>
    <row r="415" spans="1:37" s="114" customFormat="1" ht="12" hidden="1" customHeight="1">
      <c r="A415" s="53"/>
      <c r="B415" s="53" t="s">
        <v>239</v>
      </c>
      <c r="C415" s="9">
        <v>1</v>
      </c>
      <c r="D415" s="8" t="s">
        <v>121</v>
      </c>
      <c r="E415" s="10" t="s">
        <v>355</v>
      </c>
      <c r="F415" s="356"/>
      <c r="G415" s="10"/>
      <c r="H415" s="10" t="s">
        <v>2111</v>
      </c>
      <c r="I415" s="10" t="s">
        <v>2112</v>
      </c>
      <c r="J415" s="658">
        <v>0</v>
      </c>
      <c r="K415" s="116">
        <v>63000000</v>
      </c>
      <c r="L415" s="116">
        <f t="shared" si="132"/>
        <v>6300000</v>
      </c>
      <c r="M415" s="658">
        <v>0</v>
      </c>
      <c r="N415" s="189">
        <f t="shared" si="152"/>
        <v>69300000</v>
      </c>
      <c r="O415" s="197" t="s">
        <v>58</v>
      </c>
      <c r="P415" s="197" t="s">
        <v>65</v>
      </c>
      <c r="Q415" s="175"/>
      <c r="R415" s="175"/>
      <c r="S415" s="116">
        <v>0</v>
      </c>
      <c r="T415" s="116">
        <f t="shared" si="150"/>
        <v>-1260000</v>
      </c>
      <c r="U415" s="116">
        <v>68040000</v>
      </c>
      <c r="V415" s="210">
        <f t="shared" si="118"/>
        <v>0</v>
      </c>
      <c r="W415" s="115">
        <f t="shared" si="131"/>
        <v>0</v>
      </c>
      <c r="X415" s="181" t="s">
        <v>237</v>
      </c>
      <c r="Y415" s="116"/>
      <c r="Z415" s="185"/>
      <c r="AA415" s="592"/>
      <c r="AB415" s="186"/>
      <c r="AC415" s="9"/>
      <c r="AD415" s="297"/>
      <c r="AE415" s="297">
        <f t="shared" si="126"/>
        <v>1260000</v>
      </c>
      <c r="AF415" s="9"/>
      <c r="AG415" s="9" t="s">
        <v>1395</v>
      </c>
      <c r="AH415" s="300">
        <v>42796</v>
      </c>
      <c r="AI415" s="9" t="s">
        <v>2062</v>
      </c>
      <c r="AJ415" s="300">
        <v>42796</v>
      </c>
      <c r="AK415" s="73" t="str">
        <f t="shared" si="128"/>
        <v>KALIMANTAN PRIMA PERSADA, PTMEI</v>
      </c>
    </row>
    <row r="416" spans="1:37" s="114" customFormat="1" ht="12" hidden="1" customHeight="1">
      <c r="A416" s="53"/>
      <c r="B416" s="53" t="s">
        <v>239</v>
      </c>
      <c r="C416" s="9">
        <v>21</v>
      </c>
      <c r="D416" s="8" t="s">
        <v>121</v>
      </c>
      <c r="E416" s="10" t="s">
        <v>144</v>
      </c>
      <c r="F416" s="356"/>
      <c r="G416" s="10"/>
      <c r="H416" s="10" t="s">
        <v>2213</v>
      </c>
      <c r="I416" s="10" t="s">
        <v>2219</v>
      </c>
      <c r="J416" s="658">
        <v>0</v>
      </c>
      <c r="K416" s="116">
        <f>31018300-28018300</f>
        <v>3000000</v>
      </c>
      <c r="L416" s="116">
        <f>3000000*10%</f>
        <v>300000</v>
      </c>
      <c r="M416" s="658">
        <v>0</v>
      </c>
      <c r="N416" s="189">
        <f t="shared" si="152"/>
        <v>3300000</v>
      </c>
      <c r="O416" s="197" t="s">
        <v>242</v>
      </c>
      <c r="P416" s="197" t="s">
        <v>26</v>
      </c>
      <c r="Q416" s="175"/>
      <c r="R416" s="175"/>
      <c r="S416" s="116">
        <v>0</v>
      </c>
      <c r="T416" s="116">
        <f t="shared" si="150"/>
        <v>-60000</v>
      </c>
      <c r="U416" s="116">
        <v>3240000</v>
      </c>
      <c r="V416" s="210">
        <f t="shared" si="118"/>
        <v>0</v>
      </c>
      <c r="W416" s="115">
        <f t="shared" si="131"/>
        <v>0</v>
      </c>
      <c r="X416" s="181" t="s">
        <v>237</v>
      </c>
      <c r="Y416" s="116"/>
      <c r="Z416" s="185"/>
      <c r="AA416" s="592"/>
      <c r="AB416" s="186"/>
      <c r="AC416" s="9"/>
      <c r="AD416" s="297"/>
      <c r="AE416" s="297">
        <f t="shared" si="126"/>
        <v>60000</v>
      </c>
      <c r="AF416" s="9"/>
      <c r="AG416" s="9" t="s">
        <v>1395</v>
      </c>
      <c r="AH416" s="300">
        <v>42810</v>
      </c>
      <c r="AI416" s="9" t="s">
        <v>2214</v>
      </c>
      <c r="AJ416" s="300">
        <v>42810</v>
      </c>
      <c r="AK416" s="73" t="str">
        <f t="shared" si="128"/>
        <v>KALIMANTAN PRIMA PERSADA, PTJUL</v>
      </c>
    </row>
    <row r="417" spans="1:40" s="114" customFormat="1" ht="12" hidden="1" customHeight="1">
      <c r="A417" s="53"/>
      <c r="B417" s="53" t="s">
        <v>239</v>
      </c>
      <c r="C417" s="9">
        <v>22</v>
      </c>
      <c r="D417" s="8" t="s">
        <v>121</v>
      </c>
      <c r="E417" s="10" t="s">
        <v>144</v>
      </c>
      <c r="F417" s="356"/>
      <c r="G417" s="10"/>
      <c r="H417" s="10" t="s">
        <v>2220</v>
      </c>
      <c r="I417" s="10" t="s">
        <v>2221</v>
      </c>
      <c r="J417" s="658">
        <v>0</v>
      </c>
      <c r="K417" s="116">
        <v>10000000</v>
      </c>
      <c r="L417" s="116">
        <f t="shared" ref="L417:L458" si="153">K417*10%</f>
        <v>1000000</v>
      </c>
      <c r="M417" s="658">
        <v>0</v>
      </c>
      <c r="N417" s="189">
        <f t="shared" si="152"/>
        <v>11000000</v>
      </c>
      <c r="O417" s="197" t="s">
        <v>58</v>
      </c>
      <c r="P417" s="197" t="s">
        <v>116</v>
      </c>
      <c r="Q417" s="175"/>
      <c r="R417" s="175"/>
      <c r="S417" s="116">
        <v>0</v>
      </c>
      <c r="T417" s="116">
        <f t="shared" si="150"/>
        <v>-200000</v>
      </c>
      <c r="U417" s="116">
        <v>10800000</v>
      </c>
      <c r="V417" s="210">
        <f t="shared" si="118"/>
        <v>0</v>
      </c>
      <c r="W417" s="115">
        <f t="shared" si="131"/>
        <v>0</v>
      </c>
      <c r="X417" s="181" t="s">
        <v>237</v>
      </c>
      <c r="Y417" s="116"/>
      <c r="Z417" s="185"/>
      <c r="AA417" s="592"/>
      <c r="AB417" s="186"/>
      <c r="AC417" s="9"/>
      <c r="AD417" s="297"/>
      <c r="AE417" s="297">
        <f t="shared" si="126"/>
        <v>200000</v>
      </c>
      <c r="AF417" s="9"/>
      <c r="AG417" s="9" t="s">
        <v>1395</v>
      </c>
      <c r="AH417" s="300">
        <v>42817</v>
      </c>
      <c r="AI417" s="9" t="s">
        <v>2062</v>
      </c>
      <c r="AJ417" s="300">
        <v>42817</v>
      </c>
      <c r="AK417" s="73" t="str">
        <f t="shared" si="128"/>
        <v>KALIMANTAN PRIMA PERSADA, PTMEI</v>
      </c>
      <c r="AN417" s="925">
        <f>AJ417+30</f>
        <v>42847</v>
      </c>
    </row>
    <row r="418" spans="1:40" s="114" customFormat="1" ht="12" hidden="1" customHeight="1">
      <c r="A418" s="53"/>
      <c r="B418" s="53" t="s">
        <v>240</v>
      </c>
      <c r="C418" s="9">
        <v>18</v>
      </c>
      <c r="D418" s="8" t="s">
        <v>121</v>
      </c>
      <c r="E418" s="10" t="s">
        <v>355</v>
      </c>
      <c r="F418" s="356"/>
      <c r="G418" s="10"/>
      <c r="H418" s="10" t="s">
        <v>2246</v>
      </c>
      <c r="I418" s="10" t="s">
        <v>2376</v>
      </c>
      <c r="J418" s="658">
        <v>0</v>
      </c>
      <c r="K418" s="116">
        <f>57250000-3500000</f>
        <v>53750000</v>
      </c>
      <c r="L418" s="116">
        <f t="shared" si="153"/>
        <v>5375000</v>
      </c>
      <c r="M418" s="658">
        <v>0</v>
      </c>
      <c r="N418" s="189">
        <f t="shared" si="152"/>
        <v>59125000</v>
      </c>
      <c r="O418" s="197" t="s">
        <v>241</v>
      </c>
      <c r="P418" s="197" t="s">
        <v>38</v>
      </c>
      <c r="Q418" s="175"/>
      <c r="R418" s="175"/>
      <c r="S418" s="116">
        <v>0</v>
      </c>
      <c r="T418" s="116">
        <f t="shared" si="150"/>
        <v>-1075000</v>
      </c>
      <c r="U418" s="116">
        <v>58050000</v>
      </c>
      <c r="V418" s="210">
        <f t="shared" si="118"/>
        <v>0</v>
      </c>
      <c r="W418" s="115">
        <f t="shared" si="131"/>
        <v>0</v>
      </c>
      <c r="X418" s="181" t="s">
        <v>237</v>
      </c>
      <c r="Y418" s="116"/>
      <c r="Z418" s="185"/>
      <c r="AA418" s="592"/>
      <c r="AB418" s="186"/>
      <c r="AC418" s="9"/>
      <c r="AD418" s="297"/>
      <c r="AE418" s="297">
        <f t="shared" si="126"/>
        <v>1075000</v>
      </c>
      <c r="AF418" s="9"/>
      <c r="AG418" s="9" t="s">
        <v>1395</v>
      </c>
      <c r="AH418" s="300">
        <v>42835</v>
      </c>
      <c r="AI418" s="9" t="s">
        <v>2062</v>
      </c>
      <c r="AJ418" s="834" t="s">
        <v>2537</v>
      </c>
      <c r="AK418" s="73" t="str">
        <f t="shared" si="128"/>
        <v>KALIMANTAN PRIMA PERSADA, PTJUN</v>
      </c>
    </row>
    <row r="419" spans="1:40" s="114" customFormat="1" ht="12" hidden="1" customHeight="1">
      <c r="A419" s="53"/>
      <c r="B419" s="53" t="s">
        <v>58</v>
      </c>
      <c r="C419" s="9">
        <v>30</v>
      </c>
      <c r="D419" s="8" t="s">
        <v>121</v>
      </c>
      <c r="E419" s="10" t="s">
        <v>355</v>
      </c>
      <c r="F419" s="356"/>
      <c r="G419" s="10"/>
      <c r="H419" s="10" t="s">
        <v>2684</v>
      </c>
      <c r="I419" s="10" t="s">
        <v>2639</v>
      </c>
      <c r="J419" s="658">
        <v>0</v>
      </c>
      <c r="K419" s="116">
        <v>27375000</v>
      </c>
      <c r="L419" s="116">
        <f t="shared" si="153"/>
        <v>2737500</v>
      </c>
      <c r="M419" s="658">
        <v>0</v>
      </c>
      <c r="N419" s="189">
        <f t="shared" si="152"/>
        <v>30112500</v>
      </c>
      <c r="O419" s="197" t="s">
        <v>242</v>
      </c>
      <c r="P419" s="197" t="s">
        <v>48</v>
      </c>
      <c r="Q419" s="175"/>
      <c r="R419" s="175"/>
      <c r="S419" s="116">
        <v>0</v>
      </c>
      <c r="T419" s="116">
        <f t="shared" si="150"/>
        <v>-547500</v>
      </c>
      <c r="U419" s="116">
        <v>29565000</v>
      </c>
      <c r="V419" s="210">
        <f t="shared" si="118"/>
        <v>0</v>
      </c>
      <c r="W419" s="115">
        <f t="shared" si="131"/>
        <v>0</v>
      </c>
      <c r="X419" s="181" t="s">
        <v>237</v>
      </c>
      <c r="Y419" s="116"/>
      <c r="Z419" s="185"/>
      <c r="AA419" s="592"/>
      <c r="AB419" s="186"/>
      <c r="AC419" s="9"/>
      <c r="AD419" s="297"/>
      <c r="AE419" s="297">
        <f t="shared" si="126"/>
        <v>547500</v>
      </c>
      <c r="AF419" s="9"/>
      <c r="AG419" s="9" t="s">
        <v>1395</v>
      </c>
      <c r="AH419" s="300">
        <v>42870</v>
      </c>
      <c r="AI419" s="9" t="s">
        <v>2214</v>
      </c>
      <c r="AJ419" s="834" t="s">
        <v>2716</v>
      </c>
      <c r="AK419" s="73" t="str">
        <f t="shared" si="128"/>
        <v>KALIMANTAN PRIMA PERSADA, PTJUL</v>
      </c>
    </row>
    <row r="420" spans="1:40" s="114" customFormat="1" ht="12" hidden="1" customHeight="1">
      <c r="A420" s="53"/>
      <c r="B420" s="53" t="s">
        <v>241</v>
      </c>
      <c r="C420" s="9">
        <v>7</v>
      </c>
      <c r="D420" s="8" t="s">
        <v>121</v>
      </c>
      <c r="E420" s="10" t="s">
        <v>118</v>
      </c>
      <c r="F420" s="356"/>
      <c r="G420" s="10"/>
      <c r="H420" s="10" t="s">
        <v>2685</v>
      </c>
      <c r="I420" s="10" t="s">
        <v>14</v>
      </c>
      <c r="J420" s="658">
        <v>0</v>
      </c>
      <c r="K420" s="116">
        <v>27504300</v>
      </c>
      <c r="L420" s="116">
        <v>0</v>
      </c>
      <c r="M420" s="658">
        <v>0</v>
      </c>
      <c r="N420" s="189">
        <f t="shared" si="152"/>
        <v>27504300</v>
      </c>
      <c r="O420" s="197" t="s">
        <v>243</v>
      </c>
      <c r="P420" s="197" t="s">
        <v>103</v>
      </c>
      <c r="Q420" s="175"/>
      <c r="R420" s="175"/>
      <c r="S420" s="116">
        <v>0</v>
      </c>
      <c r="T420" s="116"/>
      <c r="U420" s="116"/>
      <c r="V420" s="210">
        <f t="shared" si="118"/>
        <v>0</v>
      </c>
      <c r="W420" s="115">
        <f t="shared" si="131"/>
        <v>27504300</v>
      </c>
      <c r="X420" s="181"/>
      <c r="Y420" s="116"/>
      <c r="Z420" s="185"/>
      <c r="AA420" s="592"/>
      <c r="AB420" s="186"/>
      <c r="AC420" s="9"/>
      <c r="AD420" s="297"/>
      <c r="AE420" s="297">
        <f t="shared" si="126"/>
        <v>0</v>
      </c>
      <c r="AF420" s="9"/>
      <c r="AG420" s="9" t="s">
        <v>1395</v>
      </c>
      <c r="AH420" s="300">
        <v>42870</v>
      </c>
      <c r="AI420" s="9" t="s">
        <v>2214</v>
      </c>
      <c r="AJ420" s="834" t="s">
        <v>2716</v>
      </c>
      <c r="AK420" s="73" t="str">
        <f t="shared" si="128"/>
        <v>KALIMANTAN PRIMA PERSADA, PTAGS</v>
      </c>
    </row>
    <row r="421" spans="1:40" s="114" customFormat="1" ht="12" hidden="1" customHeight="1">
      <c r="A421" s="53"/>
      <c r="B421" s="53" t="s">
        <v>241</v>
      </c>
      <c r="C421" s="9">
        <v>2</v>
      </c>
      <c r="D421" s="8" t="s">
        <v>121</v>
      </c>
      <c r="E421" s="10" t="s">
        <v>355</v>
      </c>
      <c r="F421" s="356"/>
      <c r="G421" s="10"/>
      <c r="H421" s="10" t="s">
        <v>2598</v>
      </c>
      <c r="I421" s="10" t="s">
        <v>2648</v>
      </c>
      <c r="J421" s="658">
        <v>0</v>
      </c>
      <c r="K421" s="116">
        <v>57250000</v>
      </c>
      <c r="L421" s="116">
        <f t="shared" ref="L421:L433" si="154">K421*10%</f>
        <v>5725000</v>
      </c>
      <c r="M421" s="658">
        <v>0</v>
      </c>
      <c r="N421" s="189">
        <f t="shared" ref="N421:N433" si="155">K421+L421</f>
        <v>62975000</v>
      </c>
      <c r="O421" s="197" t="s">
        <v>242</v>
      </c>
      <c r="P421" s="197" t="s">
        <v>48</v>
      </c>
      <c r="Q421" s="175"/>
      <c r="R421" s="175"/>
      <c r="S421" s="116">
        <v>0</v>
      </c>
      <c r="T421" s="116">
        <f t="shared" si="150"/>
        <v>-1145000</v>
      </c>
      <c r="U421" s="116">
        <v>61830000</v>
      </c>
      <c r="V421" s="210">
        <f t="shared" si="118"/>
        <v>0</v>
      </c>
      <c r="W421" s="115">
        <f t="shared" si="131"/>
        <v>0</v>
      </c>
      <c r="X421" s="181" t="s">
        <v>237</v>
      </c>
      <c r="Y421" s="116"/>
      <c r="Z421" s="185"/>
      <c r="AA421" s="592"/>
      <c r="AB421" s="186"/>
      <c r="AC421" s="9"/>
      <c r="AD421" s="297"/>
      <c r="AE421" s="297">
        <f t="shared" si="126"/>
        <v>1145000</v>
      </c>
      <c r="AF421" s="9"/>
      <c r="AG421" s="9" t="s">
        <v>1395</v>
      </c>
      <c r="AH421" s="300">
        <v>42893</v>
      </c>
      <c r="AI421" s="9" t="s">
        <v>1594</v>
      </c>
      <c r="AJ421" s="300">
        <v>42893</v>
      </c>
      <c r="AK421" s="73" t="str">
        <f t="shared" si="128"/>
        <v>KALIMANTAN PRIMA PERSADA, PTJUL</v>
      </c>
    </row>
    <row r="422" spans="1:40" s="114" customFormat="1" ht="12" hidden="1" customHeight="1">
      <c r="A422" s="53"/>
      <c r="B422" s="53" t="s">
        <v>242</v>
      </c>
      <c r="C422" s="9">
        <v>3</v>
      </c>
      <c r="D422" s="8" t="s">
        <v>121</v>
      </c>
      <c r="E422" s="10" t="s">
        <v>355</v>
      </c>
      <c r="F422" s="356" t="s">
        <v>3050</v>
      </c>
      <c r="G422" s="10" t="s">
        <v>59</v>
      </c>
      <c r="H422" s="10" t="s">
        <v>2843</v>
      </c>
      <c r="I422" s="10" t="s">
        <v>2844</v>
      </c>
      <c r="J422" s="658">
        <v>0</v>
      </c>
      <c r="K422" s="116">
        <v>57250000</v>
      </c>
      <c r="L422" s="116">
        <f t="shared" si="154"/>
        <v>5725000</v>
      </c>
      <c r="M422" s="658">
        <v>0</v>
      </c>
      <c r="N422" s="189">
        <f t="shared" si="155"/>
        <v>62975000</v>
      </c>
      <c r="O422" s="197" t="s">
        <v>244</v>
      </c>
      <c r="P422" s="197" t="s">
        <v>37</v>
      </c>
      <c r="Q422" s="175"/>
      <c r="R422" s="175"/>
      <c r="S422" s="116">
        <v>0</v>
      </c>
      <c r="T422" s="116">
        <f t="shared" si="150"/>
        <v>-1145000</v>
      </c>
      <c r="U422" s="116">
        <v>61830000</v>
      </c>
      <c r="V422" s="210">
        <f t="shared" si="118"/>
        <v>0</v>
      </c>
      <c r="W422" s="115">
        <f t="shared" si="131"/>
        <v>0</v>
      </c>
      <c r="X422" s="181"/>
      <c r="Y422" s="116"/>
      <c r="Z422" s="185"/>
      <c r="AA422" s="592"/>
      <c r="AB422" s="186"/>
      <c r="AC422" s="9"/>
      <c r="AD422" s="297"/>
      <c r="AE422" s="297">
        <f t="shared" si="126"/>
        <v>1145000</v>
      </c>
      <c r="AF422" s="9"/>
      <c r="AG422" s="9" t="s">
        <v>1395</v>
      </c>
      <c r="AH422" s="300">
        <v>42929</v>
      </c>
      <c r="AI422" s="9" t="s">
        <v>2214</v>
      </c>
      <c r="AJ422" s="300">
        <v>42929</v>
      </c>
      <c r="AK422" s="73" t="str">
        <f t="shared" si="128"/>
        <v>KALIMANTAN PRIMA PERSADA, PTSEP</v>
      </c>
    </row>
    <row r="423" spans="1:40" s="114" customFormat="1" ht="12" hidden="1" customHeight="1">
      <c r="A423" s="53"/>
      <c r="B423" s="1220" t="s">
        <v>243</v>
      </c>
      <c r="C423" s="1221">
        <v>1</v>
      </c>
      <c r="D423" s="1222" t="s">
        <v>121</v>
      </c>
      <c r="E423" s="1223" t="s">
        <v>355</v>
      </c>
      <c r="F423" s="1505" t="s">
        <v>3230</v>
      </c>
      <c r="G423" s="1223" t="s">
        <v>60</v>
      </c>
      <c r="H423" s="1223" t="s">
        <v>2985</v>
      </c>
      <c r="I423" s="1223" t="s">
        <v>3008</v>
      </c>
      <c r="J423" s="658"/>
      <c r="K423" s="1224">
        <v>39250000</v>
      </c>
      <c r="L423" s="1224">
        <f t="shared" si="154"/>
        <v>3925000</v>
      </c>
      <c r="M423" s="658"/>
      <c r="N423" s="1225">
        <f t="shared" si="155"/>
        <v>43175000</v>
      </c>
      <c r="O423" s="197" t="s">
        <v>244</v>
      </c>
      <c r="P423" s="197" t="s">
        <v>101</v>
      </c>
      <c r="Q423" s="175"/>
      <c r="R423" s="175"/>
      <c r="S423" s="116">
        <v>0</v>
      </c>
      <c r="T423" s="116">
        <f t="shared" ref="T423:T430" si="156">-K423*2%</f>
        <v>-785000</v>
      </c>
      <c r="U423" s="116">
        <v>42390000</v>
      </c>
      <c r="V423" s="210">
        <f t="shared" si="118"/>
        <v>0</v>
      </c>
      <c r="W423" s="115">
        <f t="shared" si="131"/>
        <v>0</v>
      </c>
      <c r="X423" s="181"/>
      <c r="Y423" s="116"/>
      <c r="Z423" s="185"/>
      <c r="AA423" s="592"/>
      <c r="AB423" s="186"/>
      <c r="AC423" s="9"/>
      <c r="AD423" s="297"/>
      <c r="AE423" s="297">
        <f t="shared" si="126"/>
        <v>785000</v>
      </c>
      <c r="AF423" s="9"/>
      <c r="AG423" s="892"/>
      <c r="AH423" s="893"/>
      <c r="AI423" s="892"/>
      <c r="AJ423" s="893"/>
      <c r="AK423" s="73" t="str">
        <f t="shared" si="128"/>
        <v>KALIMANTAN PRIMA PERSADA, PTSEP</v>
      </c>
    </row>
    <row r="424" spans="1:40" s="114" customFormat="1" ht="12" hidden="1" customHeight="1">
      <c r="A424" s="53"/>
      <c r="B424" s="1220" t="s">
        <v>244</v>
      </c>
      <c r="C424" s="1221">
        <v>8</v>
      </c>
      <c r="D424" s="1222" t="s">
        <v>121</v>
      </c>
      <c r="E424" s="1223" t="s">
        <v>355</v>
      </c>
      <c r="F424" s="1505" t="s">
        <v>3260</v>
      </c>
      <c r="G424" s="1223" t="s">
        <v>60</v>
      </c>
      <c r="H424" s="1223" t="s">
        <v>3231</v>
      </c>
      <c r="I424" s="1223" t="s">
        <v>3232</v>
      </c>
      <c r="J424" s="1237"/>
      <c r="K424" s="1224">
        <v>18000000</v>
      </c>
      <c r="L424" s="1224">
        <f t="shared" si="154"/>
        <v>1800000</v>
      </c>
      <c r="M424" s="1237"/>
      <c r="N424" s="1225">
        <f t="shared" si="155"/>
        <v>19800000</v>
      </c>
      <c r="O424" s="1202" t="s">
        <v>238</v>
      </c>
      <c r="P424" s="1202" t="s">
        <v>19</v>
      </c>
      <c r="Q424" s="175"/>
      <c r="R424" s="175"/>
      <c r="S424" s="116">
        <v>0</v>
      </c>
      <c r="T424" s="116">
        <f t="shared" si="156"/>
        <v>-360000</v>
      </c>
      <c r="U424" s="116">
        <v>19440000</v>
      </c>
      <c r="V424" s="210"/>
      <c r="W424" s="115">
        <f t="shared" si="131"/>
        <v>0</v>
      </c>
      <c r="X424" s="181"/>
      <c r="Y424" s="116"/>
      <c r="Z424" s="185"/>
      <c r="AA424" s="592"/>
      <c r="AB424" s="186"/>
      <c r="AC424" s="9"/>
      <c r="AD424" s="297"/>
      <c r="AE424" s="297">
        <f t="shared" si="126"/>
        <v>360000</v>
      </c>
      <c r="AF424" s="9"/>
      <c r="AG424" s="892"/>
      <c r="AH424" s="893"/>
      <c r="AI424" s="892"/>
      <c r="AJ424" s="893"/>
      <c r="AK424" s="73" t="str">
        <f t="shared" si="128"/>
        <v>KALIMANTAN PRIMA PERSADA, PTNOV</v>
      </c>
    </row>
    <row r="425" spans="1:40" s="114" customFormat="1" ht="12" hidden="1" customHeight="1">
      <c r="A425" s="1220"/>
      <c r="B425" s="1220" t="s">
        <v>244</v>
      </c>
      <c r="C425" s="1221">
        <v>8</v>
      </c>
      <c r="D425" s="1222" t="s">
        <v>121</v>
      </c>
      <c r="E425" s="1223" t="s">
        <v>355</v>
      </c>
      <c r="F425" s="1505" t="s">
        <v>3230</v>
      </c>
      <c r="G425" s="1223" t="s">
        <v>559</v>
      </c>
      <c r="H425" s="1223" t="s">
        <v>3235</v>
      </c>
      <c r="I425" s="1223" t="s">
        <v>3236</v>
      </c>
      <c r="J425" s="1237"/>
      <c r="K425" s="1224">
        <v>39250000</v>
      </c>
      <c r="L425" s="1224">
        <f t="shared" si="154"/>
        <v>3925000</v>
      </c>
      <c r="M425" s="1237"/>
      <c r="N425" s="1225">
        <f t="shared" si="155"/>
        <v>43175000</v>
      </c>
      <c r="O425" s="1202" t="s">
        <v>238</v>
      </c>
      <c r="P425" s="1202" t="s">
        <v>91</v>
      </c>
      <c r="Q425" s="175"/>
      <c r="R425" s="175"/>
      <c r="S425" s="116">
        <v>0</v>
      </c>
      <c r="T425" s="116">
        <f t="shared" si="156"/>
        <v>-785000</v>
      </c>
      <c r="U425" s="116">
        <v>42390000</v>
      </c>
      <c r="V425" s="210"/>
      <c r="W425" s="115">
        <f t="shared" si="131"/>
        <v>0</v>
      </c>
      <c r="X425" s="181"/>
      <c r="Y425" s="116"/>
      <c r="Z425" s="185"/>
      <c r="AA425" s="592"/>
      <c r="AB425" s="186"/>
      <c r="AC425" s="9"/>
      <c r="AD425" s="297"/>
      <c r="AE425" s="297">
        <f t="shared" si="126"/>
        <v>785000</v>
      </c>
      <c r="AF425" s="9"/>
      <c r="AG425" s="892"/>
      <c r="AH425" s="893"/>
      <c r="AI425" s="892"/>
      <c r="AJ425" s="893"/>
      <c r="AK425" s="73"/>
    </row>
    <row r="426" spans="1:40" s="114" customFormat="1" ht="12" hidden="1" customHeight="1">
      <c r="A426" s="1220"/>
      <c r="B426" s="1220" t="s">
        <v>245</v>
      </c>
      <c r="C426" s="1221">
        <v>10</v>
      </c>
      <c r="D426" s="1222" t="s">
        <v>121</v>
      </c>
      <c r="E426" s="1223" t="s">
        <v>355</v>
      </c>
      <c r="F426" s="1505" t="s">
        <v>3414</v>
      </c>
      <c r="G426" s="1223" t="s">
        <v>559</v>
      </c>
      <c r="H426" s="1223" t="s">
        <v>3415</v>
      </c>
      <c r="I426" s="1223" t="s">
        <v>3424</v>
      </c>
      <c r="J426" s="1237"/>
      <c r="K426" s="1224">
        <v>18000000</v>
      </c>
      <c r="L426" s="1224">
        <f t="shared" si="154"/>
        <v>1800000</v>
      </c>
      <c r="M426" s="1237"/>
      <c r="N426" s="1225">
        <f t="shared" si="155"/>
        <v>19800000</v>
      </c>
      <c r="O426" s="1202" t="s">
        <v>238</v>
      </c>
      <c r="P426" s="1202" t="s">
        <v>91</v>
      </c>
      <c r="Q426" s="175"/>
      <c r="R426" s="175"/>
      <c r="S426" s="116">
        <v>0</v>
      </c>
      <c r="T426" s="116">
        <f t="shared" si="156"/>
        <v>-360000</v>
      </c>
      <c r="U426" s="116">
        <v>19440000</v>
      </c>
      <c r="V426" s="210"/>
      <c r="W426" s="115">
        <f t="shared" si="131"/>
        <v>0</v>
      </c>
      <c r="X426" s="181"/>
      <c r="Y426" s="116"/>
      <c r="Z426" s="185"/>
      <c r="AA426" s="592"/>
      <c r="AB426" s="186"/>
      <c r="AC426" s="9"/>
      <c r="AD426" s="297"/>
      <c r="AE426" s="297"/>
      <c r="AF426" s="9"/>
      <c r="AG426" s="892"/>
      <c r="AH426" s="893"/>
      <c r="AI426" s="892"/>
      <c r="AJ426" s="893"/>
      <c r="AK426" s="73"/>
    </row>
    <row r="427" spans="1:40" s="114" customFormat="1" ht="12" hidden="1" customHeight="1">
      <c r="A427" s="1220"/>
      <c r="B427" s="1220" t="s">
        <v>245</v>
      </c>
      <c r="C427" s="1221">
        <v>10</v>
      </c>
      <c r="D427" s="1222" t="s">
        <v>121</v>
      </c>
      <c r="E427" s="1223" t="s">
        <v>355</v>
      </c>
      <c r="F427" s="1505" t="s">
        <v>3230</v>
      </c>
      <c r="G427" s="1223" t="s">
        <v>602</v>
      </c>
      <c r="H427" s="1223" t="s">
        <v>3425</v>
      </c>
      <c r="I427" s="1223" t="s">
        <v>3426</v>
      </c>
      <c r="J427" s="1237"/>
      <c r="K427" s="1224">
        <v>39250000</v>
      </c>
      <c r="L427" s="1224">
        <f t="shared" si="154"/>
        <v>3925000</v>
      </c>
      <c r="M427" s="1237"/>
      <c r="N427" s="1225">
        <f t="shared" si="155"/>
        <v>43175000</v>
      </c>
      <c r="O427" s="1202" t="s">
        <v>238</v>
      </c>
      <c r="P427" s="1202" t="s">
        <v>91</v>
      </c>
      <c r="Q427" s="175"/>
      <c r="R427" s="175"/>
      <c r="S427" s="116">
        <v>0</v>
      </c>
      <c r="T427" s="116">
        <f t="shared" si="156"/>
        <v>-785000</v>
      </c>
      <c r="U427" s="116">
        <v>42390000</v>
      </c>
      <c r="V427" s="210"/>
      <c r="W427" s="115">
        <f t="shared" si="131"/>
        <v>0</v>
      </c>
      <c r="X427" s="181"/>
      <c r="Y427" s="116"/>
      <c r="Z427" s="185"/>
      <c r="AA427" s="592"/>
      <c r="AB427" s="186"/>
      <c r="AC427" s="9"/>
      <c r="AD427" s="297"/>
      <c r="AE427" s="297"/>
      <c r="AF427" s="9"/>
      <c r="AG427" s="892"/>
      <c r="AH427" s="893"/>
      <c r="AI427" s="892"/>
      <c r="AJ427" s="893"/>
      <c r="AK427" s="73"/>
    </row>
    <row r="428" spans="1:40" s="114" customFormat="1" ht="12" hidden="1" customHeight="1">
      <c r="A428" s="1220"/>
      <c r="B428" s="1220" t="s">
        <v>238</v>
      </c>
      <c r="C428" s="1221">
        <v>7</v>
      </c>
      <c r="D428" s="1222" t="s">
        <v>121</v>
      </c>
      <c r="E428" s="1223" t="s">
        <v>355</v>
      </c>
      <c r="F428" s="1505" t="s">
        <v>3414</v>
      </c>
      <c r="G428" s="1223" t="s">
        <v>602</v>
      </c>
      <c r="H428" s="1223" t="s">
        <v>3527</v>
      </c>
      <c r="I428" s="1223" t="s">
        <v>3528</v>
      </c>
      <c r="J428" s="1237"/>
      <c r="K428" s="1224">
        <v>18000000</v>
      </c>
      <c r="L428" s="1224">
        <f t="shared" si="154"/>
        <v>1800000</v>
      </c>
      <c r="M428" s="1237"/>
      <c r="N428" s="1225">
        <f t="shared" si="155"/>
        <v>19800000</v>
      </c>
      <c r="O428" s="1202" t="s">
        <v>140</v>
      </c>
      <c r="P428" s="1202" t="s">
        <v>106</v>
      </c>
      <c r="Q428" s="175"/>
      <c r="R428" s="175"/>
      <c r="S428" s="116"/>
      <c r="T428" s="116">
        <f t="shared" si="156"/>
        <v>-360000</v>
      </c>
      <c r="U428" s="116">
        <v>19440000</v>
      </c>
      <c r="V428" s="210"/>
      <c r="W428" s="115"/>
      <c r="X428" s="181"/>
      <c r="Y428" s="116"/>
      <c r="Z428" s="185"/>
      <c r="AA428" s="592"/>
      <c r="AB428" s="186"/>
      <c r="AC428" s="9"/>
      <c r="AD428" s="297"/>
      <c r="AE428" s="297"/>
      <c r="AF428" s="9"/>
      <c r="AG428" s="892"/>
      <c r="AH428" s="893"/>
      <c r="AI428" s="892"/>
      <c r="AJ428" s="893"/>
      <c r="AK428" s="73"/>
    </row>
    <row r="429" spans="1:40" s="114" customFormat="1" ht="12" hidden="1" customHeight="1">
      <c r="A429" s="1220"/>
      <c r="B429" s="1220" t="s">
        <v>238</v>
      </c>
      <c r="C429" s="1221">
        <v>7</v>
      </c>
      <c r="D429" s="1222" t="s">
        <v>121</v>
      </c>
      <c r="E429" s="1223" t="s">
        <v>355</v>
      </c>
      <c r="F429" s="1505" t="s">
        <v>3230</v>
      </c>
      <c r="G429" s="1223" t="s">
        <v>641</v>
      </c>
      <c r="H429" s="1223" t="s">
        <v>3529</v>
      </c>
      <c r="I429" s="1223" t="s">
        <v>3530</v>
      </c>
      <c r="J429" s="1237"/>
      <c r="K429" s="1224">
        <v>39250000</v>
      </c>
      <c r="L429" s="1224">
        <f t="shared" si="154"/>
        <v>3925000</v>
      </c>
      <c r="M429" s="1237"/>
      <c r="N429" s="1225">
        <f t="shared" si="155"/>
        <v>43175000</v>
      </c>
      <c r="O429" s="1202" t="s">
        <v>140</v>
      </c>
      <c r="P429" s="1202" t="s">
        <v>106</v>
      </c>
      <c r="Q429" s="175"/>
      <c r="R429" s="175"/>
      <c r="S429" s="116"/>
      <c r="T429" s="116">
        <f t="shared" si="156"/>
        <v>-785000</v>
      </c>
      <c r="U429" s="116">
        <v>42390000</v>
      </c>
      <c r="V429" s="210"/>
      <c r="W429" s="115"/>
      <c r="X429" s="181"/>
      <c r="Y429" s="116"/>
      <c r="Z429" s="185"/>
      <c r="AA429" s="592"/>
      <c r="AB429" s="186"/>
      <c r="AC429" s="9"/>
      <c r="AD429" s="297"/>
      <c r="AE429" s="297"/>
      <c r="AF429" s="9"/>
      <c r="AG429" s="892"/>
      <c r="AH429" s="893"/>
      <c r="AI429" s="892"/>
      <c r="AJ429" s="893"/>
      <c r="AK429" s="73"/>
    </row>
    <row r="430" spans="1:40" s="114" customFormat="1" ht="12" hidden="1" customHeight="1">
      <c r="A430" s="53"/>
      <c r="B430" s="758" t="s">
        <v>140</v>
      </c>
      <c r="C430" s="759">
        <v>8</v>
      </c>
      <c r="D430" s="760" t="s">
        <v>121</v>
      </c>
      <c r="E430" s="761" t="s">
        <v>355</v>
      </c>
      <c r="F430" s="1506" t="s">
        <v>3414</v>
      </c>
      <c r="G430" s="761" t="s">
        <v>641</v>
      </c>
      <c r="H430" s="761" t="s">
        <v>3699</v>
      </c>
      <c r="I430" s="761" t="s">
        <v>3700</v>
      </c>
      <c r="J430" s="1054"/>
      <c r="K430" s="762">
        <v>18000000</v>
      </c>
      <c r="L430" s="762">
        <f t="shared" si="154"/>
        <v>1800000</v>
      </c>
      <c r="M430" s="1054"/>
      <c r="N430" s="763">
        <f t="shared" si="155"/>
        <v>19800000</v>
      </c>
      <c r="O430" s="1202"/>
      <c r="P430" s="1202"/>
      <c r="Q430" s="175"/>
      <c r="R430" s="175"/>
      <c r="S430" s="116"/>
      <c r="T430" s="116">
        <f t="shared" si="156"/>
        <v>-360000</v>
      </c>
      <c r="U430" s="116">
        <v>19440000</v>
      </c>
      <c r="V430" s="210"/>
      <c r="W430" s="115"/>
      <c r="X430" s="181"/>
      <c r="Y430" s="116"/>
      <c r="Z430" s="185"/>
      <c r="AA430" s="592"/>
      <c r="AB430" s="186"/>
      <c r="AC430" s="9"/>
      <c r="AD430" s="297"/>
      <c r="AE430" s="297"/>
      <c r="AF430" s="9"/>
      <c r="AG430" s="892"/>
      <c r="AH430" s="893"/>
      <c r="AI430" s="892"/>
      <c r="AJ430" s="893"/>
      <c r="AK430" s="73"/>
    </row>
    <row r="431" spans="1:40" s="114" customFormat="1" ht="12" hidden="1" customHeight="1">
      <c r="A431" s="53"/>
      <c r="B431" s="758" t="s">
        <v>140</v>
      </c>
      <c r="C431" s="759">
        <v>8</v>
      </c>
      <c r="D431" s="760" t="s">
        <v>121</v>
      </c>
      <c r="E431" s="761" t="s">
        <v>355</v>
      </c>
      <c r="F431" s="1506" t="s">
        <v>3230</v>
      </c>
      <c r="G431" s="761" t="s">
        <v>1616</v>
      </c>
      <c r="H431" s="761" t="s">
        <v>3701</v>
      </c>
      <c r="I431" s="761" t="s">
        <v>3702</v>
      </c>
      <c r="J431" s="1054"/>
      <c r="K431" s="762">
        <v>39250000</v>
      </c>
      <c r="L431" s="762">
        <f t="shared" si="154"/>
        <v>3925000</v>
      </c>
      <c r="M431" s="1054"/>
      <c r="N431" s="763">
        <f t="shared" si="155"/>
        <v>43175000</v>
      </c>
      <c r="O431" s="1202"/>
      <c r="P431" s="1202"/>
      <c r="Q431" s="175"/>
      <c r="R431" s="175"/>
      <c r="S431" s="116"/>
      <c r="T431" s="116">
        <f t="shared" ref="T431:T433" si="157">-K431*2%</f>
        <v>-785000</v>
      </c>
      <c r="U431" s="116">
        <v>42390000</v>
      </c>
      <c r="V431" s="210"/>
      <c r="W431" s="115"/>
      <c r="X431" s="181"/>
      <c r="Y431" s="116"/>
      <c r="Z431" s="185"/>
      <c r="AA431" s="592"/>
      <c r="AB431" s="186"/>
      <c r="AC431" s="9"/>
      <c r="AD431" s="297"/>
      <c r="AE431" s="297"/>
      <c r="AF431" s="9"/>
      <c r="AG431" s="892"/>
      <c r="AH431" s="893"/>
      <c r="AI431" s="892"/>
      <c r="AJ431" s="893"/>
      <c r="AK431" s="73"/>
    </row>
    <row r="432" spans="1:40" s="114" customFormat="1" ht="12" hidden="1" customHeight="1">
      <c r="A432" s="53"/>
      <c r="B432" s="758" t="s">
        <v>140</v>
      </c>
      <c r="C432" s="759">
        <v>8</v>
      </c>
      <c r="D432" s="760" t="s">
        <v>121</v>
      </c>
      <c r="E432" s="761" t="s">
        <v>355</v>
      </c>
      <c r="F432" s="1506" t="s">
        <v>3753</v>
      </c>
      <c r="G432" s="761" t="s">
        <v>3703</v>
      </c>
      <c r="H432" s="761" t="s">
        <v>3704</v>
      </c>
      <c r="I432" s="761" t="s">
        <v>3705</v>
      </c>
      <c r="J432" s="1054"/>
      <c r="K432" s="762">
        <v>46500000</v>
      </c>
      <c r="L432" s="762">
        <f t="shared" si="154"/>
        <v>4650000</v>
      </c>
      <c r="M432" s="1054"/>
      <c r="N432" s="763">
        <f t="shared" si="155"/>
        <v>51150000</v>
      </c>
      <c r="O432" s="1202"/>
      <c r="P432" s="1202"/>
      <c r="Q432" s="175"/>
      <c r="R432" s="175"/>
      <c r="S432" s="116"/>
      <c r="T432" s="116">
        <f t="shared" si="157"/>
        <v>-930000</v>
      </c>
      <c r="U432" s="116">
        <v>50220000</v>
      </c>
      <c r="V432" s="210"/>
      <c r="W432" s="115"/>
      <c r="X432" s="181"/>
      <c r="Y432" s="116"/>
      <c r="Z432" s="185"/>
      <c r="AA432" s="592"/>
      <c r="AB432" s="186"/>
      <c r="AC432" s="9"/>
      <c r="AD432" s="297"/>
      <c r="AE432" s="297"/>
      <c r="AF432" s="9"/>
      <c r="AG432" s="892"/>
      <c r="AH432" s="893"/>
      <c r="AI432" s="892"/>
      <c r="AJ432" s="893"/>
      <c r="AK432" s="73"/>
    </row>
    <row r="433" spans="1:37" s="114" customFormat="1" ht="12" hidden="1" customHeight="1">
      <c r="A433" s="53"/>
      <c r="B433" s="758" t="s">
        <v>140</v>
      </c>
      <c r="C433" s="759">
        <v>8</v>
      </c>
      <c r="D433" s="760" t="s">
        <v>121</v>
      </c>
      <c r="E433" s="761" t="s">
        <v>355</v>
      </c>
      <c r="F433" s="1506" t="s">
        <v>3414</v>
      </c>
      <c r="G433" s="761" t="s">
        <v>1616</v>
      </c>
      <c r="H433" s="761" t="s">
        <v>3706</v>
      </c>
      <c r="I433" s="761" t="s">
        <v>3707</v>
      </c>
      <c r="J433" s="1054"/>
      <c r="K433" s="762">
        <v>18000000</v>
      </c>
      <c r="L433" s="762">
        <f t="shared" si="154"/>
        <v>1800000</v>
      </c>
      <c r="M433" s="1054"/>
      <c r="N433" s="763">
        <f t="shared" si="155"/>
        <v>19800000</v>
      </c>
      <c r="O433" s="1202"/>
      <c r="P433" s="1202"/>
      <c r="Q433" s="175"/>
      <c r="R433" s="175"/>
      <c r="S433" s="116"/>
      <c r="T433" s="116">
        <f t="shared" si="157"/>
        <v>-360000</v>
      </c>
      <c r="U433" s="116">
        <v>19440000</v>
      </c>
      <c r="V433" s="210"/>
      <c r="W433" s="115"/>
      <c r="X433" s="181"/>
      <c r="Y433" s="116"/>
      <c r="Z433" s="185"/>
      <c r="AA433" s="592"/>
      <c r="AB433" s="186"/>
      <c r="AC433" s="9"/>
      <c r="AD433" s="297"/>
      <c r="AE433" s="297"/>
      <c r="AF433" s="9"/>
      <c r="AG433" s="892"/>
      <c r="AH433" s="893"/>
      <c r="AI433" s="892"/>
      <c r="AJ433" s="893"/>
      <c r="AK433" s="73"/>
    </row>
    <row r="434" spans="1:37" s="114" customFormat="1" ht="12" hidden="1" customHeight="1">
      <c r="A434" s="53"/>
      <c r="B434" s="53" t="s">
        <v>194</v>
      </c>
      <c r="C434" s="9">
        <v>9</v>
      </c>
      <c r="D434" s="8" t="s">
        <v>151</v>
      </c>
      <c r="E434" s="10" t="s">
        <v>354</v>
      </c>
      <c r="F434" s="356"/>
      <c r="G434" s="10"/>
      <c r="H434" s="10" t="s">
        <v>1820</v>
      </c>
      <c r="I434" s="10" t="s">
        <v>1821</v>
      </c>
      <c r="J434" s="658">
        <v>0</v>
      </c>
      <c r="K434" s="116">
        <v>22000000</v>
      </c>
      <c r="L434" s="116">
        <f t="shared" si="153"/>
        <v>2200000</v>
      </c>
      <c r="M434" s="658">
        <v>0</v>
      </c>
      <c r="N434" s="189">
        <f t="shared" si="152"/>
        <v>24200000</v>
      </c>
      <c r="O434" s="197" t="s">
        <v>195</v>
      </c>
      <c r="P434" s="197" t="s">
        <v>104</v>
      </c>
      <c r="Q434" s="175"/>
      <c r="R434" s="175"/>
      <c r="S434" s="116">
        <v>0</v>
      </c>
      <c r="T434" s="116">
        <f t="shared" ref="T434:T442" si="158">-K434*2%</f>
        <v>-440000</v>
      </c>
      <c r="U434" s="116">
        <v>23760000</v>
      </c>
      <c r="V434" s="210">
        <f t="shared" si="118"/>
        <v>0</v>
      </c>
      <c r="W434" s="115">
        <f t="shared" si="131"/>
        <v>0</v>
      </c>
      <c r="X434" s="181" t="s">
        <v>237</v>
      </c>
      <c r="Y434" s="116"/>
      <c r="Z434" s="185"/>
      <c r="AA434" s="592">
        <f>-S434-Z434</f>
        <v>0</v>
      </c>
      <c r="AB434" s="186"/>
      <c r="AC434" s="300">
        <v>42776</v>
      </c>
      <c r="AD434" s="297">
        <v>440000</v>
      </c>
      <c r="AE434" s="297">
        <f t="shared" si="126"/>
        <v>0</v>
      </c>
      <c r="AF434" s="9" t="s">
        <v>2215</v>
      </c>
      <c r="AG434" s="9" t="s">
        <v>1395</v>
      </c>
      <c r="AH434" s="300">
        <v>42747</v>
      </c>
      <c r="AI434" s="9" t="s">
        <v>1426</v>
      </c>
      <c r="AJ434" s="300">
        <v>42747</v>
      </c>
      <c r="AK434" s="73" t="str">
        <f t="shared" si="128"/>
        <v>KUSUMA MENTARI MAKMUR, PTFEB</v>
      </c>
    </row>
    <row r="435" spans="1:37" s="114" customFormat="1" ht="12" hidden="1" customHeight="1">
      <c r="A435" s="53"/>
      <c r="B435" s="53" t="s">
        <v>195</v>
      </c>
      <c r="C435" s="9">
        <v>1</v>
      </c>
      <c r="D435" s="8" t="s">
        <v>151</v>
      </c>
      <c r="E435" s="10" t="s">
        <v>354</v>
      </c>
      <c r="F435" s="356"/>
      <c r="G435" s="10"/>
      <c r="H435" s="10" t="s">
        <v>2010</v>
      </c>
      <c r="I435" s="10" t="s">
        <v>2011</v>
      </c>
      <c r="J435" s="658">
        <v>0</v>
      </c>
      <c r="K435" s="116">
        <v>22000000</v>
      </c>
      <c r="L435" s="116">
        <f t="shared" si="153"/>
        <v>2200000</v>
      </c>
      <c r="M435" s="658">
        <v>0</v>
      </c>
      <c r="N435" s="189">
        <f t="shared" si="152"/>
        <v>24200000</v>
      </c>
      <c r="O435" s="197" t="s">
        <v>239</v>
      </c>
      <c r="P435" s="197" t="s">
        <v>42</v>
      </c>
      <c r="Q435" s="175"/>
      <c r="R435" s="175"/>
      <c r="S435" s="116">
        <v>0</v>
      </c>
      <c r="T435" s="116">
        <f t="shared" si="158"/>
        <v>-440000</v>
      </c>
      <c r="U435" s="116">
        <v>23760000</v>
      </c>
      <c r="V435" s="210">
        <f t="shared" si="118"/>
        <v>0</v>
      </c>
      <c r="W435" s="115">
        <f t="shared" si="131"/>
        <v>0</v>
      </c>
      <c r="X435" s="181" t="s">
        <v>237</v>
      </c>
      <c r="Y435" s="116"/>
      <c r="Z435" s="185"/>
      <c r="AA435" s="592"/>
      <c r="AB435" s="186"/>
      <c r="AC435" s="300">
        <v>42802</v>
      </c>
      <c r="AD435" s="297">
        <v>440000</v>
      </c>
      <c r="AE435" s="297">
        <f t="shared" si="126"/>
        <v>0</v>
      </c>
      <c r="AF435" s="9" t="s">
        <v>2385</v>
      </c>
      <c r="AG435" s="9" t="s">
        <v>1395</v>
      </c>
      <c r="AH435" s="300">
        <v>42769</v>
      </c>
      <c r="AI435" s="9" t="s">
        <v>2035</v>
      </c>
      <c r="AJ435" s="300">
        <v>42772</v>
      </c>
      <c r="AK435" s="73" t="str">
        <f t="shared" si="128"/>
        <v>KUSUMA MENTARI MAKMUR, PTMAR</v>
      </c>
    </row>
    <row r="436" spans="1:37" s="114" customFormat="1" ht="12" hidden="1" customHeight="1">
      <c r="A436" s="53"/>
      <c r="B436" s="53" t="s">
        <v>239</v>
      </c>
      <c r="C436" s="9">
        <v>1</v>
      </c>
      <c r="D436" s="8" t="s">
        <v>151</v>
      </c>
      <c r="E436" s="10" t="s">
        <v>354</v>
      </c>
      <c r="F436" s="356"/>
      <c r="G436" s="10"/>
      <c r="H436" s="10" t="s">
        <v>2135</v>
      </c>
      <c r="I436" s="10" t="s">
        <v>2136</v>
      </c>
      <c r="J436" s="658">
        <v>0</v>
      </c>
      <c r="K436" s="116">
        <v>22000000</v>
      </c>
      <c r="L436" s="116">
        <f t="shared" si="153"/>
        <v>2200000</v>
      </c>
      <c r="M436" s="658">
        <v>0</v>
      </c>
      <c r="N436" s="189">
        <f t="shared" si="152"/>
        <v>24200000</v>
      </c>
      <c r="O436" s="197" t="s">
        <v>240</v>
      </c>
      <c r="P436" s="197" t="s">
        <v>65</v>
      </c>
      <c r="Q436" s="175"/>
      <c r="R436" s="175"/>
      <c r="S436" s="116">
        <v>0</v>
      </c>
      <c r="T436" s="116">
        <f t="shared" si="158"/>
        <v>-440000</v>
      </c>
      <c r="U436" s="116">
        <v>23760000</v>
      </c>
      <c r="V436" s="210">
        <f t="shared" si="118"/>
        <v>0</v>
      </c>
      <c r="W436" s="115">
        <f t="shared" si="131"/>
        <v>0</v>
      </c>
      <c r="X436" s="181" t="s">
        <v>237</v>
      </c>
      <c r="Y436" s="116"/>
      <c r="Z436" s="185"/>
      <c r="AA436" s="592"/>
      <c r="AB436" s="186"/>
      <c r="AC436" s="300">
        <v>42837</v>
      </c>
      <c r="AD436" s="297">
        <v>440000</v>
      </c>
      <c r="AE436" s="297">
        <f t="shared" si="126"/>
        <v>0</v>
      </c>
      <c r="AF436" s="9" t="s">
        <v>2882</v>
      </c>
      <c r="AG436" s="9" t="s">
        <v>1395</v>
      </c>
      <c r="AH436" s="300">
        <v>42796</v>
      </c>
      <c r="AI436" s="9" t="s">
        <v>1426</v>
      </c>
      <c r="AJ436" s="300">
        <v>42796</v>
      </c>
      <c r="AK436" s="73" t="str">
        <f t="shared" si="128"/>
        <v>KUSUMA MENTARI MAKMUR, PTAPR</v>
      </c>
    </row>
    <row r="437" spans="1:37" s="114" customFormat="1" ht="12" hidden="1" customHeight="1">
      <c r="A437" s="53"/>
      <c r="B437" s="53" t="s">
        <v>240</v>
      </c>
      <c r="C437" s="9">
        <v>3</v>
      </c>
      <c r="D437" s="8" t="s">
        <v>151</v>
      </c>
      <c r="E437" s="10" t="s">
        <v>354</v>
      </c>
      <c r="F437" s="356"/>
      <c r="G437" s="10"/>
      <c r="H437" s="10" t="s">
        <v>2273</v>
      </c>
      <c r="I437" s="10" t="s">
        <v>2274</v>
      </c>
      <c r="J437" s="658">
        <v>0</v>
      </c>
      <c r="K437" s="116">
        <v>22000000</v>
      </c>
      <c r="L437" s="116">
        <f t="shared" si="153"/>
        <v>2200000</v>
      </c>
      <c r="M437" s="658">
        <v>0</v>
      </c>
      <c r="N437" s="189">
        <f t="shared" si="152"/>
        <v>24200000</v>
      </c>
      <c r="O437" s="197" t="s">
        <v>240</v>
      </c>
      <c r="P437" s="197" t="s">
        <v>101</v>
      </c>
      <c r="Q437" s="175"/>
      <c r="R437" s="175"/>
      <c r="S437" s="116">
        <v>0</v>
      </c>
      <c r="T437" s="116">
        <f t="shared" si="158"/>
        <v>-440000</v>
      </c>
      <c r="U437" s="116">
        <v>23760000</v>
      </c>
      <c r="V437" s="210">
        <f t="shared" si="118"/>
        <v>0</v>
      </c>
      <c r="W437" s="115">
        <f t="shared" si="131"/>
        <v>0</v>
      </c>
      <c r="X437" s="181" t="s">
        <v>237</v>
      </c>
      <c r="Y437" s="116"/>
      <c r="Z437" s="185"/>
      <c r="AA437" s="592"/>
      <c r="AB437" s="186"/>
      <c r="AC437" s="300">
        <v>42850</v>
      </c>
      <c r="AD437" s="297">
        <v>440000</v>
      </c>
      <c r="AE437" s="297">
        <f t="shared" si="126"/>
        <v>0</v>
      </c>
      <c r="AF437" s="9" t="s">
        <v>2883</v>
      </c>
      <c r="AG437" s="9" t="s">
        <v>1395</v>
      </c>
      <c r="AH437" s="300">
        <v>42829</v>
      </c>
      <c r="AI437" s="9" t="s">
        <v>1426</v>
      </c>
      <c r="AJ437" s="300">
        <v>42829</v>
      </c>
      <c r="AK437" s="73" t="str">
        <f t="shared" si="128"/>
        <v>KUSUMA MENTARI MAKMUR, PTAPR</v>
      </c>
    </row>
    <row r="438" spans="1:37" s="114" customFormat="1" ht="12" hidden="1" customHeight="1">
      <c r="A438" s="53"/>
      <c r="B438" s="53" t="s">
        <v>58</v>
      </c>
      <c r="C438" s="9">
        <v>2</v>
      </c>
      <c r="D438" s="8" t="s">
        <v>151</v>
      </c>
      <c r="E438" s="10" t="s">
        <v>354</v>
      </c>
      <c r="F438" s="356"/>
      <c r="G438" s="10"/>
      <c r="H438" s="10" t="s">
        <v>2482</v>
      </c>
      <c r="I438" s="10" t="s">
        <v>2483</v>
      </c>
      <c r="J438" s="658">
        <v>0</v>
      </c>
      <c r="K438" s="116">
        <v>27866666.670000002</v>
      </c>
      <c r="L438" s="116">
        <f t="shared" si="153"/>
        <v>2786666.6670000004</v>
      </c>
      <c r="M438" s="658">
        <v>0</v>
      </c>
      <c r="N438" s="189">
        <f t="shared" si="152"/>
        <v>30653333.337000001</v>
      </c>
      <c r="O438" s="197" t="s">
        <v>241</v>
      </c>
      <c r="P438" s="197" t="s">
        <v>19</v>
      </c>
      <c r="Q438" s="175"/>
      <c r="R438" s="175"/>
      <c r="S438" s="116">
        <v>0</v>
      </c>
      <c r="T438" s="116">
        <f t="shared" si="158"/>
        <v>-557333.3334</v>
      </c>
      <c r="U438" s="116">
        <v>30096000</v>
      </c>
      <c r="V438" s="210">
        <f t="shared" si="118"/>
        <v>0</v>
      </c>
      <c r="W438" s="115">
        <f t="shared" si="131"/>
        <v>3.600001335144043E-3</v>
      </c>
      <c r="X438" s="181" t="s">
        <v>237</v>
      </c>
      <c r="Y438" s="116"/>
      <c r="Z438" s="185"/>
      <c r="AA438" s="592"/>
      <c r="AB438" s="186"/>
      <c r="AC438" s="300">
        <v>42908</v>
      </c>
      <c r="AD438" s="297">
        <v>557333</v>
      </c>
      <c r="AE438" s="297">
        <f t="shared" si="126"/>
        <v>0.3334000000031665</v>
      </c>
      <c r="AF438" s="9" t="s">
        <v>3035</v>
      </c>
      <c r="AG438" s="9" t="s">
        <v>1395</v>
      </c>
      <c r="AH438" s="300">
        <v>42860</v>
      </c>
      <c r="AI438" s="9" t="s">
        <v>2515</v>
      </c>
      <c r="AJ438" s="300">
        <v>42860</v>
      </c>
      <c r="AK438" s="73" t="str">
        <f t="shared" si="128"/>
        <v>KUSUMA MENTARI MAKMUR, PTJUN</v>
      </c>
    </row>
    <row r="439" spans="1:37" s="114" customFormat="1" ht="12" hidden="1" customHeight="1">
      <c r="A439" s="53"/>
      <c r="B439" s="53" t="s">
        <v>241</v>
      </c>
      <c r="C439" s="9">
        <v>2</v>
      </c>
      <c r="D439" s="8" t="s">
        <v>151</v>
      </c>
      <c r="E439" s="10" t="s">
        <v>354</v>
      </c>
      <c r="F439" s="356"/>
      <c r="G439" s="10"/>
      <c r="H439" s="10" t="s">
        <v>2617</v>
      </c>
      <c r="I439" s="10" t="s">
        <v>2663</v>
      </c>
      <c r="J439" s="658">
        <v>0</v>
      </c>
      <c r="K439" s="116">
        <v>22000000</v>
      </c>
      <c r="L439" s="116">
        <f t="shared" si="153"/>
        <v>2200000</v>
      </c>
      <c r="M439" s="658">
        <v>0</v>
      </c>
      <c r="N439" s="189">
        <f t="shared" si="152"/>
        <v>24200000</v>
      </c>
      <c r="O439" s="197" t="s">
        <v>242</v>
      </c>
      <c r="P439" s="197" t="s">
        <v>18</v>
      </c>
      <c r="Q439" s="175"/>
      <c r="R439" s="175"/>
      <c r="S439" s="116">
        <v>0</v>
      </c>
      <c r="T439" s="116">
        <f t="shared" si="158"/>
        <v>-440000</v>
      </c>
      <c r="U439" s="116">
        <v>23760000</v>
      </c>
      <c r="V439" s="210">
        <f t="shared" si="118"/>
        <v>0</v>
      </c>
      <c r="W439" s="115">
        <f t="shared" si="131"/>
        <v>0</v>
      </c>
      <c r="X439" s="181" t="s">
        <v>237</v>
      </c>
      <c r="Y439" s="116"/>
      <c r="Z439" s="185"/>
      <c r="AA439" s="592"/>
      <c r="AB439" s="186"/>
      <c r="AC439" s="9"/>
      <c r="AD439" s="297"/>
      <c r="AE439" s="297">
        <f t="shared" si="126"/>
        <v>440000</v>
      </c>
      <c r="AF439" s="9"/>
      <c r="AG439" s="9" t="s">
        <v>1395</v>
      </c>
      <c r="AH439" s="300">
        <v>42892</v>
      </c>
      <c r="AI439" s="9" t="s">
        <v>1426</v>
      </c>
      <c r="AJ439" s="300">
        <v>42892</v>
      </c>
      <c r="AK439" s="73" t="str">
        <f t="shared" si="128"/>
        <v>KUSUMA MENTARI MAKMUR, PTJUL</v>
      </c>
    </row>
    <row r="440" spans="1:37" s="114" customFormat="1" ht="12" hidden="1" customHeight="1">
      <c r="A440" s="53"/>
      <c r="B440" s="53" t="s">
        <v>242</v>
      </c>
      <c r="C440" s="9">
        <v>3</v>
      </c>
      <c r="D440" s="8" t="s">
        <v>151</v>
      </c>
      <c r="E440" s="10" t="s">
        <v>354</v>
      </c>
      <c r="F440" s="356" t="s">
        <v>3055</v>
      </c>
      <c r="G440" s="10" t="s">
        <v>59</v>
      </c>
      <c r="H440" s="10" t="s">
        <v>2758</v>
      </c>
      <c r="I440" s="10" t="s">
        <v>2811</v>
      </c>
      <c r="J440" s="658">
        <v>0</v>
      </c>
      <c r="K440" s="116">
        <v>22000000</v>
      </c>
      <c r="L440" s="116">
        <f t="shared" ref="L440:L446" si="159">K440*10%</f>
        <v>2200000</v>
      </c>
      <c r="M440" s="658">
        <v>0</v>
      </c>
      <c r="N440" s="189">
        <f t="shared" ref="N440:N447" si="160">K440+L440</f>
        <v>24200000</v>
      </c>
      <c r="O440" s="197" t="s">
        <v>243</v>
      </c>
      <c r="P440" s="197" t="s">
        <v>31</v>
      </c>
      <c r="Q440" s="175"/>
      <c r="R440" s="175"/>
      <c r="S440" s="116">
        <v>0</v>
      </c>
      <c r="T440" s="116">
        <f t="shared" si="158"/>
        <v>-440000</v>
      </c>
      <c r="U440" s="116">
        <v>23760000</v>
      </c>
      <c r="V440" s="210">
        <f t="shared" si="118"/>
        <v>0</v>
      </c>
      <c r="W440" s="115">
        <f t="shared" si="131"/>
        <v>0</v>
      </c>
      <c r="X440" s="181" t="s">
        <v>237</v>
      </c>
      <c r="Y440" s="116"/>
      <c r="Z440" s="185"/>
      <c r="AA440" s="592"/>
      <c r="AB440" s="186"/>
      <c r="AC440" s="9"/>
      <c r="AD440" s="297"/>
      <c r="AE440" s="297">
        <f t="shared" si="126"/>
        <v>440000</v>
      </c>
      <c r="AF440" s="9"/>
      <c r="AG440" s="9" t="s">
        <v>1395</v>
      </c>
      <c r="AH440" s="300">
        <v>42922</v>
      </c>
      <c r="AI440" s="9" t="s">
        <v>2832</v>
      </c>
      <c r="AJ440" s="300">
        <v>42922</v>
      </c>
      <c r="AK440" s="73" t="str">
        <f t="shared" si="128"/>
        <v>KUSUMA MENTARI MAKMUR, PTAGS</v>
      </c>
    </row>
    <row r="441" spans="1:37" s="114" customFormat="1" ht="11.25" hidden="1" customHeight="1">
      <c r="A441" s="53"/>
      <c r="B441" s="53" t="s">
        <v>243</v>
      </c>
      <c r="C441" s="9">
        <v>1</v>
      </c>
      <c r="D441" s="8" t="s">
        <v>151</v>
      </c>
      <c r="E441" s="10" t="s">
        <v>354</v>
      </c>
      <c r="F441" s="356" t="s">
        <v>3117</v>
      </c>
      <c r="G441" s="10" t="s">
        <v>60</v>
      </c>
      <c r="H441" s="10" t="s">
        <v>2924</v>
      </c>
      <c r="I441" s="10" t="s">
        <v>2962</v>
      </c>
      <c r="J441" s="658"/>
      <c r="K441" s="116">
        <v>22000000</v>
      </c>
      <c r="L441" s="116">
        <f t="shared" si="159"/>
        <v>2200000</v>
      </c>
      <c r="M441" s="658"/>
      <c r="N441" s="189">
        <f t="shared" si="160"/>
        <v>24200000</v>
      </c>
      <c r="O441" s="197" t="s">
        <v>244</v>
      </c>
      <c r="P441" s="197" t="s">
        <v>37</v>
      </c>
      <c r="Q441" s="175"/>
      <c r="R441" s="175"/>
      <c r="S441" s="116">
        <v>0</v>
      </c>
      <c r="T441" s="116">
        <f t="shared" si="158"/>
        <v>-440000</v>
      </c>
      <c r="U441" s="116">
        <v>23760000</v>
      </c>
      <c r="V441" s="210">
        <f t="shared" si="118"/>
        <v>0</v>
      </c>
      <c r="W441" s="115">
        <f t="shared" si="131"/>
        <v>0</v>
      </c>
      <c r="X441" s="181" t="s">
        <v>237</v>
      </c>
      <c r="Y441" s="116"/>
      <c r="Z441" s="185"/>
      <c r="AA441" s="592"/>
      <c r="AB441" s="186"/>
      <c r="AC441" s="9"/>
      <c r="AD441" s="297"/>
      <c r="AE441" s="297"/>
      <c r="AF441" s="9"/>
      <c r="AG441" s="9" t="s">
        <v>1395</v>
      </c>
      <c r="AH441" s="300">
        <v>42949</v>
      </c>
      <c r="AI441" s="9" t="s">
        <v>2832</v>
      </c>
      <c r="AJ441" s="300">
        <v>42949</v>
      </c>
      <c r="AK441" s="73" t="str">
        <f t="shared" si="128"/>
        <v>KUSUMA MENTARI MAKMUR, PTSEP</v>
      </c>
    </row>
    <row r="442" spans="1:37" s="114" customFormat="1" ht="11.25" hidden="1" customHeight="1">
      <c r="A442" s="53"/>
      <c r="B442" s="1220" t="s">
        <v>244</v>
      </c>
      <c r="C442" s="1221">
        <v>4</v>
      </c>
      <c r="D442" s="1222" t="s">
        <v>151</v>
      </c>
      <c r="E442" s="1223" t="s">
        <v>354</v>
      </c>
      <c r="F442" s="1505" t="s">
        <v>3117</v>
      </c>
      <c r="G442" s="1223" t="s">
        <v>559</v>
      </c>
      <c r="H442" s="1223" t="s">
        <v>3124</v>
      </c>
      <c r="I442" s="1223" t="s">
        <v>3125</v>
      </c>
      <c r="J442" s="1237"/>
      <c r="K442" s="1224">
        <v>22000000</v>
      </c>
      <c r="L442" s="1224">
        <f t="shared" si="159"/>
        <v>2200000</v>
      </c>
      <c r="M442" s="1237"/>
      <c r="N442" s="1225">
        <f t="shared" si="160"/>
        <v>24200000</v>
      </c>
      <c r="O442" s="197" t="s">
        <v>245</v>
      </c>
      <c r="P442" s="197" t="s">
        <v>65</v>
      </c>
      <c r="Q442" s="175"/>
      <c r="R442" s="175"/>
      <c r="S442" s="116">
        <v>0</v>
      </c>
      <c r="T442" s="116">
        <f t="shared" si="158"/>
        <v>-440000</v>
      </c>
      <c r="U442" s="116">
        <v>23760000</v>
      </c>
      <c r="V442" s="210"/>
      <c r="W442" s="115"/>
      <c r="X442" s="181"/>
      <c r="Y442" s="116"/>
      <c r="Z442" s="185"/>
      <c r="AA442" s="592"/>
      <c r="AB442" s="186"/>
      <c r="AC442" s="9"/>
      <c r="AD442" s="297"/>
      <c r="AE442" s="297"/>
      <c r="AF442" s="9"/>
      <c r="AG442" s="9"/>
      <c r="AH442" s="300"/>
      <c r="AI442" s="9"/>
      <c r="AJ442" s="300"/>
      <c r="AK442" s="73" t="str">
        <f t="shared" si="128"/>
        <v>KUSUMA MENTARI MAKMUR, PTOKT</v>
      </c>
    </row>
    <row r="443" spans="1:37" s="114" customFormat="1" ht="11.25" hidden="1" customHeight="1">
      <c r="A443" s="53"/>
      <c r="B443" s="1220" t="s">
        <v>245</v>
      </c>
      <c r="C443" s="1221">
        <v>3</v>
      </c>
      <c r="D443" s="1222" t="s">
        <v>151</v>
      </c>
      <c r="E443" s="1223" t="s">
        <v>354</v>
      </c>
      <c r="F443" s="1505" t="s">
        <v>3117</v>
      </c>
      <c r="G443" s="1223" t="s">
        <v>602</v>
      </c>
      <c r="H443" s="1223" t="s">
        <v>3312</v>
      </c>
      <c r="I443" s="1223" t="s">
        <v>3313</v>
      </c>
      <c r="J443" s="1237"/>
      <c r="K443" s="1224">
        <v>22000000</v>
      </c>
      <c r="L443" s="1224">
        <f t="shared" si="159"/>
        <v>2200000</v>
      </c>
      <c r="M443" s="1237"/>
      <c r="N443" s="1225">
        <f t="shared" si="160"/>
        <v>24200000</v>
      </c>
      <c r="O443" s="1202" t="s">
        <v>238</v>
      </c>
      <c r="P443" s="1202" t="s">
        <v>114</v>
      </c>
      <c r="Q443" s="175"/>
      <c r="R443" s="175"/>
      <c r="S443" s="116">
        <v>0</v>
      </c>
      <c r="T443" s="116">
        <f t="shared" ref="T443" si="161">-K443*2%</f>
        <v>-440000</v>
      </c>
      <c r="U443" s="116">
        <v>23760000</v>
      </c>
      <c r="V443" s="210"/>
      <c r="W443" s="115"/>
      <c r="X443" s="181"/>
      <c r="Y443" s="116"/>
      <c r="Z443" s="185"/>
      <c r="AA443" s="592"/>
      <c r="AB443" s="186"/>
      <c r="AC443" s="9"/>
      <c r="AD443" s="297"/>
      <c r="AE443" s="297"/>
      <c r="AF443" s="9"/>
      <c r="AG443" s="9"/>
      <c r="AH443" s="300"/>
      <c r="AI443" s="9"/>
      <c r="AJ443" s="300"/>
      <c r="AK443" s="73" t="str">
        <f t="shared" si="128"/>
        <v>KUSUMA MENTARI MAKMUR, PTNOV</v>
      </c>
    </row>
    <row r="444" spans="1:37" s="114" customFormat="1" ht="11.25" hidden="1" customHeight="1">
      <c r="A444" s="53"/>
      <c r="B444" s="1220" t="s">
        <v>238</v>
      </c>
      <c r="C444" s="1221">
        <v>1</v>
      </c>
      <c r="D444" s="1222" t="s">
        <v>151</v>
      </c>
      <c r="E444" s="1223" t="s">
        <v>354</v>
      </c>
      <c r="F444" s="1505" t="s">
        <v>3117</v>
      </c>
      <c r="G444" s="1223" t="s">
        <v>641</v>
      </c>
      <c r="H444" s="1223" t="s">
        <v>3495</v>
      </c>
      <c r="I444" s="1223" t="s">
        <v>3496</v>
      </c>
      <c r="J444" s="1237"/>
      <c r="K444" s="1224">
        <v>22000000</v>
      </c>
      <c r="L444" s="1224">
        <f t="shared" si="159"/>
        <v>2200000</v>
      </c>
      <c r="M444" s="1237"/>
      <c r="N444" s="1225">
        <f t="shared" si="160"/>
        <v>24200000</v>
      </c>
      <c r="O444" s="1202" t="s">
        <v>140</v>
      </c>
      <c r="P444" s="1202" t="s">
        <v>37</v>
      </c>
      <c r="Q444" s="175"/>
      <c r="R444" s="175"/>
      <c r="S444" s="116">
        <v>0</v>
      </c>
      <c r="T444" s="116">
        <f t="shared" ref="T444" si="162">-K444*2%</f>
        <v>-440000</v>
      </c>
      <c r="U444" s="116">
        <v>23760000</v>
      </c>
      <c r="V444" s="210"/>
      <c r="W444" s="115"/>
      <c r="X444" s="181"/>
      <c r="Y444" s="116"/>
      <c r="Z444" s="185"/>
      <c r="AA444" s="592"/>
      <c r="AB444" s="186"/>
      <c r="AC444" s="9"/>
      <c r="AD444" s="297"/>
      <c r="AE444" s="297"/>
      <c r="AF444" s="9"/>
      <c r="AG444" s="9"/>
      <c r="AH444" s="300"/>
      <c r="AI444" s="9"/>
      <c r="AJ444" s="300"/>
      <c r="AK444" s="73" t="str">
        <f t="shared" si="128"/>
        <v>KUSUMA MENTARI MAKMUR, PTDES</v>
      </c>
    </row>
    <row r="445" spans="1:37" s="114" customFormat="1" ht="11.25" hidden="1" customHeight="1">
      <c r="A445" s="53"/>
      <c r="B445" s="758" t="s">
        <v>140</v>
      </c>
      <c r="C445" s="759">
        <v>4</v>
      </c>
      <c r="D445" s="760" t="s">
        <v>151</v>
      </c>
      <c r="E445" s="761" t="s">
        <v>354</v>
      </c>
      <c r="F445" s="1506" t="s">
        <v>3117</v>
      </c>
      <c r="G445" s="761" t="s">
        <v>1616</v>
      </c>
      <c r="H445" s="761" t="s">
        <v>3642</v>
      </c>
      <c r="I445" s="761" t="s">
        <v>3643</v>
      </c>
      <c r="J445" s="658"/>
      <c r="K445" s="762">
        <v>22000000</v>
      </c>
      <c r="L445" s="762">
        <f t="shared" si="159"/>
        <v>2200000</v>
      </c>
      <c r="M445" s="658"/>
      <c r="N445" s="763">
        <f t="shared" si="160"/>
        <v>24200000</v>
      </c>
      <c r="O445" s="1202"/>
      <c r="P445" s="1202"/>
      <c r="Q445" s="175"/>
      <c r="R445" s="175"/>
      <c r="S445" s="116"/>
      <c r="T445" s="116"/>
      <c r="U445" s="116"/>
      <c r="V445" s="210"/>
      <c r="W445" s="115"/>
      <c r="X445" s="181"/>
      <c r="Y445" s="116"/>
      <c r="Z445" s="185"/>
      <c r="AA445" s="592"/>
      <c r="AB445" s="186"/>
      <c r="AC445" s="9"/>
      <c r="AD445" s="297"/>
      <c r="AE445" s="297"/>
      <c r="AF445" s="9"/>
      <c r="AG445" s="9"/>
      <c r="AH445" s="300"/>
      <c r="AI445" s="9"/>
      <c r="AJ445" s="300"/>
      <c r="AK445" s="73"/>
    </row>
    <row r="446" spans="1:37" s="114" customFormat="1" ht="11.25" hidden="1" customHeight="1">
      <c r="A446" s="53"/>
      <c r="B446" s="758" t="s">
        <v>140</v>
      </c>
      <c r="C446" s="759">
        <v>27</v>
      </c>
      <c r="D446" s="760" t="s">
        <v>151</v>
      </c>
      <c r="E446" s="761" t="s">
        <v>62</v>
      </c>
      <c r="F446" s="1506" t="s">
        <v>3757</v>
      </c>
      <c r="G446" s="761" t="s">
        <v>3758</v>
      </c>
      <c r="H446" s="761" t="s">
        <v>3759</v>
      </c>
      <c r="I446" s="761" t="s">
        <v>3760</v>
      </c>
      <c r="J446" s="658"/>
      <c r="K446" s="762">
        <v>5000000</v>
      </c>
      <c r="L446" s="762">
        <f t="shared" si="159"/>
        <v>500000</v>
      </c>
      <c r="M446" s="658"/>
      <c r="N446" s="763">
        <f t="shared" si="160"/>
        <v>5500000</v>
      </c>
      <c r="O446" s="1202"/>
      <c r="P446" s="1202"/>
      <c r="Q446" s="175"/>
      <c r="R446" s="175"/>
      <c r="S446" s="116"/>
      <c r="T446" s="116"/>
      <c r="U446" s="116"/>
      <c r="V446" s="210"/>
      <c r="W446" s="115"/>
      <c r="X446" s="181"/>
      <c r="Y446" s="116"/>
      <c r="Z446" s="185"/>
      <c r="AA446" s="592"/>
      <c r="AB446" s="186"/>
      <c r="AC446" s="9"/>
      <c r="AD446" s="297"/>
      <c r="AE446" s="297"/>
      <c r="AF446" s="9"/>
      <c r="AG446" s="9"/>
      <c r="AH446" s="300"/>
      <c r="AI446" s="9"/>
      <c r="AJ446" s="300"/>
      <c r="AK446" s="73"/>
    </row>
    <row r="447" spans="1:37" s="114" customFormat="1" ht="11.25" hidden="1" customHeight="1">
      <c r="A447" s="53"/>
      <c r="B447" s="758" t="s">
        <v>140</v>
      </c>
      <c r="C447" s="759">
        <v>27</v>
      </c>
      <c r="D447" s="760" t="s">
        <v>151</v>
      </c>
      <c r="E447" s="761" t="s">
        <v>62</v>
      </c>
      <c r="F447" s="1506" t="s">
        <v>3761</v>
      </c>
      <c r="G447" s="761" t="s">
        <v>3762</v>
      </c>
      <c r="H447" s="761" t="s">
        <v>3763</v>
      </c>
      <c r="I447" s="1197" t="s">
        <v>14</v>
      </c>
      <c r="J447" s="658"/>
      <c r="K447" s="762">
        <v>2469900</v>
      </c>
      <c r="L447" s="762">
        <v>0</v>
      </c>
      <c r="M447" s="658"/>
      <c r="N447" s="763">
        <f t="shared" si="160"/>
        <v>2469900</v>
      </c>
      <c r="O447" s="1202"/>
      <c r="P447" s="1202"/>
      <c r="Q447" s="175"/>
      <c r="R447" s="175"/>
      <c r="S447" s="116"/>
      <c r="T447" s="116"/>
      <c r="U447" s="116"/>
      <c r="V447" s="210"/>
      <c r="W447" s="115"/>
      <c r="X447" s="181"/>
      <c r="Y447" s="116"/>
      <c r="Z447" s="185"/>
      <c r="AA447" s="592"/>
      <c r="AB447" s="186"/>
      <c r="AC447" s="9"/>
      <c r="AD447" s="297"/>
      <c r="AE447" s="297"/>
      <c r="AF447" s="9"/>
      <c r="AG447" s="9"/>
      <c r="AH447" s="300"/>
      <c r="AI447" s="9"/>
      <c r="AJ447" s="300"/>
      <c r="AK447" s="73"/>
    </row>
    <row r="448" spans="1:37" s="114" customFormat="1" ht="12" hidden="1" customHeight="1">
      <c r="A448" s="53"/>
      <c r="B448" s="53" t="s">
        <v>194</v>
      </c>
      <c r="C448" s="9">
        <v>9</v>
      </c>
      <c r="D448" s="8" t="s">
        <v>117</v>
      </c>
      <c r="E448" s="10" t="s">
        <v>354</v>
      </c>
      <c r="F448" s="356"/>
      <c r="G448" s="10"/>
      <c r="H448" s="10" t="s">
        <v>1806</v>
      </c>
      <c r="I448" s="10" t="s">
        <v>1808</v>
      </c>
      <c r="J448" s="658">
        <v>0</v>
      </c>
      <c r="K448" s="116">
        <v>22000000</v>
      </c>
      <c r="L448" s="116">
        <f t="shared" si="153"/>
        <v>2200000</v>
      </c>
      <c r="M448" s="658">
        <v>0</v>
      </c>
      <c r="N448" s="189">
        <f t="shared" si="152"/>
        <v>24200000</v>
      </c>
      <c r="O448" s="197" t="s">
        <v>195</v>
      </c>
      <c r="P448" s="197" t="s">
        <v>104</v>
      </c>
      <c r="Q448" s="175"/>
      <c r="R448" s="175"/>
      <c r="S448" s="116">
        <v>0</v>
      </c>
      <c r="T448" s="116">
        <f t="shared" ref="T448:T461" si="163">-K448*2%</f>
        <v>-440000</v>
      </c>
      <c r="U448" s="116">
        <v>23760000</v>
      </c>
      <c r="V448" s="210">
        <f t="shared" si="118"/>
        <v>0</v>
      </c>
      <c r="W448" s="115">
        <f t="shared" si="131"/>
        <v>0</v>
      </c>
      <c r="X448" s="181" t="s">
        <v>237</v>
      </c>
      <c r="Y448" s="116"/>
      <c r="Z448" s="185"/>
      <c r="AA448" s="592">
        <f>-S448-Z448</f>
        <v>0</v>
      </c>
      <c r="AB448" s="186"/>
      <c r="AC448" s="300">
        <v>42776</v>
      </c>
      <c r="AD448" s="297">
        <v>440000</v>
      </c>
      <c r="AE448" s="297">
        <f t="shared" si="126"/>
        <v>0</v>
      </c>
      <c r="AF448" s="9" t="s">
        <v>2370</v>
      </c>
      <c r="AG448" s="9" t="s">
        <v>1395</v>
      </c>
      <c r="AH448" s="300">
        <v>42747</v>
      </c>
      <c r="AI448" s="9" t="s">
        <v>1426</v>
      </c>
      <c r="AJ448" s="300">
        <v>42747</v>
      </c>
      <c r="AK448" s="73" t="str">
        <f t="shared" si="128"/>
        <v>LANANG AGRO BERSATU, PTFEB</v>
      </c>
    </row>
    <row r="449" spans="1:37" s="114" customFormat="1" ht="12" hidden="1" customHeight="1">
      <c r="A449" s="53"/>
      <c r="B449" s="53" t="s">
        <v>194</v>
      </c>
      <c r="C449" s="9">
        <v>9</v>
      </c>
      <c r="D449" s="8" t="s">
        <v>117</v>
      </c>
      <c r="E449" s="10" t="s">
        <v>354</v>
      </c>
      <c r="F449" s="356"/>
      <c r="G449" s="10"/>
      <c r="H449" s="10" t="s">
        <v>1807</v>
      </c>
      <c r="I449" s="10" t="s">
        <v>1809</v>
      </c>
      <c r="J449" s="658">
        <v>0</v>
      </c>
      <c r="K449" s="116">
        <v>22000000</v>
      </c>
      <c r="L449" s="116">
        <f t="shared" si="153"/>
        <v>2200000</v>
      </c>
      <c r="M449" s="658">
        <v>0</v>
      </c>
      <c r="N449" s="189">
        <f t="shared" si="152"/>
        <v>24200000</v>
      </c>
      <c r="O449" s="197" t="s">
        <v>195</v>
      </c>
      <c r="P449" s="197" t="s">
        <v>104</v>
      </c>
      <c r="Q449" s="175"/>
      <c r="R449" s="175"/>
      <c r="S449" s="116">
        <v>0</v>
      </c>
      <c r="T449" s="116">
        <f t="shared" si="163"/>
        <v>-440000</v>
      </c>
      <c r="U449" s="116">
        <v>23760000</v>
      </c>
      <c r="V449" s="210">
        <f t="shared" si="118"/>
        <v>0</v>
      </c>
      <c r="W449" s="115">
        <f t="shared" si="131"/>
        <v>0</v>
      </c>
      <c r="X449" s="181" t="s">
        <v>237</v>
      </c>
      <c r="Y449" s="116"/>
      <c r="Z449" s="185"/>
      <c r="AA449" s="592">
        <f>-S449-Z449</f>
        <v>0</v>
      </c>
      <c r="AB449" s="186"/>
      <c r="AC449" s="300">
        <v>42776</v>
      </c>
      <c r="AD449" s="297">
        <v>440000</v>
      </c>
      <c r="AE449" s="297">
        <f t="shared" si="126"/>
        <v>0</v>
      </c>
      <c r="AF449" s="9" t="s">
        <v>2371</v>
      </c>
      <c r="AG449" s="9" t="s">
        <v>1395</v>
      </c>
      <c r="AH449" s="300">
        <v>42747</v>
      </c>
      <c r="AI449" s="9" t="s">
        <v>1426</v>
      </c>
      <c r="AJ449" s="300">
        <v>42747</v>
      </c>
      <c r="AK449" s="73" t="str">
        <f t="shared" si="128"/>
        <v>LANANG AGRO BERSATU, PTFEB</v>
      </c>
    </row>
    <row r="450" spans="1:37" s="114" customFormat="1" ht="12" hidden="1" customHeight="1">
      <c r="A450" s="53"/>
      <c r="B450" s="53" t="s">
        <v>195</v>
      </c>
      <c r="C450" s="9">
        <v>1</v>
      </c>
      <c r="D450" s="8" t="s">
        <v>117</v>
      </c>
      <c r="E450" s="10" t="s">
        <v>354</v>
      </c>
      <c r="F450" s="356"/>
      <c r="G450" s="10"/>
      <c r="H450" s="10" t="s">
        <v>2012</v>
      </c>
      <c r="I450" s="10" t="s">
        <v>2014</v>
      </c>
      <c r="J450" s="658">
        <v>0</v>
      </c>
      <c r="K450" s="116">
        <v>22000000</v>
      </c>
      <c r="L450" s="116">
        <f t="shared" si="153"/>
        <v>2200000</v>
      </c>
      <c r="M450" s="658">
        <v>0</v>
      </c>
      <c r="N450" s="189">
        <f t="shared" si="152"/>
        <v>24200000</v>
      </c>
      <c r="O450" s="197" t="s">
        <v>239</v>
      </c>
      <c r="P450" s="197" t="s">
        <v>104</v>
      </c>
      <c r="Q450" s="175"/>
      <c r="R450" s="175"/>
      <c r="S450" s="116">
        <v>0</v>
      </c>
      <c r="T450" s="116">
        <f t="shared" si="163"/>
        <v>-440000</v>
      </c>
      <c r="U450" s="116">
        <v>23760000</v>
      </c>
      <c r="V450" s="210">
        <f t="shared" si="118"/>
        <v>0</v>
      </c>
      <c r="W450" s="115">
        <f t="shared" si="131"/>
        <v>0</v>
      </c>
      <c r="X450" s="181" t="s">
        <v>237</v>
      </c>
      <c r="Y450" s="116"/>
      <c r="Z450" s="185"/>
      <c r="AA450" s="592"/>
      <c r="AB450" s="186"/>
      <c r="AC450" s="300">
        <v>42804</v>
      </c>
      <c r="AD450" s="297">
        <v>440000</v>
      </c>
      <c r="AE450" s="297">
        <f t="shared" si="126"/>
        <v>0</v>
      </c>
      <c r="AF450" s="9" t="s">
        <v>2372</v>
      </c>
      <c r="AG450" s="9" t="s">
        <v>1395</v>
      </c>
      <c r="AH450" s="300">
        <v>42769</v>
      </c>
      <c r="AI450" s="9" t="s">
        <v>2035</v>
      </c>
      <c r="AJ450" s="300">
        <v>42772</v>
      </c>
      <c r="AK450" s="73" t="str">
        <f t="shared" si="128"/>
        <v>LANANG AGRO BERSATU, PTMAR</v>
      </c>
    </row>
    <row r="451" spans="1:37" s="114" customFormat="1" ht="12" hidden="1" customHeight="1">
      <c r="A451" s="53"/>
      <c r="B451" s="53" t="s">
        <v>195</v>
      </c>
      <c r="C451" s="9">
        <v>1</v>
      </c>
      <c r="D451" s="8" t="s">
        <v>117</v>
      </c>
      <c r="E451" s="10" t="s">
        <v>354</v>
      </c>
      <c r="F451" s="356"/>
      <c r="G451" s="10"/>
      <c r="H451" s="10" t="s">
        <v>2013</v>
      </c>
      <c r="I451" s="10" t="s">
        <v>2015</v>
      </c>
      <c r="J451" s="658">
        <v>0</v>
      </c>
      <c r="K451" s="116">
        <v>22000000</v>
      </c>
      <c r="L451" s="116">
        <f t="shared" si="153"/>
        <v>2200000</v>
      </c>
      <c r="M451" s="658">
        <v>0</v>
      </c>
      <c r="N451" s="189">
        <f t="shared" si="152"/>
        <v>24200000</v>
      </c>
      <c r="O451" s="197" t="s">
        <v>239</v>
      </c>
      <c r="P451" s="197" t="s">
        <v>104</v>
      </c>
      <c r="Q451" s="175"/>
      <c r="R451" s="175"/>
      <c r="S451" s="116">
        <v>0</v>
      </c>
      <c r="T451" s="116">
        <f t="shared" si="163"/>
        <v>-440000</v>
      </c>
      <c r="U451" s="116">
        <v>23760000</v>
      </c>
      <c r="V451" s="210">
        <f t="shared" ref="V451:V522" si="164">M451+Q451-R451</f>
        <v>0</v>
      </c>
      <c r="W451" s="115">
        <f t="shared" si="131"/>
        <v>0</v>
      </c>
      <c r="X451" s="181" t="s">
        <v>237</v>
      </c>
      <c r="Y451" s="116"/>
      <c r="Z451" s="185"/>
      <c r="AA451" s="592"/>
      <c r="AB451" s="186"/>
      <c r="AC451" s="300">
        <v>42804</v>
      </c>
      <c r="AD451" s="297">
        <v>440000</v>
      </c>
      <c r="AE451" s="297">
        <f t="shared" si="126"/>
        <v>0</v>
      </c>
      <c r="AF451" s="9" t="s">
        <v>2373</v>
      </c>
      <c r="AG451" s="9" t="s">
        <v>1395</v>
      </c>
      <c r="AH451" s="300">
        <v>42769</v>
      </c>
      <c r="AI451" s="9" t="s">
        <v>2035</v>
      </c>
      <c r="AJ451" s="300">
        <v>42772</v>
      </c>
      <c r="AK451" s="73" t="str">
        <f t="shared" si="128"/>
        <v>LANANG AGRO BERSATU, PTMAR</v>
      </c>
    </row>
    <row r="452" spans="1:37" s="114" customFormat="1" ht="12" hidden="1" customHeight="1">
      <c r="A452" s="53"/>
      <c r="B452" s="53" t="s">
        <v>239</v>
      </c>
      <c r="C452" s="9">
        <v>1</v>
      </c>
      <c r="D452" s="8" t="s">
        <v>117</v>
      </c>
      <c r="E452" s="10" t="s">
        <v>354</v>
      </c>
      <c r="F452" s="356"/>
      <c r="G452" s="10"/>
      <c r="H452" s="10" t="s">
        <v>2131</v>
      </c>
      <c r="I452" s="10" t="s">
        <v>2132</v>
      </c>
      <c r="J452" s="658">
        <v>0</v>
      </c>
      <c r="K452" s="116">
        <v>22000000</v>
      </c>
      <c r="L452" s="116">
        <f t="shared" si="153"/>
        <v>2200000</v>
      </c>
      <c r="M452" s="658">
        <v>0</v>
      </c>
      <c r="N452" s="189">
        <f t="shared" si="152"/>
        <v>24200000</v>
      </c>
      <c r="O452" s="197" t="s">
        <v>240</v>
      </c>
      <c r="P452" s="197" t="s">
        <v>114</v>
      </c>
      <c r="Q452" s="175"/>
      <c r="R452" s="175"/>
      <c r="S452" s="116">
        <v>0</v>
      </c>
      <c r="T452" s="116">
        <f t="shared" si="163"/>
        <v>-440000</v>
      </c>
      <c r="U452" s="116">
        <v>23760000</v>
      </c>
      <c r="V452" s="210">
        <f t="shared" si="164"/>
        <v>0</v>
      </c>
      <c r="W452" s="115">
        <f t="shared" si="131"/>
        <v>0</v>
      </c>
      <c r="X452" s="181" t="s">
        <v>237</v>
      </c>
      <c r="Y452" s="116"/>
      <c r="Z452" s="185"/>
      <c r="AA452" s="592"/>
      <c r="AB452" s="186"/>
      <c r="AC452" s="300">
        <v>42836</v>
      </c>
      <c r="AD452" s="297">
        <v>440000</v>
      </c>
      <c r="AE452" s="297">
        <f t="shared" si="126"/>
        <v>0</v>
      </c>
      <c r="AF452" s="9" t="s">
        <v>2884</v>
      </c>
      <c r="AG452" s="9" t="s">
        <v>1395</v>
      </c>
      <c r="AH452" s="300">
        <v>42796</v>
      </c>
      <c r="AI452" s="9" t="s">
        <v>1426</v>
      </c>
      <c r="AJ452" s="300">
        <v>42796</v>
      </c>
      <c r="AK452" s="73" t="str">
        <f t="shared" si="128"/>
        <v>LANANG AGRO BERSATU, PTAPR</v>
      </c>
    </row>
    <row r="453" spans="1:37" s="114" customFormat="1" ht="12" hidden="1" customHeight="1">
      <c r="A453" s="53"/>
      <c r="B453" s="53" t="s">
        <v>239</v>
      </c>
      <c r="C453" s="9">
        <v>1</v>
      </c>
      <c r="D453" s="8" t="s">
        <v>117</v>
      </c>
      <c r="E453" s="10" t="s">
        <v>354</v>
      </c>
      <c r="F453" s="356"/>
      <c r="G453" s="10"/>
      <c r="H453" s="10" t="s">
        <v>2133</v>
      </c>
      <c r="I453" s="10" t="s">
        <v>2134</v>
      </c>
      <c r="J453" s="658">
        <v>0</v>
      </c>
      <c r="K453" s="116">
        <v>22000000</v>
      </c>
      <c r="L453" s="116">
        <f t="shared" si="153"/>
        <v>2200000</v>
      </c>
      <c r="M453" s="658">
        <v>0</v>
      </c>
      <c r="N453" s="189">
        <f t="shared" si="152"/>
        <v>24200000</v>
      </c>
      <c r="O453" s="197" t="s">
        <v>240</v>
      </c>
      <c r="P453" s="197" t="s">
        <v>114</v>
      </c>
      <c r="Q453" s="175"/>
      <c r="R453" s="175"/>
      <c r="S453" s="116">
        <v>0</v>
      </c>
      <c r="T453" s="116">
        <f t="shared" si="163"/>
        <v>-440000</v>
      </c>
      <c r="U453" s="116">
        <v>23760000</v>
      </c>
      <c r="V453" s="210">
        <f t="shared" si="164"/>
        <v>0</v>
      </c>
      <c r="W453" s="115">
        <f t="shared" si="131"/>
        <v>0</v>
      </c>
      <c r="X453" s="181" t="s">
        <v>237</v>
      </c>
      <c r="Y453" s="116"/>
      <c r="Z453" s="185"/>
      <c r="AA453" s="592"/>
      <c r="AB453" s="186"/>
      <c r="AC453" s="300">
        <v>42836</v>
      </c>
      <c r="AD453" s="297">
        <v>440000</v>
      </c>
      <c r="AE453" s="297">
        <f t="shared" si="126"/>
        <v>0</v>
      </c>
      <c r="AF453" s="9" t="s">
        <v>2885</v>
      </c>
      <c r="AG453" s="9" t="s">
        <v>1395</v>
      </c>
      <c r="AH453" s="300">
        <v>42796</v>
      </c>
      <c r="AI453" s="9" t="s">
        <v>1426</v>
      </c>
      <c r="AJ453" s="300">
        <v>42796</v>
      </c>
      <c r="AK453" s="73" t="str">
        <f t="shared" si="128"/>
        <v>LANANG AGRO BERSATU, PTAPR</v>
      </c>
    </row>
    <row r="454" spans="1:37" s="114" customFormat="1" ht="12" hidden="1" customHeight="1">
      <c r="A454" s="53"/>
      <c r="B454" s="53" t="s">
        <v>240</v>
      </c>
      <c r="C454" s="9">
        <v>3</v>
      </c>
      <c r="D454" s="8" t="s">
        <v>117</v>
      </c>
      <c r="E454" s="10" t="s">
        <v>354</v>
      </c>
      <c r="F454" s="356"/>
      <c r="G454" s="10"/>
      <c r="H454" s="10" t="s">
        <v>2275</v>
      </c>
      <c r="I454" s="10" t="s">
        <v>2277</v>
      </c>
      <c r="J454" s="658">
        <v>0</v>
      </c>
      <c r="K454" s="116">
        <v>22000000</v>
      </c>
      <c r="L454" s="116">
        <f t="shared" si="153"/>
        <v>2200000</v>
      </c>
      <c r="M454" s="658">
        <v>0</v>
      </c>
      <c r="N454" s="189">
        <f t="shared" si="152"/>
        <v>24200000</v>
      </c>
      <c r="O454" s="197" t="s">
        <v>58</v>
      </c>
      <c r="P454" s="197" t="s">
        <v>65</v>
      </c>
      <c r="Q454" s="175"/>
      <c r="R454" s="175"/>
      <c r="S454" s="116">
        <v>0</v>
      </c>
      <c r="T454" s="116">
        <f t="shared" si="163"/>
        <v>-440000</v>
      </c>
      <c r="U454" s="116">
        <v>23760000</v>
      </c>
      <c r="V454" s="210">
        <f t="shared" si="164"/>
        <v>0</v>
      </c>
      <c r="W454" s="115">
        <f t="shared" si="131"/>
        <v>0</v>
      </c>
      <c r="X454" s="181" t="s">
        <v>237</v>
      </c>
      <c r="Y454" s="116"/>
      <c r="Z454" s="185"/>
      <c r="AA454" s="592"/>
      <c r="AB454" s="186"/>
      <c r="AC454" s="300">
        <v>42874</v>
      </c>
      <c r="AD454" s="297">
        <v>440000</v>
      </c>
      <c r="AE454" s="297">
        <f t="shared" si="126"/>
        <v>0</v>
      </c>
      <c r="AF454" s="9" t="s">
        <v>2892</v>
      </c>
      <c r="AG454" s="9" t="s">
        <v>1395</v>
      </c>
      <c r="AH454" s="300">
        <v>42829</v>
      </c>
      <c r="AI454" s="9" t="s">
        <v>1426</v>
      </c>
      <c r="AJ454" s="300">
        <v>42829</v>
      </c>
      <c r="AK454" s="73" t="str">
        <f t="shared" si="128"/>
        <v>LANANG AGRO BERSATU, PTMEI</v>
      </c>
    </row>
    <row r="455" spans="1:37" s="114" customFormat="1" ht="12" hidden="1" customHeight="1">
      <c r="A455" s="53"/>
      <c r="B455" s="53" t="s">
        <v>240</v>
      </c>
      <c r="C455" s="9">
        <v>3</v>
      </c>
      <c r="D455" s="8" t="s">
        <v>117</v>
      </c>
      <c r="E455" s="10" t="s">
        <v>354</v>
      </c>
      <c r="F455" s="356"/>
      <c r="G455" s="10"/>
      <c r="H455" s="10" t="s">
        <v>2276</v>
      </c>
      <c r="I455" s="10" t="s">
        <v>2278</v>
      </c>
      <c r="J455" s="658">
        <v>0</v>
      </c>
      <c r="K455" s="116">
        <v>22000000</v>
      </c>
      <c r="L455" s="116">
        <f t="shared" si="153"/>
        <v>2200000</v>
      </c>
      <c r="M455" s="658">
        <v>0</v>
      </c>
      <c r="N455" s="189">
        <f t="shared" si="152"/>
        <v>24200000</v>
      </c>
      <c r="O455" s="197" t="s">
        <v>58</v>
      </c>
      <c r="P455" s="197" t="s">
        <v>38</v>
      </c>
      <c r="Q455" s="175"/>
      <c r="R455" s="175"/>
      <c r="S455" s="116">
        <v>0</v>
      </c>
      <c r="T455" s="116">
        <f t="shared" si="163"/>
        <v>-440000</v>
      </c>
      <c r="U455" s="116">
        <v>23760000</v>
      </c>
      <c r="V455" s="210">
        <f t="shared" si="164"/>
        <v>0</v>
      </c>
      <c r="W455" s="115">
        <f t="shared" si="131"/>
        <v>0</v>
      </c>
      <c r="X455" s="181" t="s">
        <v>237</v>
      </c>
      <c r="Y455" s="116"/>
      <c r="Z455" s="185"/>
      <c r="AA455" s="592"/>
      <c r="AB455" s="186"/>
      <c r="AC455" s="300">
        <v>42884</v>
      </c>
      <c r="AD455" s="297">
        <v>440000</v>
      </c>
      <c r="AE455" s="297">
        <f t="shared" si="126"/>
        <v>0</v>
      </c>
      <c r="AF455" s="9" t="s">
        <v>2891</v>
      </c>
      <c r="AG455" s="9" t="s">
        <v>1395</v>
      </c>
      <c r="AH455" s="300">
        <v>42829</v>
      </c>
      <c r="AI455" s="9" t="s">
        <v>1426</v>
      </c>
      <c r="AJ455" s="834" t="s">
        <v>2390</v>
      </c>
      <c r="AK455" s="73" t="str">
        <f t="shared" si="128"/>
        <v>LANANG AGRO BERSATU, PTMEI</v>
      </c>
    </row>
    <row r="456" spans="1:37" s="114" customFormat="1" ht="12" hidden="1" customHeight="1">
      <c r="A456" s="53"/>
      <c r="B456" s="53" t="s">
        <v>58</v>
      </c>
      <c r="C456" s="9">
        <v>2</v>
      </c>
      <c r="D456" s="8" t="s">
        <v>117</v>
      </c>
      <c r="E456" s="10" t="s">
        <v>354</v>
      </c>
      <c r="F456" s="356"/>
      <c r="G456" s="10"/>
      <c r="H456" s="10" t="s">
        <v>2484</v>
      </c>
      <c r="I456" s="10" t="s">
        <v>2493</v>
      </c>
      <c r="J456" s="658">
        <v>0</v>
      </c>
      <c r="K456" s="116">
        <v>4400000</v>
      </c>
      <c r="L456" s="116">
        <f t="shared" si="153"/>
        <v>440000</v>
      </c>
      <c r="M456" s="658">
        <v>0</v>
      </c>
      <c r="N456" s="189">
        <f t="shared" si="152"/>
        <v>4840000</v>
      </c>
      <c r="O456" s="197" t="s">
        <v>241</v>
      </c>
      <c r="P456" s="197" t="s">
        <v>48</v>
      </c>
      <c r="Q456" s="175"/>
      <c r="R456" s="175"/>
      <c r="S456" s="116">
        <v>0</v>
      </c>
      <c r="T456" s="116">
        <f t="shared" si="163"/>
        <v>-88000</v>
      </c>
      <c r="U456" s="116">
        <v>4752000</v>
      </c>
      <c r="V456" s="210">
        <f t="shared" si="164"/>
        <v>0</v>
      </c>
      <c r="W456" s="115">
        <f t="shared" si="131"/>
        <v>0</v>
      </c>
      <c r="X456" s="181" t="s">
        <v>237</v>
      </c>
      <c r="Y456" s="116"/>
      <c r="Z456" s="185"/>
      <c r="AA456" s="592"/>
      <c r="AB456" s="186"/>
      <c r="AC456" s="300">
        <v>42907</v>
      </c>
      <c r="AD456" s="297">
        <v>88000</v>
      </c>
      <c r="AE456" s="297">
        <f t="shared" si="126"/>
        <v>0</v>
      </c>
      <c r="AF456" s="9" t="s">
        <v>3036</v>
      </c>
      <c r="AG456" s="9" t="s">
        <v>1395</v>
      </c>
      <c r="AH456" s="300">
        <v>42860</v>
      </c>
      <c r="AI456" s="9" t="s">
        <v>2515</v>
      </c>
      <c r="AJ456" s="300">
        <v>42860</v>
      </c>
      <c r="AK456" s="73" t="str">
        <f t="shared" si="128"/>
        <v>LANANG AGRO BERSATU, PTJUN</v>
      </c>
    </row>
    <row r="457" spans="1:37" s="114" customFormat="1" ht="12" hidden="1" customHeight="1">
      <c r="A457" s="53"/>
      <c r="B457" s="53" t="s">
        <v>58</v>
      </c>
      <c r="C457" s="9">
        <v>2</v>
      </c>
      <c r="D457" s="8" t="s">
        <v>117</v>
      </c>
      <c r="E457" s="10" t="s">
        <v>354</v>
      </c>
      <c r="F457" s="356"/>
      <c r="G457" s="10"/>
      <c r="H457" s="10" t="s">
        <v>2485</v>
      </c>
      <c r="I457" s="10" t="s">
        <v>2492</v>
      </c>
      <c r="J457" s="658">
        <v>0</v>
      </c>
      <c r="K457" s="116">
        <v>6600000</v>
      </c>
      <c r="L457" s="116">
        <f t="shared" si="153"/>
        <v>660000</v>
      </c>
      <c r="M457" s="658">
        <v>0</v>
      </c>
      <c r="N457" s="189">
        <f t="shared" si="152"/>
        <v>7260000</v>
      </c>
      <c r="O457" s="197" t="s">
        <v>241</v>
      </c>
      <c r="P457" s="197" t="s">
        <v>48</v>
      </c>
      <c r="Q457" s="175"/>
      <c r="R457" s="175"/>
      <c r="S457" s="116">
        <v>0</v>
      </c>
      <c r="T457" s="116">
        <f t="shared" si="163"/>
        <v>-132000</v>
      </c>
      <c r="U457" s="116">
        <v>7128000</v>
      </c>
      <c r="V457" s="210">
        <f t="shared" si="164"/>
        <v>0</v>
      </c>
      <c r="W457" s="115">
        <f t="shared" si="131"/>
        <v>0</v>
      </c>
      <c r="X457" s="181" t="s">
        <v>237</v>
      </c>
      <c r="Y457" s="116"/>
      <c r="Z457" s="185"/>
      <c r="AA457" s="592"/>
      <c r="AB457" s="186"/>
      <c r="AC457" s="300">
        <v>42907</v>
      </c>
      <c r="AD457" s="297">
        <v>132000</v>
      </c>
      <c r="AE457" s="297">
        <f t="shared" ref="AE457" si="165">-T457-AD457</f>
        <v>0</v>
      </c>
      <c r="AF457" s="9" t="s">
        <v>3037</v>
      </c>
      <c r="AG457" s="9" t="s">
        <v>1395</v>
      </c>
      <c r="AH457" s="300">
        <v>42860</v>
      </c>
      <c r="AI457" s="9" t="s">
        <v>2515</v>
      </c>
      <c r="AJ457" s="300">
        <v>42860</v>
      </c>
      <c r="AK457" s="73" t="str">
        <f t="shared" si="128"/>
        <v>LANANG AGRO BERSATU, PTJUN</v>
      </c>
    </row>
    <row r="458" spans="1:37" s="114" customFormat="1" ht="12" hidden="1" customHeight="1">
      <c r="A458" s="53"/>
      <c r="B458" s="53" t="s">
        <v>241</v>
      </c>
      <c r="C458" s="9">
        <v>2</v>
      </c>
      <c r="D458" s="8" t="s">
        <v>117</v>
      </c>
      <c r="E458" s="10" t="s">
        <v>354</v>
      </c>
      <c r="F458" s="356"/>
      <c r="G458" s="10"/>
      <c r="H458" s="10" t="s">
        <v>2618</v>
      </c>
      <c r="I458" s="10" t="s">
        <v>2660</v>
      </c>
      <c r="J458" s="658">
        <v>0</v>
      </c>
      <c r="K458" s="116">
        <v>22000000</v>
      </c>
      <c r="L458" s="116">
        <f t="shared" si="153"/>
        <v>2200000</v>
      </c>
      <c r="M458" s="658">
        <v>0</v>
      </c>
      <c r="N458" s="189">
        <f t="shared" si="152"/>
        <v>24200000</v>
      </c>
      <c r="O458" s="197" t="s">
        <v>242</v>
      </c>
      <c r="P458" s="197" t="s">
        <v>18</v>
      </c>
      <c r="Q458" s="175"/>
      <c r="R458" s="175"/>
      <c r="S458" s="116">
        <v>0</v>
      </c>
      <c r="T458" s="116">
        <f t="shared" si="163"/>
        <v>-440000</v>
      </c>
      <c r="U458" s="116">
        <v>23760000</v>
      </c>
      <c r="V458" s="210">
        <f t="shared" si="164"/>
        <v>0</v>
      </c>
      <c r="W458" s="115">
        <f t="shared" si="131"/>
        <v>0</v>
      </c>
      <c r="X458" s="181" t="s">
        <v>237</v>
      </c>
      <c r="Y458" s="116"/>
      <c r="Z458" s="185"/>
      <c r="AA458" s="592"/>
      <c r="AB458" s="186"/>
      <c r="AC458" s="9"/>
      <c r="AD458" s="297"/>
      <c r="AE458" s="297">
        <f t="shared" si="126"/>
        <v>440000</v>
      </c>
      <c r="AF458" s="9"/>
      <c r="AG458" s="9" t="s">
        <v>1395</v>
      </c>
      <c r="AH458" s="300">
        <v>42892</v>
      </c>
      <c r="AI458" s="9" t="s">
        <v>1426</v>
      </c>
      <c r="AJ458" s="300">
        <v>42892</v>
      </c>
      <c r="AK458" s="73" t="str">
        <f t="shared" si="128"/>
        <v>LANANG AGRO BERSATU, PTJUL</v>
      </c>
    </row>
    <row r="459" spans="1:37" s="114" customFormat="1" ht="12" hidden="1" customHeight="1">
      <c r="A459" s="53"/>
      <c r="B459" s="53" t="s">
        <v>241</v>
      </c>
      <c r="C459" s="9">
        <v>2</v>
      </c>
      <c r="D459" s="8" t="s">
        <v>117</v>
      </c>
      <c r="E459" s="10" t="s">
        <v>354</v>
      </c>
      <c r="F459" s="356"/>
      <c r="G459" s="10"/>
      <c r="H459" s="10" t="s">
        <v>2619</v>
      </c>
      <c r="I459" s="10" t="s">
        <v>2661</v>
      </c>
      <c r="J459" s="658">
        <v>0</v>
      </c>
      <c r="K459" s="116">
        <v>22000000</v>
      </c>
      <c r="L459" s="116">
        <f t="shared" ref="L459:L465" si="166">K459*10%</f>
        <v>2200000</v>
      </c>
      <c r="M459" s="658">
        <v>0</v>
      </c>
      <c r="N459" s="189">
        <f>K459+L459</f>
        <v>24200000</v>
      </c>
      <c r="O459" s="197" t="s">
        <v>242</v>
      </c>
      <c r="P459" s="197" t="s">
        <v>18</v>
      </c>
      <c r="Q459" s="175"/>
      <c r="R459" s="175"/>
      <c r="S459" s="116">
        <v>0</v>
      </c>
      <c r="T459" s="116">
        <f t="shared" si="163"/>
        <v>-440000</v>
      </c>
      <c r="U459" s="116">
        <v>23760000</v>
      </c>
      <c r="V459" s="210">
        <f t="shared" si="164"/>
        <v>0</v>
      </c>
      <c r="W459" s="115">
        <f t="shared" si="131"/>
        <v>0</v>
      </c>
      <c r="X459" s="181" t="s">
        <v>237</v>
      </c>
      <c r="Y459" s="116"/>
      <c r="Z459" s="185"/>
      <c r="AA459" s="592"/>
      <c r="AB459" s="186"/>
      <c r="AC459" s="9"/>
      <c r="AD459" s="297"/>
      <c r="AE459" s="297">
        <f t="shared" si="126"/>
        <v>440000</v>
      </c>
      <c r="AF459" s="9"/>
      <c r="AG459" s="9" t="s">
        <v>1395</v>
      </c>
      <c r="AH459" s="300">
        <v>42892</v>
      </c>
      <c r="AI459" s="9" t="s">
        <v>1426</v>
      </c>
      <c r="AJ459" s="300">
        <v>42892</v>
      </c>
      <c r="AK459" s="73" t="str">
        <f t="shared" si="128"/>
        <v>LANANG AGRO BERSATU, PTJUL</v>
      </c>
    </row>
    <row r="460" spans="1:37" s="114" customFormat="1" ht="12" hidden="1" customHeight="1">
      <c r="A460" s="53"/>
      <c r="B460" s="53" t="s">
        <v>242</v>
      </c>
      <c r="C460" s="9">
        <v>3</v>
      </c>
      <c r="D460" s="8" t="s">
        <v>117</v>
      </c>
      <c r="E460" s="10" t="s">
        <v>354</v>
      </c>
      <c r="F460" s="356" t="s">
        <v>3047</v>
      </c>
      <c r="G460" s="10" t="s">
        <v>59</v>
      </c>
      <c r="H460" s="10" t="s">
        <v>2759</v>
      </c>
      <c r="I460" s="10" t="s">
        <v>2812</v>
      </c>
      <c r="J460" s="658">
        <v>0</v>
      </c>
      <c r="K460" s="116">
        <v>22000000</v>
      </c>
      <c r="L460" s="116">
        <f t="shared" si="166"/>
        <v>2200000</v>
      </c>
      <c r="M460" s="658">
        <v>0</v>
      </c>
      <c r="N460" s="189">
        <f>K460+L460</f>
        <v>24200000</v>
      </c>
      <c r="O460" s="197" t="s">
        <v>243</v>
      </c>
      <c r="P460" s="197" t="s">
        <v>99</v>
      </c>
      <c r="Q460" s="175"/>
      <c r="R460" s="175"/>
      <c r="S460" s="116">
        <v>0</v>
      </c>
      <c r="T460" s="116">
        <f t="shared" si="163"/>
        <v>-440000</v>
      </c>
      <c r="U460" s="116">
        <v>23760000</v>
      </c>
      <c r="V460" s="210">
        <f t="shared" si="164"/>
        <v>0</v>
      </c>
      <c r="W460" s="115">
        <f t="shared" si="131"/>
        <v>0</v>
      </c>
      <c r="X460" s="181" t="s">
        <v>237</v>
      </c>
      <c r="Y460" s="116"/>
      <c r="Z460" s="185"/>
      <c r="AA460" s="592"/>
      <c r="AB460" s="186"/>
      <c r="AC460" s="9"/>
      <c r="AD460" s="297"/>
      <c r="AE460" s="297">
        <f t="shared" si="126"/>
        <v>440000</v>
      </c>
      <c r="AF460" s="9"/>
      <c r="AG460" s="9" t="s">
        <v>1395</v>
      </c>
      <c r="AH460" s="300">
        <v>42922</v>
      </c>
      <c r="AI460" s="9" t="s">
        <v>2832</v>
      </c>
      <c r="AJ460" s="300">
        <v>42922</v>
      </c>
      <c r="AK460" s="73" t="str">
        <f t="shared" si="128"/>
        <v>LANANG AGRO BERSATU, PTAGS</v>
      </c>
    </row>
    <row r="461" spans="1:37" s="114" customFormat="1" ht="12" hidden="1" customHeight="1">
      <c r="A461" s="53"/>
      <c r="B461" s="53" t="s">
        <v>242</v>
      </c>
      <c r="C461" s="9">
        <v>4</v>
      </c>
      <c r="D461" s="8" t="s">
        <v>117</v>
      </c>
      <c r="E461" s="10" t="s">
        <v>354</v>
      </c>
      <c r="F461" s="356" t="s">
        <v>3048</v>
      </c>
      <c r="G461" s="10" t="s">
        <v>59</v>
      </c>
      <c r="H461" s="10" t="s">
        <v>2760</v>
      </c>
      <c r="I461" s="10" t="s">
        <v>2813</v>
      </c>
      <c r="J461" s="658">
        <v>0</v>
      </c>
      <c r="K461" s="116">
        <v>22000000</v>
      </c>
      <c r="L461" s="116">
        <f t="shared" si="166"/>
        <v>2200000</v>
      </c>
      <c r="M461" s="658">
        <v>0</v>
      </c>
      <c r="N461" s="189">
        <f>K461+L461</f>
        <v>24200000</v>
      </c>
      <c r="O461" s="197" t="s">
        <v>243</v>
      </c>
      <c r="P461" s="197" t="s">
        <v>99</v>
      </c>
      <c r="Q461" s="175"/>
      <c r="R461" s="175"/>
      <c r="S461" s="116">
        <v>0</v>
      </c>
      <c r="T461" s="116">
        <f t="shared" si="163"/>
        <v>-440000</v>
      </c>
      <c r="U461" s="116">
        <v>23760000</v>
      </c>
      <c r="V461" s="210">
        <f t="shared" si="164"/>
        <v>0</v>
      </c>
      <c r="W461" s="115">
        <f t="shared" si="131"/>
        <v>0</v>
      </c>
      <c r="X461" s="181" t="s">
        <v>237</v>
      </c>
      <c r="Y461" s="116"/>
      <c r="Z461" s="185"/>
      <c r="AA461" s="592"/>
      <c r="AB461" s="186"/>
      <c r="AC461" s="9"/>
      <c r="AD461" s="297"/>
      <c r="AE461" s="297">
        <f t="shared" si="126"/>
        <v>440000</v>
      </c>
      <c r="AF461" s="9"/>
      <c r="AG461" s="9" t="s">
        <v>1395</v>
      </c>
      <c r="AH461" s="300">
        <v>42922</v>
      </c>
      <c r="AI461" s="9" t="s">
        <v>2832</v>
      </c>
      <c r="AJ461" s="300">
        <v>42922</v>
      </c>
      <c r="AK461" s="73" t="str">
        <f t="shared" si="128"/>
        <v>LANANG AGRO BERSATU, PTAGS</v>
      </c>
    </row>
    <row r="462" spans="1:37" s="114" customFormat="1" ht="12" hidden="1" customHeight="1">
      <c r="A462" s="53"/>
      <c r="B462" s="53" t="s">
        <v>243</v>
      </c>
      <c r="C462" s="9">
        <v>1</v>
      </c>
      <c r="D462" s="8" t="s">
        <v>117</v>
      </c>
      <c r="E462" s="10" t="s">
        <v>354</v>
      </c>
      <c r="F462" s="356" t="s">
        <v>3114</v>
      </c>
      <c r="G462" s="10" t="s">
        <v>60</v>
      </c>
      <c r="H462" s="10" t="s">
        <v>2925</v>
      </c>
      <c r="I462" s="10" t="s">
        <v>2963</v>
      </c>
      <c r="J462" s="658"/>
      <c r="K462" s="116">
        <v>22000000</v>
      </c>
      <c r="L462" s="116">
        <f t="shared" si="166"/>
        <v>2200000</v>
      </c>
      <c r="M462" s="658">
        <v>0</v>
      </c>
      <c r="N462" s="189">
        <f>K462+L462</f>
        <v>24200000</v>
      </c>
      <c r="O462" s="197" t="s">
        <v>244</v>
      </c>
      <c r="P462" s="197" t="s">
        <v>34</v>
      </c>
      <c r="Q462" s="175"/>
      <c r="R462" s="175"/>
      <c r="S462" s="116">
        <v>0</v>
      </c>
      <c r="T462" s="116">
        <f t="shared" ref="T462:T463" si="167">-K462*2%</f>
        <v>-440000</v>
      </c>
      <c r="U462" s="116">
        <v>23760000</v>
      </c>
      <c r="V462" s="210">
        <f t="shared" si="164"/>
        <v>0</v>
      </c>
      <c r="W462" s="115"/>
      <c r="X462" s="181"/>
      <c r="Y462" s="116"/>
      <c r="Z462" s="185"/>
      <c r="AA462" s="592"/>
      <c r="AB462" s="186"/>
      <c r="AC462" s="9"/>
      <c r="AD462" s="297"/>
      <c r="AE462" s="297"/>
      <c r="AF462" s="9"/>
      <c r="AG462" s="9" t="s">
        <v>1395</v>
      </c>
      <c r="AH462" s="300">
        <v>42949</v>
      </c>
      <c r="AI462" s="9" t="s">
        <v>2832</v>
      </c>
      <c r="AJ462" s="300">
        <v>42949</v>
      </c>
      <c r="AK462" s="73" t="str">
        <f t="shared" si="128"/>
        <v>LANANG AGRO BERSATU, PTSEP</v>
      </c>
    </row>
    <row r="463" spans="1:37" s="114" customFormat="1" ht="12" hidden="1" customHeight="1">
      <c r="A463" s="53"/>
      <c r="B463" s="53" t="s">
        <v>243</v>
      </c>
      <c r="C463" s="9">
        <v>1</v>
      </c>
      <c r="D463" s="8" t="s">
        <v>117</v>
      </c>
      <c r="E463" s="10" t="s">
        <v>354</v>
      </c>
      <c r="F463" s="356" t="s">
        <v>3115</v>
      </c>
      <c r="G463" s="10" t="s">
        <v>60</v>
      </c>
      <c r="H463" s="10" t="s">
        <v>2926</v>
      </c>
      <c r="I463" s="10" t="s">
        <v>2964</v>
      </c>
      <c r="J463" s="762">
        <v>22000000</v>
      </c>
      <c r="K463" s="116">
        <v>22000000</v>
      </c>
      <c r="L463" s="116">
        <f t="shared" si="166"/>
        <v>2200000</v>
      </c>
      <c r="M463" s="658"/>
      <c r="N463" s="189">
        <f>K463+L463</f>
        <v>24200000</v>
      </c>
      <c r="O463" s="197" t="s">
        <v>244</v>
      </c>
      <c r="P463" s="197" t="s">
        <v>34</v>
      </c>
      <c r="Q463" s="175"/>
      <c r="R463" s="175"/>
      <c r="S463" s="116">
        <v>0</v>
      </c>
      <c r="T463" s="116">
        <f t="shared" si="167"/>
        <v>-440000</v>
      </c>
      <c r="U463" s="116">
        <v>23760000</v>
      </c>
      <c r="V463" s="210"/>
      <c r="W463" s="115"/>
      <c r="X463" s="181"/>
      <c r="Y463" s="116"/>
      <c r="Z463" s="185"/>
      <c r="AA463" s="592"/>
      <c r="AB463" s="186"/>
      <c r="AC463" s="9"/>
      <c r="AD463" s="297"/>
      <c r="AE463" s="297"/>
      <c r="AF463" s="9"/>
      <c r="AG463" s="9"/>
      <c r="AH463" s="300"/>
      <c r="AI463" s="9"/>
      <c r="AJ463" s="300"/>
      <c r="AK463" s="73" t="str">
        <f t="shared" si="128"/>
        <v>LANANG AGRO BERSATU, PTSEP</v>
      </c>
    </row>
    <row r="464" spans="1:37" s="114" customFormat="1" ht="12" hidden="1" customHeight="1">
      <c r="A464" s="53"/>
      <c r="B464" s="1220" t="s">
        <v>244</v>
      </c>
      <c r="C464" s="1221">
        <v>4</v>
      </c>
      <c r="D464" s="1222" t="s">
        <v>117</v>
      </c>
      <c r="E464" s="1223" t="s">
        <v>354</v>
      </c>
      <c r="F464" s="1505" t="s">
        <v>3114</v>
      </c>
      <c r="G464" s="1223" t="s">
        <v>559</v>
      </c>
      <c r="H464" s="1223" t="s">
        <v>3108</v>
      </c>
      <c r="I464" s="1223" t="s">
        <v>3327</v>
      </c>
      <c r="J464" s="1224">
        <v>22000000</v>
      </c>
      <c r="K464" s="1224">
        <v>22000000</v>
      </c>
      <c r="L464" s="1225">
        <f t="shared" si="166"/>
        <v>2200000</v>
      </c>
      <c r="M464" s="658"/>
      <c r="N464" s="1225">
        <f t="shared" ref="N464:N465" si="168">K464+L464</f>
        <v>24200000</v>
      </c>
      <c r="O464" s="197" t="s">
        <v>245</v>
      </c>
      <c r="P464" s="197" t="s">
        <v>34</v>
      </c>
      <c r="Q464" s="175"/>
      <c r="R464" s="175"/>
      <c r="S464" s="116">
        <v>0</v>
      </c>
      <c r="T464" s="116">
        <f t="shared" ref="T464:T468" si="169">-K464*2%</f>
        <v>-440000</v>
      </c>
      <c r="U464" s="116">
        <v>23760000</v>
      </c>
      <c r="V464" s="210"/>
      <c r="W464" s="115"/>
      <c r="X464" s="181"/>
      <c r="Y464" s="116"/>
      <c r="Z464" s="185"/>
      <c r="AA464" s="592"/>
      <c r="AB464" s="186"/>
      <c r="AC464" s="9"/>
      <c r="AD464" s="297"/>
      <c r="AE464" s="297"/>
      <c r="AF464" s="9"/>
      <c r="AG464" s="9"/>
      <c r="AH464" s="300"/>
      <c r="AI464" s="9"/>
      <c r="AJ464" s="300"/>
      <c r="AK464" s="73" t="str">
        <f t="shared" si="128"/>
        <v>LANANG AGRO BERSATU, PTOKT</v>
      </c>
    </row>
    <row r="465" spans="1:37" s="114" customFormat="1" ht="12" hidden="1" customHeight="1">
      <c r="A465" s="53"/>
      <c r="B465" s="1220" t="s">
        <v>244</v>
      </c>
      <c r="C465" s="1221">
        <v>4</v>
      </c>
      <c r="D465" s="1222" t="s">
        <v>117</v>
      </c>
      <c r="E465" s="1223" t="s">
        <v>354</v>
      </c>
      <c r="F465" s="1505" t="s">
        <v>3115</v>
      </c>
      <c r="G465" s="1223" t="s">
        <v>559</v>
      </c>
      <c r="H465" s="1223" t="s">
        <v>3109</v>
      </c>
      <c r="I465" s="1223" t="s">
        <v>3110</v>
      </c>
      <c r="J465" s="1237"/>
      <c r="K465" s="1224">
        <v>22000000</v>
      </c>
      <c r="L465" s="1224">
        <f t="shared" si="166"/>
        <v>2200000</v>
      </c>
      <c r="M465" s="658">
        <v>0</v>
      </c>
      <c r="N465" s="1225">
        <f t="shared" si="168"/>
        <v>24200000</v>
      </c>
      <c r="O465" s="197" t="s">
        <v>245</v>
      </c>
      <c r="P465" s="197" t="s">
        <v>34</v>
      </c>
      <c r="Q465" s="175"/>
      <c r="R465" s="175"/>
      <c r="S465" s="116">
        <v>0</v>
      </c>
      <c r="T465" s="116">
        <f t="shared" si="169"/>
        <v>-440000</v>
      </c>
      <c r="U465" s="116">
        <v>23760000</v>
      </c>
      <c r="V465" s="210">
        <f t="shared" si="164"/>
        <v>0</v>
      </c>
      <c r="W465" s="115"/>
      <c r="X465" s="181"/>
      <c r="Y465" s="116"/>
      <c r="Z465" s="185"/>
      <c r="AA465" s="592"/>
      <c r="AB465" s="186"/>
      <c r="AC465" s="9"/>
      <c r="AD465" s="297"/>
      <c r="AE465" s="297"/>
      <c r="AF465" s="9"/>
      <c r="AG465" s="9" t="s">
        <v>1395</v>
      </c>
      <c r="AH465" s="300">
        <v>42949</v>
      </c>
      <c r="AI465" s="9" t="s">
        <v>2832</v>
      </c>
      <c r="AJ465" s="300">
        <v>42949</v>
      </c>
      <c r="AK465" s="73" t="str">
        <f t="shared" si="128"/>
        <v>LANANG AGRO BERSATU, PTOKT</v>
      </c>
    </row>
    <row r="466" spans="1:37" s="114" customFormat="1" ht="12" hidden="1" customHeight="1">
      <c r="A466" s="53"/>
      <c r="B466" s="1220" t="s">
        <v>245</v>
      </c>
      <c r="C466" s="1221">
        <v>3</v>
      </c>
      <c r="D466" s="1222" t="s">
        <v>117</v>
      </c>
      <c r="E466" s="1223" t="s">
        <v>354</v>
      </c>
      <c r="F466" s="1505" t="s">
        <v>3114</v>
      </c>
      <c r="G466" s="1223" t="s">
        <v>602</v>
      </c>
      <c r="H466" s="1223" t="s">
        <v>3323</v>
      </c>
      <c r="I466" s="1223" t="s">
        <v>3325</v>
      </c>
      <c r="J466" s="1224">
        <v>22000000</v>
      </c>
      <c r="K466" s="1224">
        <v>22000000</v>
      </c>
      <c r="L466" s="1225">
        <f t="shared" ref="L466:L468" si="170">K466*10%</f>
        <v>2200000</v>
      </c>
      <c r="M466" s="1237"/>
      <c r="N466" s="1225">
        <f t="shared" ref="N466:N468" si="171">K466+L466</f>
        <v>24200000</v>
      </c>
      <c r="O466" s="197" t="s">
        <v>245</v>
      </c>
      <c r="P466" s="197" t="s">
        <v>66</v>
      </c>
      <c r="Q466" s="175"/>
      <c r="R466" s="175"/>
      <c r="S466" s="116">
        <v>0</v>
      </c>
      <c r="T466" s="116">
        <f t="shared" si="169"/>
        <v>-440000</v>
      </c>
      <c r="U466" s="116">
        <v>23760000</v>
      </c>
      <c r="V466" s="210"/>
      <c r="W466" s="115"/>
      <c r="X466" s="181"/>
      <c r="Y466" s="116"/>
      <c r="Z466" s="185"/>
      <c r="AA466" s="592"/>
      <c r="AB466" s="186"/>
      <c r="AC466" s="9"/>
      <c r="AD466" s="297"/>
      <c r="AE466" s="297"/>
      <c r="AF466" s="9"/>
      <c r="AG466" s="9"/>
      <c r="AH466" s="300"/>
      <c r="AI466" s="9"/>
      <c r="AJ466" s="300"/>
      <c r="AK466" s="73" t="str">
        <f t="shared" si="128"/>
        <v>LANANG AGRO BERSATU, PTOKT</v>
      </c>
    </row>
    <row r="467" spans="1:37" s="114" customFormat="1" ht="12" hidden="1" customHeight="1">
      <c r="A467" s="53"/>
      <c r="B467" s="1220" t="s">
        <v>245</v>
      </c>
      <c r="C467" s="1221">
        <v>3</v>
      </c>
      <c r="D467" s="1222" t="s">
        <v>117</v>
      </c>
      <c r="E467" s="1223" t="s">
        <v>354</v>
      </c>
      <c r="F467" s="1505" t="s">
        <v>3115</v>
      </c>
      <c r="G467" s="1223" t="s">
        <v>602</v>
      </c>
      <c r="H467" s="1223" t="s">
        <v>3324</v>
      </c>
      <c r="I467" s="1223" t="s">
        <v>3326</v>
      </c>
      <c r="J467" s="1237"/>
      <c r="K467" s="1224">
        <v>22000000</v>
      </c>
      <c r="L467" s="1224">
        <f t="shared" si="170"/>
        <v>2200000</v>
      </c>
      <c r="M467" s="1237">
        <v>0</v>
      </c>
      <c r="N467" s="1225">
        <f t="shared" si="171"/>
        <v>24200000</v>
      </c>
      <c r="O467" s="197" t="s">
        <v>245</v>
      </c>
      <c r="P467" s="197" t="s">
        <v>66</v>
      </c>
      <c r="Q467" s="175"/>
      <c r="R467" s="175"/>
      <c r="S467" s="116">
        <v>0</v>
      </c>
      <c r="T467" s="116">
        <f t="shared" si="169"/>
        <v>-440000</v>
      </c>
      <c r="U467" s="116">
        <v>23760000</v>
      </c>
      <c r="V467" s="210"/>
      <c r="W467" s="115"/>
      <c r="X467" s="181"/>
      <c r="Y467" s="116"/>
      <c r="Z467" s="185"/>
      <c r="AA467" s="592"/>
      <c r="AB467" s="186"/>
      <c r="AC467" s="9"/>
      <c r="AD467" s="297"/>
      <c r="AE467" s="297"/>
      <c r="AF467" s="9"/>
      <c r="AG467" s="9"/>
      <c r="AH467" s="300"/>
      <c r="AI467" s="9"/>
      <c r="AJ467" s="300"/>
      <c r="AK467" s="73" t="str">
        <f t="shared" si="128"/>
        <v>LANANG AGRO BERSATU, PTOKT</v>
      </c>
    </row>
    <row r="468" spans="1:37" s="1211" customFormat="1" ht="12" hidden="1" customHeight="1">
      <c r="A468" s="758"/>
      <c r="B468" s="1220" t="s">
        <v>238</v>
      </c>
      <c r="C468" s="1221">
        <v>1</v>
      </c>
      <c r="D468" s="1222" t="s">
        <v>117</v>
      </c>
      <c r="E468" s="1223" t="s">
        <v>354</v>
      </c>
      <c r="F468" s="1505" t="s">
        <v>3114</v>
      </c>
      <c r="G468" s="1223" t="s">
        <v>641</v>
      </c>
      <c r="H468" s="1223" t="s">
        <v>3483</v>
      </c>
      <c r="I468" s="1223" t="s">
        <v>3484</v>
      </c>
      <c r="J468" s="1237"/>
      <c r="K468" s="1224">
        <v>22000000</v>
      </c>
      <c r="L468" s="1224">
        <f t="shared" si="170"/>
        <v>2200000</v>
      </c>
      <c r="M468" s="1237"/>
      <c r="N468" s="1225">
        <f t="shared" si="171"/>
        <v>24200000</v>
      </c>
      <c r="O468" s="1202" t="s">
        <v>140</v>
      </c>
      <c r="P468" s="1202" t="s">
        <v>88</v>
      </c>
      <c r="Q468" s="1308"/>
      <c r="R468" s="1214"/>
      <c r="S468" s="116">
        <v>0</v>
      </c>
      <c r="T468" s="762">
        <f t="shared" si="169"/>
        <v>-440000</v>
      </c>
      <c r="U468" s="116">
        <v>23760000</v>
      </c>
      <c r="V468" s="1215"/>
      <c r="W468" s="1203"/>
      <c r="X468" s="1204"/>
      <c r="Y468" s="762"/>
      <c r="Z468" s="1205"/>
      <c r="AA468" s="1206"/>
      <c r="AB468" s="1207"/>
      <c r="AC468" s="759"/>
      <c r="AD468" s="1208"/>
      <c r="AE468" s="1208"/>
      <c r="AF468" s="759"/>
      <c r="AG468" s="759"/>
      <c r="AH468" s="1209"/>
      <c r="AI468" s="759"/>
      <c r="AJ468" s="1209"/>
      <c r="AK468" s="1210" t="str">
        <f t="shared" si="128"/>
        <v>LANANG AGRO BERSATU, PTDES</v>
      </c>
    </row>
    <row r="469" spans="1:37" s="1211" customFormat="1" ht="12" hidden="1" customHeight="1">
      <c r="A469" s="758"/>
      <c r="B469" s="1220" t="s">
        <v>238</v>
      </c>
      <c r="C469" s="1221">
        <v>1</v>
      </c>
      <c r="D469" s="1222" t="s">
        <v>117</v>
      </c>
      <c r="E469" s="1223" t="s">
        <v>354</v>
      </c>
      <c r="F469" s="1505" t="s">
        <v>3115</v>
      </c>
      <c r="G469" s="1223" t="s">
        <v>641</v>
      </c>
      <c r="H469" s="1223" t="s">
        <v>3485</v>
      </c>
      <c r="I469" s="1223" t="s">
        <v>3486</v>
      </c>
      <c r="J469" s="1237"/>
      <c r="K469" s="1224">
        <v>22000000</v>
      </c>
      <c r="L469" s="1224">
        <f t="shared" ref="L469" si="172">K469*10%</f>
        <v>2200000</v>
      </c>
      <c r="M469" s="1237"/>
      <c r="N469" s="1225">
        <f t="shared" ref="N469" si="173">K469+L469</f>
        <v>24200000</v>
      </c>
      <c r="O469" s="1202" t="s">
        <v>140</v>
      </c>
      <c r="P469" s="1202" t="s">
        <v>88</v>
      </c>
      <c r="Q469" s="1308"/>
      <c r="R469" s="1214"/>
      <c r="S469" s="116">
        <v>0</v>
      </c>
      <c r="T469" s="762">
        <f t="shared" ref="T469" si="174">-K469*2%</f>
        <v>-440000</v>
      </c>
      <c r="U469" s="116">
        <v>23760000</v>
      </c>
      <c r="V469" s="1215"/>
      <c r="W469" s="1203"/>
      <c r="X469" s="1204"/>
      <c r="Y469" s="762"/>
      <c r="Z469" s="1205"/>
      <c r="AA469" s="1206"/>
      <c r="AB469" s="1207"/>
      <c r="AC469" s="759"/>
      <c r="AD469" s="1208"/>
      <c r="AE469" s="1208"/>
      <c r="AF469" s="759"/>
      <c r="AG469" s="759"/>
      <c r="AH469" s="1209"/>
      <c r="AI469" s="759"/>
      <c r="AJ469" s="1209"/>
      <c r="AK469" s="1210"/>
    </row>
    <row r="470" spans="1:37" s="1211" customFormat="1" ht="12" hidden="1" customHeight="1">
      <c r="A470" s="758"/>
      <c r="B470" s="758" t="s">
        <v>140</v>
      </c>
      <c r="C470" s="759">
        <v>4</v>
      </c>
      <c r="D470" s="760" t="s">
        <v>117</v>
      </c>
      <c r="E470" s="761" t="s">
        <v>354</v>
      </c>
      <c r="F470" s="1506" t="s">
        <v>3114</v>
      </c>
      <c r="G470" s="761" t="s">
        <v>1616</v>
      </c>
      <c r="H470" s="761" t="s">
        <v>3634</v>
      </c>
      <c r="I470" s="761" t="s">
        <v>3635</v>
      </c>
      <c r="J470" s="1054"/>
      <c r="K470" s="762">
        <v>22000000</v>
      </c>
      <c r="L470" s="762">
        <f t="shared" ref="L470" si="175">K470*10%</f>
        <v>2200000</v>
      </c>
      <c r="M470" s="1054"/>
      <c r="N470" s="763">
        <f t="shared" ref="N470" si="176">K470+L470</f>
        <v>24200000</v>
      </c>
      <c r="O470" s="1202"/>
      <c r="P470" s="1202"/>
      <c r="Q470" s="1308"/>
      <c r="R470" s="1214"/>
      <c r="S470" s="762"/>
      <c r="T470" s="762"/>
      <c r="U470" s="762"/>
      <c r="V470" s="1215"/>
      <c r="W470" s="1203"/>
      <c r="X470" s="1204"/>
      <c r="Y470" s="762"/>
      <c r="Z470" s="1205"/>
      <c r="AA470" s="1206"/>
      <c r="AB470" s="1207"/>
      <c r="AC470" s="759"/>
      <c r="AD470" s="1208"/>
      <c r="AE470" s="1208"/>
      <c r="AF470" s="759"/>
      <c r="AG470" s="759"/>
      <c r="AH470" s="1209"/>
      <c r="AI470" s="759"/>
      <c r="AJ470" s="1209"/>
      <c r="AK470" s="1210"/>
    </row>
    <row r="471" spans="1:37" s="1211" customFormat="1" ht="12" hidden="1" customHeight="1">
      <c r="A471" s="758"/>
      <c r="B471" s="758" t="s">
        <v>140</v>
      </c>
      <c r="C471" s="759">
        <v>4</v>
      </c>
      <c r="D471" s="760" t="s">
        <v>117</v>
      </c>
      <c r="E471" s="761" t="s">
        <v>354</v>
      </c>
      <c r="F471" s="1506" t="s">
        <v>3115</v>
      </c>
      <c r="G471" s="761" t="s">
        <v>1616</v>
      </c>
      <c r="H471" s="761" t="s">
        <v>3636</v>
      </c>
      <c r="I471" s="761" t="s">
        <v>3637</v>
      </c>
      <c r="J471" s="1054"/>
      <c r="K471" s="762">
        <v>22000000</v>
      </c>
      <c r="L471" s="762">
        <f t="shared" ref="L471" si="177">K471*10%</f>
        <v>2200000</v>
      </c>
      <c r="M471" s="1054"/>
      <c r="N471" s="763">
        <f t="shared" ref="N471" si="178">K471+L471</f>
        <v>24200000</v>
      </c>
      <c r="O471" s="1202"/>
      <c r="P471" s="1202"/>
      <c r="Q471" s="1308"/>
      <c r="R471" s="1214"/>
      <c r="S471" s="762"/>
      <c r="T471" s="762"/>
      <c r="U471" s="762"/>
      <c r="V471" s="1215"/>
      <c r="W471" s="1203"/>
      <c r="X471" s="1204"/>
      <c r="Y471" s="762"/>
      <c r="Z471" s="1205"/>
      <c r="AA471" s="1206"/>
      <c r="AB471" s="1207"/>
      <c r="AC471" s="759"/>
      <c r="AD471" s="1208"/>
      <c r="AE471" s="1208"/>
      <c r="AF471" s="759"/>
      <c r="AG471" s="759"/>
      <c r="AH471" s="1209"/>
      <c r="AI471" s="759"/>
      <c r="AJ471" s="1209"/>
      <c r="AK471" s="1210"/>
    </row>
    <row r="472" spans="1:37" s="114" customFormat="1" ht="12" hidden="1" customHeight="1">
      <c r="A472" s="53"/>
      <c r="B472" s="53" t="s">
        <v>194</v>
      </c>
      <c r="C472" s="9">
        <v>12</v>
      </c>
      <c r="D472" s="8" t="s">
        <v>40</v>
      </c>
      <c r="E472" s="10" t="s">
        <v>354</v>
      </c>
      <c r="F472" s="356"/>
      <c r="G472" s="10"/>
      <c r="H472" s="10" t="s">
        <v>1845</v>
      </c>
      <c r="I472" s="10" t="s">
        <v>1864</v>
      </c>
      <c r="J472" s="658">
        <v>0</v>
      </c>
      <c r="K472" s="117">
        <v>27937900</v>
      </c>
      <c r="L472" s="116">
        <f t="shared" ref="L472:L482" si="179">K472*10%</f>
        <v>2793790</v>
      </c>
      <c r="M472" s="658">
        <v>0</v>
      </c>
      <c r="N472" s="189">
        <f t="shared" ref="N472:N483" si="180">K472+L472</f>
        <v>30731690</v>
      </c>
      <c r="O472" s="197" t="s">
        <v>194</v>
      </c>
      <c r="P472" s="197" t="s">
        <v>91</v>
      </c>
      <c r="Q472" s="175"/>
      <c r="R472" s="175"/>
      <c r="S472" s="116">
        <v>0</v>
      </c>
      <c r="T472" s="116">
        <f t="shared" ref="T472:T521" si="181">-K472*2%</f>
        <v>-558758</v>
      </c>
      <c r="U472" s="116">
        <v>30172932</v>
      </c>
      <c r="V472" s="210">
        <f t="shared" si="164"/>
        <v>0</v>
      </c>
      <c r="W472" s="115">
        <f t="shared" si="131"/>
        <v>0</v>
      </c>
      <c r="X472" s="181" t="s">
        <v>237</v>
      </c>
      <c r="Y472" s="116"/>
      <c r="Z472" s="701"/>
      <c r="AA472" s="592">
        <f t="shared" ref="AA472:AA483" si="182">-S472-Z472</f>
        <v>0</v>
      </c>
      <c r="AB472" s="186"/>
      <c r="AC472" s="9"/>
      <c r="AD472" s="297"/>
      <c r="AE472" s="297">
        <f t="shared" si="126"/>
        <v>558758</v>
      </c>
      <c r="AF472" s="9"/>
      <c r="AG472" s="9" t="s">
        <v>1422</v>
      </c>
      <c r="AH472" s="300">
        <v>42748</v>
      </c>
      <c r="AI472" s="9" t="s">
        <v>1663</v>
      </c>
      <c r="AJ472" s="300">
        <v>42748</v>
      </c>
      <c r="AK472" s="73" t="str">
        <f t="shared" si="128"/>
        <v>MADHANI TALATAH NUSANTARA, PTJAN</v>
      </c>
    </row>
    <row r="473" spans="1:37" s="114" customFormat="1" ht="12" hidden="1" customHeight="1">
      <c r="A473" s="53"/>
      <c r="B473" s="53" t="s">
        <v>194</v>
      </c>
      <c r="C473" s="9">
        <v>12</v>
      </c>
      <c r="D473" s="8" t="s">
        <v>40</v>
      </c>
      <c r="E473" s="10" t="s">
        <v>354</v>
      </c>
      <c r="F473" s="356"/>
      <c r="G473" s="10"/>
      <c r="H473" s="10" t="s">
        <v>1846</v>
      </c>
      <c r="I473" s="10" t="s">
        <v>1865</v>
      </c>
      <c r="J473" s="658">
        <v>0</v>
      </c>
      <c r="K473" s="117">
        <v>27937900</v>
      </c>
      <c r="L473" s="116">
        <f t="shared" si="179"/>
        <v>2793790</v>
      </c>
      <c r="M473" s="658">
        <v>0</v>
      </c>
      <c r="N473" s="189">
        <f t="shared" si="180"/>
        <v>30731690</v>
      </c>
      <c r="O473" s="197" t="s">
        <v>194</v>
      </c>
      <c r="P473" s="197" t="s">
        <v>91</v>
      </c>
      <c r="Q473" s="175"/>
      <c r="R473" s="175"/>
      <c r="S473" s="116">
        <v>0</v>
      </c>
      <c r="T473" s="116">
        <f t="shared" si="181"/>
        <v>-558758</v>
      </c>
      <c r="U473" s="116">
        <v>30172932</v>
      </c>
      <c r="V473" s="210">
        <f t="shared" si="164"/>
        <v>0</v>
      </c>
      <c r="W473" s="115">
        <f t="shared" si="131"/>
        <v>0</v>
      </c>
      <c r="X473" s="181" t="s">
        <v>237</v>
      </c>
      <c r="Y473" s="116"/>
      <c r="Z473" s="185"/>
      <c r="AA473" s="592">
        <f t="shared" si="182"/>
        <v>0</v>
      </c>
      <c r="AB473" s="186"/>
      <c r="AC473" s="9"/>
      <c r="AD473" s="297"/>
      <c r="AE473" s="297">
        <f t="shared" si="126"/>
        <v>558758</v>
      </c>
      <c r="AF473" s="9"/>
      <c r="AG473" s="9" t="s">
        <v>1422</v>
      </c>
      <c r="AH473" s="300">
        <v>42748</v>
      </c>
      <c r="AI473" s="9" t="s">
        <v>1663</v>
      </c>
      <c r="AJ473" s="300">
        <v>42748</v>
      </c>
      <c r="AK473" s="73" t="str">
        <f t="shared" si="128"/>
        <v>MADHANI TALATAH NUSANTARA, PTJAN</v>
      </c>
    </row>
    <row r="474" spans="1:37" s="114" customFormat="1" ht="12" hidden="1" customHeight="1">
      <c r="A474" s="53"/>
      <c r="B474" s="53" t="s">
        <v>194</v>
      </c>
      <c r="C474" s="9">
        <v>12</v>
      </c>
      <c r="D474" s="8" t="s">
        <v>40</v>
      </c>
      <c r="E474" s="10" t="s">
        <v>354</v>
      </c>
      <c r="F474" s="356"/>
      <c r="G474" s="10"/>
      <c r="H474" s="10" t="s">
        <v>1847</v>
      </c>
      <c r="I474" s="10" t="s">
        <v>1866</v>
      </c>
      <c r="J474" s="658">
        <v>0</v>
      </c>
      <c r="K474" s="117">
        <v>27937900</v>
      </c>
      <c r="L474" s="116">
        <f t="shared" si="179"/>
        <v>2793790</v>
      </c>
      <c r="M474" s="658">
        <v>0</v>
      </c>
      <c r="N474" s="189">
        <f t="shared" si="180"/>
        <v>30731690</v>
      </c>
      <c r="O474" s="197" t="s">
        <v>194</v>
      </c>
      <c r="P474" s="197" t="s">
        <v>91</v>
      </c>
      <c r="Q474" s="175"/>
      <c r="R474" s="175"/>
      <c r="S474" s="116">
        <v>0</v>
      </c>
      <c r="T474" s="116">
        <f t="shared" si="181"/>
        <v>-558758</v>
      </c>
      <c r="U474" s="116">
        <v>30172932</v>
      </c>
      <c r="V474" s="210">
        <f t="shared" si="164"/>
        <v>0</v>
      </c>
      <c r="W474" s="115">
        <f t="shared" si="131"/>
        <v>0</v>
      </c>
      <c r="X474" s="181" t="s">
        <v>237</v>
      </c>
      <c r="Y474" s="116"/>
      <c r="Z474" s="185"/>
      <c r="AA474" s="592">
        <f t="shared" si="182"/>
        <v>0</v>
      </c>
      <c r="AB474" s="186"/>
      <c r="AC474" s="9"/>
      <c r="AD474" s="297"/>
      <c r="AE474" s="297">
        <f t="shared" si="126"/>
        <v>558758</v>
      </c>
      <c r="AF474" s="9"/>
      <c r="AG474" s="9" t="s">
        <v>1422</v>
      </c>
      <c r="AH474" s="300">
        <v>42748</v>
      </c>
      <c r="AI474" s="9" t="s">
        <v>1663</v>
      </c>
      <c r="AJ474" s="300">
        <v>42748</v>
      </c>
      <c r="AK474" s="73" t="str">
        <f t="shared" si="128"/>
        <v>MADHANI TALATAH NUSANTARA, PTJAN</v>
      </c>
    </row>
    <row r="475" spans="1:37" s="114" customFormat="1" ht="12" hidden="1" customHeight="1">
      <c r="A475" s="53"/>
      <c r="B475" s="53" t="s">
        <v>194</v>
      </c>
      <c r="C475" s="9">
        <v>12</v>
      </c>
      <c r="D475" s="8" t="s">
        <v>40</v>
      </c>
      <c r="E475" s="10" t="s">
        <v>355</v>
      </c>
      <c r="F475" s="356"/>
      <c r="G475" s="10"/>
      <c r="H475" s="10" t="s">
        <v>1848</v>
      </c>
      <c r="I475" s="10" t="s">
        <v>1867</v>
      </c>
      <c r="J475" s="658">
        <v>0</v>
      </c>
      <c r="K475" s="117">
        <v>28580900</v>
      </c>
      <c r="L475" s="116">
        <f t="shared" si="179"/>
        <v>2858090</v>
      </c>
      <c r="M475" s="658">
        <v>0</v>
      </c>
      <c r="N475" s="189">
        <f t="shared" si="180"/>
        <v>31438990</v>
      </c>
      <c r="O475" s="197" t="s">
        <v>194</v>
      </c>
      <c r="P475" s="197" t="s">
        <v>91</v>
      </c>
      <c r="Q475" s="175"/>
      <c r="R475" s="175"/>
      <c r="S475" s="116">
        <v>0</v>
      </c>
      <c r="T475" s="116">
        <f t="shared" si="181"/>
        <v>-571618</v>
      </c>
      <c r="U475" s="116">
        <v>30867372</v>
      </c>
      <c r="V475" s="210">
        <f t="shared" si="164"/>
        <v>0</v>
      </c>
      <c r="W475" s="115">
        <f t="shared" si="131"/>
        <v>0</v>
      </c>
      <c r="X475" s="181" t="s">
        <v>237</v>
      </c>
      <c r="Y475" s="116"/>
      <c r="Z475" s="185"/>
      <c r="AA475" s="592">
        <f t="shared" si="182"/>
        <v>0</v>
      </c>
      <c r="AB475" s="186"/>
      <c r="AC475" s="9"/>
      <c r="AD475" s="297"/>
      <c r="AE475" s="297">
        <f t="shared" si="126"/>
        <v>571618</v>
      </c>
      <c r="AF475" s="9"/>
      <c r="AG475" s="9" t="s">
        <v>1422</v>
      </c>
      <c r="AH475" s="300">
        <v>42748</v>
      </c>
      <c r="AI475" s="9" t="s">
        <v>1663</v>
      </c>
      <c r="AJ475" s="300">
        <v>42748</v>
      </c>
      <c r="AK475" s="73" t="str">
        <f t="shared" si="128"/>
        <v>MADHANI TALATAH NUSANTARA, PTJAN</v>
      </c>
    </row>
    <row r="476" spans="1:37" s="114" customFormat="1" ht="12" hidden="1" customHeight="1">
      <c r="A476" s="53"/>
      <c r="B476" s="53" t="s">
        <v>194</v>
      </c>
      <c r="C476" s="9">
        <v>12</v>
      </c>
      <c r="D476" s="8" t="s">
        <v>40</v>
      </c>
      <c r="E476" s="10" t="s">
        <v>355</v>
      </c>
      <c r="F476" s="356"/>
      <c r="G476" s="10"/>
      <c r="H476" s="10" t="s">
        <v>1849</v>
      </c>
      <c r="I476" s="10" t="s">
        <v>1868</v>
      </c>
      <c r="J476" s="658">
        <v>0</v>
      </c>
      <c r="K476" s="117">
        <v>28580900</v>
      </c>
      <c r="L476" s="116">
        <f t="shared" si="179"/>
        <v>2858090</v>
      </c>
      <c r="M476" s="658">
        <v>0</v>
      </c>
      <c r="N476" s="189">
        <f t="shared" si="180"/>
        <v>31438990</v>
      </c>
      <c r="O476" s="197" t="s">
        <v>194</v>
      </c>
      <c r="P476" s="197" t="s">
        <v>91</v>
      </c>
      <c r="Q476" s="175"/>
      <c r="R476" s="175"/>
      <c r="S476" s="116">
        <v>0</v>
      </c>
      <c r="T476" s="116">
        <f t="shared" si="181"/>
        <v>-571618</v>
      </c>
      <c r="U476" s="116">
        <v>30867372</v>
      </c>
      <c r="V476" s="210">
        <f t="shared" si="164"/>
        <v>0</v>
      </c>
      <c r="W476" s="115">
        <f t="shared" si="131"/>
        <v>0</v>
      </c>
      <c r="X476" s="181" t="s">
        <v>237</v>
      </c>
      <c r="Y476" s="116"/>
      <c r="Z476" s="185"/>
      <c r="AA476" s="592">
        <f t="shared" si="182"/>
        <v>0</v>
      </c>
      <c r="AB476" s="186"/>
      <c r="AC476" s="9"/>
      <c r="AD476" s="297"/>
      <c r="AE476" s="297">
        <f t="shared" si="126"/>
        <v>571618</v>
      </c>
      <c r="AF476" s="9"/>
      <c r="AG476" s="9" t="s">
        <v>1422</v>
      </c>
      <c r="AH476" s="300">
        <v>42748</v>
      </c>
      <c r="AI476" s="9" t="s">
        <v>1663</v>
      </c>
      <c r="AJ476" s="300">
        <v>42748</v>
      </c>
      <c r="AK476" s="73" t="str">
        <f t="shared" si="128"/>
        <v>MADHANI TALATAH NUSANTARA, PTJAN</v>
      </c>
    </row>
    <row r="477" spans="1:37" s="114" customFormat="1" ht="12" hidden="1" customHeight="1">
      <c r="A477" s="53"/>
      <c r="B477" s="53" t="s">
        <v>194</v>
      </c>
      <c r="C477" s="9">
        <v>12</v>
      </c>
      <c r="D477" s="8" t="s">
        <v>40</v>
      </c>
      <c r="E477" s="10" t="s">
        <v>355</v>
      </c>
      <c r="F477" s="356"/>
      <c r="G477" s="10"/>
      <c r="H477" s="10" t="s">
        <v>1850</v>
      </c>
      <c r="I477" s="10" t="s">
        <v>1872</v>
      </c>
      <c r="J477" s="658">
        <v>0</v>
      </c>
      <c r="K477" s="117">
        <v>28580900</v>
      </c>
      <c r="L477" s="116">
        <f t="shared" si="179"/>
        <v>2858090</v>
      </c>
      <c r="M477" s="658">
        <v>0</v>
      </c>
      <c r="N477" s="189">
        <f t="shared" si="180"/>
        <v>31438990</v>
      </c>
      <c r="O477" s="197" t="s">
        <v>194</v>
      </c>
      <c r="P477" s="197" t="s">
        <v>91</v>
      </c>
      <c r="Q477" s="175"/>
      <c r="R477" s="175"/>
      <c r="S477" s="116">
        <v>0</v>
      </c>
      <c r="T477" s="116">
        <f t="shared" si="181"/>
        <v>-571618</v>
      </c>
      <c r="U477" s="116">
        <v>30867372</v>
      </c>
      <c r="V477" s="210">
        <f t="shared" si="164"/>
        <v>0</v>
      </c>
      <c r="W477" s="115">
        <f t="shared" si="131"/>
        <v>0</v>
      </c>
      <c r="X477" s="181" t="s">
        <v>237</v>
      </c>
      <c r="Y477" s="116"/>
      <c r="Z477" s="185"/>
      <c r="AA477" s="592">
        <f t="shared" si="182"/>
        <v>0</v>
      </c>
      <c r="AB477" s="186"/>
      <c r="AC477" s="9"/>
      <c r="AD477" s="297"/>
      <c r="AE477" s="297">
        <f t="shared" si="126"/>
        <v>571618</v>
      </c>
      <c r="AF477" s="9"/>
      <c r="AG477" s="9" t="s">
        <v>1422</v>
      </c>
      <c r="AH477" s="300">
        <v>42748</v>
      </c>
      <c r="AI477" s="9" t="s">
        <v>1663</v>
      </c>
      <c r="AJ477" s="300">
        <v>42748</v>
      </c>
      <c r="AK477" s="73" t="str">
        <f t="shared" si="128"/>
        <v>MADHANI TALATAH NUSANTARA, PTJAN</v>
      </c>
    </row>
    <row r="478" spans="1:37" s="114" customFormat="1" ht="12" hidden="1" customHeight="1">
      <c r="A478" s="53"/>
      <c r="B478" s="53" t="s">
        <v>194</v>
      </c>
      <c r="C478" s="9">
        <v>12</v>
      </c>
      <c r="D478" s="8" t="s">
        <v>40</v>
      </c>
      <c r="E478" s="10" t="s">
        <v>355</v>
      </c>
      <c r="F478" s="356"/>
      <c r="G478" s="10"/>
      <c r="H478" s="10" t="s">
        <v>1851</v>
      </c>
      <c r="I478" s="10" t="s">
        <v>1869</v>
      </c>
      <c r="J478" s="658">
        <v>0</v>
      </c>
      <c r="K478" s="117">
        <v>28580900</v>
      </c>
      <c r="L478" s="116">
        <f t="shared" si="179"/>
        <v>2858090</v>
      </c>
      <c r="M478" s="658">
        <v>0</v>
      </c>
      <c r="N478" s="189">
        <f t="shared" si="180"/>
        <v>31438990</v>
      </c>
      <c r="O478" s="197" t="s">
        <v>194</v>
      </c>
      <c r="P478" s="197" t="s">
        <v>91</v>
      </c>
      <c r="Q478" s="175"/>
      <c r="R478" s="175"/>
      <c r="S478" s="116">
        <v>0</v>
      </c>
      <c r="T478" s="116">
        <f t="shared" si="181"/>
        <v>-571618</v>
      </c>
      <c r="U478" s="116">
        <v>30867372</v>
      </c>
      <c r="V478" s="210">
        <f t="shared" si="164"/>
        <v>0</v>
      </c>
      <c r="W478" s="115">
        <f t="shared" si="131"/>
        <v>0</v>
      </c>
      <c r="X478" s="181" t="s">
        <v>237</v>
      </c>
      <c r="Y478" s="116"/>
      <c r="Z478" s="185"/>
      <c r="AA478" s="592">
        <f t="shared" si="182"/>
        <v>0</v>
      </c>
      <c r="AB478" s="186"/>
      <c r="AC478" s="9"/>
      <c r="AD478" s="297"/>
      <c r="AE478" s="297">
        <f t="shared" ref="AE478:AE614" si="183">-T478-AD478</f>
        <v>571618</v>
      </c>
      <c r="AF478" s="9"/>
      <c r="AG478" s="9" t="s">
        <v>1422</v>
      </c>
      <c r="AH478" s="300">
        <v>42748</v>
      </c>
      <c r="AI478" s="9" t="s">
        <v>1663</v>
      </c>
      <c r="AJ478" s="300">
        <v>42748</v>
      </c>
      <c r="AK478" s="73" t="str">
        <f t="shared" si="128"/>
        <v>MADHANI TALATAH NUSANTARA, PTJAN</v>
      </c>
    </row>
    <row r="479" spans="1:37" s="114" customFormat="1" ht="12" hidden="1" customHeight="1">
      <c r="A479" s="53"/>
      <c r="B479" s="53" t="s">
        <v>194</v>
      </c>
      <c r="C479" s="9">
        <v>12</v>
      </c>
      <c r="D479" s="8" t="s">
        <v>40</v>
      </c>
      <c r="E479" s="10" t="s">
        <v>1876</v>
      </c>
      <c r="F479" s="356"/>
      <c r="G479" s="10"/>
      <c r="H479" s="10" t="s">
        <v>1852</v>
      </c>
      <c r="I479" s="10" t="s">
        <v>1873</v>
      </c>
      <c r="J479" s="658">
        <v>0</v>
      </c>
      <c r="K479" s="116">
        <v>35164400</v>
      </c>
      <c r="L479" s="116">
        <f t="shared" si="179"/>
        <v>3516440</v>
      </c>
      <c r="M479" s="658">
        <v>0</v>
      </c>
      <c r="N479" s="189">
        <f t="shared" si="180"/>
        <v>38680840</v>
      </c>
      <c r="O479" s="197" t="s">
        <v>194</v>
      </c>
      <c r="P479" s="197" t="s">
        <v>91</v>
      </c>
      <c r="Q479" s="175"/>
      <c r="R479" s="175"/>
      <c r="S479" s="116">
        <v>0</v>
      </c>
      <c r="T479" s="116">
        <f t="shared" si="181"/>
        <v>-703288</v>
      </c>
      <c r="U479" s="116">
        <v>37977552</v>
      </c>
      <c r="V479" s="210">
        <f t="shared" si="164"/>
        <v>0</v>
      </c>
      <c r="W479" s="115">
        <f t="shared" si="131"/>
        <v>0</v>
      </c>
      <c r="X479" s="181" t="s">
        <v>237</v>
      </c>
      <c r="Y479" s="116"/>
      <c r="Z479" s="185"/>
      <c r="AA479" s="592">
        <f t="shared" si="182"/>
        <v>0</v>
      </c>
      <c r="AB479" s="186"/>
      <c r="AC479" s="9"/>
      <c r="AD479" s="297"/>
      <c r="AE479" s="297">
        <f t="shared" si="183"/>
        <v>703288</v>
      </c>
      <c r="AF479" s="9"/>
      <c r="AG479" s="9" t="s">
        <v>1422</v>
      </c>
      <c r="AH479" s="300">
        <v>42748</v>
      </c>
      <c r="AI479" s="9" t="s">
        <v>1663</v>
      </c>
      <c r="AJ479" s="300">
        <v>42748</v>
      </c>
      <c r="AK479" s="73" t="str">
        <f t="shared" si="128"/>
        <v>MADHANI TALATAH NUSANTARA, PTJAN</v>
      </c>
    </row>
    <row r="480" spans="1:37" s="114" customFormat="1" ht="12" hidden="1" customHeight="1">
      <c r="A480" s="53"/>
      <c r="B480" s="53" t="s">
        <v>194</v>
      </c>
      <c r="C480" s="9">
        <v>12</v>
      </c>
      <c r="D480" s="8" t="s">
        <v>40</v>
      </c>
      <c r="E480" s="10" t="s">
        <v>364</v>
      </c>
      <c r="F480" s="356"/>
      <c r="G480" s="10"/>
      <c r="H480" s="10" t="s">
        <v>1853</v>
      </c>
      <c r="I480" s="10" t="s">
        <v>1870</v>
      </c>
      <c r="J480" s="658">
        <v>0</v>
      </c>
      <c r="K480" s="116">
        <v>9500000</v>
      </c>
      <c r="L480" s="116">
        <f t="shared" si="179"/>
        <v>950000</v>
      </c>
      <c r="M480" s="658">
        <v>0</v>
      </c>
      <c r="N480" s="189">
        <f t="shared" si="180"/>
        <v>10450000</v>
      </c>
      <c r="O480" s="197" t="s">
        <v>194</v>
      </c>
      <c r="P480" s="197" t="s">
        <v>91</v>
      </c>
      <c r="Q480" s="175"/>
      <c r="R480" s="175"/>
      <c r="S480" s="116">
        <v>0</v>
      </c>
      <c r="T480" s="116">
        <f t="shared" si="181"/>
        <v>-190000</v>
      </c>
      <c r="U480" s="116">
        <v>10260000</v>
      </c>
      <c r="V480" s="210">
        <f t="shared" si="164"/>
        <v>0</v>
      </c>
      <c r="W480" s="115">
        <f t="shared" si="131"/>
        <v>0</v>
      </c>
      <c r="X480" s="181" t="s">
        <v>237</v>
      </c>
      <c r="Y480" s="116"/>
      <c r="Z480" s="185"/>
      <c r="AA480" s="592">
        <f t="shared" si="182"/>
        <v>0</v>
      </c>
      <c r="AB480" s="186"/>
      <c r="AC480" s="9"/>
      <c r="AD480" s="297"/>
      <c r="AE480" s="297">
        <f t="shared" si="183"/>
        <v>190000</v>
      </c>
      <c r="AF480" s="9"/>
      <c r="AG480" s="9" t="s">
        <v>1422</v>
      </c>
      <c r="AH480" s="300">
        <v>42748</v>
      </c>
      <c r="AI480" s="9" t="s">
        <v>1663</v>
      </c>
      <c r="AJ480" s="300">
        <v>42748</v>
      </c>
      <c r="AK480" s="73" t="str">
        <f t="shared" si="128"/>
        <v>MADHANI TALATAH NUSANTARA, PTJAN</v>
      </c>
    </row>
    <row r="481" spans="1:37" s="114" customFormat="1" ht="12" hidden="1" customHeight="1">
      <c r="A481" s="53"/>
      <c r="B481" s="53" t="s">
        <v>194</v>
      </c>
      <c r="C481" s="9">
        <v>12</v>
      </c>
      <c r="D481" s="8" t="s">
        <v>40</v>
      </c>
      <c r="E481" s="10" t="s">
        <v>118</v>
      </c>
      <c r="F481" s="356"/>
      <c r="G481" s="10"/>
      <c r="H481" s="10" t="s">
        <v>1854</v>
      </c>
      <c r="I481" s="10" t="s">
        <v>14</v>
      </c>
      <c r="J481" s="658">
        <v>0</v>
      </c>
      <c r="K481" s="116">
        <v>3718000</v>
      </c>
      <c r="L481" s="116">
        <v>0</v>
      </c>
      <c r="M481" s="658">
        <v>0</v>
      </c>
      <c r="N481" s="189">
        <f t="shared" si="180"/>
        <v>3718000</v>
      </c>
      <c r="O481" s="197" t="s">
        <v>194</v>
      </c>
      <c r="P481" s="197" t="s">
        <v>91</v>
      </c>
      <c r="Q481" s="175"/>
      <c r="R481" s="175"/>
      <c r="S481" s="116">
        <v>0</v>
      </c>
      <c r="T481" s="116">
        <v>0</v>
      </c>
      <c r="U481" s="116">
        <v>3718000</v>
      </c>
      <c r="V481" s="210">
        <f t="shared" si="164"/>
        <v>0</v>
      </c>
      <c r="W481" s="115">
        <f t="shared" si="131"/>
        <v>0</v>
      </c>
      <c r="X481" s="181" t="s">
        <v>237</v>
      </c>
      <c r="Y481" s="116"/>
      <c r="Z481" s="185"/>
      <c r="AA481" s="592">
        <f t="shared" si="182"/>
        <v>0</v>
      </c>
      <c r="AB481" s="186"/>
      <c r="AC481" s="9"/>
      <c r="AD481" s="297"/>
      <c r="AE481" s="297">
        <f t="shared" si="183"/>
        <v>0</v>
      </c>
      <c r="AF481" s="9"/>
      <c r="AG481" s="9" t="s">
        <v>1422</v>
      </c>
      <c r="AH481" s="300">
        <v>42748</v>
      </c>
      <c r="AI481" s="9" t="s">
        <v>1663</v>
      </c>
      <c r="AJ481" s="300">
        <v>42748</v>
      </c>
      <c r="AK481" s="73" t="str">
        <f t="shared" si="128"/>
        <v>MADHANI TALATAH NUSANTARA, PTJAN</v>
      </c>
    </row>
    <row r="482" spans="1:37" s="114" customFormat="1" ht="12" hidden="1" customHeight="1">
      <c r="A482" s="53"/>
      <c r="B482" s="53" t="s">
        <v>194</v>
      </c>
      <c r="C482" s="9">
        <v>12</v>
      </c>
      <c r="D482" s="8" t="s">
        <v>40</v>
      </c>
      <c r="E482" s="10" t="s">
        <v>144</v>
      </c>
      <c r="F482" s="356"/>
      <c r="G482" s="10"/>
      <c r="H482" s="10" t="s">
        <v>1855</v>
      </c>
      <c r="I482" s="10" t="s">
        <v>1871</v>
      </c>
      <c r="J482" s="658">
        <v>0</v>
      </c>
      <c r="K482" s="116">
        <v>13500000</v>
      </c>
      <c r="L482" s="116">
        <f t="shared" si="179"/>
        <v>1350000</v>
      </c>
      <c r="M482" s="658">
        <v>0</v>
      </c>
      <c r="N482" s="189">
        <f t="shared" si="180"/>
        <v>14850000</v>
      </c>
      <c r="O482" s="197" t="s">
        <v>195</v>
      </c>
      <c r="P482" s="197" t="s">
        <v>103</v>
      </c>
      <c r="Q482" s="175"/>
      <c r="R482" s="175"/>
      <c r="S482" s="116">
        <v>0</v>
      </c>
      <c r="T482" s="116">
        <f t="shared" si="181"/>
        <v>-270000</v>
      </c>
      <c r="U482" s="116">
        <v>14580000</v>
      </c>
      <c r="V482" s="210">
        <f t="shared" si="164"/>
        <v>0</v>
      </c>
      <c r="W482" s="115">
        <f t="shared" si="131"/>
        <v>0</v>
      </c>
      <c r="X482" s="181" t="s">
        <v>237</v>
      </c>
      <c r="Y482" s="116"/>
      <c r="Z482" s="185"/>
      <c r="AA482" s="592">
        <f t="shared" si="182"/>
        <v>0</v>
      </c>
      <c r="AB482" s="186"/>
      <c r="AC482" s="9"/>
      <c r="AD482" s="297"/>
      <c r="AE482" s="297">
        <f t="shared" si="183"/>
        <v>270000</v>
      </c>
      <c r="AF482" s="9"/>
      <c r="AG482" s="9" t="s">
        <v>1422</v>
      </c>
      <c r="AH482" s="300">
        <v>42748</v>
      </c>
      <c r="AI482" s="9" t="s">
        <v>1663</v>
      </c>
      <c r="AJ482" s="300">
        <v>42748</v>
      </c>
      <c r="AK482" s="73" t="str">
        <f t="shared" si="128"/>
        <v>MADHANI TALATAH NUSANTARA, PTFEB</v>
      </c>
    </row>
    <row r="483" spans="1:37" s="114" customFormat="1" ht="12" hidden="1" customHeight="1">
      <c r="A483" s="53"/>
      <c r="B483" s="53" t="s">
        <v>194</v>
      </c>
      <c r="C483" s="9">
        <v>12</v>
      </c>
      <c r="D483" s="8" t="s">
        <v>40</v>
      </c>
      <c r="E483" s="10" t="s">
        <v>118</v>
      </c>
      <c r="F483" s="356"/>
      <c r="G483" s="10"/>
      <c r="H483" s="10" t="s">
        <v>1856</v>
      </c>
      <c r="I483" s="10" t="s">
        <v>14</v>
      </c>
      <c r="J483" s="658">
        <v>0</v>
      </c>
      <c r="K483" s="116">
        <v>2648700</v>
      </c>
      <c r="L483" s="116">
        <v>0</v>
      </c>
      <c r="M483" s="658">
        <v>0</v>
      </c>
      <c r="N483" s="189">
        <f t="shared" si="180"/>
        <v>2648700</v>
      </c>
      <c r="O483" s="197" t="s">
        <v>194</v>
      </c>
      <c r="P483" s="197" t="s">
        <v>91</v>
      </c>
      <c r="Q483" s="175"/>
      <c r="R483" s="175"/>
      <c r="S483" s="116">
        <v>0</v>
      </c>
      <c r="T483" s="116">
        <v>0</v>
      </c>
      <c r="U483" s="116">
        <v>2648700</v>
      </c>
      <c r="V483" s="210">
        <f t="shared" si="164"/>
        <v>0</v>
      </c>
      <c r="W483" s="115">
        <f t="shared" si="131"/>
        <v>0</v>
      </c>
      <c r="X483" s="181" t="s">
        <v>237</v>
      </c>
      <c r="Y483" s="116"/>
      <c r="Z483" s="185"/>
      <c r="AA483" s="592">
        <f t="shared" si="182"/>
        <v>0</v>
      </c>
      <c r="AB483" s="186"/>
      <c r="AC483" s="9"/>
      <c r="AD483" s="297"/>
      <c r="AE483" s="297">
        <f t="shared" si="183"/>
        <v>0</v>
      </c>
      <c r="AF483" s="9"/>
      <c r="AG483" s="9" t="s">
        <v>1422</v>
      </c>
      <c r="AH483" s="300">
        <v>42748</v>
      </c>
      <c r="AI483" s="9" t="s">
        <v>1663</v>
      </c>
      <c r="AJ483" s="300">
        <v>42748</v>
      </c>
      <c r="AK483" s="73" t="str">
        <f t="shared" si="128"/>
        <v>MADHANI TALATAH NUSANTARA, PTJAN</v>
      </c>
    </row>
    <row r="484" spans="1:37" s="114" customFormat="1" ht="12" hidden="1" customHeight="1">
      <c r="A484" s="53"/>
      <c r="B484" s="53" t="s">
        <v>195</v>
      </c>
      <c r="C484" s="9">
        <v>1</v>
      </c>
      <c r="D484" s="8" t="s">
        <v>40</v>
      </c>
      <c r="E484" s="10" t="s">
        <v>354</v>
      </c>
      <c r="F484" s="356"/>
      <c r="G484" s="10"/>
      <c r="H484" s="10" t="s">
        <v>1958</v>
      </c>
      <c r="I484" s="10" t="s">
        <v>1959</v>
      </c>
      <c r="J484" s="658">
        <v>0</v>
      </c>
      <c r="K484" s="116">
        <v>27937900</v>
      </c>
      <c r="L484" s="116">
        <f>K484*10%</f>
        <v>2793790</v>
      </c>
      <c r="M484" s="658">
        <v>0</v>
      </c>
      <c r="N484" s="189">
        <f>K484+L484</f>
        <v>30731690</v>
      </c>
      <c r="O484" s="197" t="s">
        <v>195</v>
      </c>
      <c r="P484" s="197" t="s">
        <v>103</v>
      </c>
      <c r="Q484" s="175"/>
      <c r="R484" s="175"/>
      <c r="S484" s="116">
        <v>0</v>
      </c>
      <c r="T484" s="116">
        <f t="shared" si="181"/>
        <v>-558758</v>
      </c>
      <c r="U484" s="116">
        <v>30172932</v>
      </c>
      <c r="V484" s="210">
        <f t="shared" si="164"/>
        <v>0</v>
      </c>
      <c r="W484" s="115">
        <f t="shared" si="131"/>
        <v>0</v>
      </c>
      <c r="X484" s="181" t="s">
        <v>237</v>
      </c>
      <c r="Y484" s="116"/>
      <c r="Z484" s="185"/>
      <c r="AA484" s="592"/>
      <c r="AB484" s="186"/>
      <c r="AC484" s="9"/>
      <c r="AD484" s="297"/>
      <c r="AE484" s="297">
        <f t="shared" si="183"/>
        <v>558758</v>
      </c>
      <c r="AF484" s="9"/>
      <c r="AG484" s="9" t="s">
        <v>1395</v>
      </c>
      <c r="AH484" s="300">
        <v>42769</v>
      </c>
      <c r="AI484" s="9" t="s">
        <v>2041</v>
      </c>
      <c r="AJ484" s="300">
        <v>42769</v>
      </c>
      <c r="AK484" s="73" t="str">
        <f t="shared" si="128"/>
        <v>MADHANI TALATAH NUSANTARA, PTFEB</v>
      </c>
    </row>
    <row r="485" spans="1:37" s="114" customFormat="1" ht="12" hidden="1" customHeight="1">
      <c r="A485" s="53"/>
      <c r="B485" s="53" t="s">
        <v>195</v>
      </c>
      <c r="C485" s="9">
        <v>1</v>
      </c>
      <c r="D485" s="8" t="s">
        <v>40</v>
      </c>
      <c r="E485" s="10" t="s">
        <v>354</v>
      </c>
      <c r="F485" s="356"/>
      <c r="G485" s="10"/>
      <c r="H485" s="10" t="s">
        <v>1960</v>
      </c>
      <c r="I485" s="10" t="s">
        <v>1961</v>
      </c>
      <c r="J485" s="658">
        <v>0</v>
      </c>
      <c r="K485" s="116">
        <v>27937900</v>
      </c>
      <c r="L485" s="116">
        <f t="shared" ref="L485:L493" si="184">K485*10%</f>
        <v>2793790</v>
      </c>
      <c r="M485" s="658">
        <v>0</v>
      </c>
      <c r="N485" s="189">
        <f t="shared" ref="N485:N493" si="185">K485+L485</f>
        <v>30731690</v>
      </c>
      <c r="O485" s="197" t="s">
        <v>195</v>
      </c>
      <c r="P485" s="197" t="s">
        <v>103</v>
      </c>
      <c r="Q485" s="175"/>
      <c r="R485" s="175"/>
      <c r="S485" s="116">
        <v>0</v>
      </c>
      <c r="T485" s="116">
        <f t="shared" si="181"/>
        <v>-558758</v>
      </c>
      <c r="U485" s="116">
        <v>30172932</v>
      </c>
      <c r="V485" s="210">
        <f t="shared" si="164"/>
        <v>0</v>
      </c>
      <c r="W485" s="115">
        <f t="shared" si="131"/>
        <v>0</v>
      </c>
      <c r="X485" s="181" t="s">
        <v>237</v>
      </c>
      <c r="Y485" s="116"/>
      <c r="Z485" s="185"/>
      <c r="AA485" s="592"/>
      <c r="AB485" s="186"/>
      <c r="AC485" s="9"/>
      <c r="AD485" s="297"/>
      <c r="AE485" s="297">
        <f t="shared" si="183"/>
        <v>558758</v>
      </c>
      <c r="AF485" s="9"/>
      <c r="AG485" s="9" t="s">
        <v>1395</v>
      </c>
      <c r="AH485" s="300">
        <v>42769</v>
      </c>
      <c r="AI485" s="9" t="s">
        <v>2041</v>
      </c>
      <c r="AJ485" s="300">
        <v>42769</v>
      </c>
      <c r="AK485" s="73" t="str">
        <f t="shared" si="128"/>
        <v>MADHANI TALATAH NUSANTARA, PTFEB</v>
      </c>
    </row>
    <row r="486" spans="1:37" s="114" customFormat="1" ht="12" hidden="1" customHeight="1">
      <c r="A486" s="53"/>
      <c r="B486" s="53" t="s">
        <v>195</v>
      </c>
      <c r="C486" s="9">
        <v>1</v>
      </c>
      <c r="D486" s="8" t="s">
        <v>40</v>
      </c>
      <c r="E486" s="10" t="s">
        <v>354</v>
      </c>
      <c r="F486" s="356"/>
      <c r="G486" s="10"/>
      <c r="H486" s="10" t="s">
        <v>1970</v>
      </c>
      <c r="I486" s="10" t="s">
        <v>1962</v>
      </c>
      <c r="J486" s="658">
        <v>0</v>
      </c>
      <c r="K486" s="116">
        <v>27937900</v>
      </c>
      <c r="L486" s="116">
        <f t="shared" si="184"/>
        <v>2793790</v>
      </c>
      <c r="M486" s="658">
        <v>0</v>
      </c>
      <c r="N486" s="189">
        <f t="shared" si="185"/>
        <v>30731690</v>
      </c>
      <c r="O486" s="197" t="s">
        <v>195</v>
      </c>
      <c r="P486" s="197" t="s">
        <v>103</v>
      </c>
      <c r="Q486" s="175"/>
      <c r="R486" s="175"/>
      <c r="S486" s="116">
        <v>0</v>
      </c>
      <c r="T486" s="116">
        <f t="shared" si="181"/>
        <v>-558758</v>
      </c>
      <c r="U486" s="116">
        <v>30172932</v>
      </c>
      <c r="V486" s="210">
        <f t="shared" si="164"/>
        <v>0</v>
      </c>
      <c r="W486" s="115">
        <f t="shared" si="131"/>
        <v>0</v>
      </c>
      <c r="X486" s="181" t="s">
        <v>237</v>
      </c>
      <c r="Y486" s="116"/>
      <c r="Z486" s="185"/>
      <c r="AA486" s="592"/>
      <c r="AB486" s="186"/>
      <c r="AC486" s="9"/>
      <c r="AD486" s="297"/>
      <c r="AE486" s="297">
        <f t="shared" si="183"/>
        <v>558758</v>
      </c>
      <c r="AF486" s="9"/>
      <c r="AG486" s="9" t="s">
        <v>1395</v>
      </c>
      <c r="AH486" s="300">
        <v>42769</v>
      </c>
      <c r="AI486" s="9" t="s">
        <v>2041</v>
      </c>
      <c r="AJ486" s="300">
        <v>42769</v>
      </c>
      <c r="AK486" s="73" t="str">
        <f t="shared" si="128"/>
        <v>MADHANI TALATAH NUSANTARA, PTFEB</v>
      </c>
    </row>
    <row r="487" spans="1:37" s="114" customFormat="1" ht="12" hidden="1" customHeight="1">
      <c r="A487" s="53"/>
      <c r="B487" s="53" t="s">
        <v>195</v>
      </c>
      <c r="C487" s="9">
        <v>1</v>
      </c>
      <c r="D487" s="8" t="s">
        <v>40</v>
      </c>
      <c r="E487" s="10" t="s">
        <v>355</v>
      </c>
      <c r="F487" s="356"/>
      <c r="G487" s="10"/>
      <c r="H487" s="10" t="s">
        <v>1971</v>
      </c>
      <c r="I487" s="10" t="s">
        <v>1963</v>
      </c>
      <c r="J487" s="658">
        <v>0</v>
      </c>
      <c r="K487" s="116">
        <v>28580900</v>
      </c>
      <c r="L487" s="116">
        <f t="shared" si="184"/>
        <v>2858090</v>
      </c>
      <c r="M487" s="658">
        <v>0</v>
      </c>
      <c r="N487" s="189">
        <f t="shared" si="185"/>
        <v>31438990</v>
      </c>
      <c r="O487" s="197" t="s">
        <v>195</v>
      </c>
      <c r="P487" s="197" t="s">
        <v>103</v>
      </c>
      <c r="Q487" s="175"/>
      <c r="R487" s="175"/>
      <c r="S487" s="116">
        <v>0</v>
      </c>
      <c r="T487" s="116">
        <f t="shared" si="181"/>
        <v>-571618</v>
      </c>
      <c r="U487" s="116">
        <v>30867372</v>
      </c>
      <c r="V487" s="210">
        <f t="shared" si="164"/>
        <v>0</v>
      </c>
      <c r="W487" s="115">
        <f t="shared" si="131"/>
        <v>0</v>
      </c>
      <c r="X487" s="181" t="s">
        <v>237</v>
      </c>
      <c r="Y487" s="116"/>
      <c r="Z487" s="185"/>
      <c r="AA487" s="592"/>
      <c r="AB487" s="186"/>
      <c r="AC487" s="9"/>
      <c r="AD487" s="297"/>
      <c r="AE487" s="297">
        <f t="shared" si="183"/>
        <v>571618</v>
      </c>
      <c r="AF487" s="9"/>
      <c r="AG487" s="9" t="s">
        <v>1395</v>
      </c>
      <c r="AH487" s="300">
        <v>42769</v>
      </c>
      <c r="AI487" s="9" t="s">
        <v>2041</v>
      </c>
      <c r="AJ487" s="300">
        <v>42769</v>
      </c>
      <c r="AK487" s="73" t="str">
        <f t="shared" ref="AK487:AK643" si="186">CONCATENATE(D487,O487)</f>
        <v>MADHANI TALATAH NUSANTARA, PTFEB</v>
      </c>
    </row>
    <row r="488" spans="1:37" s="114" customFormat="1" ht="12" hidden="1" customHeight="1">
      <c r="A488" s="53"/>
      <c r="B488" s="53" t="s">
        <v>195</v>
      </c>
      <c r="C488" s="9">
        <v>1</v>
      </c>
      <c r="D488" s="8" t="s">
        <v>40</v>
      </c>
      <c r="E488" s="10" t="s">
        <v>355</v>
      </c>
      <c r="F488" s="356"/>
      <c r="G488" s="10"/>
      <c r="H488" s="10" t="s">
        <v>1972</v>
      </c>
      <c r="I488" s="10" t="s">
        <v>1964</v>
      </c>
      <c r="J488" s="658">
        <v>0</v>
      </c>
      <c r="K488" s="116">
        <v>28580900</v>
      </c>
      <c r="L488" s="116">
        <f t="shared" si="184"/>
        <v>2858090</v>
      </c>
      <c r="M488" s="658">
        <v>0</v>
      </c>
      <c r="N488" s="189">
        <f t="shared" si="185"/>
        <v>31438990</v>
      </c>
      <c r="O488" s="197" t="s">
        <v>195</v>
      </c>
      <c r="P488" s="197" t="s">
        <v>103</v>
      </c>
      <c r="Q488" s="175"/>
      <c r="R488" s="175"/>
      <c r="S488" s="116">
        <v>0</v>
      </c>
      <c r="T488" s="116">
        <f t="shared" si="181"/>
        <v>-571618</v>
      </c>
      <c r="U488" s="116">
        <v>30867372</v>
      </c>
      <c r="V488" s="210">
        <f t="shared" si="164"/>
        <v>0</v>
      </c>
      <c r="W488" s="115">
        <f t="shared" si="131"/>
        <v>0</v>
      </c>
      <c r="X488" s="181" t="s">
        <v>237</v>
      </c>
      <c r="Y488" s="116"/>
      <c r="Z488" s="185"/>
      <c r="AA488" s="592"/>
      <c r="AB488" s="186"/>
      <c r="AC488" s="9"/>
      <c r="AD488" s="297"/>
      <c r="AE488" s="297">
        <f t="shared" si="183"/>
        <v>571618</v>
      </c>
      <c r="AF488" s="9"/>
      <c r="AG488" s="9" t="s">
        <v>1395</v>
      </c>
      <c r="AH488" s="300">
        <v>42769</v>
      </c>
      <c r="AI488" s="9" t="s">
        <v>2041</v>
      </c>
      <c r="AJ488" s="300">
        <v>42769</v>
      </c>
      <c r="AK488" s="73" t="str">
        <f t="shared" si="186"/>
        <v>MADHANI TALATAH NUSANTARA, PTFEB</v>
      </c>
    </row>
    <row r="489" spans="1:37" s="114" customFormat="1" ht="12" hidden="1" customHeight="1">
      <c r="A489" s="53"/>
      <c r="B489" s="53" t="s">
        <v>195</v>
      </c>
      <c r="C489" s="9">
        <v>1</v>
      </c>
      <c r="D489" s="8" t="s">
        <v>40</v>
      </c>
      <c r="E489" s="10" t="s">
        <v>355</v>
      </c>
      <c r="F489" s="356"/>
      <c r="G489" s="10"/>
      <c r="H489" s="10" t="s">
        <v>1973</v>
      </c>
      <c r="I489" s="10" t="s">
        <v>1965</v>
      </c>
      <c r="J489" s="658">
        <v>0</v>
      </c>
      <c r="K489" s="116">
        <v>28580900</v>
      </c>
      <c r="L489" s="116">
        <f t="shared" si="184"/>
        <v>2858090</v>
      </c>
      <c r="M489" s="658">
        <v>0</v>
      </c>
      <c r="N489" s="189">
        <f t="shared" si="185"/>
        <v>31438990</v>
      </c>
      <c r="O489" s="197" t="s">
        <v>195</v>
      </c>
      <c r="P489" s="197" t="s">
        <v>103</v>
      </c>
      <c r="Q489" s="175"/>
      <c r="R489" s="175"/>
      <c r="S489" s="116">
        <v>0</v>
      </c>
      <c r="T489" s="116">
        <f t="shared" si="181"/>
        <v>-571618</v>
      </c>
      <c r="U489" s="116">
        <v>30867372</v>
      </c>
      <c r="V489" s="210">
        <f t="shared" si="164"/>
        <v>0</v>
      </c>
      <c r="W489" s="115">
        <f t="shared" ref="W489:W645" si="187">N489+S489+T489-U489</f>
        <v>0</v>
      </c>
      <c r="X489" s="181" t="s">
        <v>237</v>
      </c>
      <c r="Y489" s="116"/>
      <c r="Z489" s="185"/>
      <c r="AA489" s="592"/>
      <c r="AB489" s="186"/>
      <c r="AC489" s="9"/>
      <c r="AD489" s="297"/>
      <c r="AE489" s="297">
        <f t="shared" si="183"/>
        <v>571618</v>
      </c>
      <c r="AF489" s="9"/>
      <c r="AG489" s="9" t="s">
        <v>1395</v>
      </c>
      <c r="AH489" s="300">
        <v>42769</v>
      </c>
      <c r="AI489" s="9" t="s">
        <v>2041</v>
      </c>
      <c r="AJ489" s="300">
        <v>42769</v>
      </c>
      <c r="AK489" s="73" t="str">
        <f t="shared" si="186"/>
        <v>MADHANI TALATAH NUSANTARA, PTFEB</v>
      </c>
    </row>
    <row r="490" spans="1:37" s="114" customFormat="1" ht="12" hidden="1" customHeight="1">
      <c r="A490" s="53"/>
      <c r="B490" s="53" t="s">
        <v>195</v>
      </c>
      <c r="C490" s="9">
        <v>1</v>
      </c>
      <c r="D490" s="8" t="s">
        <v>40</v>
      </c>
      <c r="E490" s="10" t="s">
        <v>355</v>
      </c>
      <c r="F490" s="356"/>
      <c r="G490" s="10"/>
      <c r="H490" s="10" t="s">
        <v>1974</v>
      </c>
      <c r="I490" s="10" t="s">
        <v>1966</v>
      </c>
      <c r="J490" s="658">
        <v>0</v>
      </c>
      <c r="K490" s="116">
        <v>28580900</v>
      </c>
      <c r="L490" s="116">
        <f t="shared" si="184"/>
        <v>2858090</v>
      </c>
      <c r="M490" s="658">
        <v>0</v>
      </c>
      <c r="N490" s="189">
        <f t="shared" si="185"/>
        <v>31438990</v>
      </c>
      <c r="O490" s="197" t="s">
        <v>195</v>
      </c>
      <c r="P490" s="197" t="s">
        <v>103</v>
      </c>
      <c r="Q490" s="175"/>
      <c r="R490" s="175"/>
      <c r="S490" s="116">
        <v>0</v>
      </c>
      <c r="T490" s="116">
        <f t="shared" si="181"/>
        <v>-571618</v>
      </c>
      <c r="U490" s="116">
        <v>30867372</v>
      </c>
      <c r="V490" s="210">
        <f t="shared" si="164"/>
        <v>0</v>
      </c>
      <c r="W490" s="115">
        <f t="shared" si="187"/>
        <v>0</v>
      </c>
      <c r="X490" s="181" t="s">
        <v>237</v>
      </c>
      <c r="Y490" s="116"/>
      <c r="Z490" s="185"/>
      <c r="AA490" s="592"/>
      <c r="AB490" s="186"/>
      <c r="AC490" s="9"/>
      <c r="AD490" s="297"/>
      <c r="AE490" s="297">
        <f t="shared" si="183"/>
        <v>571618</v>
      </c>
      <c r="AF490" s="9"/>
      <c r="AG490" s="9" t="s">
        <v>1395</v>
      </c>
      <c r="AH490" s="300">
        <v>42769</v>
      </c>
      <c r="AI490" s="9" t="s">
        <v>2041</v>
      </c>
      <c r="AJ490" s="300">
        <v>42769</v>
      </c>
      <c r="AK490" s="73" t="str">
        <f t="shared" si="186"/>
        <v>MADHANI TALATAH NUSANTARA, PTFEB</v>
      </c>
    </row>
    <row r="491" spans="1:37" s="114" customFormat="1" ht="12" hidden="1" customHeight="1">
      <c r="A491" s="53"/>
      <c r="B491" s="53" t="s">
        <v>195</v>
      </c>
      <c r="C491" s="9">
        <v>1</v>
      </c>
      <c r="D491" s="8" t="s">
        <v>40</v>
      </c>
      <c r="E491" s="10" t="s">
        <v>1876</v>
      </c>
      <c r="F491" s="356"/>
      <c r="G491" s="10"/>
      <c r="H491" s="10" t="s">
        <v>1975</v>
      </c>
      <c r="I491" s="10" t="s">
        <v>1967</v>
      </c>
      <c r="J491" s="658">
        <v>0</v>
      </c>
      <c r="K491" s="116">
        <f>28580900+6583500</f>
        <v>35164400</v>
      </c>
      <c r="L491" s="116">
        <f t="shared" si="184"/>
        <v>3516440</v>
      </c>
      <c r="M491" s="658">
        <v>0</v>
      </c>
      <c r="N491" s="189">
        <f t="shared" si="185"/>
        <v>38680840</v>
      </c>
      <c r="O491" s="197" t="s">
        <v>195</v>
      </c>
      <c r="P491" s="197" t="s">
        <v>103</v>
      </c>
      <c r="Q491" s="175"/>
      <c r="R491" s="175"/>
      <c r="S491" s="116">
        <v>0</v>
      </c>
      <c r="T491" s="116">
        <f t="shared" si="181"/>
        <v>-703288</v>
      </c>
      <c r="U491" s="116">
        <v>37977552</v>
      </c>
      <c r="V491" s="210">
        <f t="shared" si="164"/>
        <v>0</v>
      </c>
      <c r="W491" s="115">
        <f t="shared" si="187"/>
        <v>0</v>
      </c>
      <c r="X491" s="181" t="s">
        <v>237</v>
      </c>
      <c r="Y491" s="116"/>
      <c r="Z491" s="185"/>
      <c r="AA491" s="592"/>
      <c r="AB491" s="186"/>
      <c r="AC491" s="9"/>
      <c r="AD491" s="297"/>
      <c r="AE491" s="297">
        <f t="shared" si="183"/>
        <v>703288</v>
      </c>
      <c r="AF491" s="9"/>
      <c r="AG491" s="9" t="s">
        <v>1395</v>
      </c>
      <c r="AH491" s="300">
        <v>42769</v>
      </c>
      <c r="AI491" s="9" t="s">
        <v>2041</v>
      </c>
      <c r="AJ491" s="300">
        <v>42769</v>
      </c>
      <c r="AK491" s="73" t="str">
        <f t="shared" si="186"/>
        <v>MADHANI TALATAH NUSANTARA, PTFEB</v>
      </c>
    </row>
    <row r="492" spans="1:37" s="114" customFormat="1" ht="12" hidden="1" customHeight="1">
      <c r="A492" s="53"/>
      <c r="B492" s="53" t="s">
        <v>195</v>
      </c>
      <c r="C492" s="9">
        <v>1</v>
      </c>
      <c r="D492" s="8" t="s">
        <v>40</v>
      </c>
      <c r="E492" s="10" t="s">
        <v>364</v>
      </c>
      <c r="F492" s="356"/>
      <c r="G492" s="10"/>
      <c r="H492" s="10" t="s">
        <v>1976</v>
      </c>
      <c r="I492" s="10" t="s">
        <v>1968</v>
      </c>
      <c r="J492" s="658">
        <v>0</v>
      </c>
      <c r="K492" s="116">
        <v>9500000</v>
      </c>
      <c r="L492" s="116">
        <f t="shared" si="184"/>
        <v>950000</v>
      </c>
      <c r="M492" s="658">
        <v>0</v>
      </c>
      <c r="N492" s="189">
        <f t="shared" si="185"/>
        <v>10450000</v>
      </c>
      <c r="O492" s="197" t="s">
        <v>195</v>
      </c>
      <c r="P492" s="197" t="s">
        <v>103</v>
      </c>
      <c r="Q492" s="175"/>
      <c r="R492" s="175"/>
      <c r="S492" s="116">
        <v>0</v>
      </c>
      <c r="T492" s="116">
        <f t="shared" si="181"/>
        <v>-190000</v>
      </c>
      <c r="U492" s="116">
        <v>10260000</v>
      </c>
      <c r="V492" s="210">
        <f t="shared" si="164"/>
        <v>0</v>
      </c>
      <c r="W492" s="115">
        <f t="shared" si="187"/>
        <v>0</v>
      </c>
      <c r="X492" s="181" t="s">
        <v>237</v>
      </c>
      <c r="Y492" s="116"/>
      <c r="Z492" s="185"/>
      <c r="AA492" s="592"/>
      <c r="AB492" s="186"/>
      <c r="AC492" s="9"/>
      <c r="AD492" s="297"/>
      <c r="AE492" s="297">
        <f t="shared" si="183"/>
        <v>190000</v>
      </c>
      <c r="AF492" s="9"/>
      <c r="AG492" s="9" t="s">
        <v>1395</v>
      </c>
      <c r="AH492" s="300">
        <v>42769</v>
      </c>
      <c r="AI492" s="9" t="s">
        <v>2041</v>
      </c>
      <c r="AJ492" s="300">
        <v>42769</v>
      </c>
      <c r="AK492" s="73" t="str">
        <f t="shared" si="186"/>
        <v>MADHANI TALATAH NUSANTARA, PTFEB</v>
      </c>
    </row>
    <row r="493" spans="1:37" s="114" customFormat="1" ht="12" hidden="1" customHeight="1">
      <c r="A493" s="53"/>
      <c r="B493" s="53" t="s">
        <v>195</v>
      </c>
      <c r="C493" s="9">
        <v>1</v>
      </c>
      <c r="D493" s="8" t="s">
        <v>40</v>
      </c>
      <c r="E493" s="10" t="s">
        <v>147</v>
      </c>
      <c r="F493" s="356"/>
      <c r="G493" s="10"/>
      <c r="H493" s="10" t="s">
        <v>1977</v>
      </c>
      <c r="I493" s="10" t="s">
        <v>1969</v>
      </c>
      <c r="J493" s="658">
        <v>0</v>
      </c>
      <c r="K493" s="116">
        <v>20500000</v>
      </c>
      <c r="L493" s="116">
        <f t="shared" si="184"/>
        <v>2050000</v>
      </c>
      <c r="M493" s="658">
        <v>0</v>
      </c>
      <c r="N493" s="189">
        <f t="shared" si="185"/>
        <v>22550000</v>
      </c>
      <c r="O493" s="197" t="s">
        <v>195</v>
      </c>
      <c r="P493" s="197" t="s">
        <v>103</v>
      </c>
      <c r="Q493" s="175"/>
      <c r="R493" s="175"/>
      <c r="S493" s="116">
        <v>0</v>
      </c>
      <c r="T493" s="116">
        <v>0</v>
      </c>
      <c r="U493" s="116">
        <v>22550000</v>
      </c>
      <c r="V493" s="210">
        <f t="shared" si="164"/>
        <v>0</v>
      </c>
      <c r="W493" s="115">
        <f t="shared" si="187"/>
        <v>0</v>
      </c>
      <c r="X493" s="181" t="s">
        <v>237</v>
      </c>
      <c r="Y493" s="116"/>
      <c r="Z493" s="185"/>
      <c r="AA493" s="592"/>
      <c r="AB493" s="186"/>
      <c r="AC493" s="9"/>
      <c r="AD493" s="297"/>
      <c r="AE493" s="297">
        <f t="shared" si="183"/>
        <v>0</v>
      </c>
      <c r="AF493" s="9"/>
      <c r="AG493" s="9" t="s">
        <v>1395</v>
      </c>
      <c r="AH493" s="300">
        <v>42769</v>
      </c>
      <c r="AI493" s="9" t="s">
        <v>2041</v>
      </c>
      <c r="AJ493" s="300">
        <v>42769</v>
      </c>
      <c r="AK493" s="73" t="str">
        <f t="shared" si="186"/>
        <v>MADHANI TALATAH NUSANTARA, PTFEB</v>
      </c>
    </row>
    <row r="494" spans="1:37" s="114" customFormat="1" ht="12" hidden="1" customHeight="1">
      <c r="A494" s="53"/>
      <c r="B494" s="53" t="s">
        <v>240</v>
      </c>
      <c r="C494" s="9">
        <v>10</v>
      </c>
      <c r="D494" s="8" t="s">
        <v>40</v>
      </c>
      <c r="E494" s="10" t="s">
        <v>354</v>
      </c>
      <c r="F494" s="356"/>
      <c r="G494" s="10"/>
      <c r="H494" s="10" t="s">
        <v>2337</v>
      </c>
      <c r="I494" s="10" t="s">
        <v>2350</v>
      </c>
      <c r="J494" s="658">
        <v>0</v>
      </c>
      <c r="K494" s="116">
        <f>28446500*3</f>
        <v>85339500</v>
      </c>
      <c r="L494" s="116">
        <f t="shared" ref="L494:L505" si="188">K494*10%</f>
        <v>8533950</v>
      </c>
      <c r="M494" s="658">
        <v>0</v>
      </c>
      <c r="N494" s="189">
        <f t="shared" ref="N494:N506" si="189">K494+L494</f>
        <v>93873450</v>
      </c>
      <c r="O494" s="197" t="s">
        <v>240</v>
      </c>
      <c r="P494" s="197" t="s">
        <v>91</v>
      </c>
      <c r="Q494" s="175"/>
      <c r="R494" s="175"/>
      <c r="S494" s="116">
        <v>0</v>
      </c>
      <c r="T494" s="116">
        <f t="shared" si="181"/>
        <v>-1706790</v>
      </c>
      <c r="U494" s="116">
        <v>92166660</v>
      </c>
      <c r="V494" s="210">
        <f t="shared" si="164"/>
        <v>0</v>
      </c>
      <c r="W494" s="115">
        <f t="shared" si="187"/>
        <v>0</v>
      </c>
      <c r="X494" s="181" t="s">
        <v>237</v>
      </c>
      <c r="Y494" s="116"/>
      <c r="Z494" s="185"/>
      <c r="AA494" s="592"/>
      <c r="AB494" s="186"/>
      <c r="AC494" s="9"/>
      <c r="AD494" s="297"/>
      <c r="AE494" s="297">
        <f t="shared" si="183"/>
        <v>1706790</v>
      </c>
      <c r="AF494" s="9"/>
      <c r="AG494" s="9" t="s">
        <v>1395</v>
      </c>
      <c r="AH494" s="300">
        <v>42838</v>
      </c>
      <c r="AI494" s="9" t="s">
        <v>1663</v>
      </c>
      <c r="AJ494" s="300">
        <v>42838</v>
      </c>
      <c r="AK494" s="73" t="str">
        <f t="shared" si="186"/>
        <v>MADHANI TALATAH NUSANTARA, PTAPR</v>
      </c>
    </row>
    <row r="495" spans="1:37" s="114" customFormat="1" ht="12" hidden="1" customHeight="1">
      <c r="A495" s="53"/>
      <c r="B495" s="53" t="s">
        <v>240</v>
      </c>
      <c r="C495" s="9">
        <v>10</v>
      </c>
      <c r="D495" s="8" t="s">
        <v>40</v>
      </c>
      <c r="E495" s="10" t="s">
        <v>354</v>
      </c>
      <c r="F495" s="356"/>
      <c r="G495" s="10"/>
      <c r="H495" s="10" t="s">
        <v>2338</v>
      </c>
      <c r="I495" s="10" t="s">
        <v>2351</v>
      </c>
      <c r="J495" s="658">
        <v>0</v>
      </c>
      <c r="K495" s="116">
        <f>28446500*3</f>
        <v>85339500</v>
      </c>
      <c r="L495" s="116">
        <f t="shared" si="188"/>
        <v>8533950</v>
      </c>
      <c r="M495" s="658">
        <v>0</v>
      </c>
      <c r="N495" s="189">
        <f t="shared" si="189"/>
        <v>93873450</v>
      </c>
      <c r="O495" s="197" t="s">
        <v>240</v>
      </c>
      <c r="P495" s="197" t="s">
        <v>91</v>
      </c>
      <c r="Q495" s="175"/>
      <c r="R495" s="175"/>
      <c r="S495" s="116">
        <v>0</v>
      </c>
      <c r="T495" s="116">
        <f t="shared" si="181"/>
        <v>-1706790</v>
      </c>
      <c r="U495" s="116">
        <v>92166660</v>
      </c>
      <c r="V495" s="210">
        <f t="shared" si="164"/>
        <v>0</v>
      </c>
      <c r="W495" s="115">
        <f t="shared" si="187"/>
        <v>0</v>
      </c>
      <c r="X495" s="181" t="s">
        <v>237</v>
      </c>
      <c r="Y495" s="116"/>
      <c r="Z495" s="185"/>
      <c r="AA495" s="592"/>
      <c r="AB495" s="186"/>
      <c r="AC495" s="9"/>
      <c r="AD495" s="297"/>
      <c r="AE495" s="297">
        <f t="shared" si="183"/>
        <v>1706790</v>
      </c>
      <c r="AF495" s="9"/>
      <c r="AG495" s="9" t="s">
        <v>1395</v>
      </c>
      <c r="AH495" s="300">
        <v>42838</v>
      </c>
      <c r="AI495" s="9" t="s">
        <v>1663</v>
      </c>
      <c r="AJ495" s="300">
        <v>42838</v>
      </c>
      <c r="AK495" s="73" t="str">
        <f t="shared" si="186"/>
        <v>MADHANI TALATAH NUSANTARA, PTAPR</v>
      </c>
    </row>
    <row r="496" spans="1:37" s="114" customFormat="1" ht="12" hidden="1" customHeight="1">
      <c r="A496" s="53"/>
      <c r="B496" s="53" t="s">
        <v>240</v>
      </c>
      <c r="C496" s="9">
        <v>10</v>
      </c>
      <c r="D496" s="8" t="s">
        <v>40</v>
      </c>
      <c r="E496" s="10" t="s">
        <v>354</v>
      </c>
      <c r="F496" s="356"/>
      <c r="G496" s="10"/>
      <c r="H496" s="10" t="s">
        <v>2339</v>
      </c>
      <c r="I496" s="10" t="s">
        <v>2352</v>
      </c>
      <c r="J496" s="658">
        <v>0</v>
      </c>
      <c r="K496" s="116">
        <f>28446500*3</f>
        <v>85339500</v>
      </c>
      <c r="L496" s="116">
        <f t="shared" si="188"/>
        <v>8533950</v>
      </c>
      <c r="M496" s="658">
        <v>0</v>
      </c>
      <c r="N496" s="189">
        <f t="shared" si="189"/>
        <v>93873450</v>
      </c>
      <c r="O496" s="197" t="s">
        <v>240</v>
      </c>
      <c r="P496" s="197" t="s">
        <v>91</v>
      </c>
      <c r="Q496" s="175"/>
      <c r="R496" s="175"/>
      <c r="S496" s="116">
        <v>0</v>
      </c>
      <c r="T496" s="116">
        <f t="shared" si="181"/>
        <v>-1706790</v>
      </c>
      <c r="U496" s="116">
        <v>92166660</v>
      </c>
      <c r="V496" s="210">
        <f t="shared" si="164"/>
        <v>0</v>
      </c>
      <c r="W496" s="115">
        <f t="shared" si="187"/>
        <v>0</v>
      </c>
      <c r="X496" s="181" t="s">
        <v>237</v>
      </c>
      <c r="Y496" s="116"/>
      <c r="Z496" s="185"/>
      <c r="AA496" s="592"/>
      <c r="AB496" s="186"/>
      <c r="AC496" s="9"/>
      <c r="AD496" s="297"/>
      <c r="AE496" s="297">
        <f t="shared" si="183"/>
        <v>1706790</v>
      </c>
      <c r="AF496" s="9"/>
      <c r="AG496" s="9" t="s">
        <v>1395</v>
      </c>
      <c r="AH496" s="300">
        <v>42838</v>
      </c>
      <c r="AI496" s="9" t="s">
        <v>1663</v>
      </c>
      <c r="AJ496" s="300">
        <v>42838</v>
      </c>
      <c r="AK496" s="73" t="str">
        <f t="shared" si="186"/>
        <v>MADHANI TALATAH NUSANTARA, PTAPR</v>
      </c>
    </row>
    <row r="497" spans="1:37" s="114" customFormat="1" ht="12" hidden="1" customHeight="1">
      <c r="A497" s="53"/>
      <c r="B497" s="53" t="s">
        <v>240</v>
      </c>
      <c r="C497" s="9">
        <v>10</v>
      </c>
      <c r="D497" s="8" t="s">
        <v>40</v>
      </c>
      <c r="E497" s="10" t="s">
        <v>355</v>
      </c>
      <c r="F497" s="356"/>
      <c r="G497" s="10"/>
      <c r="H497" s="10" t="s">
        <v>2340</v>
      </c>
      <c r="I497" s="10" t="s">
        <v>2353</v>
      </c>
      <c r="J497" s="658">
        <v>0</v>
      </c>
      <c r="K497" s="116">
        <f>29101200*3</f>
        <v>87303600</v>
      </c>
      <c r="L497" s="116">
        <f t="shared" si="188"/>
        <v>8730360</v>
      </c>
      <c r="M497" s="658">
        <v>0</v>
      </c>
      <c r="N497" s="189">
        <f t="shared" si="189"/>
        <v>96033960</v>
      </c>
      <c r="O497" s="197" t="s">
        <v>240</v>
      </c>
      <c r="P497" s="197" t="s">
        <v>91</v>
      </c>
      <c r="Q497" s="175"/>
      <c r="R497" s="175"/>
      <c r="S497" s="116">
        <v>0</v>
      </c>
      <c r="T497" s="116">
        <f t="shared" si="181"/>
        <v>-1746072</v>
      </c>
      <c r="U497" s="116">
        <v>94287888</v>
      </c>
      <c r="V497" s="210">
        <f t="shared" si="164"/>
        <v>0</v>
      </c>
      <c r="W497" s="115">
        <f t="shared" si="187"/>
        <v>0</v>
      </c>
      <c r="X497" s="181" t="s">
        <v>237</v>
      </c>
      <c r="Y497" s="116"/>
      <c r="Z497" s="185"/>
      <c r="AA497" s="592"/>
      <c r="AB497" s="186"/>
      <c r="AC497" s="9"/>
      <c r="AD497" s="297"/>
      <c r="AE497" s="297">
        <f t="shared" si="183"/>
        <v>1746072</v>
      </c>
      <c r="AF497" s="9"/>
      <c r="AG497" s="9" t="s">
        <v>1395</v>
      </c>
      <c r="AH497" s="300">
        <v>42838</v>
      </c>
      <c r="AI497" s="9" t="s">
        <v>1663</v>
      </c>
      <c r="AJ497" s="300">
        <v>42838</v>
      </c>
      <c r="AK497" s="73" t="str">
        <f t="shared" si="186"/>
        <v>MADHANI TALATAH NUSANTARA, PTAPR</v>
      </c>
    </row>
    <row r="498" spans="1:37" s="114" customFormat="1" ht="12" hidden="1" customHeight="1">
      <c r="A498" s="53"/>
      <c r="B498" s="53" t="s">
        <v>240</v>
      </c>
      <c r="C498" s="9">
        <v>10</v>
      </c>
      <c r="D498" s="8" t="s">
        <v>40</v>
      </c>
      <c r="E498" s="10" t="s">
        <v>355</v>
      </c>
      <c r="F498" s="356"/>
      <c r="G498" s="10"/>
      <c r="H498" s="10" t="s">
        <v>2341</v>
      </c>
      <c r="I498" s="10" t="s">
        <v>2354</v>
      </c>
      <c r="J498" s="658">
        <v>0</v>
      </c>
      <c r="K498" s="116">
        <f>29101200*3</f>
        <v>87303600</v>
      </c>
      <c r="L498" s="116">
        <f t="shared" si="188"/>
        <v>8730360</v>
      </c>
      <c r="M498" s="658">
        <v>0</v>
      </c>
      <c r="N498" s="189">
        <f t="shared" si="189"/>
        <v>96033960</v>
      </c>
      <c r="O498" s="197" t="s">
        <v>240</v>
      </c>
      <c r="P498" s="197" t="s">
        <v>91</v>
      </c>
      <c r="Q498" s="175"/>
      <c r="R498" s="175"/>
      <c r="S498" s="116">
        <v>0</v>
      </c>
      <c r="T498" s="116">
        <f t="shared" si="181"/>
        <v>-1746072</v>
      </c>
      <c r="U498" s="116">
        <v>94287888</v>
      </c>
      <c r="V498" s="210">
        <f t="shared" si="164"/>
        <v>0</v>
      </c>
      <c r="W498" s="115">
        <f t="shared" si="187"/>
        <v>0</v>
      </c>
      <c r="X498" s="181" t="s">
        <v>237</v>
      </c>
      <c r="Y498" s="116"/>
      <c r="Z498" s="185"/>
      <c r="AA498" s="592"/>
      <c r="AB498" s="186"/>
      <c r="AC498" s="9"/>
      <c r="AD498" s="297"/>
      <c r="AE498" s="297">
        <f t="shared" si="183"/>
        <v>1746072</v>
      </c>
      <c r="AF498" s="9"/>
      <c r="AG498" s="9" t="s">
        <v>1395</v>
      </c>
      <c r="AH498" s="300">
        <v>42838</v>
      </c>
      <c r="AI498" s="9" t="s">
        <v>1663</v>
      </c>
      <c r="AJ498" s="300">
        <v>42838</v>
      </c>
      <c r="AK498" s="73" t="str">
        <f t="shared" si="186"/>
        <v>MADHANI TALATAH NUSANTARA, PTAPR</v>
      </c>
    </row>
    <row r="499" spans="1:37" s="114" customFormat="1" ht="12" hidden="1" customHeight="1">
      <c r="A499" s="53"/>
      <c r="B499" s="53" t="s">
        <v>240</v>
      </c>
      <c r="C499" s="9">
        <v>10</v>
      </c>
      <c r="D499" s="8" t="s">
        <v>40</v>
      </c>
      <c r="E499" s="10" t="s">
        <v>355</v>
      </c>
      <c r="F499" s="356"/>
      <c r="G499" s="10"/>
      <c r="H499" s="10" t="s">
        <v>2342</v>
      </c>
      <c r="I499" s="10" t="s">
        <v>2355</v>
      </c>
      <c r="J499" s="658">
        <v>0</v>
      </c>
      <c r="K499" s="116">
        <f>29101200*3</f>
        <v>87303600</v>
      </c>
      <c r="L499" s="116">
        <f t="shared" si="188"/>
        <v>8730360</v>
      </c>
      <c r="M499" s="658">
        <v>0</v>
      </c>
      <c r="N499" s="189">
        <f t="shared" si="189"/>
        <v>96033960</v>
      </c>
      <c r="O499" s="197" t="s">
        <v>240</v>
      </c>
      <c r="P499" s="197" t="s">
        <v>91</v>
      </c>
      <c r="Q499" s="175"/>
      <c r="R499" s="175"/>
      <c r="S499" s="116">
        <v>0</v>
      </c>
      <c r="T499" s="116">
        <f t="shared" si="181"/>
        <v>-1746072</v>
      </c>
      <c r="U499" s="116">
        <v>94287888</v>
      </c>
      <c r="V499" s="210">
        <f t="shared" si="164"/>
        <v>0</v>
      </c>
      <c r="W499" s="115">
        <f t="shared" si="187"/>
        <v>0</v>
      </c>
      <c r="X499" s="181" t="s">
        <v>237</v>
      </c>
      <c r="Y499" s="116"/>
      <c r="Z499" s="185"/>
      <c r="AA499" s="592"/>
      <c r="AB499" s="186"/>
      <c r="AC499" s="9"/>
      <c r="AD499" s="297"/>
      <c r="AE499" s="297">
        <f t="shared" si="183"/>
        <v>1746072</v>
      </c>
      <c r="AF499" s="9"/>
      <c r="AG499" s="9" t="s">
        <v>1395</v>
      </c>
      <c r="AH499" s="300">
        <v>42838</v>
      </c>
      <c r="AI499" s="9" t="s">
        <v>1663</v>
      </c>
      <c r="AJ499" s="300">
        <v>42838</v>
      </c>
      <c r="AK499" s="73" t="str">
        <f t="shared" si="186"/>
        <v>MADHANI TALATAH NUSANTARA, PTAPR</v>
      </c>
    </row>
    <row r="500" spans="1:37" s="114" customFormat="1" ht="12" hidden="1" customHeight="1">
      <c r="A500" s="53"/>
      <c r="B500" s="53" t="s">
        <v>240</v>
      </c>
      <c r="C500" s="9">
        <v>10</v>
      </c>
      <c r="D500" s="8" t="s">
        <v>40</v>
      </c>
      <c r="E500" s="10" t="s">
        <v>355</v>
      </c>
      <c r="F500" s="356"/>
      <c r="G500" s="10"/>
      <c r="H500" s="10" t="s">
        <v>2343</v>
      </c>
      <c r="I500" s="10" t="s">
        <v>2356</v>
      </c>
      <c r="J500" s="658">
        <v>0</v>
      </c>
      <c r="K500" s="116">
        <f>29101200*3</f>
        <v>87303600</v>
      </c>
      <c r="L500" s="116">
        <f t="shared" si="188"/>
        <v>8730360</v>
      </c>
      <c r="M500" s="658">
        <v>0</v>
      </c>
      <c r="N500" s="189">
        <f t="shared" si="189"/>
        <v>96033960</v>
      </c>
      <c r="O500" s="197" t="s">
        <v>240</v>
      </c>
      <c r="P500" s="197" t="s">
        <v>91</v>
      </c>
      <c r="Q500" s="175"/>
      <c r="R500" s="175"/>
      <c r="S500" s="116">
        <v>0</v>
      </c>
      <c r="T500" s="116">
        <f t="shared" si="181"/>
        <v>-1746072</v>
      </c>
      <c r="U500" s="116">
        <v>94287888</v>
      </c>
      <c r="V500" s="210">
        <f t="shared" si="164"/>
        <v>0</v>
      </c>
      <c r="W500" s="115">
        <f t="shared" si="187"/>
        <v>0</v>
      </c>
      <c r="X500" s="181" t="s">
        <v>237</v>
      </c>
      <c r="Y500" s="116"/>
      <c r="Z500" s="185"/>
      <c r="AA500" s="592"/>
      <c r="AB500" s="186"/>
      <c r="AC500" s="9"/>
      <c r="AD500" s="297"/>
      <c r="AE500" s="297">
        <f t="shared" si="183"/>
        <v>1746072</v>
      </c>
      <c r="AF500" s="9"/>
      <c r="AG500" s="9" t="s">
        <v>1395</v>
      </c>
      <c r="AH500" s="300">
        <v>42838</v>
      </c>
      <c r="AI500" s="9" t="s">
        <v>1663</v>
      </c>
      <c r="AJ500" s="300">
        <v>42838</v>
      </c>
      <c r="AK500" s="73" t="str">
        <f t="shared" si="186"/>
        <v>MADHANI TALATAH NUSANTARA, PTAPR</v>
      </c>
    </row>
    <row r="501" spans="1:37" s="114" customFormat="1" ht="12" hidden="1" customHeight="1">
      <c r="A501" s="53"/>
      <c r="B501" s="53" t="s">
        <v>240</v>
      </c>
      <c r="C501" s="9">
        <v>10</v>
      </c>
      <c r="D501" s="8" t="s">
        <v>40</v>
      </c>
      <c r="E501" s="10" t="s">
        <v>448</v>
      </c>
      <c r="F501" s="356"/>
      <c r="G501" s="10"/>
      <c r="H501" s="10" t="s">
        <v>2344</v>
      </c>
      <c r="I501" s="10" t="s">
        <v>2357</v>
      </c>
      <c r="J501" s="658">
        <v>0</v>
      </c>
      <c r="K501" s="116">
        <f>(29101200*3)+(6583500*3)</f>
        <v>107054100</v>
      </c>
      <c r="L501" s="116">
        <f t="shared" si="188"/>
        <v>10705410</v>
      </c>
      <c r="M501" s="658">
        <v>0</v>
      </c>
      <c r="N501" s="189">
        <f t="shared" si="189"/>
        <v>117759510</v>
      </c>
      <c r="O501" s="197" t="s">
        <v>240</v>
      </c>
      <c r="P501" s="197" t="s">
        <v>91</v>
      </c>
      <c r="Q501" s="175"/>
      <c r="R501" s="175"/>
      <c r="S501" s="116">
        <v>0</v>
      </c>
      <c r="T501" s="116">
        <f t="shared" si="181"/>
        <v>-2141082</v>
      </c>
      <c r="U501" s="116">
        <v>115618428</v>
      </c>
      <c r="V501" s="210">
        <f t="shared" si="164"/>
        <v>0</v>
      </c>
      <c r="W501" s="115">
        <f t="shared" si="187"/>
        <v>0</v>
      </c>
      <c r="X501" s="181" t="s">
        <v>237</v>
      </c>
      <c r="Y501" s="116"/>
      <c r="Z501" s="185"/>
      <c r="AA501" s="592"/>
      <c r="AB501" s="186"/>
      <c r="AC501" s="9"/>
      <c r="AD501" s="297"/>
      <c r="AE501" s="297">
        <f t="shared" si="183"/>
        <v>2141082</v>
      </c>
      <c r="AF501" s="9"/>
      <c r="AG501" s="9" t="s">
        <v>1395</v>
      </c>
      <c r="AH501" s="300">
        <v>42838</v>
      </c>
      <c r="AI501" s="9" t="s">
        <v>1663</v>
      </c>
      <c r="AJ501" s="300">
        <v>42838</v>
      </c>
      <c r="AK501" s="73" t="str">
        <f t="shared" si="186"/>
        <v>MADHANI TALATAH NUSANTARA, PTAPR</v>
      </c>
    </row>
    <row r="502" spans="1:37" s="114" customFormat="1" ht="12" hidden="1" customHeight="1">
      <c r="A502" s="53"/>
      <c r="B502" s="53" t="s">
        <v>240</v>
      </c>
      <c r="C502" s="9">
        <v>10</v>
      </c>
      <c r="D502" s="8" t="s">
        <v>40</v>
      </c>
      <c r="E502" s="10" t="s">
        <v>364</v>
      </c>
      <c r="F502" s="356"/>
      <c r="G502" s="10"/>
      <c r="H502" s="10" t="s">
        <v>2345</v>
      </c>
      <c r="I502" s="10" t="s">
        <v>2358</v>
      </c>
      <c r="J502" s="658">
        <v>0</v>
      </c>
      <c r="K502" s="116">
        <f>9500000*3</f>
        <v>28500000</v>
      </c>
      <c r="L502" s="116">
        <f t="shared" si="188"/>
        <v>2850000</v>
      </c>
      <c r="M502" s="658">
        <v>0</v>
      </c>
      <c r="N502" s="189">
        <f t="shared" si="189"/>
        <v>31350000</v>
      </c>
      <c r="O502" s="197" t="s">
        <v>240</v>
      </c>
      <c r="P502" s="197" t="s">
        <v>91</v>
      </c>
      <c r="Q502" s="175"/>
      <c r="R502" s="175"/>
      <c r="S502" s="116">
        <v>0</v>
      </c>
      <c r="T502" s="116">
        <f t="shared" si="181"/>
        <v>-570000</v>
      </c>
      <c r="U502" s="116">
        <v>30780000</v>
      </c>
      <c r="V502" s="210">
        <f t="shared" si="164"/>
        <v>0</v>
      </c>
      <c r="W502" s="115">
        <f t="shared" si="187"/>
        <v>0</v>
      </c>
      <c r="X502" s="181" t="s">
        <v>237</v>
      </c>
      <c r="Y502" s="116"/>
      <c r="Z502" s="185"/>
      <c r="AA502" s="592"/>
      <c r="AB502" s="186"/>
      <c r="AC502" s="9"/>
      <c r="AD502" s="297"/>
      <c r="AE502" s="297">
        <f t="shared" si="183"/>
        <v>570000</v>
      </c>
      <c r="AF502" s="9"/>
      <c r="AG502" s="9" t="s">
        <v>1395</v>
      </c>
      <c r="AH502" s="300">
        <v>42838</v>
      </c>
      <c r="AI502" s="9" t="s">
        <v>1663</v>
      </c>
      <c r="AJ502" s="300">
        <v>42838</v>
      </c>
      <c r="AK502" s="73" t="str">
        <f t="shared" si="186"/>
        <v>MADHANI TALATAH NUSANTARA, PTAPR</v>
      </c>
    </row>
    <row r="503" spans="1:37" s="114" customFormat="1" ht="12" hidden="1" customHeight="1">
      <c r="A503" s="53"/>
      <c r="B503" s="53" t="s">
        <v>240</v>
      </c>
      <c r="C503" s="9">
        <v>10</v>
      </c>
      <c r="D503" s="8" t="s">
        <v>40</v>
      </c>
      <c r="E503" s="10" t="s">
        <v>354</v>
      </c>
      <c r="F503" s="356"/>
      <c r="G503" s="10"/>
      <c r="H503" s="10" t="s">
        <v>2346</v>
      </c>
      <c r="I503" s="10" t="s">
        <v>2359</v>
      </c>
      <c r="J503" s="658">
        <v>0</v>
      </c>
      <c r="K503" s="116">
        <f>28446500*3</f>
        <v>85339500</v>
      </c>
      <c r="L503" s="116">
        <f t="shared" si="188"/>
        <v>8533950</v>
      </c>
      <c r="M503" s="658">
        <v>0</v>
      </c>
      <c r="N503" s="189">
        <f t="shared" si="189"/>
        <v>93873450</v>
      </c>
      <c r="O503" s="197" t="s">
        <v>240</v>
      </c>
      <c r="P503" s="197" t="s">
        <v>91</v>
      </c>
      <c r="Q503" s="175"/>
      <c r="R503" s="175"/>
      <c r="S503" s="116">
        <v>0</v>
      </c>
      <c r="T503" s="116">
        <f t="shared" si="181"/>
        <v>-1706790</v>
      </c>
      <c r="U503" s="116">
        <v>92166660</v>
      </c>
      <c r="V503" s="210">
        <f t="shared" si="164"/>
        <v>0</v>
      </c>
      <c r="W503" s="115">
        <f t="shared" si="187"/>
        <v>0</v>
      </c>
      <c r="X503" s="181" t="s">
        <v>237</v>
      </c>
      <c r="Y503" s="116"/>
      <c r="Z503" s="185"/>
      <c r="AA503" s="592"/>
      <c r="AB503" s="186"/>
      <c r="AC503" s="9"/>
      <c r="AD503" s="297"/>
      <c r="AE503" s="297">
        <f t="shared" si="183"/>
        <v>1706790</v>
      </c>
      <c r="AF503" s="9"/>
      <c r="AG503" s="9" t="s">
        <v>1395</v>
      </c>
      <c r="AH503" s="300">
        <v>42838</v>
      </c>
      <c r="AI503" s="9" t="s">
        <v>1663</v>
      </c>
      <c r="AJ503" s="300">
        <v>42838</v>
      </c>
      <c r="AK503" s="73" t="str">
        <f t="shared" si="186"/>
        <v>MADHANI TALATAH NUSANTARA, PTAPR</v>
      </c>
    </row>
    <row r="504" spans="1:37" s="114" customFormat="1" ht="12" hidden="1" customHeight="1">
      <c r="A504" s="53"/>
      <c r="B504" s="53" t="s">
        <v>240</v>
      </c>
      <c r="C504" s="9">
        <v>10</v>
      </c>
      <c r="D504" s="8" t="s">
        <v>40</v>
      </c>
      <c r="E504" s="10" t="s">
        <v>118</v>
      </c>
      <c r="F504" s="356"/>
      <c r="G504" s="10"/>
      <c r="H504" s="10" t="s">
        <v>2347</v>
      </c>
      <c r="I504" s="10" t="s">
        <v>14</v>
      </c>
      <c r="J504" s="658">
        <v>0</v>
      </c>
      <c r="K504" s="116">
        <v>2760400</v>
      </c>
      <c r="L504" s="116">
        <v>0</v>
      </c>
      <c r="M504" s="658">
        <v>0</v>
      </c>
      <c r="N504" s="189">
        <f t="shared" si="189"/>
        <v>2760400</v>
      </c>
      <c r="O504" s="197" t="s">
        <v>240</v>
      </c>
      <c r="P504" s="197" t="s">
        <v>91</v>
      </c>
      <c r="Q504" s="175"/>
      <c r="R504" s="175"/>
      <c r="S504" s="116">
        <v>0</v>
      </c>
      <c r="T504" s="116">
        <v>0</v>
      </c>
      <c r="U504" s="116">
        <v>2760400</v>
      </c>
      <c r="V504" s="210">
        <f t="shared" si="164"/>
        <v>0</v>
      </c>
      <c r="W504" s="115">
        <f t="shared" si="187"/>
        <v>0</v>
      </c>
      <c r="X504" s="181" t="s">
        <v>237</v>
      </c>
      <c r="Y504" s="116"/>
      <c r="Z504" s="185"/>
      <c r="AA504" s="592"/>
      <c r="AB504" s="186"/>
      <c r="AC504" s="9"/>
      <c r="AD504" s="297"/>
      <c r="AE504" s="297">
        <f t="shared" si="183"/>
        <v>0</v>
      </c>
      <c r="AF504" s="9"/>
      <c r="AG504" s="9" t="s">
        <v>1395</v>
      </c>
      <c r="AH504" s="300">
        <v>42838</v>
      </c>
      <c r="AI504" s="9" t="s">
        <v>1663</v>
      </c>
      <c r="AJ504" s="300">
        <v>42838</v>
      </c>
      <c r="AK504" s="73" t="str">
        <f t="shared" si="186"/>
        <v>MADHANI TALATAH NUSANTARA, PTAPR</v>
      </c>
    </row>
    <row r="505" spans="1:37" s="114" customFormat="1" ht="12" hidden="1" customHeight="1">
      <c r="A505" s="53"/>
      <c r="B505" s="53" t="s">
        <v>240</v>
      </c>
      <c r="C505" s="9">
        <v>10</v>
      </c>
      <c r="D505" s="8" t="s">
        <v>40</v>
      </c>
      <c r="E505" s="10" t="s">
        <v>144</v>
      </c>
      <c r="F505" s="356"/>
      <c r="G505" s="10"/>
      <c r="H505" s="10" t="s">
        <v>2348</v>
      </c>
      <c r="I505" s="10" t="s">
        <v>2360</v>
      </c>
      <c r="J505" s="658">
        <v>0</v>
      </c>
      <c r="K505" s="116">
        <v>13500000</v>
      </c>
      <c r="L505" s="116">
        <f t="shared" si="188"/>
        <v>1350000</v>
      </c>
      <c r="M505" s="658">
        <v>0</v>
      </c>
      <c r="N505" s="189">
        <f t="shared" si="189"/>
        <v>14850000</v>
      </c>
      <c r="O505" s="197" t="s">
        <v>58</v>
      </c>
      <c r="P505" s="197" t="s">
        <v>39</v>
      </c>
      <c r="Q505" s="175"/>
      <c r="R505" s="175"/>
      <c r="S505" s="116">
        <v>0</v>
      </c>
      <c r="T505" s="116">
        <f t="shared" si="181"/>
        <v>-270000</v>
      </c>
      <c r="U505" s="116">
        <v>14580000</v>
      </c>
      <c r="V505" s="210">
        <f t="shared" si="164"/>
        <v>0</v>
      </c>
      <c r="W505" s="115">
        <f t="shared" si="187"/>
        <v>0</v>
      </c>
      <c r="X505" s="181" t="s">
        <v>237</v>
      </c>
      <c r="Y505" s="116"/>
      <c r="Z505" s="185"/>
      <c r="AA505" s="592"/>
      <c r="AB505" s="186"/>
      <c r="AC505" s="9"/>
      <c r="AD505" s="297"/>
      <c r="AE505" s="297">
        <f t="shared" si="183"/>
        <v>270000</v>
      </c>
      <c r="AF505" s="9"/>
      <c r="AG505" s="9" t="s">
        <v>1395</v>
      </c>
      <c r="AH505" s="300">
        <v>42838</v>
      </c>
      <c r="AI505" s="9" t="s">
        <v>1663</v>
      </c>
      <c r="AJ505" s="300">
        <v>42838</v>
      </c>
      <c r="AK505" s="73" t="str">
        <f t="shared" si="186"/>
        <v>MADHANI TALATAH NUSANTARA, PTMEI</v>
      </c>
    </row>
    <row r="506" spans="1:37" s="114" customFormat="1" ht="12" hidden="1" customHeight="1">
      <c r="A506" s="53"/>
      <c r="B506" s="53" t="s">
        <v>240</v>
      </c>
      <c r="C506" s="9">
        <v>10</v>
      </c>
      <c r="D506" s="8" t="s">
        <v>40</v>
      </c>
      <c r="E506" s="10" t="s">
        <v>118</v>
      </c>
      <c r="F506" s="356"/>
      <c r="G506" s="10"/>
      <c r="H506" s="10" t="s">
        <v>2349</v>
      </c>
      <c r="I506" s="10" t="s">
        <v>14</v>
      </c>
      <c r="J506" s="658">
        <v>0</v>
      </c>
      <c r="K506" s="116">
        <v>2282984</v>
      </c>
      <c r="L506" s="116">
        <v>0</v>
      </c>
      <c r="M506" s="658">
        <v>0</v>
      </c>
      <c r="N506" s="189">
        <f t="shared" si="189"/>
        <v>2282984</v>
      </c>
      <c r="O506" s="197" t="s">
        <v>240</v>
      </c>
      <c r="P506" s="197" t="s">
        <v>91</v>
      </c>
      <c r="Q506" s="175"/>
      <c r="R506" s="175"/>
      <c r="S506" s="116">
        <v>0</v>
      </c>
      <c r="T506" s="116">
        <v>0</v>
      </c>
      <c r="U506" s="116">
        <f>2282984-36</f>
        <v>2282948</v>
      </c>
      <c r="V506" s="210">
        <f t="shared" si="164"/>
        <v>0</v>
      </c>
      <c r="W506" s="115">
        <f t="shared" si="187"/>
        <v>36</v>
      </c>
      <c r="X506" s="181" t="s">
        <v>237</v>
      </c>
      <c r="Y506" s="116"/>
      <c r="Z506" s="185"/>
      <c r="AA506" s="592"/>
      <c r="AB506" s="186"/>
      <c r="AC506" s="9"/>
      <c r="AD506" s="297"/>
      <c r="AE506" s="297">
        <f t="shared" si="183"/>
        <v>0</v>
      </c>
      <c r="AF506" s="9"/>
      <c r="AG506" s="9" t="s">
        <v>1395</v>
      </c>
      <c r="AH506" s="300">
        <v>42838</v>
      </c>
      <c r="AI506" s="9" t="s">
        <v>1663</v>
      </c>
      <c r="AJ506" s="300">
        <v>42838</v>
      </c>
      <c r="AK506" s="73" t="str">
        <f t="shared" si="186"/>
        <v>MADHANI TALATAH NUSANTARA, PTAPR</v>
      </c>
    </row>
    <row r="507" spans="1:37" s="114" customFormat="1" ht="12" hidden="1" customHeight="1">
      <c r="A507" s="53"/>
      <c r="B507" s="53" t="s">
        <v>240</v>
      </c>
      <c r="C507" s="9">
        <v>20</v>
      </c>
      <c r="D507" s="8" t="s">
        <v>40</v>
      </c>
      <c r="E507" s="10" t="s">
        <v>354</v>
      </c>
      <c r="F507" s="356"/>
      <c r="G507" s="10"/>
      <c r="H507" s="10" t="s">
        <v>2377</v>
      </c>
      <c r="I507" s="10" t="s">
        <v>2378</v>
      </c>
      <c r="J507" s="658">
        <v>0</v>
      </c>
      <c r="K507" s="116">
        <v>27937900</v>
      </c>
      <c r="L507" s="116">
        <f>K507*10%</f>
        <v>2793790</v>
      </c>
      <c r="M507" s="658">
        <v>0</v>
      </c>
      <c r="N507" s="189">
        <f t="shared" ref="N507:N512" si="190">K507+L507</f>
        <v>30731690</v>
      </c>
      <c r="O507" s="197" t="s">
        <v>58</v>
      </c>
      <c r="P507" s="197" t="s">
        <v>39</v>
      </c>
      <c r="Q507" s="175"/>
      <c r="R507" s="175"/>
      <c r="S507" s="116">
        <v>0</v>
      </c>
      <c r="T507" s="116">
        <f t="shared" si="181"/>
        <v>-558758</v>
      </c>
      <c r="U507" s="116">
        <v>30172932</v>
      </c>
      <c r="V507" s="210">
        <f t="shared" si="164"/>
        <v>0</v>
      </c>
      <c r="W507" s="115">
        <f t="shared" si="187"/>
        <v>0</v>
      </c>
      <c r="X507" s="181" t="s">
        <v>237</v>
      </c>
      <c r="Y507" s="116"/>
      <c r="Z507" s="185"/>
      <c r="AA507" s="592"/>
      <c r="AB507" s="186"/>
      <c r="AC507" s="9"/>
      <c r="AD507" s="297"/>
      <c r="AE507" s="297">
        <f t="shared" si="183"/>
        <v>558758</v>
      </c>
      <c r="AF507" s="9"/>
      <c r="AG507" s="9" t="s">
        <v>1395</v>
      </c>
      <c r="AH507" s="300">
        <v>42851</v>
      </c>
      <c r="AI507" s="9" t="s">
        <v>2535</v>
      </c>
      <c r="AJ507" s="300">
        <v>42851</v>
      </c>
      <c r="AK507" s="73" t="str">
        <f t="shared" si="186"/>
        <v>MADHANI TALATAH NUSANTARA, PTMEI</v>
      </c>
    </row>
    <row r="508" spans="1:37" s="114" customFormat="1" ht="12" hidden="1" customHeight="1">
      <c r="A508" s="53"/>
      <c r="B508" s="53" t="s">
        <v>58</v>
      </c>
      <c r="C508" s="9">
        <v>26</v>
      </c>
      <c r="D508" s="8" t="s">
        <v>40</v>
      </c>
      <c r="E508" s="10" t="s">
        <v>118</v>
      </c>
      <c r="F508" s="356"/>
      <c r="G508" s="10"/>
      <c r="H508" s="10" t="s">
        <v>2569</v>
      </c>
      <c r="I508" s="10" t="s">
        <v>14</v>
      </c>
      <c r="J508" s="658">
        <v>0</v>
      </c>
      <c r="K508" s="116">
        <v>1535300</v>
      </c>
      <c r="L508" s="116">
        <v>0</v>
      </c>
      <c r="M508" s="658">
        <v>0</v>
      </c>
      <c r="N508" s="189">
        <f t="shared" si="190"/>
        <v>1535300</v>
      </c>
      <c r="O508" s="197" t="s">
        <v>241</v>
      </c>
      <c r="P508" s="197" t="s">
        <v>34</v>
      </c>
      <c r="Q508" s="175"/>
      <c r="R508" s="175"/>
      <c r="S508" s="116">
        <v>0</v>
      </c>
      <c r="T508" s="116">
        <v>0</v>
      </c>
      <c r="U508" s="116">
        <v>1535300</v>
      </c>
      <c r="V508" s="210">
        <f t="shared" si="164"/>
        <v>0</v>
      </c>
      <c r="W508" s="115">
        <f t="shared" si="187"/>
        <v>0</v>
      </c>
      <c r="X508" s="181" t="s">
        <v>237</v>
      </c>
      <c r="Y508" s="116"/>
      <c r="Z508" s="185"/>
      <c r="AA508" s="592"/>
      <c r="AB508" s="186"/>
      <c r="AC508" s="9"/>
      <c r="AD508" s="297"/>
      <c r="AE508" s="297">
        <f t="shared" si="183"/>
        <v>0</v>
      </c>
      <c r="AF508" s="9"/>
      <c r="AG508" s="9" t="s">
        <v>1395</v>
      </c>
      <c r="AH508" s="300">
        <v>42884</v>
      </c>
      <c r="AI508" s="9" t="s">
        <v>1663</v>
      </c>
      <c r="AJ508" s="300">
        <v>42884</v>
      </c>
      <c r="AK508" s="73" t="str">
        <f t="shared" si="186"/>
        <v>MADHANI TALATAH NUSANTARA, PTJUN</v>
      </c>
    </row>
    <row r="509" spans="1:37" s="114" customFormat="1" ht="12" hidden="1" customHeight="1">
      <c r="A509" s="53"/>
      <c r="B509" s="53" t="s">
        <v>58</v>
      </c>
      <c r="C509" s="9">
        <v>26</v>
      </c>
      <c r="D509" s="8" t="s">
        <v>40</v>
      </c>
      <c r="E509" s="10" t="s">
        <v>144</v>
      </c>
      <c r="F509" s="356"/>
      <c r="G509" s="10"/>
      <c r="H509" s="10" t="s">
        <v>2570</v>
      </c>
      <c r="I509" s="10" t="s">
        <v>2571</v>
      </c>
      <c r="J509" s="658">
        <v>0</v>
      </c>
      <c r="K509" s="116">
        <v>13500000</v>
      </c>
      <c r="L509" s="116">
        <f>K509*10%</f>
        <v>1350000</v>
      </c>
      <c r="M509" s="658">
        <v>0</v>
      </c>
      <c r="N509" s="189">
        <f t="shared" si="190"/>
        <v>14850000</v>
      </c>
      <c r="O509" s="197" t="s">
        <v>241</v>
      </c>
      <c r="P509" s="197" t="s">
        <v>34</v>
      </c>
      <c r="Q509" s="175"/>
      <c r="R509" s="175"/>
      <c r="S509" s="116">
        <v>0</v>
      </c>
      <c r="T509" s="116">
        <f t="shared" si="181"/>
        <v>-270000</v>
      </c>
      <c r="U509" s="116">
        <v>14580000</v>
      </c>
      <c r="V509" s="210">
        <f t="shared" si="164"/>
        <v>0</v>
      </c>
      <c r="W509" s="115">
        <f t="shared" si="187"/>
        <v>0</v>
      </c>
      <c r="X509" s="181" t="s">
        <v>237</v>
      </c>
      <c r="Y509" s="116"/>
      <c r="Z509" s="185"/>
      <c r="AA509" s="592"/>
      <c r="AB509" s="186"/>
      <c r="AC509" s="9"/>
      <c r="AD509" s="297"/>
      <c r="AE509" s="297">
        <f t="shared" si="183"/>
        <v>270000</v>
      </c>
      <c r="AF509" s="9"/>
      <c r="AG509" s="9" t="s">
        <v>1395</v>
      </c>
      <c r="AH509" s="300">
        <v>42884</v>
      </c>
      <c r="AI509" s="9" t="s">
        <v>1663</v>
      </c>
      <c r="AJ509" s="300">
        <v>42884</v>
      </c>
      <c r="AK509" s="73" t="str">
        <f t="shared" si="186"/>
        <v>MADHANI TALATAH NUSANTARA, PTJUN</v>
      </c>
    </row>
    <row r="510" spans="1:37" s="114" customFormat="1" ht="12" hidden="1" customHeight="1">
      <c r="A510" s="53"/>
      <c r="B510" s="53" t="s">
        <v>58</v>
      </c>
      <c r="C510" s="9">
        <v>26</v>
      </c>
      <c r="D510" s="8" t="s">
        <v>40</v>
      </c>
      <c r="E510" s="10" t="s">
        <v>118</v>
      </c>
      <c r="F510" s="356"/>
      <c r="G510" s="10"/>
      <c r="H510" s="10" t="s">
        <v>2572</v>
      </c>
      <c r="I510" s="10" t="s">
        <v>14</v>
      </c>
      <c r="J510" s="658">
        <v>0</v>
      </c>
      <c r="K510" s="116">
        <v>2015300</v>
      </c>
      <c r="L510" s="116">
        <v>0</v>
      </c>
      <c r="M510" s="658">
        <v>0</v>
      </c>
      <c r="N510" s="189">
        <f t="shared" si="190"/>
        <v>2015300</v>
      </c>
      <c r="O510" s="197" t="s">
        <v>241</v>
      </c>
      <c r="P510" s="197" t="s">
        <v>34</v>
      </c>
      <c r="Q510" s="175"/>
      <c r="R510" s="175"/>
      <c r="S510" s="116">
        <v>0</v>
      </c>
      <c r="T510" s="116">
        <v>0</v>
      </c>
      <c r="U510" s="116">
        <v>2015300</v>
      </c>
      <c r="V510" s="210">
        <f t="shared" si="164"/>
        <v>0</v>
      </c>
      <c r="W510" s="115">
        <f t="shared" si="187"/>
        <v>0</v>
      </c>
      <c r="X510" s="181" t="s">
        <v>237</v>
      </c>
      <c r="Y510" s="116"/>
      <c r="Z510" s="185"/>
      <c r="AA510" s="592"/>
      <c r="AB510" s="186"/>
      <c r="AC510" s="9"/>
      <c r="AD510" s="297"/>
      <c r="AE510" s="297">
        <f t="shared" si="183"/>
        <v>0</v>
      </c>
      <c r="AF510" s="9"/>
      <c r="AG510" s="9" t="s">
        <v>1395</v>
      </c>
      <c r="AH510" s="300">
        <v>42884</v>
      </c>
      <c r="AI510" s="9" t="s">
        <v>1663</v>
      </c>
      <c r="AJ510" s="300">
        <v>42884</v>
      </c>
      <c r="AK510" s="73" t="str">
        <f t="shared" si="186"/>
        <v>MADHANI TALATAH NUSANTARA, PTJUN</v>
      </c>
    </row>
    <row r="511" spans="1:37" s="114" customFormat="1" ht="12" hidden="1" customHeight="1">
      <c r="A511" s="53"/>
      <c r="B511" s="53" t="s">
        <v>241</v>
      </c>
      <c r="C511" s="9">
        <v>13</v>
      </c>
      <c r="D511" s="8" t="s">
        <v>40</v>
      </c>
      <c r="E511" s="10" t="s">
        <v>354</v>
      </c>
      <c r="F511" s="356"/>
      <c r="G511" s="10"/>
      <c r="H511" s="10" t="s">
        <v>2728</v>
      </c>
      <c r="I511" s="10" t="s">
        <v>2729</v>
      </c>
      <c r="J511" s="658">
        <v>0</v>
      </c>
      <c r="K511" s="116">
        <v>80989650</v>
      </c>
      <c r="L511" s="116">
        <f>K511*10%</f>
        <v>8098965</v>
      </c>
      <c r="M511" s="658">
        <v>0</v>
      </c>
      <c r="N511" s="189">
        <f t="shared" si="190"/>
        <v>89088615</v>
      </c>
      <c r="O511" s="197" t="s">
        <v>242</v>
      </c>
      <c r="P511" s="197" t="s">
        <v>115</v>
      </c>
      <c r="Q511" s="175"/>
      <c r="R511" s="175"/>
      <c r="S511" s="116">
        <v>0</v>
      </c>
      <c r="T511" s="116">
        <f t="shared" si="181"/>
        <v>-1619793</v>
      </c>
      <c r="U511" s="116">
        <v>87468822</v>
      </c>
      <c r="V511" s="210">
        <f t="shared" si="164"/>
        <v>0</v>
      </c>
      <c r="W511" s="115">
        <f t="shared" si="187"/>
        <v>0</v>
      </c>
      <c r="X511" s="181" t="s">
        <v>237</v>
      </c>
      <c r="Y511" s="116"/>
      <c r="Z511" s="185"/>
      <c r="AA511" s="592"/>
      <c r="AB511" s="186"/>
      <c r="AC511" s="9"/>
      <c r="AD511" s="297"/>
      <c r="AE511" s="297">
        <f t="shared" si="183"/>
        <v>1619793</v>
      </c>
      <c r="AF511" s="9"/>
      <c r="AG511" s="9" t="s">
        <v>1395</v>
      </c>
      <c r="AH511" s="300">
        <v>42900</v>
      </c>
      <c r="AI511" s="9" t="s">
        <v>2749</v>
      </c>
      <c r="AJ511" s="300">
        <v>42900</v>
      </c>
      <c r="AK511" s="73" t="str">
        <f t="shared" si="186"/>
        <v>MADHANI TALATAH NUSANTARA, PTJUL</v>
      </c>
    </row>
    <row r="512" spans="1:37" s="114" customFormat="1" ht="12" hidden="1" customHeight="1">
      <c r="A512" s="53"/>
      <c r="B512" s="53" t="s">
        <v>241</v>
      </c>
      <c r="C512" s="9">
        <v>13</v>
      </c>
      <c r="D512" s="8" t="s">
        <v>40</v>
      </c>
      <c r="E512" s="10" t="s">
        <v>354</v>
      </c>
      <c r="F512" s="356"/>
      <c r="G512" s="10"/>
      <c r="H512" s="10" t="s">
        <v>2730</v>
      </c>
      <c r="I512" s="10" t="s">
        <v>2731</v>
      </c>
      <c r="J512" s="658">
        <v>0</v>
      </c>
      <c r="K512" s="116">
        <v>80989650</v>
      </c>
      <c r="L512" s="116">
        <f>K512*10%</f>
        <v>8098965</v>
      </c>
      <c r="M512" s="658">
        <v>0</v>
      </c>
      <c r="N512" s="189">
        <f t="shared" si="190"/>
        <v>89088615</v>
      </c>
      <c r="O512" s="197" t="s">
        <v>242</v>
      </c>
      <c r="P512" s="197" t="s">
        <v>115</v>
      </c>
      <c r="Q512" s="175"/>
      <c r="R512" s="175"/>
      <c r="S512" s="116">
        <v>0</v>
      </c>
      <c r="T512" s="116">
        <f t="shared" si="181"/>
        <v>-1619793</v>
      </c>
      <c r="U512" s="116">
        <v>87468822</v>
      </c>
      <c r="V512" s="210">
        <f t="shared" si="164"/>
        <v>0</v>
      </c>
      <c r="W512" s="115">
        <f t="shared" si="187"/>
        <v>0</v>
      </c>
      <c r="X512" s="181" t="s">
        <v>237</v>
      </c>
      <c r="Y512" s="116"/>
      <c r="Z512" s="185"/>
      <c r="AA512" s="592"/>
      <c r="AB512" s="186"/>
      <c r="AC512" s="9"/>
      <c r="AD512" s="297"/>
      <c r="AE512" s="297">
        <f t="shared" si="183"/>
        <v>1619793</v>
      </c>
      <c r="AF512" s="9"/>
      <c r="AG512" s="9" t="s">
        <v>1395</v>
      </c>
      <c r="AH512" s="300">
        <v>42900</v>
      </c>
      <c r="AI512" s="9" t="s">
        <v>2749</v>
      </c>
      <c r="AJ512" s="300">
        <v>42900</v>
      </c>
      <c r="AK512" s="73" t="str">
        <f t="shared" si="186"/>
        <v>MADHANI TALATAH NUSANTARA, PTJUL</v>
      </c>
    </row>
    <row r="513" spans="1:37" s="114" customFormat="1" ht="12" hidden="1" customHeight="1">
      <c r="A513" s="53"/>
      <c r="B513" s="53" t="s">
        <v>241</v>
      </c>
      <c r="C513" s="9">
        <v>13</v>
      </c>
      <c r="D513" s="8" t="s">
        <v>40</v>
      </c>
      <c r="E513" s="10" t="s">
        <v>354</v>
      </c>
      <c r="F513" s="356"/>
      <c r="G513" s="10"/>
      <c r="H513" s="10" t="s">
        <v>2732</v>
      </c>
      <c r="I513" s="10" t="s">
        <v>2733</v>
      </c>
      <c r="J513" s="658">
        <v>0</v>
      </c>
      <c r="K513" s="116">
        <v>80989650</v>
      </c>
      <c r="L513" s="116">
        <f t="shared" ref="L513:L526" si="191">K513*10%</f>
        <v>8098965</v>
      </c>
      <c r="M513" s="658">
        <v>0</v>
      </c>
      <c r="N513" s="189">
        <f t="shared" ref="N513:N526" si="192">K513+L513</f>
        <v>89088615</v>
      </c>
      <c r="O513" s="197" t="s">
        <v>242</v>
      </c>
      <c r="P513" s="197" t="s">
        <v>115</v>
      </c>
      <c r="Q513" s="175"/>
      <c r="R513" s="175"/>
      <c r="S513" s="116">
        <v>0</v>
      </c>
      <c r="T513" s="116">
        <f t="shared" si="181"/>
        <v>-1619793</v>
      </c>
      <c r="U513" s="116">
        <v>87468822</v>
      </c>
      <c r="V513" s="210">
        <f t="shared" si="164"/>
        <v>0</v>
      </c>
      <c r="W513" s="115">
        <f t="shared" si="187"/>
        <v>0</v>
      </c>
      <c r="X513" s="181" t="s">
        <v>237</v>
      </c>
      <c r="Y513" s="116"/>
      <c r="Z513" s="185"/>
      <c r="AA513" s="592"/>
      <c r="AB513" s="186"/>
      <c r="AC513" s="9"/>
      <c r="AD513" s="297"/>
      <c r="AE513" s="297">
        <f t="shared" si="183"/>
        <v>1619793</v>
      </c>
      <c r="AF513" s="9"/>
      <c r="AG513" s="9" t="s">
        <v>1395</v>
      </c>
      <c r="AH513" s="300">
        <v>42900</v>
      </c>
      <c r="AI513" s="9" t="s">
        <v>2749</v>
      </c>
      <c r="AJ513" s="300">
        <v>42900</v>
      </c>
      <c r="AK513" s="73" t="str">
        <f t="shared" si="186"/>
        <v>MADHANI TALATAH NUSANTARA, PTJUL</v>
      </c>
    </row>
    <row r="514" spans="1:37" s="114" customFormat="1" ht="12" hidden="1" customHeight="1">
      <c r="A514" s="53"/>
      <c r="B514" s="53" t="s">
        <v>241</v>
      </c>
      <c r="C514" s="9">
        <v>13</v>
      </c>
      <c r="D514" s="8" t="s">
        <v>40</v>
      </c>
      <c r="E514" s="10" t="s">
        <v>354</v>
      </c>
      <c r="F514" s="356"/>
      <c r="G514" s="10"/>
      <c r="H514" s="10" t="s">
        <v>2734</v>
      </c>
      <c r="I514" s="10" t="s">
        <v>2735</v>
      </c>
      <c r="J514" s="658">
        <v>0</v>
      </c>
      <c r="K514" s="116">
        <v>80989650</v>
      </c>
      <c r="L514" s="116">
        <f t="shared" si="191"/>
        <v>8098965</v>
      </c>
      <c r="M514" s="658">
        <v>0</v>
      </c>
      <c r="N514" s="189">
        <f t="shared" si="192"/>
        <v>89088615</v>
      </c>
      <c r="O514" s="197" t="s">
        <v>242</v>
      </c>
      <c r="P514" s="197" t="s">
        <v>115</v>
      </c>
      <c r="Q514" s="175"/>
      <c r="R514" s="175"/>
      <c r="S514" s="116">
        <v>0</v>
      </c>
      <c r="T514" s="116">
        <f t="shared" si="181"/>
        <v>-1619793</v>
      </c>
      <c r="U514" s="116">
        <v>87468822</v>
      </c>
      <c r="V514" s="210">
        <f t="shared" si="164"/>
        <v>0</v>
      </c>
      <c r="W514" s="115">
        <f t="shared" si="187"/>
        <v>0</v>
      </c>
      <c r="X514" s="181" t="s">
        <v>237</v>
      </c>
      <c r="Y514" s="116"/>
      <c r="Z514" s="185"/>
      <c r="AA514" s="592"/>
      <c r="AB514" s="186"/>
      <c r="AC514" s="9"/>
      <c r="AD514" s="297"/>
      <c r="AE514" s="297">
        <f t="shared" si="183"/>
        <v>1619793</v>
      </c>
      <c r="AF514" s="9"/>
      <c r="AG514" s="9" t="s">
        <v>1395</v>
      </c>
      <c r="AH514" s="300">
        <v>42900</v>
      </c>
      <c r="AI514" s="9" t="s">
        <v>2749</v>
      </c>
      <c r="AJ514" s="300">
        <v>42900</v>
      </c>
      <c r="AK514" s="73" t="str">
        <f t="shared" si="186"/>
        <v>MADHANI TALATAH NUSANTARA, PTJUL</v>
      </c>
    </row>
    <row r="515" spans="1:37" s="114" customFormat="1" ht="12" hidden="1" customHeight="1">
      <c r="A515" s="53"/>
      <c r="B515" s="53" t="s">
        <v>241</v>
      </c>
      <c r="C515" s="9">
        <v>13</v>
      </c>
      <c r="D515" s="8" t="s">
        <v>40</v>
      </c>
      <c r="E515" s="10" t="s">
        <v>354</v>
      </c>
      <c r="F515" s="356"/>
      <c r="G515" s="10"/>
      <c r="H515" s="10" t="s">
        <v>2736</v>
      </c>
      <c r="I515" s="10" t="s">
        <v>2737</v>
      </c>
      <c r="J515" s="658">
        <v>0</v>
      </c>
      <c r="K515" s="116">
        <v>80989650</v>
      </c>
      <c r="L515" s="116">
        <f t="shared" si="191"/>
        <v>8098965</v>
      </c>
      <c r="M515" s="658">
        <v>0</v>
      </c>
      <c r="N515" s="189">
        <f t="shared" si="192"/>
        <v>89088615</v>
      </c>
      <c r="O515" s="197" t="s">
        <v>242</v>
      </c>
      <c r="P515" s="197" t="s">
        <v>115</v>
      </c>
      <c r="Q515" s="175"/>
      <c r="R515" s="175"/>
      <c r="S515" s="116">
        <v>0</v>
      </c>
      <c r="T515" s="116">
        <f t="shared" si="181"/>
        <v>-1619793</v>
      </c>
      <c r="U515" s="116">
        <v>87468822</v>
      </c>
      <c r="V515" s="210">
        <f t="shared" si="164"/>
        <v>0</v>
      </c>
      <c r="W515" s="115">
        <f t="shared" si="187"/>
        <v>0</v>
      </c>
      <c r="X515" s="181" t="s">
        <v>237</v>
      </c>
      <c r="Y515" s="116"/>
      <c r="Z515" s="185"/>
      <c r="AA515" s="592"/>
      <c r="AB515" s="186"/>
      <c r="AC515" s="9"/>
      <c r="AD515" s="297"/>
      <c r="AE515" s="297">
        <f t="shared" si="183"/>
        <v>1619793</v>
      </c>
      <c r="AF515" s="9"/>
      <c r="AG515" s="9" t="s">
        <v>1395</v>
      </c>
      <c r="AH515" s="300">
        <v>42900</v>
      </c>
      <c r="AI515" s="9" t="s">
        <v>2749</v>
      </c>
      <c r="AJ515" s="300">
        <v>42900</v>
      </c>
      <c r="AK515" s="73" t="str">
        <f t="shared" si="186"/>
        <v>MADHANI TALATAH NUSANTARA, PTJUL</v>
      </c>
    </row>
    <row r="516" spans="1:37" s="114" customFormat="1" ht="12" hidden="1" customHeight="1">
      <c r="A516" s="53"/>
      <c r="B516" s="53" t="s">
        <v>241</v>
      </c>
      <c r="C516" s="9">
        <v>13</v>
      </c>
      <c r="D516" s="8" t="s">
        <v>40</v>
      </c>
      <c r="E516" s="10" t="s">
        <v>355</v>
      </c>
      <c r="F516" s="356"/>
      <c r="G516" s="10"/>
      <c r="H516" s="10" t="s">
        <v>2738</v>
      </c>
      <c r="I516" s="10" t="s">
        <v>2739</v>
      </c>
      <c r="J516" s="658">
        <v>0</v>
      </c>
      <c r="K516" s="116">
        <v>82853742</v>
      </c>
      <c r="L516" s="116">
        <f t="shared" si="191"/>
        <v>8285374.2000000002</v>
      </c>
      <c r="M516" s="658">
        <v>0</v>
      </c>
      <c r="N516" s="189">
        <f t="shared" si="192"/>
        <v>91139116.200000003</v>
      </c>
      <c r="O516" s="197" t="s">
        <v>242</v>
      </c>
      <c r="P516" s="197" t="s">
        <v>115</v>
      </c>
      <c r="Q516" s="175"/>
      <c r="R516" s="175"/>
      <c r="S516" s="116">
        <v>0</v>
      </c>
      <c r="T516" s="116">
        <f t="shared" si="181"/>
        <v>-1657074.84</v>
      </c>
      <c r="U516" s="116">
        <v>89482041.359999999</v>
      </c>
      <c r="V516" s="210">
        <f t="shared" si="164"/>
        <v>0</v>
      </c>
      <c r="W516" s="115">
        <f t="shared" si="187"/>
        <v>0</v>
      </c>
      <c r="X516" s="181" t="s">
        <v>237</v>
      </c>
      <c r="Y516" s="116"/>
      <c r="Z516" s="185"/>
      <c r="AA516" s="592"/>
      <c r="AB516" s="186"/>
      <c r="AC516" s="9"/>
      <c r="AD516" s="297"/>
      <c r="AE516" s="297">
        <f t="shared" si="183"/>
        <v>1657074.84</v>
      </c>
      <c r="AF516" s="9"/>
      <c r="AG516" s="9" t="s">
        <v>1395</v>
      </c>
      <c r="AH516" s="300">
        <v>42900</v>
      </c>
      <c r="AI516" s="9" t="s">
        <v>2749</v>
      </c>
      <c r="AJ516" s="300">
        <v>42900</v>
      </c>
      <c r="AK516" s="73" t="str">
        <f t="shared" si="186"/>
        <v>MADHANI TALATAH NUSANTARA, PTJUL</v>
      </c>
    </row>
    <row r="517" spans="1:37" s="114" customFormat="1" ht="12" hidden="1" customHeight="1">
      <c r="A517" s="53"/>
      <c r="B517" s="53" t="s">
        <v>241</v>
      </c>
      <c r="C517" s="9">
        <v>13</v>
      </c>
      <c r="D517" s="8" t="s">
        <v>40</v>
      </c>
      <c r="E517" s="10" t="s">
        <v>355</v>
      </c>
      <c r="F517" s="356"/>
      <c r="G517" s="10"/>
      <c r="H517" s="10" t="s">
        <v>2740</v>
      </c>
      <c r="I517" s="10" t="s">
        <v>2741</v>
      </c>
      <c r="J517" s="658">
        <v>0</v>
      </c>
      <c r="K517" s="116">
        <v>82853742</v>
      </c>
      <c r="L517" s="116">
        <f t="shared" si="191"/>
        <v>8285374.2000000002</v>
      </c>
      <c r="M517" s="658">
        <v>0</v>
      </c>
      <c r="N517" s="189">
        <f t="shared" si="192"/>
        <v>91139116.200000003</v>
      </c>
      <c r="O517" s="197" t="s">
        <v>242</v>
      </c>
      <c r="P517" s="197" t="s">
        <v>115</v>
      </c>
      <c r="Q517" s="175"/>
      <c r="R517" s="175"/>
      <c r="S517" s="116">
        <v>0</v>
      </c>
      <c r="T517" s="116">
        <f t="shared" si="181"/>
        <v>-1657074.84</v>
      </c>
      <c r="U517" s="116">
        <v>89482041.359999999</v>
      </c>
      <c r="V517" s="210">
        <f t="shared" si="164"/>
        <v>0</v>
      </c>
      <c r="W517" s="115">
        <f t="shared" si="187"/>
        <v>0</v>
      </c>
      <c r="X517" s="181" t="s">
        <v>237</v>
      </c>
      <c r="Y517" s="116"/>
      <c r="Z517" s="185"/>
      <c r="AA517" s="592"/>
      <c r="AB517" s="186"/>
      <c r="AC517" s="9"/>
      <c r="AD517" s="297"/>
      <c r="AE517" s="297">
        <f t="shared" si="183"/>
        <v>1657074.84</v>
      </c>
      <c r="AF517" s="9"/>
      <c r="AG517" s="9" t="s">
        <v>1395</v>
      </c>
      <c r="AH517" s="300">
        <v>42900</v>
      </c>
      <c r="AI517" s="9" t="s">
        <v>2749</v>
      </c>
      <c r="AJ517" s="300">
        <v>42900</v>
      </c>
      <c r="AK517" s="73" t="str">
        <f t="shared" si="186"/>
        <v>MADHANI TALATAH NUSANTARA, PTJUL</v>
      </c>
    </row>
    <row r="518" spans="1:37" s="114" customFormat="1" ht="12" hidden="1" customHeight="1">
      <c r="A518" s="53"/>
      <c r="B518" s="53" t="s">
        <v>241</v>
      </c>
      <c r="C518" s="9">
        <v>13</v>
      </c>
      <c r="D518" s="8" t="s">
        <v>40</v>
      </c>
      <c r="E518" s="10" t="s">
        <v>355</v>
      </c>
      <c r="F518" s="356"/>
      <c r="G518" s="10"/>
      <c r="H518" s="10" t="s">
        <v>2742</v>
      </c>
      <c r="I518" s="10" t="s">
        <v>2743</v>
      </c>
      <c r="J518" s="658">
        <v>0</v>
      </c>
      <c r="K518" s="116">
        <v>82853742</v>
      </c>
      <c r="L518" s="116">
        <f t="shared" si="191"/>
        <v>8285374.2000000002</v>
      </c>
      <c r="M518" s="658">
        <v>0</v>
      </c>
      <c r="N518" s="189">
        <f t="shared" si="192"/>
        <v>91139116.200000003</v>
      </c>
      <c r="O518" s="197" t="s">
        <v>242</v>
      </c>
      <c r="P518" s="197" t="s">
        <v>115</v>
      </c>
      <c r="Q518" s="175"/>
      <c r="R518" s="175"/>
      <c r="S518" s="116">
        <v>0</v>
      </c>
      <c r="T518" s="116">
        <f t="shared" si="181"/>
        <v>-1657074.84</v>
      </c>
      <c r="U518" s="116">
        <f>89482041.36-0.08</f>
        <v>89482041.280000001</v>
      </c>
      <c r="V518" s="210">
        <f t="shared" si="164"/>
        <v>0</v>
      </c>
      <c r="W518" s="115">
        <f t="shared" si="187"/>
        <v>7.9999998211860657E-2</v>
      </c>
      <c r="X518" s="181" t="s">
        <v>237</v>
      </c>
      <c r="Y518" s="116"/>
      <c r="Z518" s="185"/>
      <c r="AA518" s="592"/>
      <c r="AB518" s="186"/>
      <c r="AC518" s="9"/>
      <c r="AD518" s="297"/>
      <c r="AE518" s="297">
        <f t="shared" si="183"/>
        <v>1657074.84</v>
      </c>
      <c r="AF518" s="9"/>
      <c r="AG518" s="9" t="s">
        <v>1395</v>
      </c>
      <c r="AH518" s="300">
        <v>42900</v>
      </c>
      <c r="AI518" s="9" t="s">
        <v>2749</v>
      </c>
      <c r="AJ518" s="300">
        <v>42900</v>
      </c>
      <c r="AK518" s="73" t="str">
        <f t="shared" si="186"/>
        <v>MADHANI TALATAH NUSANTARA, PTJUL</v>
      </c>
    </row>
    <row r="519" spans="1:37" s="114" customFormat="1" ht="12" hidden="1" customHeight="1">
      <c r="A519" s="53"/>
      <c r="B519" s="53" t="s">
        <v>241</v>
      </c>
      <c r="C519" s="9">
        <v>13</v>
      </c>
      <c r="D519" s="8" t="s">
        <v>40</v>
      </c>
      <c r="E519" s="10" t="s">
        <v>355</v>
      </c>
      <c r="F519" s="356"/>
      <c r="G519" s="10"/>
      <c r="H519" s="10" t="s">
        <v>2744</v>
      </c>
      <c r="I519" s="10" t="s">
        <v>2745</v>
      </c>
      <c r="J519" s="658">
        <v>0</v>
      </c>
      <c r="K519" s="116">
        <v>82853742</v>
      </c>
      <c r="L519" s="116">
        <f t="shared" si="191"/>
        <v>8285374.2000000002</v>
      </c>
      <c r="M519" s="658">
        <v>0</v>
      </c>
      <c r="N519" s="189">
        <f t="shared" si="192"/>
        <v>91139116.200000003</v>
      </c>
      <c r="O519" s="197" t="s">
        <v>242</v>
      </c>
      <c r="P519" s="197" t="s">
        <v>115</v>
      </c>
      <c r="Q519" s="175"/>
      <c r="R519" s="175"/>
      <c r="S519" s="116">
        <v>0</v>
      </c>
      <c r="T519" s="116">
        <f t="shared" si="181"/>
        <v>-1657074.84</v>
      </c>
      <c r="U519" s="116">
        <v>89482041</v>
      </c>
      <c r="V519" s="210">
        <f t="shared" si="164"/>
        <v>0</v>
      </c>
      <c r="W519" s="115">
        <f t="shared" si="187"/>
        <v>0.35999999940395355</v>
      </c>
      <c r="X519" s="181" t="s">
        <v>237</v>
      </c>
      <c r="Y519" s="116"/>
      <c r="Z519" s="185"/>
      <c r="AA519" s="592"/>
      <c r="AB519" s="186"/>
      <c r="AC519" s="9"/>
      <c r="AD519" s="297"/>
      <c r="AE519" s="297">
        <f t="shared" si="183"/>
        <v>1657074.84</v>
      </c>
      <c r="AF519" s="9"/>
      <c r="AG519" s="9" t="s">
        <v>1395</v>
      </c>
      <c r="AH519" s="300">
        <v>42900</v>
      </c>
      <c r="AI519" s="9" t="s">
        <v>2749</v>
      </c>
      <c r="AJ519" s="300">
        <v>42900</v>
      </c>
      <c r="AK519" s="73" t="str">
        <f t="shared" si="186"/>
        <v>MADHANI TALATAH NUSANTARA, PTJUL</v>
      </c>
    </row>
    <row r="520" spans="1:37" s="114" customFormat="1" ht="12" hidden="1" customHeight="1">
      <c r="A520" s="53"/>
      <c r="B520" s="53" t="s">
        <v>241</v>
      </c>
      <c r="C520" s="9">
        <v>13</v>
      </c>
      <c r="D520" s="8" t="s">
        <v>40</v>
      </c>
      <c r="E520" s="10" t="s">
        <v>355</v>
      </c>
      <c r="F520" s="356"/>
      <c r="G520" s="10"/>
      <c r="H520" s="10" t="s">
        <v>2746</v>
      </c>
      <c r="I520" s="10" t="s">
        <v>2747</v>
      </c>
      <c r="J520" s="658">
        <v>0</v>
      </c>
      <c r="K520" s="116">
        <v>102604242</v>
      </c>
      <c r="L520" s="116">
        <f t="shared" si="191"/>
        <v>10260424.200000001</v>
      </c>
      <c r="M520" s="658">
        <v>0</v>
      </c>
      <c r="N520" s="189">
        <f t="shared" si="192"/>
        <v>112864666.2</v>
      </c>
      <c r="O520" s="197" t="s">
        <v>242</v>
      </c>
      <c r="P520" s="197" t="s">
        <v>115</v>
      </c>
      <c r="Q520" s="175"/>
      <c r="R520" s="175"/>
      <c r="S520" s="116">
        <v>0</v>
      </c>
      <c r="T520" s="116">
        <f t="shared" si="181"/>
        <v>-2052084.84</v>
      </c>
      <c r="U520" s="116">
        <v>110812581</v>
      </c>
      <c r="V520" s="210">
        <f t="shared" si="164"/>
        <v>0</v>
      </c>
      <c r="W520" s="115">
        <f t="shared" si="187"/>
        <v>0.35999999940395355</v>
      </c>
      <c r="X520" s="181" t="s">
        <v>237</v>
      </c>
      <c r="Y520" s="116"/>
      <c r="Z520" s="185"/>
      <c r="AA520" s="592"/>
      <c r="AB520" s="186"/>
      <c r="AC520" s="9"/>
      <c r="AD520" s="297"/>
      <c r="AE520" s="297">
        <f t="shared" si="183"/>
        <v>2052084.84</v>
      </c>
      <c r="AF520" s="9"/>
      <c r="AG520" s="9" t="s">
        <v>1395</v>
      </c>
      <c r="AH520" s="300">
        <v>42900</v>
      </c>
      <c r="AI520" s="9" t="s">
        <v>2749</v>
      </c>
      <c r="AJ520" s="300">
        <v>42900</v>
      </c>
      <c r="AK520" s="73" t="str">
        <f t="shared" si="186"/>
        <v>MADHANI TALATAH NUSANTARA, PTJUL</v>
      </c>
    </row>
    <row r="521" spans="1:37" s="114" customFormat="1" ht="12" hidden="1" customHeight="1">
      <c r="A521" s="53"/>
      <c r="B521" s="53" t="s">
        <v>241</v>
      </c>
      <c r="C521" s="9">
        <v>14</v>
      </c>
      <c r="D521" s="8" t="s">
        <v>40</v>
      </c>
      <c r="E521" s="10" t="s">
        <v>364</v>
      </c>
      <c r="F521" s="356"/>
      <c r="G521" s="10"/>
      <c r="H521" s="10" t="s">
        <v>2858</v>
      </c>
      <c r="I521" s="10" t="s">
        <v>2748</v>
      </c>
      <c r="J521" s="658">
        <v>0</v>
      </c>
      <c r="K521" s="116">
        <v>39000000</v>
      </c>
      <c r="L521" s="116">
        <f t="shared" si="191"/>
        <v>3900000</v>
      </c>
      <c r="M521" s="658">
        <v>0</v>
      </c>
      <c r="N521" s="189">
        <f t="shared" si="192"/>
        <v>42900000</v>
      </c>
      <c r="O521" s="197" t="s">
        <v>242</v>
      </c>
      <c r="P521" s="197" t="s">
        <v>115</v>
      </c>
      <c r="Q521" s="175"/>
      <c r="R521" s="175"/>
      <c r="S521" s="116">
        <v>0</v>
      </c>
      <c r="T521" s="116">
        <f t="shared" si="181"/>
        <v>-780000</v>
      </c>
      <c r="U521" s="116">
        <v>42120000</v>
      </c>
      <c r="V521" s="210">
        <f t="shared" si="164"/>
        <v>0</v>
      </c>
      <c r="W521" s="115">
        <f t="shared" si="187"/>
        <v>0</v>
      </c>
      <c r="X521" s="181" t="s">
        <v>237</v>
      </c>
      <c r="Y521" s="116"/>
      <c r="Z521" s="185"/>
      <c r="AA521" s="592"/>
      <c r="AB521" s="186"/>
      <c r="AC521" s="9"/>
      <c r="AD521" s="297"/>
      <c r="AE521" s="297">
        <f t="shared" si="183"/>
        <v>780000</v>
      </c>
      <c r="AF521" s="9"/>
      <c r="AG521" s="9" t="s">
        <v>1395</v>
      </c>
      <c r="AH521" s="300">
        <v>42900</v>
      </c>
      <c r="AI521" s="9" t="s">
        <v>2749</v>
      </c>
      <c r="AJ521" s="300">
        <v>42900</v>
      </c>
      <c r="AK521" s="73" t="str">
        <f t="shared" si="186"/>
        <v>MADHANI TALATAH NUSANTARA, PTJUL</v>
      </c>
    </row>
    <row r="522" spans="1:37" s="114" customFormat="1" ht="12" hidden="1" customHeight="1">
      <c r="A522" s="53"/>
      <c r="B522" s="1220" t="s">
        <v>242</v>
      </c>
      <c r="C522" s="1221">
        <v>13</v>
      </c>
      <c r="D522" s="1222" t="s">
        <v>40</v>
      </c>
      <c r="E522" s="1223" t="s">
        <v>147</v>
      </c>
      <c r="F522" s="1521" t="s">
        <v>3069</v>
      </c>
      <c r="G522" s="1266" t="s">
        <v>14</v>
      </c>
      <c r="H522" s="1223" t="s">
        <v>2859</v>
      </c>
      <c r="I522" s="1223" t="s">
        <v>2860</v>
      </c>
      <c r="J522" s="1237">
        <v>0</v>
      </c>
      <c r="K522" s="1224">
        <v>5500000</v>
      </c>
      <c r="L522" s="1224">
        <f t="shared" si="191"/>
        <v>550000</v>
      </c>
      <c r="M522" s="1237">
        <v>0</v>
      </c>
      <c r="N522" s="1225">
        <f t="shared" si="192"/>
        <v>6050000</v>
      </c>
      <c r="O522" s="197" t="s">
        <v>245</v>
      </c>
      <c r="P522" s="197" t="s">
        <v>34</v>
      </c>
      <c r="Q522" s="175"/>
      <c r="R522" s="175"/>
      <c r="S522" s="116">
        <v>0</v>
      </c>
      <c r="T522" s="116"/>
      <c r="U522" s="116"/>
      <c r="V522" s="210">
        <f t="shared" si="164"/>
        <v>0</v>
      </c>
      <c r="W522" s="115">
        <f t="shared" si="187"/>
        <v>6050000</v>
      </c>
      <c r="X522" s="181"/>
      <c r="Y522" s="116"/>
      <c r="Z522" s="185"/>
      <c r="AA522" s="592"/>
      <c r="AB522" s="186"/>
      <c r="AC522" s="9"/>
      <c r="AD522" s="297"/>
      <c r="AE522" s="297">
        <f t="shared" si="183"/>
        <v>0</v>
      </c>
      <c r="AF522" s="9"/>
      <c r="AG522" s="9" t="s">
        <v>1395</v>
      </c>
      <c r="AH522" s="300">
        <v>42934</v>
      </c>
      <c r="AI522" s="9" t="s">
        <v>2034</v>
      </c>
      <c r="AJ522" s="300">
        <v>42934</v>
      </c>
      <c r="AK522" s="73" t="str">
        <f t="shared" si="186"/>
        <v>MADHANI TALATAH NUSANTARA, PTOKT</v>
      </c>
    </row>
    <row r="523" spans="1:37" s="114" customFormat="1" ht="12" hidden="1" customHeight="1">
      <c r="A523" s="53"/>
      <c r="B523" s="1220" t="s">
        <v>244</v>
      </c>
      <c r="C523" s="1221">
        <v>6</v>
      </c>
      <c r="D523" s="1222" t="s">
        <v>40</v>
      </c>
      <c r="E523" s="1223" t="s">
        <v>355</v>
      </c>
      <c r="F523" s="1505" t="s">
        <v>3145</v>
      </c>
      <c r="G523" s="1223" t="s">
        <v>559</v>
      </c>
      <c r="H523" s="1223" t="s">
        <v>3146</v>
      </c>
      <c r="I523" s="1223" t="s">
        <v>3168</v>
      </c>
      <c r="J523" s="1237"/>
      <c r="K523" s="1224">
        <v>27593764</v>
      </c>
      <c r="L523" s="1224">
        <f t="shared" si="191"/>
        <v>2759376.4000000004</v>
      </c>
      <c r="M523" s="1237"/>
      <c r="N523" s="1225">
        <f t="shared" si="192"/>
        <v>30353140.399999999</v>
      </c>
      <c r="O523" s="197" t="s">
        <v>245</v>
      </c>
      <c r="P523" s="197" t="s">
        <v>94</v>
      </c>
      <c r="Q523" s="175"/>
      <c r="R523" s="175"/>
      <c r="S523" s="116">
        <v>0</v>
      </c>
      <c r="T523" s="116">
        <f>-K523*2%</f>
        <v>-551875.28</v>
      </c>
      <c r="U523" s="116">
        <v>29801265.120000001</v>
      </c>
      <c r="V523" s="210"/>
      <c r="W523" s="115"/>
      <c r="X523" s="181"/>
      <c r="Y523" s="116"/>
      <c r="Z523" s="185"/>
      <c r="AA523" s="592"/>
      <c r="AB523" s="186"/>
      <c r="AC523" s="9"/>
      <c r="AD523" s="297"/>
      <c r="AE523" s="297"/>
      <c r="AF523" s="9"/>
      <c r="AG523" s="9"/>
      <c r="AH523" s="300"/>
      <c r="AI523" s="9"/>
      <c r="AJ523" s="300"/>
      <c r="AK523" s="73"/>
    </row>
    <row r="524" spans="1:37" s="114" customFormat="1" ht="12" hidden="1" customHeight="1">
      <c r="A524" s="53"/>
      <c r="B524" s="1220" t="s">
        <v>244</v>
      </c>
      <c r="C524" s="1221">
        <v>6</v>
      </c>
      <c r="D524" s="1222" t="s">
        <v>40</v>
      </c>
      <c r="E524" s="1223" t="s">
        <v>364</v>
      </c>
      <c r="F524" s="1505" t="s">
        <v>2458</v>
      </c>
      <c r="G524" s="1223" t="s">
        <v>559</v>
      </c>
      <c r="H524" s="1223" t="s">
        <v>3147</v>
      </c>
      <c r="I524" s="1223" t="s">
        <v>3169</v>
      </c>
      <c r="J524" s="1237"/>
      <c r="K524" s="1224">
        <v>13000000</v>
      </c>
      <c r="L524" s="1224">
        <f t="shared" si="191"/>
        <v>1300000</v>
      </c>
      <c r="M524" s="1237"/>
      <c r="N524" s="1225">
        <f t="shared" si="192"/>
        <v>14300000</v>
      </c>
      <c r="O524" s="197" t="s">
        <v>245</v>
      </c>
      <c r="P524" s="197" t="s">
        <v>94</v>
      </c>
      <c r="Q524" s="175"/>
      <c r="R524" s="175"/>
      <c r="S524" s="116">
        <v>0</v>
      </c>
      <c r="T524" s="116">
        <f>-K524*2%</f>
        <v>-260000</v>
      </c>
      <c r="U524" s="116">
        <v>14040000</v>
      </c>
      <c r="V524" s="210"/>
      <c r="W524" s="115"/>
      <c r="X524" s="181"/>
      <c r="Y524" s="116"/>
      <c r="Z524" s="185"/>
      <c r="AA524" s="592"/>
      <c r="AB524" s="186"/>
      <c r="AC524" s="9"/>
      <c r="AD524" s="297"/>
      <c r="AE524" s="297"/>
      <c r="AF524" s="9"/>
      <c r="AG524" s="9"/>
      <c r="AH524" s="300"/>
      <c r="AI524" s="9"/>
      <c r="AJ524" s="300"/>
      <c r="AK524" s="73"/>
    </row>
    <row r="525" spans="1:37" s="114" customFormat="1" ht="12" hidden="1" customHeight="1">
      <c r="A525" s="53"/>
      <c r="B525" s="1220" t="s">
        <v>244</v>
      </c>
      <c r="C525" s="1221">
        <v>6</v>
      </c>
      <c r="D525" s="1222" t="s">
        <v>40</v>
      </c>
      <c r="E525" s="1223" t="s">
        <v>355</v>
      </c>
      <c r="F525" s="1505" t="s">
        <v>2467</v>
      </c>
      <c r="G525" s="1223" t="s">
        <v>559</v>
      </c>
      <c r="H525" s="1223" t="s">
        <v>3148</v>
      </c>
      <c r="I525" s="1223" t="s">
        <v>3170</v>
      </c>
      <c r="J525" s="1237"/>
      <c r="K525" s="1224">
        <v>27593764</v>
      </c>
      <c r="L525" s="1224">
        <f t="shared" si="191"/>
        <v>2759376.4000000004</v>
      </c>
      <c r="M525" s="1237"/>
      <c r="N525" s="1225">
        <f t="shared" si="192"/>
        <v>30353140.399999999</v>
      </c>
      <c r="O525" s="197" t="s">
        <v>245</v>
      </c>
      <c r="P525" s="197" t="s">
        <v>94</v>
      </c>
      <c r="Q525" s="175"/>
      <c r="R525" s="175"/>
      <c r="S525" s="116">
        <v>0</v>
      </c>
      <c r="T525" s="116">
        <f>-K525*2%</f>
        <v>-551875.28</v>
      </c>
      <c r="U525" s="116">
        <v>29801265.120000001</v>
      </c>
      <c r="V525" s="210"/>
      <c r="W525" s="115"/>
      <c r="X525" s="181"/>
      <c r="Y525" s="116"/>
      <c r="Z525" s="185"/>
      <c r="AA525" s="592"/>
      <c r="AB525" s="186"/>
      <c r="AC525" s="9"/>
      <c r="AD525" s="297"/>
      <c r="AE525" s="297"/>
      <c r="AF525" s="9"/>
      <c r="AG525" s="9"/>
      <c r="AH525" s="300"/>
      <c r="AI525" s="9"/>
      <c r="AJ525" s="300"/>
      <c r="AK525" s="73"/>
    </row>
    <row r="526" spans="1:37" s="114" customFormat="1" ht="12" hidden="1" customHeight="1">
      <c r="A526" s="53"/>
      <c r="B526" s="1220" t="s">
        <v>244</v>
      </c>
      <c r="C526" s="1221">
        <v>6</v>
      </c>
      <c r="D526" s="1222" t="s">
        <v>40</v>
      </c>
      <c r="E526" s="1223" t="s">
        <v>354</v>
      </c>
      <c r="F526" s="1505" t="s">
        <v>3350</v>
      </c>
      <c r="G526" s="1223" t="s">
        <v>559</v>
      </c>
      <c r="H526" s="1223" t="s">
        <v>3149</v>
      </c>
      <c r="I526" s="1223" t="s">
        <v>3171</v>
      </c>
      <c r="J526" s="1237"/>
      <c r="K526" s="1224">
        <v>26972942</v>
      </c>
      <c r="L526" s="1224">
        <f t="shared" si="191"/>
        <v>2697294.2</v>
      </c>
      <c r="M526" s="1237"/>
      <c r="N526" s="1225">
        <f t="shared" si="192"/>
        <v>29670236.199999999</v>
      </c>
      <c r="O526" s="197" t="s">
        <v>245</v>
      </c>
      <c r="P526" s="197" t="s">
        <v>94</v>
      </c>
      <c r="Q526" s="175"/>
      <c r="R526" s="175"/>
      <c r="S526" s="116">
        <v>0</v>
      </c>
      <c r="T526" s="116">
        <f>-K526*2%</f>
        <v>-539458.84</v>
      </c>
      <c r="U526" s="116">
        <v>29130777.359999999</v>
      </c>
      <c r="V526" s="210"/>
      <c r="W526" s="115"/>
      <c r="X526" s="181"/>
      <c r="Y526" s="116"/>
      <c r="Z526" s="185"/>
      <c r="AA526" s="592"/>
      <c r="AB526" s="186"/>
      <c r="AC526" s="9"/>
      <c r="AD526" s="297"/>
      <c r="AE526" s="297"/>
      <c r="AF526" s="9"/>
      <c r="AG526" s="9"/>
      <c r="AH526" s="300"/>
      <c r="AI526" s="9"/>
      <c r="AJ526" s="300"/>
      <c r="AK526" s="73"/>
    </row>
    <row r="527" spans="1:37" s="114" customFormat="1" ht="12" hidden="1" customHeight="1">
      <c r="A527" s="53"/>
      <c r="B527" s="1220" t="s">
        <v>244</v>
      </c>
      <c r="C527" s="1221">
        <v>6</v>
      </c>
      <c r="D527" s="1222" t="s">
        <v>40</v>
      </c>
      <c r="E527" s="1223" t="s">
        <v>354</v>
      </c>
      <c r="F527" s="1505" t="s">
        <v>3190</v>
      </c>
      <c r="G527" s="1223" t="s">
        <v>559</v>
      </c>
      <c r="H527" s="1223" t="s">
        <v>3150</v>
      </c>
      <c r="I527" s="1223" t="s">
        <v>3172</v>
      </c>
      <c r="J527" s="1237"/>
      <c r="K527" s="1224">
        <v>26972942</v>
      </c>
      <c r="L527" s="1224">
        <f t="shared" ref="L527:L544" si="193">K527*10%</f>
        <v>2697294.2</v>
      </c>
      <c r="M527" s="1237"/>
      <c r="N527" s="1225">
        <f t="shared" ref="N527:N544" si="194">K527+L527</f>
        <v>29670236.199999999</v>
      </c>
      <c r="O527" s="197" t="s">
        <v>245</v>
      </c>
      <c r="P527" s="197" t="s">
        <v>94</v>
      </c>
      <c r="Q527" s="175"/>
      <c r="R527" s="175"/>
      <c r="S527" s="116">
        <v>0</v>
      </c>
      <c r="T527" s="116">
        <f t="shared" ref="T527:T544" si="195">-K527*2%</f>
        <v>-539458.84</v>
      </c>
      <c r="U527" s="116">
        <v>29130777.359999999</v>
      </c>
      <c r="V527" s="210"/>
      <c r="W527" s="115"/>
      <c r="X527" s="181"/>
      <c r="Y527" s="116"/>
      <c r="Z527" s="185"/>
      <c r="AA527" s="592"/>
      <c r="AB527" s="186"/>
      <c r="AC527" s="9"/>
      <c r="AD527" s="297"/>
      <c r="AE527" s="297"/>
      <c r="AF527" s="9"/>
      <c r="AG527" s="9"/>
      <c r="AH527" s="300"/>
      <c r="AI527" s="9"/>
      <c r="AJ527" s="300"/>
      <c r="AK527" s="73"/>
    </row>
    <row r="528" spans="1:37" s="114" customFormat="1" ht="12" hidden="1" customHeight="1">
      <c r="A528" s="53"/>
      <c r="B528" s="1220" t="s">
        <v>244</v>
      </c>
      <c r="C528" s="1221">
        <v>6</v>
      </c>
      <c r="D528" s="1222" t="s">
        <v>40</v>
      </c>
      <c r="E528" s="1223" t="s">
        <v>3191</v>
      </c>
      <c r="F528" s="1505" t="s">
        <v>754</v>
      </c>
      <c r="G528" s="1223" t="s">
        <v>559</v>
      </c>
      <c r="H528" s="1223" t="s">
        <v>3151</v>
      </c>
      <c r="I528" s="1223" t="s">
        <v>3173</v>
      </c>
      <c r="J528" s="1237"/>
      <c r="K528" s="1224">
        <v>34177264</v>
      </c>
      <c r="L528" s="1224">
        <f t="shared" si="193"/>
        <v>3417726.4000000004</v>
      </c>
      <c r="M528" s="1237"/>
      <c r="N528" s="1225">
        <f t="shared" si="194"/>
        <v>37594990.399999999</v>
      </c>
      <c r="O528" s="197" t="s">
        <v>245</v>
      </c>
      <c r="P528" s="197" t="s">
        <v>94</v>
      </c>
      <c r="Q528" s="175"/>
      <c r="R528" s="175"/>
      <c r="S528" s="116">
        <v>0</v>
      </c>
      <c r="T528" s="116">
        <f t="shared" si="195"/>
        <v>-683545.28</v>
      </c>
      <c r="U528" s="116">
        <v>36911445.119999997</v>
      </c>
      <c r="V528" s="210"/>
      <c r="W528" s="115"/>
      <c r="X528" s="181"/>
      <c r="Y528" s="116"/>
      <c r="Z528" s="185"/>
      <c r="AA528" s="592"/>
      <c r="AB528" s="186"/>
      <c r="AC528" s="9"/>
      <c r="AD528" s="297"/>
      <c r="AE528" s="297"/>
      <c r="AF528" s="9"/>
      <c r="AG528" s="9"/>
      <c r="AH528" s="300"/>
      <c r="AI528" s="9"/>
      <c r="AJ528" s="300"/>
      <c r="AK528" s="73"/>
    </row>
    <row r="529" spans="1:37" s="114" customFormat="1" ht="12" hidden="1" customHeight="1">
      <c r="A529" s="53"/>
      <c r="B529" s="1220" t="s">
        <v>244</v>
      </c>
      <c r="C529" s="1221">
        <v>6</v>
      </c>
      <c r="D529" s="1222" t="s">
        <v>40</v>
      </c>
      <c r="E529" s="1223" t="s">
        <v>354</v>
      </c>
      <c r="F529" s="1505" t="s">
        <v>3192</v>
      </c>
      <c r="G529" s="1223" t="s">
        <v>559</v>
      </c>
      <c r="H529" s="1223" t="s">
        <v>3152</v>
      </c>
      <c r="I529" s="1223" t="s">
        <v>3174</v>
      </c>
      <c r="J529" s="1237"/>
      <c r="K529" s="1224">
        <v>26972942</v>
      </c>
      <c r="L529" s="1224">
        <f t="shared" si="193"/>
        <v>2697294.2</v>
      </c>
      <c r="M529" s="1237"/>
      <c r="N529" s="1225">
        <f t="shared" si="194"/>
        <v>29670236.199999999</v>
      </c>
      <c r="O529" s="197" t="s">
        <v>245</v>
      </c>
      <c r="P529" s="197" t="s">
        <v>94</v>
      </c>
      <c r="Q529" s="175"/>
      <c r="R529" s="175"/>
      <c r="S529" s="116">
        <v>0</v>
      </c>
      <c r="T529" s="116">
        <f t="shared" si="195"/>
        <v>-539458.84</v>
      </c>
      <c r="U529" s="116">
        <v>29130777.359999999</v>
      </c>
      <c r="V529" s="210"/>
      <c r="W529" s="115"/>
      <c r="X529" s="181"/>
      <c r="Y529" s="116"/>
      <c r="Z529" s="185"/>
      <c r="AA529" s="592"/>
      <c r="AB529" s="186"/>
      <c r="AC529" s="9"/>
      <c r="AD529" s="297"/>
      <c r="AE529" s="297"/>
      <c r="AF529" s="9"/>
      <c r="AG529" s="9"/>
      <c r="AH529" s="300"/>
      <c r="AI529" s="9"/>
      <c r="AJ529" s="300"/>
      <c r="AK529" s="73"/>
    </row>
    <row r="530" spans="1:37" s="114" customFormat="1" ht="12" hidden="1" customHeight="1">
      <c r="A530" s="53"/>
      <c r="B530" s="1220" t="s">
        <v>244</v>
      </c>
      <c r="C530" s="1221">
        <v>6</v>
      </c>
      <c r="D530" s="1222" t="s">
        <v>40</v>
      </c>
      <c r="E530" s="1223" t="s">
        <v>355</v>
      </c>
      <c r="F530" s="1505" t="s">
        <v>755</v>
      </c>
      <c r="G530" s="1223" t="s">
        <v>559</v>
      </c>
      <c r="H530" s="1223" t="s">
        <v>3153</v>
      </c>
      <c r="I530" s="1223" t="s">
        <v>3175</v>
      </c>
      <c r="J530" s="1237"/>
      <c r="K530" s="1224">
        <v>27593764</v>
      </c>
      <c r="L530" s="1224">
        <f t="shared" si="193"/>
        <v>2759376.4000000004</v>
      </c>
      <c r="M530" s="1237"/>
      <c r="N530" s="1225">
        <f t="shared" si="194"/>
        <v>30353140.399999999</v>
      </c>
      <c r="O530" s="197" t="s">
        <v>245</v>
      </c>
      <c r="P530" s="197" t="s">
        <v>94</v>
      </c>
      <c r="Q530" s="175"/>
      <c r="R530" s="175"/>
      <c r="S530" s="116">
        <v>0</v>
      </c>
      <c r="T530" s="116">
        <f t="shared" si="195"/>
        <v>-551875.28</v>
      </c>
      <c r="U530" s="116">
        <v>29801265.120000001</v>
      </c>
      <c r="V530" s="210"/>
      <c r="W530" s="115"/>
      <c r="X530" s="181"/>
      <c r="Y530" s="116"/>
      <c r="Z530" s="185"/>
      <c r="AA530" s="592"/>
      <c r="AB530" s="186"/>
      <c r="AC530" s="9"/>
      <c r="AD530" s="297"/>
      <c r="AE530" s="297"/>
      <c r="AF530" s="9"/>
      <c r="AG530" s="9"/>
      <c r="AH530" s="300"/>
      <c r="AI530" s="9"/>
      <c r="AJ530" s="300"/>
      <c r="AK530" s="73"/>
    </row>
    <row r="531" spans="1:37" s="114" customFormat="1" ht="12" hidden="1" customHeight="1">
      <c r="A531" s="53"/>
      <c r="B531" s="1220" t="s">
        <v>244</v>
      </c>
      <c r="C531" s="1221">
        <v>6</v>
      </c>
      <c r="D531" s="1222" t="s">
        <v>40</v>
      </c>
      <c r="E531" s="1223" t="s">
        <v>355</v>
      </c>
      <c r="F531" s="1505" t="s">
        <v>752</v>
      </c>
      <c r="G531" s="1223" t="s">
        <v>559</v>
      </c>
      <c r="H531" s="1223" t="s">
        <v>3154</v>
      </c>
      <c r="I531" s="1223" t="s">
        <v>3176</v>
      </c>
      <c r="J531" s="1237"/>
      <c r="K531" s="1224">
        <v>27593764</v>
      </c>
      <c r="L531" s="1224">
        <f t="shared" si="193"/>
        <v>2759376.4000000004</v>
      </c>
      <c r="M531" s="1237"/>
      <c r="N531" s="1225">
        <f t="shared" si="194"/>
        <v>30353140.399999999</v>
      </c>
      <c r="O531" s="197" t="s">
        <v>245</v>
      </c>
      <c r="P531" s="197" t="s">
        <v>94</v>
      </c>
      <c r="Q531" s="175"/>
      <c r="R531" s="175"/>
      <c r="S531" s="116">
        <v>0</v>
      </c>
      <c r="T531" s="116">
        <f t="shared" si="195"/>
        <v>-551875.28</v>
      </c>
      <c r="U531" s="116">
        <v>29801265.120000001</v>
      </c>
      <c r="V531" s="210"/>
      <c r="W531" s="115"/>
      <c r="X531" s="181"/>
      <c r="Y531" s="116"/>
      <c r="Z531" s="185"/>
      <c r="AA531" s="592"/>
      <c r="AB531" s="186"/>
      <c r="AC531" s="9"/>
      <c r="AD531" s="297"/>
      <c r="AE531" s="297"/>
      <c r="AF531" s="9"/>
      <c r="AG531" s="9"/>
      <c r="AH531" s="300"/>
      <c r="AI531" s="9"/>
      <c r="AJ531" s="300"/>
      <c r="AK531" s="73"/>
    </row>
    <row r="532" spans="1:37" s="114" customFormat="1" ht="12" hidden="1" customHeight="1">
      <c r="A532" s="53"/>
      <c r="B532" s="1220" t="s">
        <v>244</v>
      </c>
      <c r="C532" s="1221">
        <v>6</v>
      </c>
      <c r="D532" s="1222" t="s">
        <v>40</v>
      </c>
      <c r="E532" s="1223" t="s">
        <v>354</v>
      </c>
      <c r="F532" s="1505" t="s">
        <v>3363</v>
      </c>
      <c r="G532" s="1223" t="s">
        <v>559</v>
      </c>
      <c r="H532" s="1223" t="s">
        <v>3155</v>
      </c>
      <c r="I532" s="1223" t="s">
        <v>3177</v>
      </c>
      <c r="J532" s="1237"/>
      <c r="K532" s="1224">
        <v>26972942</v>
      </c>
      <c r="L532" s="1224">
        <f t="shared" si="193"/>
        <v>2697294.2</v>
      </c>
      <c r="M532" s="1237"/>
      <c r="N532" s="1225">
        <f t="shared" si="194"/>
        <v>29670236.199999999</v>
      </c>
      <c r="O532" s="197" t="s">
        <v>245</v>
      </c>
      <c r="P532" s="197" t="s">
        <v>94</v>
      </c>
      <c r="Q532" s="175"/>
      <c r="R532" s="175"/>
      <c r="S532" s="116">
        <v>0</v>
      </c>
      <c r="T532" s="116">
        <f t="shared" si="195"/>
        <v>-539458.84</v>
      </c>
      <c r="U532" s="116">
        <v>29130777.359999999</v>
      </c>
      <c r="V532" s="210"/>
      <c r="W532" s="115"/>
      <c r="X532" s="181"/>
      <c r="Y532" s="116"/>
      <c r="Z532" s="185"/>
      <c r="AA532" s="592"/>
      <c r="AB532" s="186"/>
      <c r="AC532" s="9"/>
      <c r="AD532" s="297"/>
      <c r="AE532" s="297"/>
      <c r="AF532" s="9"/>
      <c r="AG532" s="9"/>
      <c r="AH532" s="300"/>
      <c r="AI532" s="9"/>
      <c r="AJ532" s="300"/>
      <c r="AK532" s="73"/>
    </row>
    <row r="533" spans="1:37" s="114" customFormat="1" ht="12" hidden="1" customHeight="1">
      <c r="A533" s="53"/>
      <c r="B533" s="1220" t="s">
        <v>244</v>
      </c>
      <c r="C533" s="1221">
        <v>6</v>
      </c>
      <c r="D533" s="1222" t="s">
        <v>40</v>
      </c>
      <c r="E533" s="1223" t="s">
        <v>354</v>
      </c>
      <c r="F533" s="1505" t="s">
        <v>3193</v>
      </c>
      <c r="G533" s="1223" t="s">
        <v>559</v>
      </c>
      <c r="H533" s="1223" t="s">
        <v>3156</v>
      </c>
      <c r="I533" s="1223" t="s">
        <v>3178</v>
      </c>
      <c r="J533" s="1237"/>
      <c r="K533" s="1224">
        <v>26972942</v>
      </c>
      <c r="L533" s="1224">
        <f t="shared" si="193"/>
        <v>2697294.2</v>
      </c>
      <c r="M533" s="1237"/>
      <c r="N533" s="1225">
        <f t="shared" si="194"/>
        <v>29670236.199999999</v>
      </c>
      <c r="O533" s="197" t="s">
        <v>245</v>
      </c>
      <c r="P533" s="197" t="s">
        <v>94</v>
      </c>
      <c r="Q533" s="175"/>
      <c r="R533" s="175"/>
      <c r="S533" s="116">
        <v>0</v>
      </c>
      <c r="T533" s="116">
        <f t="shared" si="195"/>
        <v>-539458.84</v>
      </c>
      <c r="U533" s="116">
        <v>29130777.359999999</v>
      </c>
      <c r="V533" s="210"/>
      <c r="W533" s="115"/>
      <c r="X533" s="181"/>
      <c r="Y533" s="116"/>
      <c r="Z533" s="185"/>
      <c r="AA533" s="592"/>
      <c r="AB533" s="186"/>
      <c r="AC533" s="9"/>
      <c r="AD533" s="297"/>
      <c r="AE533" s="297"/>
      <c r="AF533" s="9"/>
      <c r="AG533" s="9"/>
      <c r="AH533" s="300"/>
      <c r="AI533" s="9"/>
      <c r="AJ533" s="300"/>
      <c r="AK533" s="73"/>
    </row>
    <row r="534" spans="1:37" s="114" customFormat="1" ht="12" hidden="1" customHeight="1">
      <c r="A534" s="53"/>
      <c r="B534" s="1220" t="s">
        <v>244</v>
      </c>
      <c r="C534" s="1221">
        <v>6</v>
      </c>
      <c r="D534" s="1222" t="s">
        <v>40</v>
      </c>
      <c r="E534" s="1223" t="s">
        <v>355</v>
      </c>
      <c r="F534" s="1505" t="s">
        <v>3145</v>
      </c>
      <c r="G534" s="1223" t="s">
        <v>602</v>
      </c>
      <c r="H534" s="1223" t="s">
        <v>3158</v>
      </c>
      <c r="I534" s="1223" t="s">
        <v>3179</v>
      </c>
      <c r="J534" s="1237"/>
      <c r="K534" s="1224">
        <v>27593764</v>
      </c>
      <c r="L534" s="1224">
        <f t="shared" si="193"/>
        <v>2759376.4000000004</v>
      </c>
      <c r="M534" s="1237"/>
      <c r="N534" s="1225">
        <f t="shared" si="194"/>
        <v>30353140.399999999</v>
      </c>
      <c r="O534" s="197" t="s">
        <v>245</v>
      </c>
      <c r="P534" s="197" t="s">
        <v>34</v>
      </c>
      <c r="Q534" s="175"/>
      <c r="R534" s="175"/>
      <c r="S534" s="116">
        <v>0</v>
      </c>
      <c r="T534" s="116">
        <f t="shared" si="195"/>
        <v>-551875.28</v>
      </c>
      <c r="U534" s="116">
        <v>29801265.120000001</v>
      </c>
      <c r="V534" s="210"/>
      <c r="W534" s="115"/>
      <c r="X534" s="181"/>
      <c r="Y534" s="116"/>
      <c r="Z534" s="185"/>
      <c r="AA534" s="592"/>
      <c r="AB534" s="186"/>
      <c r="AC534" s="9"/>
      <c r="AD534" s="297"/>
      <c r="AE534" s="297"/>
      <c r="AF534" s="9"/>
      <c r="AG534" s="9"/>
      <c r="AH534" s="300"/>
      <c r="AI534" s="9"/>
      <c r="AJ534" s="300"/>
      <c r="AK534" s="73"/>
    </row>
    <row r="535" spans="1:37" s="114" customFormat="1" ht="12" hidden="1" customHeight="1">
      <c r="A535" s="53"/>
      <c r="B535" s="1220" t="s">
        <v>244</v>
      </c>
      <c r="C535" s="1221">
        <v>6</v>
      </c>
      <c r="D535" s="1222" t="s">
        <v>40</v>
      </c>
      <c r="E535" s="1223" t="s">
        <v>364</v>
      </c>
      <c r="F535" s="1505" t="s">
        <v>2458</v>
      </c>
      <c r="G535" s="1223" t="s">
        <v>602</v>
      </c>
      <c r="H535" s="1223" t="s">
        <v>3157</v>
      </c>
      <c r="I535" s="1223" t="s">
        <v>3180</v>
      </c>
      <c r="J535" s="1237"/>
      <c r="K535" s="1224">
        <v>13000000</v>
      </c>
      <c r="L535" s="1224">
        <f t="shared" si="193"/>
        <v>1300000</v>
      </c>
      <c r="M535" s="1237"/>
      <c r="N535" s="1225">
        <f t="shared" si="194"/>
        <v>14300000</v>
      </c>
      <c r="O535" s="197" t="s">
        <v>245</v>
      </c>
      <c r="P535" s="197" t="s">
        <v>34</v>
      </c>
      <c r="Q535" s="175"/>
      <c r="R535" s="175"/>
      <c r="S535" s="116">
        <v>0</v>
      </c>
      <c r="T535" s="116">
        <f t="shared" si="195"/>
        <v>-260000</v>
      </c>
      <c r="U535" s="116">
        <v>14040000</v>
      </c>
      <c r="V535" s="210"/>
      <c r="W535" s="115"/>
      <c r="X535" s="181"/>
      <c r="Y535" s="116"/>
      <c r="Z535" s="185"/>
      <c r="AA535" s="592"/>
      <c r="AB535" s="186"/>
      <c r="AC535" s="9"/>
      <c r="AD535" s="297"/>
      <c r="AE535" s="297"/>
      <c r="AF535" s="9"/>
      <c r="AG535" s="9"/>
      <c r="AH535" s="300"/>
      <c r="AI535" s="9"/>
      <c r="AJ535" s="300"/>
      <c r="AK535" s="73"/>
    </row>
    <row r="536" spans="1:37" s="114" customFormat="1" ht="12" hidden="1" customHeight="1">
      <c r="A536" s="53"/>
      <c r="B536" s="1220" t="s">
        <v>244</v>
      </c>
      <c r="C536" s="1221">
        <v>6</v>
      </c>
      <c r="D536" s="1222" t="s">
        <v>40</v>
      </c>
      <c r="E536" s="1223" t="s">
        <v>355</v>
      </c>
      <c r="F536" s="1505" t="s">
        <v>2467</v>
      </c>
      <c r="G536" s="1223" t="s">
        <v>602</v>
      </c>
      <c r="H536" s="1223" t="s">
        <v>3159</v>
      </c>
      <c r="I536" s="1223" t="s">
        <v>3181</v>
      </c>
      <c r="J536" s="1237"/>
      <c r="K536" s="1224">
        <v>27593764</v>
      </c>
      <c r="L536" s="1224">
        <f t="shared" si="193"/>
        <v>2759376.4000000004</v>
      </c>
      <c r="M536" s="1237"/>
      <c r="N536" s="1225">
        <f t="shared" si="194"/>
        <v>30353140.399999999</v>
      </c>
      <c r="O536" s="197" t="s">
        <v>245</v>
      </c>
      <c r="P536" s="197" t="s">
        <v>34</v>
      </c>
      <c r="Q536" s="175"/>
      <c r="R536" s="175"/>
      <c r="S536" s="116">
        <v>0</v>
      </c>
      <c r="T536" s="116">
        <f t="shared" si="195"/>
        <v>-551875.28</v>
      </c>
      <c r="U536" s="116">
        <v>29801265.120000001</v>
      </c>
      <c r="V536" s="210"/>
      <c r="W536" s="115"/>
      <c r="X536" s="181"/>
      <c r="Y536" s="116"/>
      <c r="Z536" s="185"/>
      <c r="AA536" s="592"/>
      <c r="AB536" s="186"/>
      <c r="AC536" s="9"/>
      <c r="AD536" s="297"/>
      <c r="AE536" s="297"/>
      <c r="AF536" s="9"/>
      <c r="AG536" s="9"/>
      <c r="AH536" s="300"/>
      <c r="AI536" s="9"/>
      <c r="AJ536" s="300"/>
      <c r="AK536" s="73"/>
    </row>
    <row r="537" spans="1:37" s="114" customFormat="1" ht="12" hidden="1" customHeight="1">
      <c r="A537" s="53"/>
      <c r="B537" s="1220" t="s">
        <v>244</v>
      </c>
      <c r="C537" s="1221">
        <v>6</v>
      </c>
      <c r="D537" s="1222" t="s">
        <v>40</v>
      </c>
      <c r="E537" s="1223" t="s">
        <v>354</v>
      </c>
      <c r="F537" s="1505" t="s">
        <v>3350</v>
      </c>
      <c r="G537" s="1223" t="s">
        <v>602</v>
      </c>
      <c r="H537" s="1223" t="s">
        <v>3160</v>
      </c>
      <c r="I537" s="1223" t="s">
        <v>3182</v>
      </c>
      <c r="J537" s="1237"/>
      <c r="K537" s="1224">
        <v>26972942</v>
      </c>
      <c r="L537" s="1224">
        <f t="shared" si="193"/>
        <v>2697294.2</v>
      </c>
      <c r="M537" s="1237"/>
      <c r="N537" s="1225">
        <f t="shared" si="194"/>
        <v>29670236.199999999</v>
      </c>
      <c r="O537" s="197" t="s">
        <v>245</v>
      </c>
      <c r="P537" s="197" t="s">
        <v>34</v>
      </c>
      <c r="Q537" s="175"/>
      <c r="R537" s="175"/>
      <c r="S537" s="116">
        <v>0</v>
      </c>
      <c r="T537" s="116">
        <f t="shared" si="195"/>
        <v>-539458.84</v>
      </c>
      <c r="U537" s="116">
        <v>29130777.359999999</v>
      </c>
      <c r="V537" s="210"/>
      <c r="W537" s="115"/>
      <c r="X537" s="181"/>
      <c r="Y537" s="116"/>
      <c r="Z537" s="185"/>
      <c r="AA537" s="592"/>
      <c r="AB537" s="186"/>
      <c r="AC537" s="9"/>
      <c r="AD537" s="297"/>
      <c r="AE537" s="297"/>
      <c r="AF537" s="9"/>
      <c r="AG537" s="9"/>
      <c r="AH537" s="300"/>
      <c r="AI537" s="9"/>
      <c r="AJ537" s="300"/>
      <c r="AK537" s="73"/>
    </row>
    <row r="538" spans="1:37" s="114" customFormat="1" ht="12" hidden="1" customHeight="1">
      <c r="A538" s="53"/>
      <c r="B538" s="1220" t="s">
        <v>244</v>
      </c>
      <c r="C538" s="1221">
        <v>6</v>
      </c>
      <c r="D538" s="1222" t="s">
        <v>40</v>
      </c>
      <c r="E538" s="1223" t="s">
        <v>354</v>
      </c>
      <c r="F538" s="1505" t="s">
        <v>3190</v>
      </c>
      <c r="G538" s="1223" t="s">
        <v>602</v>
      </c>
      <c r="H538" s="1223" t="s">
        <v>3161</v>
      </c>
      <c r="I538" s="1223" t="s">
        <v>3183</v>
      </c>
      <c r="J538" s="1237"/>
      <c r="K538" s="1224">
        <v>26972942</v>
      </c>
      <c r="L538" s="1224">
        <f t="shared" si="193"/>
        <v>2697294.2</v>
      </c>
      <c r="M538" s="1237"/>
      <c r="N538" s="1225">
        <f t="shared" si="194"/>
        <v>29670236.199999999</v>
      </c>
      <c r="O538" s="197" t="s">
        <v>245</v>
      </c>
      <c r="P538" s="197" t="s">
        <v>34</v>
      </c>
      <c r="Q538" s="175"/>
      <c r="R538" s="175"/>
      <c r="S538" s="116">
        <v>0</v>
      </c>
      <c r="T538" s="116">
        <f t="shared" si="195"/>
        <v>-539458.84</v>
      </c>
      <c r="U538" s="116">
        <v>29130777.359999999</v>
      </c>
      <c r="V538" s="210"/>
      <c r="W538" s="115"/>
      <c r="X538" s="181"/>
      <c r="Y538" s="116"/>
      <c r="Z538" s="185"/>
      <c r="AA538" s="592"/>
      <c r="AB538" s="186"/>
      <c r="AC538" s="9"/>
      <c r="AD538" s="297"/>
      <c r="AE538" s="297"/>
      <c r="AF538" s="9"/>
      <c r="AG538" s="9"/>
      <c r="AH538" s="300"/>
      <c r="AI538" s="9"/>
      <c r="AJ538" s="300"/>
      <c r="AK538" s="73"/>
    </row>
    <row r="539" spans="1:37" s="114" customFormat="1" ht="12" hidden="1" customHeight="1">
      <c r="A539" s="53"/>
      <c r="B539" s="1220" t="s">
        <v>244</v>
      </c>
      <c r="C539" s="1221">
        <v>6</v>
      </c>
      <c r="D539" s="1222" t="s">
        <v>40</v>
      </c>
      <c r="E539" s="1223" t="s">
        <v>3191</v>
      </c>
      <c r="F539" s="1505" t="s">
        <v>754</v>
      </c>
      <c r="G539" s="1223" t="s">
        <v>602</v>
      </c>
      <c r="H539" s="1223" t="s">
        <v>3162</v>
      </c>
      <c r="I539" s="1223" t="s">
        <v>3184</v>
      </c>
      <c r="J539" s="1237"/>
      <c r="K539" s="1224">
        <v>34177264</v>
      </c>
      <c r="L539" s="1224">
        <f t="shared" si="193"/>
        <v>3417726.4000000004</v>
      </c>
      <c r="M539" s="1237"/>
      <c r="N539" s="1225">
        <f t="shared" si="194"/>
        <v>37594990.399999999</v>
      </c>
      <c r="O539" s="197" t="s">
        <v>245</v>
      </c>
      <c r="P539" s="197" t="s">
        <v>34</v>
      </c>
      <c r="Q539" s="175"/>
      <c r="R539" s="175"/>
      <c r="S539" s="116">
        <v>0</v>
      </c>
      <c r="T539" s="116">
        <f t="shared" si="195"/>
        <v>-683545.28</v>
      </c>
      <c r="U539" s="116">
        <v>36911445.119999997</v>
      </c>
      <c r="V539" s="210"/>
      <c r="W539" s="115"/>
      <c r="X539" s="181"/>
      <c r="Y539" s="116"/>
      <c r="Z539" s="185"/>
      <c r="AA539" s="592"/>
      <c r="AB539" s="186"/>
      <c r="AC539" s="9"/>
      <c r="AD539" s="297"/>
      <c r="AE539" s="297"/>
      <c r="AF539" s="9"/>
      <c r="AG539" s="9"/>
      <c r="AH539" s="300"/>
      <c r="AI539" s="9"/>
      <c r="AJ539" s="300"/>
      <c r="AK539" s="73"/>
    </row>
    <row r="540" spans="1:37" s="114" customFormat="1" ht="12" hidden="1" customHeight="1">
      <c r="A540" s="53"/>
      <c r="B540" s="1220" t="s">
        <v>244</v>
      </c>
      <c r="C540" s="1221">
        <v>6</v>
      </c>
      <c r="D540" s="1222" t="s">
        <v>40</v>
      </c>
      <c r="E540" s="1223" t="s">
        <v>354</v>
      </c>
      <c r="F540" s="1505" t="s">
        <v>3192</v>
      </c>
      <c r="G540" s="1223" t="s">
        <v>602</v>
      </c>
      <c r="H540" s="1223" t="s">
        <v>3163</v>
      </c>
      <c r="I540" s="1223" t="s">
        <v>3185</v>
      </c>
      <c r="J540" s="1237"/>
      <c r="K540" s="1224">
        <v>26972942</v>
      </c>
      <c r="L540" s="1224">
        <f t="shared" si="193"/>
        <v>2697294.2</v>
      </c>
      <c r="M540" s="1237"/>
      <c r="N540" s="1225">
        <f t="shared" si="194"/>
        <v>29670236.199999999</v>
      </c>
      <c r="O540" s="197" t="s">
        <v>245</v>
      </c>
      <c r="P540" s="197" t="s">
        <v>34</v>
      </c>
      <c r="Q540" s="175"/>
      <c r="R540" s="175"/>
      <c r="S540" s="116">
        <v>0</v>
      </c>
      <c r="T540" s="116">
        <f t="shared" si="195"/>
        <v>-539458.84</v>
      </c>
      <c r="U540" s="116">
        <v>29130777.359999999</v>
      </c>
      <c r="V540" s="210"/>
      <c r="W540" s="115"/>
      <c r="X540" s="181"/>
      <c r="Y540" s="116"/>
      <c r="Z540" s="185"/>
      <c r="AA540" s="592"/>
      <c r="AB540" s="186"/>
      <c r="AC540" s="9"/>
      <c r="AD540" s="297"/>
      <c r="AE540" s="297"/>
      <c r="AF540" s="9"/>
      <c r="AG540" s="9"/>
      <c r="AH540" s="300"/>
      <c r="AI540" s="9"/>
      <c r="AJ540" s="300"/>
      <c r="AK540" s="73"/>
    </row>
    <row r="541" spans="1:37" s="114" customFormat="1" ht="12" hidden="1" customHeight="1">
      <c r="A541" s="53"/>
      <c r="B541" s="1220" t="s">
        <v>244</v>
      </c>
      <c r="C541" s="1221">
        <v>6</v>
      </c>
      <c r="D541" s="1222" t="s">
        <v>40</v>
      </c>
      <c r="E541" s="1223" t="s">
        <v>355</v>
      </c>
      <c r="F541" s="1505" t="s">
        <v>755</v>
      </c>
      <c r="G541" s="1223" t="s">
        <v>602</v>
      </c>
      <c r="H541" s="1223" t="s">
        <v>3164</v>
      </c>
      <c r="I541" s="1223" t="s">
        <v>3186</v>
      </c>
      <c r="J541" s="1237"/>
      <c r="K541" s="1224">
        <v>27593764</v>
      </c>
      <c r="L541" s="1224">
        <f t="shared" si="193"/>
        <v>2759376.4000000004</v>
      </c>
      <c r="M541" s="1237"/>
      <c r="N541" s="1225">
        <f t="shared" si="194"/>
        <v>30353140.399999999</v>
      </c>
      <c r="O541" s="197" t="s">
        <v>245</v>
      </c>
      <c r="P541" s="197" t="s">
        <v>34</v>
      </c>
      <c r="Q541" s="175"/>
      <c r="R541" s="175"/>
      <c r="S541" s="116">
        <v>0</v>
      </c>
      <c r="T541" s="116">
        <f t="shared" si="195"/>
        <v>-551875.28</v>
      </c>
      <c r="U541" s="116">
        <v>29801265.120000001</v>
      </c>
      <c r="V541" s="210"/>
      <c r="W541" s="115"/>
      <c r="X541" s="181"/>
      <c r="Y541" s="116"/>
      <c r="Z541" s="185"/>
      <c r="AA541" s="592"/>
      <c r="AB541" s="186"/>
      <c r="AC541" s="9"/>
      <c r="AD541" s="297"/>
      <c r="AE541" s="297"/>
      <c r="AF541" s="9"/>
      <c r="AG541" s="9"/>
      <c r="AH541" s="300"/>
      <c r="AI541" s="9"/>
      <c r="AJ541" s="300"/>
      <c r="AK541" s="73"/>
    </row>
    <row r="542" spans="1:37" s="114" customFormat="1" ht="12" hidden="1" customHeight="1">
      <c r="A542" s="53"/>
      <c r="B542" s="1220" t="s">
        <v>244</v>
      </c>
      <c r="C542" s="1221">
        <v>7</v>
      </c>
      <c r="D542" s="1222" t="s">
        <v>40</v>
      </c>
      <c r="E542" s="1223" t="s">
        <v>355</v>
      </c>
      <c r="F542" s="1505" t="s">
        <v>752</v>
      </c>
      <c r="G542" s="1223" t="s">
        <v>602</v>
      </c>
      <c r="H542" s="1223" t="s">
        <v>3165</v>
      </c>
      <c r="I542" s="1223" t="s">
        <v>3187</v>
      </c>
      <c r="J542" s="1237"/>
      <c r="K542" s="1224">
        <v>27593764</v>
      </c>
      <c r="L542" s="1224">
        <f t="shared" si="193"/>
        <v>2759376.4000000004</v>
      </c>
      <c r="M542" s="1237"/>
      <c r="N542" s="1225">
        <f t="shared" si="194"/>
        <v>30353140.399999999</v>
      </c>
      <c r="O542" s="197" t="s">
        <v>245</v>
      </c>
      <c r="P542" s="197" t="s">
        <v>34</v>
      </c>
      <c r="Q542" s="175"/>
      <c r="R542" s="175"/>
      <c r="S542" s="116">
        <v>0</v>
      </c>
      <c r="T542" s="116">
        <f t="shared" si="195"/>
        <v>-551875.28</v>
      </c>
      <c r="U542" s="116">
        <v>29801265.120000001</v>
      </c>
      <c r="V542" s="210"/>
      <c r="W542" s="115"/>
      <c r="X542" s="181"/>
      <c r="Y542" s="116"/>
      <c r="Z542" s="185"/>
      <c r="AA542" s="592"/>
      <c r="AB542" s="186"/>
      <c r="AC542" s="9"/>
      <c r="AD542" s="297"/>
      <c r="AE542" s="297"/>
      <c r="AF542" s="9"/>
      <c r="AG542" s="9"/>
      <c r="AH542" s="300"/>
      <c r="AI542" s="9"/>
      <c r="AJ542" s="300"/>
      <c r="AK542" s="73"/>
    </row>
    <row r="543" spans="1:37" s="114" customFormat="1" ht="12" hidden="1" customHeight="1">
      <c r="A543" s="53"/>
      <c r="B543" s="1220" t="s">
        <v>244</v>
      </c>
      <c r="C543" s="1221">
        <v>6</v>
      </c>
      <c r="D543" s="1222" t="s">
        <v>40</v>
      </c>
      <c r="E543" s="1223" t="s">
        <v>354</v>
      </c>
      <c r="F543" s="1505" t="s">
        <v>3363</v>
      </c>
      <c r="G543" s="1223" t="s">
        <v>602</v>
      </c>
      <c r="H543" s="1223" t="s">
        <v>3166</v>
      </c>
      <c r="I543" s="1223" t="s">
        <v>3188</v>
      </c>
      <c r="J543" s="1237"/>
      <c r="K543" s="1224">
        <v>26972942</v>
      </c>
      <c r="L543" s="1224">
        <f t="shared" si="193"/>
        <v>2697294.2</v>
      </c>
      <c r="M543" s="1237"/>
      <c r="N543" s="1225">
        <f t="shared" si="194"/>
        <v>29670236.199999999</v>
      </c>
      <c r="O543" s="197" t="s">
        <v>245</v>
      </c>
      <c r="P543" s="197" t="s">
        <v>34</v>
      </c>
      <c r="Q543" s="175"/>
      <c r="R543" s="175"/>
      <c r="S543" s="116">
        <v>0</v>
      </c>
      <c r="T543" s="116">
        <f t="shared" si="195"/>
        <v>-539458.84</v>
      </c>
      <c r="U543" s="116">
        <v>29130777.359999999</v>
      </c>
      <c r="V543" s="210"/>
      <c r="W543" s="115"/>
      <c r="X543" s="181"/>
      <c r="Y543" s="116"/>
      <c r="Z543" s="185"/>
      <c r="AA543" s="592"/>
      <c r="AB543" s="186"/>
      <c r="AC543" s="9"/>
      <c r="AD543" s="297"/>
      <c r="AE543" s="297"/>
      <c r="AF543" s="9"/>
      <c r="AG543" s="9"/>
      <c r="AH543" s="300"/>
      <c r="AI543" s="9"/>
      <c r="AJ543" s="300"/>
      <c r="AK543" s="73"/>
    </row>
    <row r="544" spans="1:37" s="114" customFormat="1" ht="12" hidden="1" customHeight="1">
      <c r="A544" s="53"/>
      <c r="B544" s="1220" t="s">
        <v>244</v>
      </c>
      <c r="C544" s="1221">
        <v>6</v>
      </c>
      <c r="D544" s="1222" t="s">
        <v>40</v>
      </c>
      <c r="E544" s="1223" t="s">
        <v>354</v>
      </c>
      <c r="F544" s="1505" t="s">
        <v>3193</v>
      </c>
      <c r="G544" s="1223" t="s">
        <v>602</v>
      </c>
      <c r="H544" s="1223" t="s">
        <v>3167</v>
      </c>
      <c r="I544" s="1223" t="s">
        <v>3189</v>
      </c>
      <c r="J544" s="1237"/>
      <c r="K544" s="1224">
        <v>26972942</v>
      </c>
      <c r="L544" s="1224">
        <f t="shared" si="193"/>
        <v>2697294.2</v>
      </c>
      <c r="M544" s="1237"/>
      <c r="N544" s="1225">
        <f t="shared" si="194"/>
        <v>29670236.199999999</v>
      </c>
      <c r="O544" s="197" t="s">
        <v>245</v>
      </c>
      <c r="P544" s="197" t="s">
        <v>34</v>
      </c>
      <c r="Q544" s="175"/>
      <c r="R544" s="175"/>
      <c r="S544" s="116">
        <v>0</v>
      </c>
      <c r="T544" s="116">
        <f t="shared" si="195"/>
        <v>-539458.84</v>
      </c>
      <c r="U544" s="116">
        <v>29130777.359999999</v>
      </c>
      <c r="V544" s="210"/>
      <c r="W544" s="115"/>
      <c r="X544" s="181"/>
      <c r="Y544" s="116"/>
      <c r="Z544" s="185"/>
      <c r="AA544" s="592"/>
      <c r="AB544" s="186"/>
      <c r="AC544" s="9"/>
      <c r="AD544" s="297"/>
      <c r="AE544" s="297"/>
      <c r="AF544" s="9"/>
      <c r="AG544" s="9"/>
      <c r="AH544" s="300"/>
      <c r="AI544" s="9"/>
      <c r="AJ544" s="300"/>
      <c r="AK544" s="73"/>
    </row>
    <row r="545" spans="1:37" s="114" customFormat="1" ht="12" hidden="1" customHeight="1">
      <c r="A545" s="53"/>
      <c r="B545" s="1220" t="s">
        <v>244</v>
      </c>
      <c r="C545" s="1221">
        <v>18</v>
      </c>
      <c r="D545" s="1222" t="s">
        <v>40</v>
      </c>
      <c r="E545" s="1223" t="s">
        <v>355</v>
      </c>
      <c r="F545" s="1505" t="s">
        <v>3335</v>
      </c>
      <c r="G545" s="1223" t="s">
        <v>3334</v>
      </c>
      <c r="H545" s="1223" t="s">
        <v>3240</v>
      </c>
      <c r="I545" s="1266" t="s">
        <v>14</v>
      </c>
      <c r="J545" s="1237"/>
      <c r="K545" s="1224">
        <v>4230330</v>
      </c>
      <c r="L545" s="1267">
        <v>0</v>
      </c>
      <c r="M545" s="1237"/>
      <c r="N545" s="1225">
        <f t="shared" ref="N545:N550" si="196">K545+L545</f>
        <v>4230330</v>
      </c>
      <c r="O545" s="197" t="s">
        <v>245</v>
      </c>
      <c r="P545" s="197" t="s">
        <v>94</v>
      </c>
      <c r="Q545" s="175"/>
      <c r="R545" s="175"/>
      <c r="S545" s="116">
        <v>0</v>
      </c>
      <c r="T545" s="1264">
        <v>0</v>
      </c>
      <c r="U545" s="116">
        <v>4230330</v>
      </c>
      <c r="V545" s="210">
        <f t="shared" ref="V545:V692" si="197">M545+Q545-R545</f>
        <v>0</v>
      </c>
      <c r="W545" s="115"/>
      <c r="X545" s="181"/>
      <c r="Y545" s="116"/>
      <c r="Z545" s="185"/>
      <c r="AA545" s="592"/>
      <c r="AB545" s="186"/>
      <c r="AC545" s="9"/>
      <c r="AD545" s="297"/>
      <c r="AE545" s="297"/>
      <c r="AF545" s="9"/>
      <c r="AG545" s="9"/>
      <c r="AH545" s="300"/>
      <c r="AI545" s="9"/>
      <c r="AJ545" s="300"/>
      <c r="AK545" s="73"/>
    </row>
    <row r="546" spans="1:37" s="114" customFormat="1" ht="12" hidden="1" customHeight="1">
      <c r="A546" s="53"/>
      <c r="B546" s="1220" t="s">
        <v>244</v>
      </c>
      <c r="C546" s="1221">
        <v>18</v>
      </c>
      <c r="D546" s="1222" t="s">
        <v>40</v>
      </c>
      <c r="E546" s="1223" t="s">
        <v>355</v>
      </c>
      <c r="F546" s="1505" t="s">
        <v>3336</v>
      </c>
      <c r="G546" s="1223" t="s">
        <v>3337</v>
      </c>
      <c r="H546" s="1223" t="s">
        <v>3243</v>
      </c>
      <c r="I546" s="1266" t="s">
        <v>14</v>
      </c>
      <c r="J546" s="1237"/>
      <c r="K546" s="1224">
        <v>1722600</v>
      </c>
      <c r="L546" s="1267">
        <v>0</v>
      </c>
      <c r="M546" s="1237"/>
      <c r="N546" s="1225">
        <f t="shared" si="196"/>
        <v>1722600</v>
      </c>
      <c r="O546" s="197" t="s">
        <v>245</v>
      </c>
      <c r="P546" s="197" t="s">
        <v>94</v>
      </c>
      <c r="Q546" s="175"/>
      <c r="R546" s="175"/>
      <c r="S546" s="116">
        <v>0</v>
      </c>
      <c r="T546" s="1264">
        <v>0</v>
      </c>
      <c r="U546" s="116">
        <v>1722600</v>
      </c>
      <c r="V546" s="210"/>
      <c r="W546" s="115"/>
      <c r="X546" s="181"/>
      <c r="Y546" s="116"/>
      <c r="Z546" s="185"/>
      <c r="AA546" s="592"/>
      <c r="AB546" s="186"/>
      <c r="AC546" s="9"/>
      <c r="AD546" s="297"/>
      <c r="AE546" s="297"/>
      <c r="AF546" s="9"/>
      <c r="AG546" s="9"/>
      <c r="AH546" s="300"/>
      <c r="AI546" s="9"/>
      <c r="AJ546" s="300"/>
      <c r="AK546" s="73"/>
    </row>
    <row r="547" spans="1:37" s="114" customFormat="1" ht="12" hidden="1" customHeight="1">
      <c r="A547" s="53"/>
      <c r="B547" s="1220" t="s">
        <v>244</v>
      </c>
      <c r="C547" s="1221">
        <v>18</v>
      </c>
      <c r="D547" s="1222" t="s">
        <v>40</v>
      </c>
      <c r="E547" s="1223" t="s">
        <v>3244</v>
      </c>
      <c r="F547" s="1505" t="s">
        <v>3338</v>
      </c>
      <c r="G547" s="1223" t="s">
        <v>3339</v>
      </c>
      <c r="H547" s="1223" t="s">
        <v>3247</v>
      </c>
      <c r="I547" s="1266" t="s">
        <v>14</v>
      </c>
      <c r="J547" s="1237"/>
      <c r="K547" s="1224">
        <v>3008000</v>
      </c>
      <c r="L547" s="1267">
        <v>0</v>
      </c>
      <c r="M547" s="1237"/>
      <c r="N547" s="1225">
        <f t="shared" si="196"/>
        <v>3008000</v>
      </c>
      <c r="O547" s="197" t="s">
        <v>245</v>
      </c>
      <c r="P547" s="197" t="s">
        <v>94</v>
      </c>
      <c r="Q547" s="175"/>
      <c r="R547" s="175"/>
      <c r="S547" s="116">
        <v>0</v>
      </c>
      <c r="T547" s="1264">
        <v>0</v>
      </c>
      <c r="U547" s="116">
        <v>3008000</v>
      </c>
      <c r="V547" s="210"/>
      <c r="W547" s="115"/>
      <c r="X547" s="181"/>
      <c r="Y547" s="116"/>
      <c r="Z547" s="185"/>
      <c r="AA547" s="592"/>
      <c r="AB547" s="186"/>
      <c r="AC547" s="9"/>
      <c r="AD547" s="297"/>
      <c r="AE547" s="297"/>
      <c r="AF547" s="9"/>
      <c r="AG547" s="9"/>
      <c r="AH547" s="300"/>
      <c r="AI547" s="9"/>
      <c r="AJ547" s="300"/>
      <c r="AK547" s="73"/>
    </row>
    <row r="548" spans="1:37" s="114" customFormat="1" ht="12" hidden="1" customHeight="1">
      <c r="A548" s="53"/>
      <c r="B548" s="1268" t="s">
        <v>244</v>
      </c>
      <c r="C548" s="1221">
        <v>18</v>
      </c>
      <c r="D548" s="1222" t="s">
        <v>40</v>
      </c>
      <c r="E548" s="1223" t="s">
        <v>355</v>
      </c>
      <c r="F548" s="1505" t="s">
        <v>3335</v>
      </c>
      <c r="G548" s="1223" t="s">
        <v>3340</v>
      </c>
      <c r="H548" s="1223" t="s">
        <v>3249</v>
      </c>
      <c r="I548" s="1266" t="s">
        <v>14</v>
      </c>
      <c r="J548" s="1237"/>
      <c r="K548" s="1224">
        <v>2499157</v>
      </c>
      <c r="L548" s="1267">
        <v>0</v>
      </c>
      <c r="M548" s="1237"/>
      <c r="N548" s="1225">
        <f t="shared" si="196"/>
        <v>2499157</v>
      </c>
      <c r="O548" s="197" t="s">
        <v>245</v>
      </c>
      <c r="P548" s="197" t="s">
        <v>94</v>
      </c>
      <c r="Q548" s="175"/>
      <c r="R548" s="175"/>
      <c r="S548" s="116">
        <v>0</v>
      </c>
      <c r="T548" s="1264">
        <v>0</v>
      </c>
      <c r="U548" s="116">
        <v>2499157</v>
      </c>
      <c r="V548" s="210"/>
      <c r="W548" s="115"/>
      <c r="X548" s="181"/>
      <c r="Y548" s="116"/>
      <c r="Z548" s="185"/>
      <c r="AA548" s="592"/>
      <c r="AB548" s="186"/>
      <c r="AC548" s="9"/>
      <c r="AD548" s="297"/>
      <c r="AE548" s="297"/>
      <c r="AF548" s="9"/>
      <c r="AG548" s="9"/>
      <c r="AH548" s="300"/>
      <c r="AI548" s="9"/>
      <c r="AJ548" s="300"/>
      <c r="AK548" s="73"/>
    </row>
    <row r="549" spans="1:37" s="114" customFormat="1" ht="12" hidden="1" customHeight="1">
      <c r="A549" s="53"/>
      <c r="B549" s="1268" t="s">
        <v>244</v>
      </c>
      <c r="C549" s="1221">
        <v>18</v>
      </c>
      <c r="D549" s="1222" t="s">
        <v>40</v>
      </c>
      <c r="E549" s="1223" t="s">
        <v>357</v>
      </c>
      <c r="F549" s="1505" t="s">
        <v>3341</v>
      </c>
      <c r="G549" s="1223" t="s">
        <v>3342</v>
      </c>
      <c r="H549" s="1223" t="s">
        <v>3252</v>
      </c>
      <c r="I549" s="1266" t="s">
        <v>14</v>
      </c>
      <c r="J549" s="1237"/>
      <c r="K549" s="1224">
        <v>1950000</v>
      </c>
      <c r="L549" s="1267">
        <v>0</v>
      </c>
      <c r="M549" s="1237"/>
      <c r="N549" s="1225">
        <f t="shared" si="196"/>
        <v>1950000</v>
      </c>
      <c r="O549" s="197" t="s">
        <v>245</v>
      </c>
      <c r="P549" s="197" t="s">
        <v>94</v>
      </c>
      <c r="Q549" s="175"/>
      <c r="R549" s="175"/>
      <c r="S549" s="116">
        <v>0</v>
      </c>
      <c r="T549" s="1264">
        <v>0</v>
      </c>
      <c r="U549" s="116">
        <v>1950000</v>
      </c>
      <c r="V549" s="210"/>
      <c r="W549" s="115"/>
      <c r="X549" s="181"/>
      <c r="Y549" s="116"/>
      <c r="Z549" s="185"/>
      <c r="AA549" s="592"/>
      <c r="AB549" s="186"/>
      <c r="AC549" s="9"/>
      <c r="AD549" s="297"/>
      <c r="AE549" s="297"/>
      <c r="AF549" s="9"/>
      <c r="AG549" s="9"/>
      <c r="AH549" s="300"/>
      <c r="AI549" s="9"/>
      <c r="AJ549" s="300"/>
      <c r="AK549" s="73"/>
    </row>
    <row r="550" spans="1:37" s="114" customFormat="1" ht="12" hidden="1" customHeight="1">
      <c r="A550" s="53"/>
      <c r="B550" s="1268" t="s">
        <v>244</v>
      </c>
      <c r="C550" s="1221">
        <v>18</v>
      </c>
      <c r="D550" s="1222" t="s">
        <v>40</v>
      </c>
      <c r="E550" s="1223" t="s">
        <v>357</v>
      </c>
      <c r="F550" s="1505" t="s">
        <v>3343</v>
      </c>
      <c r="G550" s="1223" t="s">
        <v>3254</v>
      </c>
      <c r="H550" s="1223" t="s">
        <v>3255</v>
      </c>
      <c r="I550" s="1266" t="s">
        <v>14</v>
      </c>
      <c r="J550" s="1237"/>
      <c r="K550" s="1224">
        <v>7177000</v>
      </c>
      <c r="L550" s="1267">
        <v>0</v>
      </c>
      <c r="M550" s="1237"/>
      <c r="N550" s="1225">
        <f t="shared" si="196"/>
        <v>7177000</v>
      </c>
      <c r="O550" s="197" t="s">
        <v>245</v>
      </c>
      <c r="P550" s="197" t="s">
        <v>94</v>
      </c>
      <c r="Q550" s="175"/>
      <c r="R550" s="175"/>
      <c r="S550" s="116">
        <v>0</v>
      </c>
      <c r="T550" s="1264">
        <v>0</v>
      </c>
      <c r="U550" s="116">
        <v>7177000</v>
      </c>
      <c r="V550" s="210"/>
      <c r="W550" s="115"/>
      <c r="X550" s="181"/>
      <c r="Y550" s="116"/>
      <c r="Z550" s="185"/>
      <c r="AA550" s="592"/>
      <c r="AB550" s="186"/>
      <c r="AC550" s="9"/>
      <c r="AD550" s="297"/>
      <c r="AE550" s="297"/>
      <c r="AF550" s="9"/>
      <c r="AG550" s="9"/>
      <c r="AH550" s="300"/>
      <c r="AI550" s="9"/>
      <c r="AJ550" s="300"/>
      <c r="AK550" s="73"/>
    </row>
    <row r="551" spans="1:37" s="1211" customFormat="1" ht="12" hidden="1" customHeight="1">
      <c r="A551" s="758"/>
      <c r="B551" s="1268" t="s">
        <v>245</v>
      </c>
      <c r="C551" s="1221">
        <v>3</v>
      </c>
      <c r="D551" s="1222" t="s">
        <v>40</v>
      </c>
      <c r="E551" s="1223" t="s">
        <v>355</v>
      </c>
      <c r="F551" s="1505" t="s">
        <v>3145</v>
      </c>
      <c r="G551" s="1223" t="s">
        <v>641</v>
      </c>
      <c r="H551" s="1223" t="s">
        <v>3344</v>
      </c>
      <c r="I551" s="1223" t="s">
        <v>3345</v>
      </c>
      <c r="J551" s="1237"/>
      <c r="K551" s="1224">
        <v>27593764</v>
      </c>
      <c r="L551" s="1224">
        <f t="shared" ref="L551" si="198">K551*10%</f>
        <v>2759376.4000000004</v>
      </c>
      <c r="M551" s="1237"/>
      <c r="N551" s="1225">
        <f t="shared" ref="N551" si="199">K551+L551</f>
        <v>30353140.399999999</v>
      </c>
      <c r="O551" s="1202" t="s">
        <v>238</v>
      </c>
      <c r="P551" s="1202" t="s">
        <v>115</v>
      </c>
      <c r="Q551" s="1308"/>
      <c r="R551" s="1214"/>
      <c r="S551" s="116">
        <v>0</v>
      </c>
      <c r="T551" s="116">
        <f t="shared" ref="T551:T554" si="200">-K551*2%</f>
        <v>-551875.28</v>
      </c>
      <c r="U551" s="762">
        <v>29801265.120000001</v>
      </c>
      <c r="V551" s="1215"/>
      <c r="W551" s="1203"/>
      <c r="X551" s="1204"/>
      <c r="Y551" s="762"/>
      <c r="Z551" s="1205"/>
      <c r="AA551" s="1206"/>
      <c r="AB551" s="1207"/>
      <c r="AC551" s="759"/>
      <c r="AD551" s="1208"/>
      <c r="AE551" s="1208"/>
      <c r="AF551" s="759"/>
      <c r="AG551" s="759"/>
      <c r="AH551" s="1209"/>
      <c r="AI551" s="759"/>
      <c r="AJ551" s="1209"/>
      <c r="AK551" s="1210"/>
    </row>
    <row r="552" spans="1:37" s="1211" customFormat="1" ht="12" hidden="1" customHeight="1">
      <c r="A552" s="758"/>
      <c r="B552" s="1268" t="s">
        <v>245</v>
      </c>
      <c r="C552" s="1221">
        <v>3</v>
      </c>
      <c r="D552" s="1222" t="s">
        <v>40</v>
      </c>
      <c r="E552" s="1223" t="s">
        <v>364</v>
      </c>
      <c r="F552" s="1505" t="s">
        <v>2458</v>
      </c>
      <c r="G552" s="1223" t="s">
        <v>641</v>
      </c>
      <c r="H552" s="1223" t="s">
        <v>3346</v>
      </c>
      <c r="I552" s="1223" t="s">
        <v>3347</v>
      </c>
      <c r="J552" s="1237"/>
      <c r="K552" s="1224">
        <v>13000000</v>
      </c>
      <c r="L552" s="1224">
        <f t="shared" ref="L552:L556" si="201">K552*10%</f>
        <v>1300000</v>
      </c>
      <c r="M552" s="1237"/>
      <c r="N552" s="1225">
        <f t="shared" ref="N552:N591" si="202">K552+L552</f>
        <v>14300000</v>
      </c>
      <c r="O552" s="1202" t="s">
        <v>238</v>
      </c>
      <c r="P552" s="1202" t="s">
        <v>115</v>
      </c>
      <c r="Q552" s="1308"/>
      <c r="R552" s="1214"/>
      <c r="S552" s="116">
        <v>0</v>
      </c>
      <c r="T552" s="116">
        <f t="shared" si="200"/>
        <v>-260000</v>
      </c>
      <c r="U552" s="762">
        <v>14040000</v>
      </c>
      <c r="V552" s="1215"/>
      <c r="W552" s="1203"/>
      <c r="X552" s="1204"/>
      <c r="Y552" s="762"/>
      <c r="Z552" s="1205"/>
      <c r="AA552" s="1206"/>
      <c r="AB552" s="1207"/>
      <c r="AC552" s="759"/>
      <c r="AD552" s="1208"/>
      <c r="AE552" s="1208"/>
      <c r="AF552" s="759"/>
      <c r="AG552" s="759"/>
      <c r="AH552" s="1209"/>
      <c r="AI552" s="759"/>
      <c r="AJ552" s="1209"/>
      <c r="AK552" s="1210"/>
    </row>
    <row r="553" spans="1:37" s="1211" customFormat="1" ht="12" hidden="1" customHeight="1">
      <c r="A553" s="758"/>
      <c r="B553" s="1268" t="s">
        <v>245</v>
      </c>
      <c r="C553" s="1221">
        <v>3</v>
      </c>
      <c r="D553" s="1222" t="s">
        <v>40</v>
      </c>
      <c r="E553" s="1223" t="s">
        <v>355</v>
      </c>
      <c r="F553" s="1505" t="s">
        <v>2467</v>
      </c>
      <c r="G553" s="1223" t="s">
        <v>641</v>
      </c>
      <c r="H553" s="1223" t="s">
        <v>3348</v>
      </c>
      <c r="I553" s="1223" t="s">
        <v>3349</v>
      </c>
      <c r="J553" s="1237"/>
      <c r="K553" s="1224">
        <v>27593764</v>
      </c>
      <c r="L553" s="1224">
        <f t="shared" si="201"/>
        <v>2759376.4000000004</v>
      </c>
      <c r="M553" s="1237"/>
      <c r="N553" s="1225">
        <f t="shared" si="202"/>
        <v>30353140.399999999</v>
      </c>
      <c r="O553" s="1202" t="s">
        <v>238</v>
      </c>
      <c r="P553" s="1202" t="s">
        <v>115</v>
      </c>
      <c r="Q553" s="1308"/>
      <c r="R553" s="1214"/>
      <c r="S553" s="116">
        <v>0</v>
      </c>
      <c r="T553" s="116">
        <f t="shared" si="200"/>
        <v>-551875.28</v>
      </c>
      <c r="U553" s="762">
        <v>29801265.120000001</v>
      </c>
      <c r="V553" s="1215"/>
      <c r="W553" s="1203"/>
      <c r="X553" s="1204"/>
      <c r="Y553" s="762"/>
      <c r="Z553" s="1205"/>
      <c r="AA553" s="1206"/>
      <c r="AB553" s="1207"/>
      <c r="AC553" s="759"/>
      <c r="AD553" s="1208"/>
      <c r="AE553" s="1208"/>
      <c r="AF553" s="759"/>
      <c r="AG553" s="759"/>
      <c r="AH553" s="1209"/>
      <c r="AI553" s="759"/>
      <c r="AJ553" s="1209"/>
      <c r="AK553" s="1210"/>
    </row>
    <row r="554" spans="1:37" s="1211" customFormat="1" ht="12" hidden="1" customHeight="1">
      <c r="A554" s="758"/>
      <c r="B554" s="1268" t="s">
        <v>245</v>
      </c>
      <c r="C554" s="1221">
        <v>3</v>
      </c>
      <c r="D554" s="1222" t="s">
        <v>40</v>
      </c>
      <c r="E554" s="1223" t="s">
        <v>354</v>
      </c>
      <c r="F554" s="1505" t="s">
        <v>3350</v>
      </c>
      <c r="G554" s="1223" t="s">
        <v>641</v>
      </c>
      <c r="H554" s="1223" t="s">
        <v>3351</v>
      </c>
      <c r="I554" s="1223" t="s">
        <v>3352</v>
      </c>
      <c r="J554" s="1237"/>
      <c r="K554" s="1224">
        <v>26972942</v>
      </c>
      <c r="L554" s="1224">
        <f t="shared" si="201"/>
        <v>2697294.2</v>
      </c>
      <c r="M554" s="1237"/>
      <c r="N554" s="1225">
        <f t="shared" si="202"/>
        <v>29670236.199999999</v>
      </c>
      <c r="O554" s="1202" t="s">
        <v>238</v>
      </c>
      <c r="P554" s="1202" t="s">
        <v>115</v>
      </c>
      <c r="Q554" s="1308"/>
      <c r="R554" s="1214"/>
      <c r="S554" s="116">
        <v>0</v>
      </c>
      <c r="T554" s="116">
        <f t="shared" si="200"/>
        <v>-539458.84</v>
      </c>
      <c r="U554" s="116">
        <v>29130777.359999999</v>
      </c>
      <c r="V554" s="1215"/>
      <c r="W554" s="1203"/>
      <c r="X554" s="1204"/>
      <c r="Y554" s="762"/>
      <c r="Z554" s="1205"/>
      <c r="AA554" s="1206"/>
      <c r="AB554" s="1207"/>
      <c r="AC554" s="759"/>
      <c r="AD554" s="1208"/>
      <c r="AE554" s="1208"/>
      <c r="AF554" s="759"/>
      <c r="AG554" s="759"/>
      <c r="AH554" s="1209"/>
      <c r="AI554" s="759"/>
      <c r="AJ554" s="1209"/>
      <c r="AK554" s="1210"/>
    </row>
    <row r="555" spans="1:37" s="1211" customFormat="1" ht="12" hidden="1" customHeight="1">
      <c r="A555" s="758"/>
      <c r="B555" s="1268" t="s">
        <v>245</v>
      </c>
      <c r="C555" s="1221">
        <v>3</v>
      </c>
      <c r="D555" s="1222" t="s">
        <v>40</v>
      </c>
      <c r="E555" s="1223" t="s">
        <v>354</v>
      </c>
      <c r="F555" s="1505" t="s">
        <v>3190</v>
      </c>
      <c r="G555" s="1223" t="s">
        <v>641</v>
      </c>
      <c r="H555" s="1223" t="s">
        <v>3353</v>
      </c>
      <c r="I555" s="1223" t="s">
        <v>3354</v>
      </c>
      <c r="J555" s="1237"/>
      <c r="K555" s="1224">
        <v>26972942</v>
      </c>
      <c r="L555" s="1224">
        <f t="shared" si="201"/>
        <v>2697294.2</v>
      </c>
      <c r="M555" s="1237"/>
      <c r="N555" s="1225">
        <f t="shared" si="202"/>
        <v>29670236.199999999</v>
      </c>
      <c r="O555" s="1202" t="s">
        <v>238</v>
      </c>
      <c r="P555" s="1202" t="s">
        <v>115</v>
      </c>
      <c r="Q555" s="1308"/>
      <c r="R555" s="1214"/>
      <c r="S555" s="116">
        <v>0</v>
      </c>
      <c r="T555" s="116">
        <f t="shared" ref="T555:T563" si="203">-K555*2%</f>
        <v>-539458.84</v>
      </c>
      <c r="U555" s="116">
        <v>29130777.359999999</v>
      </c>
      <c r="V555" s="1215"/>
      <c r="W555" s="1203"/>
      <c r="X555" s="1204"/>
      <c r="Y555" s="762"/>
      <c r="Z555" s="1205"/>
      <c r="AA555" s="1206"/>
      <c r="AB555" s="1207"/>
      <c r="AC555" s="759"/>
      <c r="AD555" s="1208"/>
      <c r="AE555" s="1208"/>
      <c r="AF555" s="759"/>
      <c r="AG555" s="759"/>
      <c r="AH555" s="1209"/>
      <c r="AI555" s="759"/>
      <c r="AJ555" s="1209"/>
      <c r="AK555" s="1210"/>
    </row>
    <row r="556" spans="1:37" s="1211" customFormat="1" ht="12" hidden="1" customHeight="1">
      <c r="A556" s="758"/>
      <c r="B556" s="1268" t="s">
        <v>245</v>
      </c>
      <c r="C556" s="1221">
        <v>3</v>
      </c>
      <c r="D556" s="1222" t="s">
        <v>40</v>
      </c>
      <c r="E556" s="1223" t="s">
        <v>355</v>
      </c>
      <c r="F556" s="1505" t="s">
        <v>754</v>
      </c>
      <c r="G556" s="1223" t="s">
        <v>641</v>
      </c>
      <c r="H556" s="1223" t="s">
        <v>3355</v>
      </c>
      <c r="I556" s="1223" t="s">
        <v>3356</v>
      </c>
      <c r="J556" s="1237"/>
      <c r="K556" s="1224">
        <v>27593764</v>
      </c>
      <c r="L556" s="1224">
        <f t="shared" si="201"/>
        <v>2759376.4000000004</v>
      </c>
      <c r="M556" s="1237"/>
      <c r="N556" s="1225">
        <f t="shared" si="202"/>
        <v>30353140.399999999</v>
      </c>
      <c r="O556" s="1202" t="s">
        <v>238</v>
      </c>
      <c r="P556" s="1202" t="s">
        <v>115</v>
      </c>
      <c r="Q556" s="1308"/>
      <c r="R556" s="1214"/>
      <c r="S556" s="116">
        <v>0</v>
      </c>
      <c r="T556" s="116">
        <f t="shared" si="203"/>
        <v>-551875.28</v>
      </c>
      <c r="U556" s="762">
        <v>29801265.120000001</v>
      </c>
      <c r="V556" s="1215"/>
      <c r="W556" s="1203"/>
      <c r="X556" s="1204"/>
      <c r="Y556" s="762"/>
      <c r="Z556" s="1205"/>
      <c r="AA556" s="1206"/>
      <c r="AB556" s="1207"/>
      <c r="AC556" s="759"/>
      <c r="AD556" s="1208"/>
      <c r="AE556" s="1208"/>
      <c r="AF556" s="759"/>
      <c r="AG556" s="759"/>
      <c r="AH556" s="1209"/>
      <c r="AI556" s="759"/>
      <c r="AJ556" s="1209"/>
      <c r="AK556" s="1210"/>
    </row>
    <row r="557" spans="1:37" s="1211" customFormat="1" ht="12" hidden="1" customHeight="1">
      <c r="A557" s="758"/>
      <c r="B557" s="1268" t="s">
        <v>245</v>
      </c>
      <c r="C557" s="1221">
        <v>3</v>
      </c>
      <c r="D557" s="1222" t="s">
        <v>40</v>
      </c>
      <c r="E557" s="1223" t="s">
        <v>354</v>
      </c>
      <c r="F557" s="1505" t="s">
        <v>3192</v>
      </c>
      <c r="G557" s="1223" t="s">
        <v>641</v>
      </c>
      <c r="H557" s="1223" t="s">
        <v>3357</v>
      </c>
      <c r="I557" s="1223" t="s">
        <v>3358</v>
      </c>
      <c r="J557" s="1237"/>
      <c r="K557" s="1224">
        <v>26972942</v>
      </c>
      <c r="L557" s="1224">
        <f t="shared" ref="L557" si="204">K557*10%</f>
        <v>2697294.2</v>
      </c>
      <c r="M557" s="1237"/>
      <c r="N557" s="1225">
        <f t="shared" ref="N557" si="205">K557+L557</f>
        <v>29670236.199999999</v>
      </c>
      <c r="O557" s="1202" t="s">
        <v>238</v>
      </c>
      <c r="P557" s="1202" t="s">
        <v>115</v>
      </c>
      <c r="Q557" s="1308"/>
      <c r="R557" s="1214"/>
      <c r="S557" s="116">
        <v>0</v>
      </c>
      <c r="T557" s="116">
        <f t="shared" si="203"/>
        <v>-539458.84</v>
      </c>
      <c r="U557" s="116">
        <v>29130777.359999999</v>
      </c>
      <c r="V557" s="1215"/>
      <c r="W557" s="1203"/>
      <c r="X557" s="1204"/>
      <c r="Y557" s="762"/>
      <c r="Z557" s="1205"/>
      <c r="AA557" s="1206"/>
      <c r="AB557" s="1207"/>
      <c r="AC557" s="759"/>
      <c r="AD557" s="1208"/>
      <c r="AE557" s="1208"/>
      <c r="AF557" s="759"/>
      <c r="AG557" s="759"/>
      <c r="AH557" s="1209"/>
      <c r="AI557" s="759"/>
      <c r="AJ557" s="1209"/>
      <c r="AK557" s="1210"/>
    </row>
    <row r="558" spans="1:37" s="1211" customFormat="1" ht="12" hidden="1" customHeight="1">
      <c r="A558" s="758"/>
      <c r="B558" s="1268" t="s">
        <v>245</v>
      </c>
      <c r="C558" s="1221">
        <v>3</v>
      </c>
      <c r="D558" s="1222" t="s">
        <v>40</v>
      </c>
      <c r="E558" s="1223" t="s">
        <v>355</v>
      </c>
      <c r="F558" s="1505" t="s">
        <v>755</v>
      </c>
      <c r="G558" s="1223" t="s">
        <v>641</v>
      </c>
      <c r="H558" s="1223" t="s">
        <v>3359</v>
      </c>
      <c r="I558" s="1223" t="s">
        <v>3360</v>
      </c>
      <c r="J558" s="1237"/>
      <c r="K558" s="1224">
        <v>27593764</v>
      </c>
      <c r="L558" s="1224">
        <f t="shared" ref="L558" si="206">K558*10%</f>
        <v>2759376.4000000004</v>
      </c>
      <c r="M558" s="1237"/>
      <c r="N558" s="1225">
        <f t="shared" ref="N558" si="207">K558+L558</f>
        <v>30353140.399999999</v>
      </c>
      <c r="O558" s="1202" t="s">
        <v>238</v>
      </c>
      <c r="P558" s="1202" t="s">
        <v>115</v>
      </c>
      <c r="Q558" s="1308"/>
      <c r="R558" s="1214"/>
      <c r="S558" s="116">
        <v>0</v>
      </c>
      <c r="T558" s="116">
        <f t="shared" si="203"/>
        <v>-551875.28</v>
      </c>
      <c r="U558" s="762">
        <v>29801265.120000001</v>
      </c>
      <c r="V558" s="1215"/>
      <c r="W558" s="1203"/>
      <c r="X558" s="1204"/>
      <c r="Y558" s="762"/>
      <c r="Z558" s="1205"/>
      <c r="AA558" s="1206"/>
      <c r="AB558" s="1207"/>
      <c r="AC558" s="759"/>
      <c r="AD558" s="1208"/>
      <c r="AE558" s="1208"/>
      <c r="AF558" s="759"/>
      <c r="AG558" s="759"/>
      <c r="AH558" s="1209"/>
      <c r="AI558" s="759"/>
      <c r="AJ558" s="1209"/>
      <c r="AK558" s="1210"/>
    </row>
    <row r="559" spans="1:37" s="1211" customFormat="1" ht="12" hidden="1" customHeight="1">
      <c r="A559" s="758"/>
      <c r="B559" s="1268" t="s">
        <v>245</v>
      </c>
      <c r="C559" s="1221">
        <v>3</v>
      </c>
      <c r="D559" s="1222" t="s">
        <v>40</v>
      </c>
      <c r="E559" s="1223" t="s">
        <v>355</v>
      </c>
      <c r="F559" s="1505" t="s">
        <v>752</v>
      </c>
      <c r="G559" s="1223" t="s">
        <v>641</v>
      </c>
      <c r="H559" s="1223" t="s">
        <v>3361</v>
      </c>
      <c r="I559" s="1223" t="s">
        <v>3362</v>
      </c>
      <c r="J559" s="1237"/>
      <c r="K559" s="1224">
        <v>27593764</v>
      </c>
      <c r="L559" s="1224">
        <f t="shared" ref="L559" si="208">K559*10%</f>
        <v>2759376.4000000004</v>
      </c>
      <c r="M559" s="1237"/>
      <c r="N559" s="1225">
        <f t="shared" ref="N559" si="209">K559+L559</f>
        <v>30353140.399999999</v>
      </c>
      <c r="O559" s="1202" t="s">
        <v>238</v>
      </c>
      <c r="P559" s="1202" t="s">
        <v>115</v>
      </c>
      <c r="Q559" s="1308"/>
      <c r="R559" s="1214"/>
      <c r="S559" s="116">
        <v>0</v>
      </c>
      <c r="T559" s="116">
        <f t="shared" si="203"/>
        <v>-551875.28</v>
      </c>
      <c r="U559" s="762">
        <v>29801265.120000001</v>
      </c>
      <c r="V559" s="1215"/>
      <c r="W559" s="1203"/>
      <c r="X559" s="1204"/>
      <c r="Y559" s="762"/>
      <c r="Z559" s="1205"/>
      <c r="AA559" s="1206"/>
      <c r="AB559" s="1207"/>
      <c r="AC559" s="759"/>
      <c r="AD559" s="1208"/>
      <c r="AE559" s="1208"/>
      <c r="AF559" s="759"/>
      <c r="AG559" s="759"/>
      <c r="AH559" s="1209"/>
      <c r="AI559" s="759"/>
      <c r="AJ559" s="1209"/>
      <c r="AK559" s="1210"/>
    </row>
    <row r="560" spans="1:37" s="1211" customFormat="1" ht="12" hidden="1" customHeight="1">
      <c r="A560" s="758"/>
      <c r="B560" s="1268" t="s">
        <v>245</v>
      </c>
      <c r="C560" s="1221">
        <v>3</v>
      </c>
      <c r="D560" s="1222" t="s">
        <v>40</v>
      </c>
      <c r="E560" s="1223" t="s">
        <v>354</v>
      </c>
      <c r="F560" s="1505" t="s">
        <v>3363</v>
      </c>
      <c r="G560" s="1223" t="s">
        <v>641</v>
      </c>
      <c r="H560" s="1223" t="s">
        <v>3364</v>
      </c>
      <c r="I560" s="1223" t="s">
        <v>3365</v>
      </c>
      <c r="J560" s="1237"/>
      <c r="K560" s="1224">
        <v>26972942</v>
      </c>
      <c r="L560" s="1224">
        <f t="shared" ref="L560" si="210">K560*10%</f>
        <v>2697294.2</v>
      </c>
      <c r="M560" s="1237"/>
      <c r="N560" s="1225">
        <f t="shared" ref="N560" si="211">K560+L560</f>
        <v>29670236.199999999</v>
      </c>
      <c r="O560" s="1202" t="s">
        <v>238</v>
      </c>
      <c r="P560" s="1202" t="s">
        <v>115</v>
      </c>
      <c r="Q560" s="1308"/>
      <c r="R560" s="1214"/>
      <c r="S560" s="116">
        <v>0</v>
      </c>
      <c r="T560" s="116">
        <f t="shared" si="203"/>
        <v>-539458.84</v>
      </c>
      <c r="U560" s="116">
        <v>29130777.359999999</v>
      </c>
      <c r="V560" s="1215"/>
      <c r="W560" s="1203"/>
      <c r="X560" s="1204"/>
      <c r="Y560" s="762"/>
      <c r="Z560" s="1205"/>
      <c r="AA560" s="1206"/>
      <c r="AB560" s="1207"/>
      <c r="AC560" s="759"/>
      <c r="AD560" s="1208"/>
      <c r="AE560" s="1208"/>
      <c r="AF560" s="759"/>
      <c r="AG560" s="759"/>
      <c r="AH560" s="1209"/>
      <c r="AI560" s="759"/>
      <c r="AJ560" s="1209"/>
      <c r="AK560" s="1210"/>
    </row>
    <row r="561" spans="1:37" s="1211" customFormat="1" ht="12" hidden="1" customHeight="1">
      <c r="A561" s="758"/>
      <c r="B561" s="1268" t="s">
        <v>245</v>
      </c>
      <c r="C561" s="1221">
        <v>3</v>
      </c>
      <c r="D561" s="1222" t="s">
        <v>40</v>
      </c>
      <c r="E561" s="1223" t="s">
        <v>354</v>
      </c>
      <c r="F561" s="1505" t="s">
        <v>3193</v>
      </c>
      <c r="G561" s="1223" t="s">
        <v>641</v>
      </c>
      <c r="H561" s="1223" t="s">
        <v>3366</v>
      </c>
      <c r="I561" s="1223" t="s">
        <v>3367</v>
      </c>
      <c r="J561" s="1237"/>
      <c r="K561" s="1224">
        <v>26972942</v>
      </c>
      <c r="L561" s="1224">
        <f t="shared" ref="L561:L563" si="212">K561*10%</f>
        <v>2697294.2</v>
      </c>
      <c r="M561" s="1237"/>
      <c r="N561" s="1225">
        <f t="shared" ref="N561:N567" si="213">K561+L561</f>
        <v>29670236.199999999</v>
      </c>
      <c r="O561" s="1202" t="s">
        <v>238</v>
      </c>
      <c r="P561" s="1202" t="s">
        <v>115</v>
      </c>
      <c r="Q561" s="1308"/>
      <c r="R561" s="1214"/>
      <c r="S561" s="116">
        <v>0</v>
      </c>
      <c r="T561" s="116">
        <f t="shared" si="203"/>
        <v>-539458.84</v>
      </c>
      <c r="U561" s="116">
        <v>29130777.359999999</v>
      </c>
      <c r="V561" s="1215"/>
      <c r="W561" s="1203"/>
      <c r="X561" s="1204"/>
      <c r="Y561" s="762"/>
      <c r="Z561" s="1205"/>
      <c r="AA561" s="1206"/>
      <c r="AB561" s="1207"/>
      <c r="AC561" s="759"/>
      <c r="AD561" s="1208"/>
      <c r="AE561" s="1208"/>
      <c r="AF561" s="759"/>
      <c r="AG561" s="759"/>
      <c r="AH561" s="1209"/>
      <c r="AI561" s="759"/>
      <c r="AJ561" s="1209"/>
      <c r="AK561" s="1210"/>
    </row>
    <row r="562" spans="1:37" s="1211" customFormat="1" ht="12" hidden="1" customHeight="1">
      <c r="A562" s="758"/>
      <c r="B562" s="1268" t="s">
        <v>245</v>
      </c>
      <c r="C562" s="1221">
        <v>13</v>
      </c>
      <c r="D562" s="1222" t="s">
        <v>40</v>
      </c>
      <c r="E562" s="1223" t="s">
        <v>355</v>
      </c>
      <c r="F562" s="1505" t="s">
        <v>3335</v>
      </c>
      <c r="G562" s="1223" t="s">
        <v>3433</v>
      </c>
      <c r="H562" s="1223" t="s">
        <v>3434</v>
      </c>
      <c r="I562" s="1266" t="s">
        <v>14</v>
      </c>
      <c r="J562" s="1237"/>
      <c r="K562" s="1224">
        <v>3756000</v>
      </c>
      <c r="L562" s="1224">
        <v>0</v>
      </c>
      <c r="M562" s="1237"/>
      <c r="N562" s="1225">
        <f t="shared" si="213"/>
        <v>3756000</v>
      </c>
      <c r="O562" s="1202" t="s">
        <v>238</v>
      </c>
      <c r="P562" s="1202" t="s">
        <v>115</v>
      </c>
      <c r="Q562" s="1308"/>
      <c r="R562" s="1214"/>
      <c r="S562" s="116">
        <v>0</v>
      </c>
      <c r="T562" s="116">
        <v>0</v>
      </c>
      <c r="U562" s="762">
        <v>3756000</v>
      </c>
      <c r="V562" s="1215"/>
      <c r="W562" s="1203"/>
      <c r="X562" s="1204"/>
      <c r="Y562" s="762"/>
      <c r="Z562" s="1205"/>
      <c r="AA562" s="1206"/>
      <c r="AB562" s="1207"/>
      <c r="AC562" s="759"/>
      <c r="AD562" s="1208"/>
      <c r="AE562" s="1208"/>
      <c r="AF562" s="759"/>
      <c r="AG562" s="759"/>
      <c r="AH562" s="1209"/>
      <c r="AI562" s="759"/>
      <c r="AJ562" s="1209"/>
      <c r="AK562" s="1210"/>
    </row>
    <row r="563" spans="1:37" s="1211" customFormat="1" ht="12" hidden="1" customHeight="1">
      <c r="A563" s="758"/>
      <c r="B563" s="1268" t="s">
        <v>245</v>
      </c>
      <c r="C563" s="1221">
        <v>18</v>
      </c>
      <c r="D563" s="1222" t="s">
        <v>40</v>
      </c>
      <c r="E563" s="1223" t="s">
        <v>354</v>
      </c>
      <c r="F563" s="1505" t="s">
        <v>3449</v>
      </c>
      <c r="G563" s="1223" t="s">
        <v>3452</v>
      </c>
      <c r="H563" s="1223" t="s">
        <v>3445</v>
      </c>
      <c r="I563" s="1223" t="s">
        <v>3451</v>
      </c>
      <c r="J563" s="1224">
        <v>1332700</v>
      </c>
      <c r="K563" s="1225">
        <v>13327000</v>
      </c>
      <c r="L563" s="1224">
        <f t="shared" si="212"/>
        <v>1332700</v>
      </c>
      <c r="M563" s="1237"/>
      <c r="N563" s="1225">
        <f t="shared" si="213"/>
        <v>14659700</v>
      </c>
      <c r="O563" s="1202" t="s">
        <v>238</v>
      </c>
      <c r="P563" s="1202" t="s">
        <v>115</v>
      </c>
      <c r="Q563" s="1308"/>
      <c r="R563" s="1214"/>
      <c r="S563" s="116">
        <v>0</v>
      </c>
      <c r="T563" s="116">
        <f t="shared" si="203"/>
        <v>-266540</v>
      </c>
      <c r="U563" s="762">
        <v>14393160</v>
      </c>
      <c r="V563" s="1215"/>
      <c r="W563" s="1203"/>
      <c r="X563" s="1204"/>
      <c r="Y563" s="762"/>
      <c r="Z563" s="1205"/>
      <c r="AA563" s="1206"/>
      <c r="AB563" s="1207"/>
      <c r="AC563" s="759"/>
      <c r="AD563" s="1208"/>
      <c r="AE563" s="1208"/>
      <c r="AF563" s="759"/>
      <c r="AG563" s="759"/>
      <c r="AH563" s="1209"/>
      <c r="AI563" s="759"/>
      <c r="AJ563" s="1209"/>
      <c r="AK563" s="1210"/>
    </row>
    <row r="564" spans="1:37" s="1211" customFormat="1" ht="12" hidden="1" customHeight="1">
      <c r="A564" s="758"/>
      <c r="B564" s="1268" t="s">
        <v>245</v>
      </c>
      <c r="C564" s="1221">
        <v>18</v>
      </c>
      <c r="D564" s="1222" t="s">
        <v>40</v>
      </c>
      <c r="E564" s="1223" t="s">
        <v>354</v>
      </c>
      <c r="F564" s="1505" t="s">
        <v>3448</v>
      </c>
      <c r="G564" s="1223" t="s">
        <v>3444</v>
      </c>
      <c r="H564" s="1223" t="s">
        <v>3447</v>
      </c>
      <c r="I564" s="1266" t="s">
        <v>14</v>
      </c>
      <c r="J564" s="1224">
        <v>0</v>
      </c>
      <c r="K564" s="1224">
        <v>6598300</v>
      </c>
      <c r="L564" s="1225">
        <v>0</v>
      </c>
      <c r="M564" s="1237"/>
      <c r="N564" s="1225">
        <f t="shared" si="213"/>
        <v>6598300</v>
      </c>
      <c r="O564" s="1202" t="s">
        <v>238</v>
      </c>
      <c r="P564" s="1202" t="s">
        <v>115</v>
      </c>
      <c r="Q564" s="1308"/>
      <c r="R564" s="1214"/>
      <c r="S564" s="116">
        <v>0</v>
      </c>
      <c r="T564" s="116">
        <v>0</v>
      </c>
      <c r="U564" s="762">
        <v>6598300</v>
      </c>
      <c r="V564" s="1215"/>
      <c r="W564" s="1203"/>
      <c r="X564" s="1204"/>
      <c r="Y564" s="762"/>
      <c r="Z564" s="1205"/>
      <c r="AA564" s="1206"/>
      <c r="AB564" s="1207"/>
      <c r="AC564" s="759"/>
      <c r="AD564" s="1208"/>
      <c r="AE564" s="1208"/>
      <c r="AF564" s="759"/>
      <c r="AG564" s="759"/>
      <c r="AH564" s="1209"/>
      <c r="AI564" s="759"/>
      <c r="AJ564" s="1209"/>
      <c r="AK564" s="1210"/>
    </row>
    <row r="565" spans="1:37" s="1211" customFormat="1" ht="12" hidden="1" customHeight="1">
      <c r="A565" s="758"/>
      <c r="B565" s="1268" t="s">
        <v>245</v>
      </c>
      <c r="C565" s="1221">
        <v>18</v>
      </c>
      <c r="D565" s="1222" t="s">
        <v>40</v>
      </c>
      <c r="E565" s="1223" t="s">
        <v>355</v>
      </c>
      <c r="F565" s="1505" t="s">
        <v>3335</v>
      </c>
      <c r="G565" s="1223" t="s">
        <v>3446</v>
      </c>
      <c r="H565" s="1223" t="s">
        <v>3450</v>
      </c>
      <c r="I565" s="1266" t="s">
        <v>14</v>
      </c>
      <c r="J565" s="1224"/>
      <c r="K565" s="1224">
        <v>2927000</v>
      </c>
      <c r="L565" s="1225">
        <v>0</v>
      </c>
      <c r="M565" s="1237"/>
      <c r="N565" s="1225">
        <f t="shared" si="213"/>
        <v>2927000</v>
      </c>
      <c r="O565" s="1202" t="s">
        <v>238</v>
      </c>
      <c r="P565" s="1202" t="s">
        <v>115</v>
      </c>
      <c r="Q565" s="1308"/>
      <c r="R565" s="1214"/>
      <c r="S565" s="116">
        <v>0</v>
      </c>
      <c r="T565" s="116">
        <v>0</v>
      </c>
      <c r="U565" s="762">
        <v>2927000</v>
      </c>
      <c r="V565" s="1215"/>
      <c r="W565" s="1203"/>
      <c r="X565" s="1204"/>
      <c r="Y565" s="762"/>
      <c r="Z565" s="1205"/>
      <c r="AA565" s="1206"/>
      <c r="AB565" s="1207"/>
      <c r="AC565" s="759"/>
      <c r="AD565" s="1208"/>
      <c r="AE565" s="1208"/>
      <c r="AF565" s="759"/>
      <c r="AG565" s="759"/>
      <c r="AH565" s="1209"/>
      <c r="AI565" s="759"/>
      <c r="AJ565" s="1209"/>
      <c r="AK565" s="1210"/>
    </row>
    <row r="566" spans="1:37" s="1211" customFormat="1" ht="12" hidden="1" customHeight="1">
      <c r="A566" s="1220"/>
      <c r="B566" s="1268" t="s">
        <v>238</v>
      </c>
      <c r="C566" s="1221">
        <v>21</v>
      </c>
      <c r="D566" s="1222" t="s">
        <v>40</v>
      </c>
      <c r="E566" s="1223" t="s">
        <v>355</v>
      </c>
      <c r="F566" s="1505" t="s">
        <v>3580</v>
      </c>
      <c r="G566" s="1223" t="s">
        <v>1616</v>
      </c>
      <c r="H566" s="1223" t="s">
        <v>3581</v>
      </c>
      <c r="I566" s="1223" t="s">
        <v>3582</v>
      </c>
      <c r="J566" s="1224"/>
      <c r="K566" s="1224">
        <v>27700494</v>
      </c>
      <c r="L566" s="1224">
        <f t="shared" ref="L566:L567" si="214">K566*10%</f>
        <v>2770049.4000000004</v>
      </c>
      <c r="M566" s="1237"/>
      <c r="N566" s="1225">
        <f t="shared" si="213"/>
        <v>30470543.399999999</v>
      </c>
      <c r="O566" s="1202" t="s">
        <v>140</v>
      </c>
      <c r="P566" s="1202" t="s">
        <v>116</v>
      </c>
      <c r="Q566" s="1308"/>
      <c r="R566" s="1214"/>
      <c r="S566" s="116">
        <v>0</v>
      </c>
      <c r="T566" s="116">
        <f>-K566*2%</f>
        <v>-554009.88</v>
      </c>
      <c r="U566" s="762">
        <v>29916533.52</v>
      </c>
      <c r="V566" s="1215"/>
      <c r="W566" s="1203"/>
      <c r="X566" s="1204"/>
      <c r="Y566" s="762"/>
      <c r="Z566" s="1205"/>
      <c r="AA566" s="1206"/>
      <c r="AB566" s="1207"/>
      <c r="AC566" s="759"/>
      <c r="AD566" s="1208"/>
      <c r="AE566" s="1208"/>
      <c r="AF566" s="759"/>
      <c r="AG566" s="759"/>
      <c r="AH566" s="1209"/>
      <c r="AI566" s="759"/>
      <c r="AJ566" s="1209"/>
      <c r="AK566" s="1210"/>
    </row>
    <row r="567" spans="1:37" s="1211" customFormat="1" ht="12" hidden="1" customHeight="1">
      <c r="A567" s="1220"/>
      <c r="B567" s="1268" t="s">
        <v>238</v>
      </c>
      <c r="C567" s="1221">
        <v>21</v>
      </c>
      <c r="D567" s="1222" t="s">
        <v>40</v>
      </c>
      <c r="E567" s="1223" t="s">
        <v>364</v>
      </c>
      <c r="F567" s="1505" t="s">
        <v>2458</v>
      </c>
      <c r="G567" s="1223" t="s">
        <v>1616</v>
      </c>
      <c r="H567" s="1223" t="s">
        <v>3583</v>
      </c>
      <c r="I567" s="1223" t="s">
        <v>3584</v>
      </c>
      <c r="J567" s="1224"/>
      <c r="K567" s="1224">
        <v>13000000</v>
      </c>
      <c r="L567" s="1225">
        <f t="shared" si="214"/>
        <v>1300000</v>
      </c>
      <c r="M567" s="1237"/>
      <c r="N567" s="1225">
        <f t="shared" si="213"/>
        <v>14300000</v>
      </c>
      <c r="O567" s="1202" t="s">
        <v>140</v>
      </c>
      <c r="P567" s="1202" t="s">
        <v>116</v>
      </c>
      <c r="Q567" s="1308"/>
      <c r="R567" s="1214"/>
      <c r="S567" s="116">
        <v>0</v>
      </c>
      <c r="T567" s="116">
        <f t="shared" ref="T567:T577" si="215">-K567*2%</f>
        <v>-260000</v>
      </c>
      <c r="U567" s="762">
        <v>14040000</v>
      </c>
      <c r="V567" s="1215"/>
      <c r="W567" s="1203"/>
      <c r="X567" s="1204"/>
      <c r="Y567" s="762"/>
      <c r="Z567" s="1205"/>
      <c r="AA567" s="1206"/>
      <c r="AB567" s="1207"/>
      <c r="AC567" s="759"/>
      <c r="AD567" s="1208"/>
      <c r="AE567" s="1208"/>
      <c r="AF567" s="759"/>
      <c r="AG567" s="759"/>
      <c r="AH567" s="1209"/>
      <c r="AI567" s="759"/>
      <c r="AJ567" s="1209"/>
      <c r="AK567" s="1210"/>
    </row>
    <row r="568" spans="1:37" s="1211" customFormat="1" ht="12" hidden="1" customHeight="1">
      <c r="A568" s="1220"/>
      <c r="B568" s="1268" t="s">
        <v>238</v>
      </c>
      <c r="C568" s="1221">
        <v>21</v>
      </c>
      <c r="D568" s="1222" t="s">
        <v>40</v>
      </c>
      <c r="E568" s="1223" t="s">
        <v>355</v>
      </c>
      <c r="F568" s="1505" t="s">
        <v>3585</v>
      </c>
      <c r="G568" s="1223" t="s">
        <v>1616</v>
      </c>
      <c r="H568" s="1223" t="s">
        <v>3586</v>
      </c>
      <c r="I568" s="1223" t="s">
        <v>3587</v>
      </c>
      <c r="J568" s="1224"/>
      <c r="K568" s="1224">
        <v>27700494</v>
      </c>
      <c r="L568" s="1225">
        <f t="shared" ref="L568" si="216">K568*10%</f>
        <v>2770049.4000000004</v>
      </c>
      <c r="M568" s="1237"/>
      <c r="N568" s="1225">
        <f t="shared" ref="N568" si="217">K568+L568</f>
        <v>30470543.399999999</v>
      </c>
      <c r="O568" s="1202" t="s">
        <v>140</v>
      </c>
      <c r="P568" s="1202" t="s">
        <v>116</v>
      </c>
      <c r="Q568" s="1308"/>
      <c r="R568" s="1214"/>
      <c r="S568" s="116">
        <v>0</v>
      </c>
      <c r="T568" s="116">
        <f t="shared" si="215"/>
        <v>-554009.88</v>
      </c>
      <c r="U568" s="762">
        <v>29916533.52</v>
      </c>
      <c r="V568" s="1215"/>
      <c r="W568" s="1203"/>
      <c r="X568" s="1204"/>
      <c r="Y568" s="762"/>
      <c r="Z568" s="1205"/>
      <c r="AA568" s="1206"/>
      <c r="AB568" s="1207"/>
      <c r="AC568" s="759"/>
      <c r="AD568" s="1208"/>
      <c r="AE568" s="1208"/>
      <c r="AF568" s="759"/>
      <c r="AG568" s="759"/>
      <c r="AH568" s="1209"/>
      <c r="AI568" s="759"/>
      <c r="AJ568" s="1209"/>
      <c r="AK568" s="1210"/>
    </row>
    <row r="569" spans="1:37" s="1211" customFormat="1" ht="12" hidden="1" customHeight="1">
      <c r="A569" s="1220"/>
      <c r="B569" s="1268" t="s">
        <v>238</v>
      </c>
      <c r="C569" s="1221">
        <v>21</v>
      </c>
      <c r="D569" s="1222" t="s">
        <v>40</v>
      </c>
      <c r="E569" s="1223" t="s">
        <v>354</v>
      </c>
      <c r="F569" s="1505" t="s">
        <v>3588</v>
      </c>
      <c r="G569" s="1223" t="s">
        <v>1616</v>
      </c>
      <c r="H569" s="1223" t="s">
        <v>3589</v>
      </c>
      <c r="I569" s="1223" t="s">
        <v>3590</v>
      </c>
      <c r="J569" s="1224"/>
      <c r="K569" s="1224">
        <v>27077272</v>
      </c>
      <c r="L569" s="1225">
        <f t="shared" ref="L569:L581" si="218">K569*10%</f>
        <v>2707727.2</v>
      </c>
      <c r="M569" s="1237"/>
      <c r="N569" s="1225">
        <f t="shared" ref="N569:N581" si="219">K569+L569</f>
        <v>29784999.199999999</v>
      </c>
      <c r="O569" s="1202" t="s">
        <v>140</v>
      </c>
      <c r="P569" s="1202" t="s">
        <v>116</v>
      </c>
      <c r="Q569" s="1308"/>
      <c r="R569" s="1214"/>
      <c r="S569" s="116">
        <v>0</v>
      </c>
      <c r="T569" s="116">
        <f t="shared" si="215"/>
        <v>-541545.44000000006</v>
      </c>
      <c r="U569" s="762">
        <v>29243453.760000002</v>
      </c>
      <c r="V569" s="1215"/>
      <c r="W569" s="1203"/>
      <c r="X569" s="1204"/>
      <c r="Y569" s="762"/>
      <c r="Z569" s="1205"/>
      <c r="AA569" s="1206"/>
      <c r="AB569" s="1207"/>
      <c r="AC569" s="759"/>
      <c r="AD569" s="1208"/>
      <c r="AE569" s="1208"/>
      <c r="AF569" s="759"/>
      <c r="AG569" s="759"/>
      <c r="AH569" s="1209"/>
      <c r="AI569" s="759"/>
      <c r="AJ569" s="1209"/>
      <c r="AK569" s="1210"/>
    </row>
    <row r="570" spans="1:37" s="1211" customFormat="1" ht="12" hidden="1" customHeight="1">
      <c r="A570" s="1220"/>
      <c r="B570" s="1268" t="s">
        <v>238</v>
      </c>
      <c r="C570" s="1221">
        <v>21</v>
      </c>
      <c r="D570" s="1222" t="s">
        <v>40</v>
      </c>
      <c r="E570" s="1223" t="s">
        <v>354</v>
      </c>
      <c r="F570" s="1505" t="s">
        <v>3591</v>
      </c>
      <c r="G570" s="1223" t="s">
        <v>1616</v>
      </c>
      <c r="H570" s="1223" t="s">
        <v>3592</v>
      </c>
      <c r="I570" s="1223" t="s">
        <v>3593</v>
      </c>
      <c r="J570" s="1224"/>
      <c r="K570" s="1224">
        <v>27077272</v>
      </c>
      <c r="L570" s="1225">
        <f t="shared" si="218"/>
        <v>2707727.2</v>
      </c>
      <c r="M570" s="1237"/>
      <c r="N570" s="1225">
        <f t="shared" si="219"/>
        <v>29784999.199999999</v>
      </c>
      <c r="O570" s="1202" t="s">
        <v>140</v>
      </c>
      <c r="P570" s="1202" t="s">
        <v>116</v>
      </c>
      <c r="Q570" s="1308"/>
      <c r="R570" s="1214"/>
      <c r="S570" s="116">
        <v>0</v>
      </c>
      <c r="T570" s="116">
        <f t="shared" si="215"/>
        <v>-541545.44000000006</v>
      </c>
      <c r="U570" s="762">
        <v>29243453.760000002</v>
      </c>
      <c r="V570" s="1215"/>
      <c r="W570" s="1203"/>
      <c r="X570" s="1204"/>
      <c r="Y570" s="762"/>
      <c r="Z570" s="1205"/>
      <c r="AA570" s="1206"/>
      <c r="AB570" s="1207"/>
      <c r="AC570" s="759"/>
      <c r="AD570" s="1208"/>
      <c r="AE570" s="1208"/>
      <c r="AF570" s="759"/>
      <c r="AG570" s="759"/>
      <c r="AH570" s="1209"/>
      <c r="AI570" s="759"/>
      <c r="AJ570" s="1209"/>
      <c r="AK570" s="1210"/>
    </row>
    <row r="571" spans="1:37" s="1211" customFormat="1" ht="12" hidden="1" customHeight="1">
      <c r="A571" s="1220"/>
      <c r="B571" s="1268" t="s">
        <v>238</v>
      </c>
      <c r="C571" s="1221">
        <v>21</v>
      </c>
      <c r="D571" s="1222" t="s">
        <v>40</v>
      </c>
      <c r="E571" s="1223" t="s">
        <v>355</v>
      </c>
      <c r="F571" s="1505" t="s">
        <v>3594</v>
      </c>
      <c r="G571" s="1223" t="s">
        <v>1616</v>
      </c>
      <c r="H571" s="1223" t="s">
        <v>3595</v>
      </c>
      <c r="I571" s="1223" t="s">
        <v>3596</v>
      </c>
      <c r="J571" s="1224"/>
      <c r="K571" s="1224">
        <v>27700494</v>
      </c>
      <c r="L571" s="1225">
        <f t="shared" si="218"/>
        <v>2770049.4000000004</v>
      </c>
      <c r="M571" s="1237"/>
      <c r="N571" s="1225">
        <f t="shared" si="219"/>
        <v>30470543.399999999</v>
      </c>
      <c r="O571" s="1202" t="s">
        <v>140</v>
      </c>
      <c r="P571" s="1202" t="s">
        <v>116</v>
      </c>
      <c r="Q571" s="1308"/>
      <c r="R571" s="1214"/>
      <c r="S571" s="116">
        <v>0</v>
      </c>
      <c r="T571" s="116">
        <f t="shared" si="215"/>
        <v>-554009.88</v>
      </c>
      <c r="U571" s="762">
        <v>29916533.52</v>
      </c>
      <c r="V571" s="1215"/>
      <c r="W571" s="1203"/>
      <c r="X571" s="1204"/>
      <c r="Y571" s="762"/>
      <c r="Z571" s="1205"/>
      <c r="AA571" s="1206"/>
      <c r="AB571" s="1207"/>
      <c r="AC571" s="759"/>
      <c r="AD571" s="1208"/>
      <c r="AE571" s="1208"/>
      <c r="AF571" s="759"/>
      <c r="AG571" s="759"/>
      <c r="AH571" s="1209"/>
      <c r="AI571" s="759"/>
      <c r="AJ571" s="1209"/>
      <c r="AK571" s="1210"/>
    </row>
    <row r="572" spans="1:37" s="1211" customFormat="1" ht="12" hidden="1" customHeight="1">
      <c r="A572" s="1220"/>
      <c r="B572" s="1268" t="s">
        <v>238</v>
      </c>
      <c r="C572" s="1221">
        <v>21</v>
      </c>
      <c r="D572" s="1222" t="s">
        <v>40</v>
      </c>
      <c r="E572" s="1223" t="s">
        <v>354</v>
      </c>
      <c r="F572" s="1505" t="s">
        <v>3597</v>
      </c>
      <c r="G572" s="1223" t="s">
        <v>1616</v>
      </c>
      <c r="H572" s="1223" t="s">
        <v>3598</v>
      </c>
      <c r="I572" s="1223" t="s">
        <v>3599</v>
      </c>
      <c r="J572" s="1224"/>
      <c r="K572" s="1224">
        <v>27077272</v>
      </c>
      <c r="L572" s="1225">
        <f t="shared" si="218"/>
        <v>2707727.2</v>
      </c>
      <c r="M572" s="1237"/>
      <c r="N572" s="1225">
        <f t="shared" si="219"/>
        <v>29784999.199999999</v>
      </c>
      <c r="O572" s="1202" t="s">
        <v>140</v>
      </c>
      <c r="P572" s="1202" t="s">
        <v>116</v>
      </c>
      <c r="Q572" s="1308"/>
      <c r="R572" s="1214"/>
      <c r="S572" s="116">
        <v>0</v>
      </c>
      <c r="T572" s="116">
        <f t="shared" si="215"/>
        <v>-541545.44000000006</v>
      </c>
      <c r="U572" s="762">
        <v>29243453.760000002</v>
      </c>
      <c r="V572" s="1215"/>
      <c r="W572" s="1203"/>
      <c r="X572" s="1204"/>
      <c r="Y572" s="762"/>
      <c r="Z572" s="1205"/>
      <c r="AA572" s="1206"/>
      <c r="AB572" s="1207"/>
      <c r="AC572" s="759"/>
      <c r="AD572" s="1208"/>
      <c r="AE572" s="1208"/>
      <c r="AF572" s="759"/>
      <c r="AG572" s="759"/>
      <c r="AH572" s="1209"/>
      <c r="AI572" s="759"/>
      <c r="AJ572" s="1209"/>
      <c r="AK572" s="1210"/>
    </row>
    <row r="573" spans="1:37" s="1211" customFormat="1" ht="12" hidden="1" customHeight="1">
      <c r="A573" s="1220"/>
      <c r="B573" s="1268" t="s">
        <v>238</v>
      </c>
      <c r="C573" s="1221">
        <v>21</v>
      </c>
      <c r="D573" s="1222" t="s">
        <v>40</v>
      </c>
      <c r="E573" s="1223" t="s">
        <v>355</v>
      </c>
      <c r="F573" s="1505" t="s">
        <v>3600</v>
      </c>
      <c r="G573" s="1223" t="s">
        <v>1616</v>
      </c>
      <c r="H573" s="1223" t="s">
        <v>3601</v>
      </c>
      <c r="I573" s="1223" t="s">
        <v>3602</v>
      </c>
      <c r="J573" s="1224"/>
      <c r="K573" s="1224">
        <v>27700494</v>
      </c>
      <c r="L573" s="1225">
        <f t="shared" si="218"/>
        <v>2770049.4000000004</v>
      </c>
      <c r="M573" s="1237"/>
      <c r="N573" s="1225">
        <f t="shared" si="219"/>
        <v>30470543.399999999</v>
      </c>
      <c r="O573" s="1202" t="s">
        <v>140</v>
      </c>
      <c r="P573" s="1202" t="s">
        <v>116</v>
      </c>
      <c r="Q573" s="1308"/>
      <c r="R573" s="1214"/>
      <c r="S573" s="116">
        <v>0</v>
      </c>
      <c r="T573" s="116">
        <f t="shared" si="215"/>
        <v>-554009.88</v>
      </c>
      <c r="U573" s="762">
        <v>29916533.52</v>
      </c>
      <c r="V573" s="1215"/>
      <c r="W573" s="1203"/>
      <c r="X573" s="1204"/>
      <c r="Y573" s="762"/>
      <c r="Z573" s="1205"/>
      <c r="AA573" s="1206"/>
      <c r="AB573" s="1207"/>
      <c r="AC573" s="759"/>
      <c r="AD573" s="1208"/>
      <c r="AE573" s="1208"/>
      <c r="AF573" s="759"/>
      <c r="AG573" s="759"/>
      <c r="AH573" s="1209"/>
      <c r="AI573" s="759"/>
      <c r="AJ573" s="1209"/>
      <c r="AK573" s="1210"/>
    </row>
    <row r="574" spans="1:37" s="1211" customFormat="1" ht="12" hidden="1" customHeight="1">
      <c r="A574" s="1220"/>
      <c r="B574" s="1268" t="s">
        <v>238</v>
      </c>
      <c r="C574" s="1221">
        <v>21</v>
      </c>
      <c r="D574" s="1222" t="s">
        <v>40</v>
      </c>
      <c r="E574" s="1223" t="s">
        <v>355</v>
      </c>
      <c r="F574" s="1505" t="s">
        <v>3603</v>
      </c>
      <c r="G574" s="1223" t="s">
        <v>1616</v>
      </c>
      <c r="H574" s="1223" t="s">
        <v>3604</v>
      </c>
      <c r="I574" s="1223" t="s">
        <v>3605</v>
      </c>
      <c r="J574" s="1224"/>
      <c r="K574" s="1224">
        <v>27700494</v>
      </c>
      <c r="L574" s="1225">
        <f t="shared" si="218"/>
        <v>2770049.4000000004</v>
      </c>
      <c r="M574" s="1237"/>
      <c r="N574" s="1225">
        <f t="shared" si="219"/>
        <v>30470543.399999999</v>
      </c>
      <c r="O574" s="1202" t="s">
        <v>140</v>
      </c>
      <c r="P574" s="1202" t="s">
        <v>116</v>
      </c>
      <c r="Q574" s="1308"/>
      <c r="R574" s="1214"/>
      <c r="S574" s="116">
        <v>0</v>
      </c>
      <c r="T574" s="116">
        <f t="shared" si="215"/>
        <v>-554009.88</v>
      </c>
      <c r="U574" s="762">
        <v>29916533.52</v>
      </c>
      <c r="V574" s="1215"/>
      <c r="W574" s="1203"/>
      <c r="X574" s="1204"/>
      <c r="Y574" s="762"/>
      <c r="Z574" s="1205"/>
      <c r="AA574" s="1206"/>
      <c r="AB574" s="1207"/>
      <c r="AC574" s="759"/>
      <c r="AD574" s="1208"/>
      <c r="AE574" s="1208"/>
      <c r="AF574" s="759"/>
      <c r="AG574" s="759"/>
      <c r="AH574" s="1209"/>
      <c r="AI574" s="759"/>
      <c r="AJ574" s="1209"/>
      <c r="AK574" s="1210"/>
    </row>
    <row r="575" spans="1:37" s="1211" customFormat="1" ht="12" hidden="1" customHeight="1">
      <c r="A575" s="1220"/>
      <c r="B575" s="1268" t="s">
        <v>238</v>
      </c>
      <c r="C575" s="1221">
        <v>21</v>
      </c>
      <c r="D575" s="1222" t="s">
        <v>40</v>
      </c>
      <c r="E575" s="1223" t="s">
        <v>354</v>
      </c>
      <c r="F575" s="1505" t="s">
        <v>3606</v>
      </c>
      <c r="G575" s="1223" t="s">
        <v>1616</v>
      </c>
      <c r="H575" s="1223" t="s">
        <v>3607</v>
      </c>
      <c r="I575" s="1223" t="s">
        <v>3608</v>
      </c>
      <c r="J575" s="1224"/>
      <c r="K575" s="1224">
        <v>27077272</v>
      </c>
      <c r="L575" s="1225">
        <f t="shared" si="218"/>
        <v>2707727.2</v>
      </c>
      <c r="M575" s="1237"/>
      <c r="N575" s="1225">
        <f t="shared" si="219"/>
        <v>29784999.199999999</v>
      </c>
      <c r="O575" s="1202" t="s">
        <v>140</v>
      </c>
      <c r="P575" s="1202" t="s">
        <v>116</v>
      </c>
      <c r="Q575" s="1308"/>
      <c r="R575" s="1214"/>
      <c r="S575" s="116">
        <v>0</v>
      </c>
      <c r="T575" s="116">
        <f t="shared" si="215"/>
        <v>-541545.44000000006</v>
      </c>
      <c r="U575" s="762">
        <v>29243453.760000002</v>
      </c>
      <c r="V575" s="1215"/>
      <c r="W575" s="1203"/>
      <c r="X575" s="1204"/>
      <c r="Y575" s="762"/>
      <c r="Z575" s="1205"/>
      <c r="AA575" s="1206"/>
      <c r="AB575" s="1207"/>
      <c r="AC575" s="759"/>
      <c r="AD575" s="1208"/>
      <c r="AE575" s="1208"/>
      <c r="AF575" s="759"/>
      <c r="AG575" s="759"/>
      <c r="AH575" s="1209"/>
      <c r="AI575" s="759"/>
      <c r="AJ575" s="1209"/>
      <c r="AK575" s="1210"/>
    </row>
    <row r="576" spans="1:37" s="1211" customFormat="1" ht="12" hidden="1" customHeight="1">
      <c r="A576" s="1220"/>
      <c r="B576" s="1268" t="s">
        <v>238</v>
      </c>
      <c r="C576" s="1221">
        <v>21</v>
      </c>
      <c r="D576" s="1222" t="s">
        <v>40</v>
      </c>
      <c r="E576" s="1223" t="s">
        <v>354</v>
      </c>
      <c r="F576" s="1505" t="s">
        <v>3609</v>
      </c>
      <c r="G576" s="1223" t="s">
        <v>1616</v>
      </c>
      <c r="H576" s="1223" t="s">
        <v>3610</v>
      </c>
      <c r="I576" s="1223" t="s">
        <v>3611</v>
      </c>
      <c r="J576" s="1224"/>
      <c r="K576" s="1224">
        <v>27077272</v>
      </c>
      <c r="L576" s="1225">
        <f t="shared" si="218"/>
        <v>2707727.2</v>
      </c>
      <c r="M576" s="1237"/>
      <c r="N576" s="1225">
        <f t="shared" si="219"/>
        <v>29784999.199999999</v>
      </c>
      <c r="O576" s="1202" t="s">
        <v>140</v>
      </c>
      <c r="P576" s="1202" t="s">
        <v>116</v>
      </c>
      <c r="Q576" s="1308"/>
      <c r="R576" s="1214"/>
      <c r="S576" s="116">
        <v>0</v>
      </c>
      <c r="T576" s="116">
        <f t="shared" si="215"/>
        <v>-541545.44000000006</v>
      </c>
      <c r="U576" s="762">
        <v>29243453.760000002</v>
      </c>
      <c r="V576" s="1215"/>
      <c r="W576" s="1203"/>
      <c r="X576" s="1204"/>
      <c r="Y576" s="762"/>
      <c r="Z576" s="1205"/>
      <c r="AA576" s="1206"/>
      <c r="AB576" s="1207"/>
      <c r="AC576" s="759"/>
      <c r="AD576" s="1208"/>
      <c r="AE576" s="1208"/>
      <c r="AF576" s="759"/>
      <c r="AG576" s="759"/>
      <c r="AH576" s="1209"/>
      <c r="AI576" s="759"/>
      <c r="AJ576" s="1209"/>
      <c r="AK576" s="1210"/>
    </row>
    <row r="577" spans="1:37" s="1211" customFormat="1" ht="12" hidden="1" customHeight="1">
      <c r="A577" s="1220"/>
      <c r="B577" s="1268" t="s">
        <v>238</v>
      </c>
      <c r="C577" s="1221">
        <v>21</v>
      </c>
      <c r="D577" s="1222" t="s">
        <v>40</v>
      </c>
      <c r="E577" s="1223" t="s">
        <v>354</v>
      </c>
      <c r="F577" s="1505" t="s">
        <v>3612</v>
      </c>
      <c r="G577" s="1223" t="s">
        <v>1616</v>
      </c>
      <c r="H577" s="1223" t="s">
        <v>3613</v>
      </c>
      <c r="I577" s="1223" t="s">
        <v>3614</v>
      </c>
      <c r="J577" s="1224"/>
      <c r="K577" s="1224">
        <v>27077272</v>
      </c>
      <c r="L577" s="1225">
        <f t="shared" si="218"/>
        <v>2707727.2</v>
      </c>
      <c r="M577" s="1237"/>
      <c r="N577" s="1225">
        <f t="shared" si="219"/>
        <v>29784999.199999999</v>
      </c>
      <c r="O577" s="1202" t="s">
        <v>140</v>
      </c>
      <c r="P577" s="1202" t="s">
        <v>116</v>
      </c>
      <c r="Q577" s="1308"/>
      <c r="R577" s="1214"/>
      <c r="S577" s="116">
        <v>0</v>
      </c>
      <c r="T577" s="116">
        <f t="shared" si="215"/>
        <v>-541545.44000000006</v>
      </c>
      <c r="U577" s="762">
        <v>29243453.760000002</v>
      </c>
      <c r="V577" s="1215"/>
      <c r="W577" s="1203"/>
      <c r="X577" s="1204"/>
      <c r="Y577" s="762"/>
      <c r="Z577" s="1205"/>
      <c r="AA577" s="1206"/>
      <c r="AB577" s="1207"/>
      <c r="AC577" s="759"/>
      <c r="AD577" s="1208"/>
      <c r="AE577" s="1208"/>
      <c r="AF577" s="759"/>
      <c r="AG577" s="759"/>
      <c r="AH577" s="1209"/>
      <c r="AI577" s="759"/>
      <c r="AJ577" s="1209"/>
      <c r="AK577" s="1210"/>
    </row>
    <row r="578" spans="1:37" s="1211" customFormat="1" ht="12" hidden="1" customHeight="1">
      <c r="A578" s="758"/>
      <c r="B578" s="1265" t="s">
        <v>140</v>
      </c>
      <c r="C578" s="759">
        <v>5</v>
      </c>
      <c r="D578" s="760" t="s">
        <v>40</v>
      </c>
      <c r="E578" s="761" t="s">
        <v>355</v>
      </c>
      <c r="F578" s="1506" t="s">
        <v>3580</v>
      </c>
      <c r="G578" s="761" t="s">
        <v>1617</v>
      </c>
      <c r="H578" s="761" t="s">
        <v>3644</v>
      </c>
      <c r="I578" s="761" t="s">
        <v>3645</v>
      </c>
      <c r="J578" s="762"/>
      <c r="K578" s="762">
        <v>27700494</v>
      </c>
      <c r="L578" s="763">
        <f t="shared" si="218"/>
        <v>2770049.4000000004</v>
      </c>
      <c r="M578" s="1054"/>
      <c r="N578" s="763">
        <f t="shared" si="219"/>
        <v>30470543.399999999</v>
      </c>
      <c r="O578" s="1202"/>
      <c r="P578" s="1202"/>
      <c r="Q578" s="1308"/>
      <c r="R578" s="1214"/>
      <c r="S578" s="116"/>
      <c r="T578" s="116"/>
      <c r="U578" s="762"/>
      <c r="V578" s="1215"/>
      <c r="W578" s="1203"/>
      <c r="X578" s="1204"/>
      <c r="Y578" s="762"/>
      <c r="Z578" s="1205"/>
      <c r="AA578" s="1206"/>
      <c r="AB578" s="1207"/>
      <c r="AC578" s="759"/>
      <c r="AD578" s="1208"/>
      <c r="AE578" s="1208"/>
      <c r="AF578" s="759"/>
      <c r="AG578" s="759"/>
      <c r="AH578" s="1209"/>
      <c r="AI578" s="759"/>
      <c r="AJ578" s="1209"/>
      <c r="AK578" s="1210"/>
    </row>
    <row r="579" spans="1:37" s="1211" customFormat="1" ht="12" hidden="1" customHeight="1">
      <c r="A579" s="758"/>
      <c r="B579" s="1265" t="s">
        <v>140</v>
      </c>
      <c r="C579" s="759">
        <v>5</v>
      </c>
      <c r="D579" s="760" t="s">
        <v>40</v>
      </c>
      <c r="E579" s="761" t="s">
        <v>364</v>
      </c>
      <c r="F579" s="1506" t="s">
        <v>2458</v>
      </c>
      <c r="G579" s="761" t="s">
        <v>1617</v>
      </c>
      <c r="H579" s="761" t="s">
        <v>3646</v>
      </c>
      <c r="I579" s="761" t="s">
        <v>3647</v>
      </c>
      <c r="J579" s="762"/>
      <c r="K579" s="762">
        <v>13000000</v>
      </c>
      <c r="L579" s="763">
        <f t="shared" si="218"/>
        <v>1300000</v>
      </c>
      <c r="M579" s="1054"/>
      <c r="N579" s="763">
        <f t="shared" si="219"/>
        <v>14300000</v>
      </c>
      <c r="O579" s="1202"/>
      <c r="P579" s="1202"/>
      <c r="Q579" s="1308"/>
      <c r="R579" s="1214"/>
      <c r="S579" s="116"/>
      <c r="T579" s="116"/>
      <c r="U579" s="762"/>
      <c r="V579" s="1215"/>
      <c r="W579" s="1203"/>
      <c r="X579" s="1204"/>
      <c r="Y579" s="762"/>
      <c r="Z579" s="1205"/>
      <c r="AA579" s="1206"/>
      <c r="AB579" s="1207"/>
      <c r="AC579" s="759"/>
      <c r="AD579" s="1208"/>
      <c r="AE579" s="1208"/>
      <c r="AF579" s="759"/>
      <c r="AG579" s="759"/>
      <c r="AH579" s="1209"/>
      <c r="AI579" s="759"/>
      <c r="AJ579" s="1209"/>
      <c r="AK579" s="1210"/>
    </row>
    <row r="580" spans="1:37" s="1211" customFormat="1" ht="12" hidden="1" customHeight="1">
      <c r="A580" s="758"/>
      <c r="B580" s="1265" t="s">
        <v>140</v>
      </c>
      <c r="C580" s="759">
        <v>5</v>
      </c>
      <c r="D580" s="760" t="s">
        <v>40</v>
      </c>
      <c r="E580" s="761" t="s">
        <v>355</v>
      </c>
      <c r="F580" s="1506" t="s">
        <v>3585</v>
      </c>
      <c r="G580" s="761" t="s">
        <v>1617</v>
      </c>
      <c r="H580" s="761" t="s">
        <v>3648</v>
      </c>
      <c r="I580" s="761" t="s">
        <v>3649</v>
      </c>
      <c r="J580" s="762"/>
      <c r="K580" s="762">
        <v>27700494</v>
      </c>
      <c r="L580" s="763">
        <f t="shared" si="218"/>
        <v>2770049.4000000004</v>
      </c>
      <c r="M580" s="1054"/>
      <c r="N580" s="763">
        <f t="shared" si="219"/>
        <v>30470543.399999999</v>
      </c>
      <c r="O580" s="1202"/>
      <c r="P580" s="1202"/>
      <c r="Q580" s="1308"/>
      <c r="R580" s="1214"/>
      <c r="S580" s="116"/>
      <c r="T580" s="116"/>
      <c r="U580" s="762"/>
      <c r="V580" s="1215"/>
      <c r="W580" s="1203"/>
      <c r="X580" s="1204"/>
      <c r="Y580" s="762"/>
      <c r="Z580" s="1205"/>
      <c r="AA580" s="1206"/>
      <c r="AB580" s="1207"/>
      <c r="AC580" s="759"/>
      <c r="AD580" s="1208"/>
      <c r="AE580" s="1208"/>
      <c r="AF580" s="759"/>
      <c r="AG580" s="759"/>
      <c r="AH580" s="1209"/>
      <c r="AI580" s="759"/>
      <c r="AJ580" s="1209"/>
      <c r="AK580" s="1210"/>
    </row>
    <row r="581" spans="1:37" s="1211" customFormat="1" ht="12" hidden="1" customHeight="1">
      <c r="A581" s="758"/>
      <c r="B581" s="1265" t="s">
        <v>140</v>
      </c>
      <c r="C581" s="759">
        <v>5</v>
      </c>
      <c r="D581" s="760" t="s">
        <v>40</v>
      </c>
      <c r="E581" s="761" t="s">
        <v>354</v>
      </c>
      <c r="F581" s="1506" t="s">
        <v>3588</v>
      </c>
      <c r="G581" s="761" t="s">
        <v>1617</v>
      </c>
      <c r="H581" s="761" t="s">
        <v>3650</v>
      </c>
      <c r="I581" s="761" t="s">
        <v>3651</v>
      </c>
      <c r="J581" s="762"/>
      <c r="K581" s="762">
        <v>27077272</v>
      </c>
      <c r="L581" s="763">
        <f t="shared" si="218"/>
        <v>2707727.2</v>
      </c>
      <c r="M581" s="1054"/>
      <c r="N581" s="763">
        <f t="shared" si="219"/>
        <v>29784999.199999999</v>
      </c>
      <c r="O581" s="1202"/>
      <c r="P581" s="1202"/>
      <c r="Q581" s="1308"/>
      <c r="R581" s="1214"/>
      <c r="S581" s="116"/>
      <c r="T581" s="116"/>
      <c r="U581" s="762"/>
      <c r="V581" s="1215"/>
      <c r="W581" s="1203"/>
      <c r="X581" s="1204"/>
      <c r="Y581" s="762"/>
      <c r="Z581" s="1205"/>
      <c r="AA581" s="1206"/>
      <c r="AB581" s="1207"/>
      <c r="AC581" s="759"/>
      <c r="AD581" s="1208"/>
      <c r="AE581" s="1208"/>
      <c r="AF581" s="759"/>
      <c r="AG581" s="759"/>
      <c r="AH581" s="1209"/>
      <c r="AI581" s="759"/>
      <c r="AJ581" s="1209"/>
      <c r="AK581" s="1210"/>
    </row>
    <row r="582" spans="1:37" s="1211" customFormat="1" ht="12" hidden="1" customHeight="1">
      <c r="A582" s="758"/>
      <c r="B582" s="1265" t="s">
        <v>140</v>
      </c>
      <c r="C582" s="759">
        <v>5</v>
      </c>
      <c r="D582" s="760" t="s">
        <v>40</v>
      </c>
      <c r="E582" s="761" t="s">
        <v>354</v>
      </c>
      <c r="F582" s="1506" t="s">
        <v>3591</v>
      </c>
      <c r="G582" s="761" t="s">
        <v>1617</v>
      </c>
      <c r="H582" s="761" t="s">
        <v>3652</v>
      </c>
      <c r="I582" s="761" t="s">
        <v>3653</v>
      </c>
      <c r="J582" s="762"/>
      <c r="K582" s="762">
        <v>27077272</v>
      </c>
      <c r="L582" s="763">
        <f t="shared" ref="L582:L590" si="220">K582*10%</f>
        <v>2707727.2</v>
      </c>
      <c r="M582" s="1054"/>
      <c r="N582" s="763">
        <f t="shared" ref="N582:N590" si="221">K582+L582</f>
        <v>29784999.199999999</v>
      </c>
      <c r="O582" s="1202"/>
      <c r="P582" s="1202"/>
      <c r="Q582" s="1308"/>
      <c r="R582" s="1214"/>
      <c r="S582" s="116"/>
      <c r="T582" s="116"/>
      <c r="U582" s="762"/>
      <c r="V582" s="1215"/>
      <c r="W582" s="1203"/>
      <c r="X582" s="1204"/>
      <c r="Y582" s="762"/>
      <c r="Z582" s="1205"/>
      <c r="AA582" s="1206"/>
      <c r="AB582" s="1207"/>
      <c r="AC582" s="759"/>
      <c r="AD582" s="1208"/>
      <c r="AE582" s="1208"/>
      <c r="AF582" s="759"/>
      <c r="AG582" s="759"/>
      <c r="AH582" s="1209"/>
      <c r="AI582" s="759"/>
      <c r="AJ582" s="1209"/>
      <c r="AK582" s="1210"/>
    </row>
    <row r="583" spans="1:37" s="1211" customFormat="1" ht="12" hidden="1" customHeight="1">
      <c r="A583" s="758"/>
      <c r="B583" s="1265" t="s">
        <v>140</v>
      </c>
      <c r="C583" s="759">
        <v>5</v>
      </c>
      <c r="D583" s="760" t="s">
        <v>40</v>
      </c>
      <c r="E583" s="761" t="s">
        <v>355</v>
      </c>
      <c r="F583" s="1506" t="s">
        <v>3594</v>
      </c>
      <c r="G583" s="761" t="s">
        <v>1617</v>
      </c>
      <c r="H583" s="761" t="s">
        <v>3654</v>
      </c>
      <c r="I583" s="761" t="s">
        <v>3655</v>
      </c>
      <c r="J583" s="762"/>
      <c r="K583" s="762">
        <v>27700494</v>
      </c>
      <c r="L583" s="763">
        <f t="shared" si="220"/>
        <v>2770049.4000000004</v>
      </c>
      <c r="M583" s="1054"/>
      <c r="N583" s="763">
        <f t="shared" si="221"/>
        <v>30470543.399999999</v>
      </c>
      <c r="O583" s="1202"/>
      <c r="P583" s="1202"/>
      <c r="Q583" s="1308"/>
      <c r="R583" s="1214"/>
      <c r="S583" s="116"/>
      <c r="T583" s="116"/>
      <c r="U583" s="762"/>
      <c r="V583" s="1215"/>
      <c r="W583" s="1203"/>
      <c r="X583" s="1204"/>
      <c r="Y583" s="762"/>
      <c r="Z583" s="1205"/>
      <c r="AA583" s="1206"/>
      <c r="AB583" s="1207"/>
      <c r="AC583" s="759"/>
      <c r="AD583" s="1208"/>
      <c r="AE583" s="1208"/>
      <c r="AF583" s="759"/>
      <c r="AG583" s="759"/>
      <c r="AH583" s="1209"/>
      <c r="AI583" s="759"/>
      <c r="AJ583" s="1209"/>
      <c r="AK583" s="1210"/>
    </row>
    <row r="584" spans="1:37" s="1211" customFormat="1" ht="12" hidden="1" customHeight="1">
      <c r="A584" s="758"/>
      <c r="B584" s="1265" t="s">
        <v>140</v>
      </c>
      <c r="C584" s="759">
        <v>5</v>
      </c>
      <c r="D584" s="760" t="s">
        <v>40</v>
      </c>
      <c r="E584" s="761" t="s">
        <v>354</v>
      </c>
      <c r="F584" s="1506" t="s">
        <v>3597</v>
      </c>
      <c r="G584" s="761" t="s">
        <v>1617</v>
      </c>
      <c r="H584" s="761" t="s">
        <v>3656</v>
      </c>
      <c r="I584" s="761" t="s">
        <v>3657</v>
      </c>
      <c r="J584" s="762"/>
      <c r="K584" s="762">
        <v>27077272</v>
      </c>
      <c r="L584" s="763">
        <f t="shared" si="220"/>
        <v>2707727.2</v>
      </c>
      <c r="M584" s="1054"/>
      <c r="N584" s="763">
        <f t="shared" si="221"/>
        <v>29784999.199999999</v>
      </c>
      <c r="O584" s="1202"/>
      <c r="P584" s="1202"/>
      <c r="Q584" s="1308"/>
      <c r="R584" s="1214"/>
      <c r="S584" s="116"/>
      <c r="T584" s="116"/>
      <c r="U584" s="762"/>
      <c r="V584" s="1215"/>
      <c r="W584" s="1203"/>
      <c r="X584" s="1204"/>
      <c r="Y584" s="762"/>
      <c r="Z584" s="1205"/>
      <c r="AA584" s="1206"/>
      <c r="AB584" s="1207"/>
      <c r="AC584" s="759"/>
      <c r="AD584" s="1208"/>
      <c r="AE584" s="1208"/>
      <c r="AF584" s="759"/>
      <c r="AG584" s="759"/>
      <c r="AH584" s="1209"/>
      <c r="AI584" s="759"/>
      <c r="AJ584" s="1209"/>
      <c r="AK584" s="1210"/>
    </row>
    <row r="585" spans="1:37" s="1211" customFormat="1" ht="12" hidden="1" customHeight="1">
      <c r="A585" s="758"/>
      <c r="B585" s="1265" t="s">
        <v>140</v>
      </c>
      <c r="C585" s="759">
        <v>5</v>
      </c>
      <c r="D585" s="760" t="s">
        <v>40</v>
      </c>
      <c r="E585" s="761" t="s">
        <v>355</v>
      </c>
      <c r="F585" s="1506" t="s">
        <v>3600</v>
      </c>
      <c r="G585" s="761" t="s">
        <v>1617</v>
      </c>
      <c r="H585" s="761" t="s">
        <v>3658</v>
      </c>
      <c r="I585" s="761" t="s">
        <v>3659</v>
      </c>
      <c r="J585" s="762"/>
      <c r="K585" s="762">
        <v>27700494</v>
      </c>
      <c r="L585" s="763">
        <f t="shared" si="220"/>
        <v>2770049.4000000004</v>
      </c>
      <c r="M585" s="1054"/>
      <c r="N585" s="763">
        <f t="shared" si="221"/>
        <v>30470543.399999999</v>
      </c>
      <c r="O585" s="1202"/>
      <c r="P585" s="1202"/>
      <c r="Q585" s="1308"/>
      <c r="R585" s="1214"/>
      <c r="S585" s="116"/>
      <c r="T585" s="116"/>
      <c r="U585" s="762"/>
      <c r="V585" s="1215"/>
      <c r="W585" s="1203"/>
      <c r="X585" s="1204"/>
      <c r="Y585" s="762"/>
      <c r="Z585" s="1205"/>
      <c r="AA585" s="1206"/>
      <c r="AB585" s="1207"/>
      <c r="AC585" s="759"/>
      <c r="AD585" s="1208"/>
      <c r="AE585" s="1208"/>
      <c r="AF585" s="759"/>
      <c r="AG585" s="759"/>
      <c r="AH585" s="1209"/>
      <c r="AI585" s="759"/>
      <c r="AJ585" s="1209"/>
      <c r="AK585" s="1210"/>
    </row>
    <row r="586" spans="1:37" s="1211" customFormat="1" ht="12" hidden="1" customHeight="1">
      <c r="A586" s="758"/>
      <c r="B586" s="1265" t="s">
        <v>140</v>
      </c>
      <c r="C586" s="759">
        <v>5</v>
      </c>
      <c r="D586" s="760" t="s">
        <v>40</v>
      </c>
      <c r="E586" s="761" t="s">
        <v>355</v>
      </c>
      <c r="F586" s="1506" t="s">
        <v>3603</v>
      </c>
      <c r="G586" s="761" t="s">
        <v>1617</v>
      </c>
      <c r="H586" s="761" t="s">
        <v>3660</v>
      </c>
      <c r="I586" s="761" t="s">
        <v>3661</v>
      </c>
      <c r="J586" s="762"/>
      <c r="K586" s="762">
        <v>27700494</v>
      </c>
      <c r="L586" s="763">
        <f t="shared" si="220"/>
        <v>2770049.4000000004</v>
      </c>
      <c r="M586" s="1054"/>
      <c r="N586" s="763">
        <f t="shared" si="221"/>
        <v>30470543.399999999</v>
      </c>
      <c r="O586" s="1202"/>
      <c r="P586" s="1202"/>
      <c r="Q586" s="1308"/>
      <c r="R586" s="1214"/>
      <c r="S586" s="116"/>
      <c r="T586" s="116"/>
      <c r="U586" s="762"/>
      <c r="V586" s="1215"/>
      <c r="W586" s="1203"/>
      <c r="X586" s="1204"/>
      <c r="Y586" s="762"/>
      <c r="Z586" s="1205"/>
      <c r="AA586" s="1206"/>
      <c r="AB586" s="1207"/>
      <c r="AC586" s="759"/>
      <c r="AD586" s="1208"/>
      <c r="AE586" s="1208"/>
      <c r="AF586" s="759"/>
      <c r="AG586" s="759"/>
      <c r="AH586" s="1209"/>
      <c r="AI586" s="759"/>
      <c r="AJ586" s="1209"/>
      <c r="AK586" s="1210"/>
    </row>
    <row r="587" spans="1:37" s="1211" customFormat="1" ht="12" hidden="1" customHeight="1">
      <c r="A587" s="758"/>
      <c r="B587" s="1265" t="s">
        <v>140</v>
      </c>
      <c r="C587" s="759">
        <v>5</v>
      </c>
      <c r="D587" s="760" t="s">
        <v>40</v>
      </c>
      <c r="E587" s="761" t="s">
        <v>354</v>
      </c>
      <c r="F587" s="1506" t="s">
        <v>3606</v>
      </c>
      <c r="G587" s="761" t="s">
        <v>1617</v>
      </c>
      <c r="H587" s="761" t="s">
        <v>3662</v>
      </c>
      <c r="I587" s="761" t="s">
        <v>3663</v>
      </c>
      <c r="J587" s="762"/>
      <c r="K587" s="762">
        <v>27077272</v>
      </c>
      <c r="L587" s="763">
        <f t="shared" si="220"/>
        <v>2707727.2</v>
      </c>
      <c r="M587" s="1054"/>
      <c r="N587" s="763">
        <f t="shared" si="221"/>
        <v>29784999.199999999</v>
      </c>
      <c r="O587" s="1202"/>
      <c r="P587" s="1202"/>
      <c r="Q587" s="1308"/>
      <c r="R587" s="1214"/>
      <c r="S587" s="116"/>
      <c r="T587" s="116"/>
      <c r="U587" s="762"/>
      <c r="V587" s="1215"/>
      <c r="W587" s="1203"/>
      <c r="X587" s="1204"/>
      <c r="Y587" s="762"/>
      <c r="Z587" s="1205"/>
      <c r="AA587" s="1206"/>
      <c r="AB587" s="1207"/>
      <c r="AC587" s="759"/>
      <c r="AD587" s="1208"/>
      <c r="AE587" s="1208"/>
      <c r="AF587" s="759"/>
      <c r="AG587" s="759"/>
      <c r="AH587" s="1209"/>
      <c r="AI587" s="759"/>
      <c r="AJ587" s="1209"/>
      <c r="AK587" s="1210"/>
    </row>
    <row r="588" spans="1:37" s="1211" customFormat="1" ht="12" hidden="1" customHeight="1">
      <c r="A588" s="758"/>
      <c r="B588" s="1265" t="s">
        <v>140</v>
      </c>
      <c r="C588" s="759">
        <v>5</v>
      </c>
      <c r="D588" s="760" t="s">
        <v>40</v>
      </c>
      <c r="E588" s="761" t="s">
        <v>354</v>
      </c>
      <c r="F588" s="1506" t="s">
        <v>3609</v>
      </c>
      <c r="G588" s="761" t="s">
        <v>1617</v>
      </c>
      <c r="H588" s="761" t="s">
        <v>3664</v>
      </c>
      <c r="I588" s="761" t="s">
        <v>3665</v>
      </c>
      <c r="J588" s="762"/>
      <c r="K588" s="762">
        <v>27077272</v>
      </c>
      <c r="L588" s="763">
        <f t="shared" si="220"/>
        <v>2707727.2</v>
      </c>
      <c r="M588" s="1054"/>
      <c r="N588" s="763">
        <f t="shared" si="221"/>
        <v>29784999.199999999</v>
      </c>
      <c r="O588" s="1202"/>
      <c r="P588" s="1202"/>
      <c r="Q588" s="1308"/>
      <c r="R588" s="1214"/>
      <c r="S588" s="116"/>
      <c r="T588" s="116"/>
      <c r="U588" s="762"/>
      <c r="V588" s="1215"/>
      <c r="W588" s="1203"/>
      <c r="X588" s="1204"/>
      <c r="Y588" s="762"/>
      <c r="Z588" s="1205"/>
      <c r="AA588" s="1206"/>
      <c r="AB588" s="1207"/>
      <c r="AC588" s="759"/>
      <c r="AD588" s="1208"/>
      <c r="AE588" s="1208"/>
      <c r="AF588" s="759"/>
      <c r="AG588" s="759"/>
      <c r="AH588" s="1209"/>
      <c r="AI588" s="759"/>
      <c r="AJ588" s="1209"/>
      <c r="AK588" s="1210"/>
    </row>
    <row r="589" spans="1:37" s="1211" customFormat="1" ht="12" hidden="1" customHeight="1">
      <c r="A589" s="758"/>
      <c r="B589" s="1265" t="s">
        <v>140</v>
      </c>
      <c r="C589" s="759">
        <v>5</v>
      </c>
      <c r="D589" s="760" t="s">
        <v>40</v>
      </c>
      <c r="E589" s="761" t="s">
        <v>354</v>
      </c>
      <c r="F589" s="1506" t="s">
        <v>3612</v>
      </c>
      <c r="G589" s="761" t="s">
        <v>1617</v>
      </c>
      <c r="H589" s="761" t="s">
        <v>3666</v>
      </c>
      <c r="I589" s="761" t="s">
        <v>3667</v>
      </c>
      <c r="J589" s="762"/>
      <c r="K589" s="762">
        <v>27077272</v>
      </c>
      <c r="L589" s="763">
        <f t="shared" si="220"/>
        <v>2707727.2</v>
      </c>
      <c r="M589" s="1054"/>
      <c r="N589" s="763">
        <f t="shared" si="221"/>
        <v>29784999.199999999</v>
      </c>
      <c r="O589" s="1202"/>
      <c r="P589" s="1202"/>
      <c r="Q589" s="1308"/>
      <c r="R589" s="1214"/>
      <c r="S589" s="116"/>
      <c r="T589" s="116"/>
      <c r="U589" s="762"/>
      <c r="V589" s="1215"/>
      <c r="W589" s="1203"/>
      <c r="X589" s="1204"/>
      <c r="Y589" s="762"/>
      <c r="Z589" s="1205"/>
      <c r="AA589" s="1206"/>
      <c r="AB589" s="1207"/>
      <c r="AC589" s="759"/>
      <c r="AD589" s="1208"/>
      <c r="AE589" s="1208"/>
      <c r="AF589" s="759"/>
      <c r="AG589" s="759"/>
      <c r="AH589" s="1209"/>
      <c r="AI589" s="759"/>
      <c r="AJ589" s="1209"/>
      <c r="AK589" s="1210"/>
    </row>
    <row r="590" spans="1:37" s="1211" customFormat="1" ht="12" hidden="1" customHeight="1">
      <c r="A590" s="758"/>
      <c r="B590" s="1265" t="s">
        <v>140</v>
      </c>
      <c r="C590" s="759">
        <v>5</v>
      </c>
      <c r="D590" s="760" t="s">
        <v>40</v>
      </c>
      <c r="E590" s="761" t="s">
        <v>362</v>
      </c>
      <c r="F590" s="1506" t="s">
        <v>3668</v>
      </c>
      <c r="G590" s="761" t="s">
        <v>3669</v>
      </c>
      <c r="H590" s="761" t="s">
        <v>3670</v>
      </c>
      <c r="I590" s="761" t="s">
        <v>3671</v>
      </c>
      <c r="J590" s="762"/>
      <c r="K590" s="762">
        <v>17000000</v>
      </c>
      <c r="L590" s="763">
        <f t="shared" si="220"/>
        <v>1700000</v>
      </c>
      <c r="M590" s="1054"/>
      <c r="N590" s="763">
        <f t="shared" si="221"/>
        <v>18700000</v>
      </c>
      <c r="O590" s="1202"/>
      <c r="P590" s="1202"/>
      <c r="Q590" s="1308"/>
      <c r="R590" s="1214"/>
      <c r="S590" s="116"/>
      <c r="T590" s="116"/>
      <c r="U590" s="762"/>
      <c r="V590" s="1215"/>
      <c r="W590" s="1203"/>
      <c r="X590" s="1204"/>
      <c r="Y590" s="762"/>
      <c r="Z590" s="1205"/>
      <c r="AA590" s="1206"/>
      <c r="AB590" s="1207"/>
      <c r="AC590" s="759"/>
      <c r="AD590" s="1208"/>
      <c r="AE590" s="1208"/>
      <c r="AF590" s="759"/>
      <c r="AG590" s="759"/>
      <c r="AH590" s="1209"/>
      <c r="AI590" s="759"/>
      <c r="AJ590" s="1209"/>
      <c r="AK590" s="1210"/>
    </row>
    <row r="591" spans="1:37" s="114" customFormat="1" ht="12" hidden="1" customHeight="1">
      <c r="A591" s="53"/>
      <c r="B591" s="53" t="s">
        <v>194</v>
      </c>
      <c r="C591" s="9">
        <v>9</v>
      </c>
      <c r="D591" s="8" t="s">
        <v>128</v>
      </c>
      <c r="E591" s="10" t="s">
        <v>376</v>
      </c>
      <c r="F591" s="356"/>
      <c r="G591" s="10"/>
      <c r="H591" s="10" t="s">
        <v>1810</v>
      </c>
      <c r="I591" s="10" t="s">
        <v>1811</v>
      </c>
      <c r="J591" s="658">
        <v>0</v>
      </c>
      <c r="K591" s="116">
        <v>10000000</v>
      </c>
      <c r="L591" s="116">
        <f t="shared" ref="L591:L598" si="222">K591*10%</f>
        <v>1000000</v>
      </c>
      <c r="M591" s="658">
        <v>0</v>
      </c>
      <c r="N591" s="1225">
        <f t="shared" si="202"/>
        <v>11000000</v>
      </c>
      <c r="O591" s="197" t="s">
        <v>194</v>
      </c>
      <c r="P591" s="197" t="s">
        <v>18</v>
      </c>
      <c r="Q591" s="175"/>
      <c r="R591" s="175"/>
      <c r="S591" s="116">
        <v>0</v>
      </c>
      <c r="T591" s="116">
        <f t="shared" ref="T591:T602" si="223">-K591*2%</f>
        <v>-200000</v>
      </c>
      <c r="U591" s="116">
        <v>10800000</v>
      </c>
      <c r="V591" s="210">
        <f t="shared" si="197"/>
        <v>0</v>
      </c>
      <c r="W591" s="115">
        <f t="shared" si="187"/>
        <v>0</v>
      </c>
      <c r="X591" s="181" t="s">
        <v>237</v>
      </c>
      <c r="Y591" s="116"/>
      <c r="Z591" s="185"/>
      <c r="AA591" s="592">
        <f>-S591-Z591</f>
        <v>0</v>
      </c>
      <c r="AB591" s="186"/>
      <c r="AC591" s="300">
        <v>42761</v>
      </c>
      <c r="AD591" s="297">
        <v>200000</v>
      </c>
      <c r="AE591" s="297">
        <f t="shared" si="183"/>
        <v>0</v>
      </c>
      <c r="AF591" s="9" t="s">
        <v>2870</v>
      </c>
      <c r="AG591" s="9" t="s">
        <v>1395</v>
      </c>
      <c r="AH591" s="300">
        <v>42746</v>
      </c>
      <c r="AI591" s="9" t="s">
        <v>1878</v>
      </c>
      <c r="AJ591" s="300">
        <v>42747</v>
      </c>
      <c r="AK591" s="73" t="str">
        <f t="shared" si="186"/>
        <v>MANDALA KARYA PRIMA, PTJAN</v>
      </c>
    </row>
    <row r="592" spans="1:37" s="114" customFormat="1" ht="12" hidden="1" customHeight="1">
      <c r="A592" s="53"/>
      <c r="B592" s="53" t="s">
        <v>195</v>
      </c>
      <c r="C592" s="9">
        <v>1</v>
      </c>
      <c r="D592" s="8" t="s">
        <v>128</v>
      </c>
      <c r="E592" s="10" t="s">
        <v>376</v>
      </c>
      <c r="F592" s="356"/>
      <c r="G592" s="10"/>
      <c r="H592" s="10" t="s">
        <v>1946</v>
      </c>
      <c r="I592" s="10" t="s">
        <v>1947</v>
      </c>
      <c r="J592" s="658">
        <v>0</v>
      </c>
      <c r="K592" s="116">
        <v>10000000</v>
      </c>
      <c r="L592" s="116">
        <f t="shared" si="222"/>
        <v>1000000</v>
      </c>
      <c r="M592" s="658">
        <v>0</v>
      </c>
      <c r="N592" s="189">
        <f t="shared" ref="N592:N598" si="224">K592+L592</f>
        <v>11000000</v>
      </c>
      <c r="O592" s="197" t="s">
        <v>195</v>
      </c>
      <c r="P592" s="197" t="s">
        <v>37</v>
      </c>
      <c r="Q592" s="175"/>
      <c r="R592" s="175"/>
      <c r="S592" s="116">
        <v>0</v>
      </c>
      <c r="T592" s="116">
        <f t="shared" si="223"/>
        <v>-200000</v>
      </c>
      <c r="U592" s="116">
        <v>10800000</v>
      </c>
      <c r="V592" s="210">
        <f t="shared" si="197"/>
        <v>0</v>
      </c>
      <c r="W592" s="115">
        <f t="shared" si="187"/>
        <v>0</v>
      </c>
      <c r="X592" s="181" t="s">
        <v>237</v>
      </c>
      <c r="Y592" s="116"/>
      <c r="Z592" s="185"/>
      <c r="AA592" s="592"/>
      <c r="AB592" s="186"/>
      <c r="AC592" s="300">
        <v>42779</v>
      </c>
      <c r="AD592" s="297">
        <v>200000</v>
      </c>
      <c r="AE592" s="297">
        <f t="shared" si="183"/>
        <v>0</v>
      </c>
      <c r="AF592" s="9" t="s">
        <v>2871</v>
      </c>
      <c r="AG592" s="9" t="s">
        <v>1395</v>
      </c>
      <c r="AH592" s="300">
        <v>42769</v>
      </c>
      <c r="AI592" s="9" t="s">
        <v>2033</v>
      </c>
      <c r="AJ592" s="300">
        <v>42772</v>
      </c>
      <c r="AK592" s="73" t="str">
        <f t="shared" si="186"/>
        <v>MANDALA KARYA PRIMA, PTFEB</v>
      </c>
    </row>
    <row r="593" spans="1:37" s="114" customFormat="1" ht="12" hidden="1" customHeight="1">
      <c r="A593" s="53"/>
      <c r="B593" s="53" t="s">
        <v>239</v>
      </c>
      <c r="C593" s="9">
        <v>1</v>
      </c>
      <c r="D593" s="8" t="s">
        <v>128</v>
      </c>
      <c r="E593" s="10" t="s">
        <v>376</v>
      </c>
      <c r="F593" s="356"/>
      <c r="G593" s="10"/>
      <c r="H593" s="10" t="s">
        <v>2121</v>
      </c>
      <c r="I593" s="10" t="s">
        <v>2122</v>
      </c>
      <c r="J593" s="658">
        <v>0</v>
      </c>
      <c r="K593" s="116">
        <v>10000000</v>
      </c>
      <c r="L593" s="116">
        <f t="shared" si="222"/>
        <v>1000000</v>
      </c>
      <c r="M593" s="658">
        <v>0</v>
      </c>
      <c r="N593" s="189">
        <f t="shared" si="224"/>
        <v>11000000</v>
      </c>
      <c r="O593" s="197" t="s">
        <v>239</v>
      </c>
      <c r="P593" s="197" t="s">
        <v>88</v>
      </c>
      <c r="Q593" s="175"/>
      <c r="R593" s="175"/>
      <c r="S593" s="116">
        <v>0</v>
      </c>
      <c r="T593" s="116">
        <f t="shared" si="223"/>
        <v>-200000</v>
      </c>
      <c r="U593" s="116">
        <v>10800000</v>
      </c>
      <c r="V593" s="210">
        <f t="shared" si="197"/>
        <v>0</v>
      </c>
      <c r="W593" s="115">
        <f t="shared" si="187"/>
        <v>0</v>
      </c>
      <c r="X593" s="181" t="s">
        <v>237</v>
      </c>
      <c r="Y593" s="116"/>
      <c r="Z593" s="185"/>
      <c r="AA593" s="592"/>
      <c r="AB593" s="186"/>
      <c r="AC593" s="300">
        <v>42809</v>
      </c>
      <c r="AD593" s="297">
        <v>200000</v>
      </c>
      <c r="AE593" s="297">
        <f t="shared" si="183"/>
        <v>0</v>
      </c>
      <c r="AF593" s="9" t="s">
        <v>2872</v>
      </c>
      <c r="AG593" s="9" t="s">
        <v>1395</v>
      </c>
      <c r="AH593" s="300">
        <v>42796</v>
      </c>
      <c r="AI593" s="9" t="s">
        <v>2033</v>
      </c>
      <c r="AJ593" s="300">
        <v>42797</v>
      </c>
      <c r="AK593" s="73" t="str">
        <f t="shared" si="186"/>
        <v>MANDALA KARYA PRIMA, PTMAR</v>
      </c>
    </row>
    <row r="594" spans="1:37" s="114" customFormat="1" ht="12" hidden="1" customHeight="1">
      <c r="A594" s="53"/>
      <c r="B594" s="53" t="s">
        <v>240</v>
      </c>
      <c r="C594" s="9">
        <v>3</v>
      </c>
      <c r="D594" s="8" t="s">
        <v>128</v>
      </c>
      <c r="E594" s="10" t="s">
        <v>376</v>
      </c>
      <c r="F594" s="356"/>
      <c r="G594" s="10"/>
      <c r="H594" s="10" t="s">
        <v>2259</v>
      </c>
      <c r="I594" s="10" t="s">
        <v>2260</v>
      </c>
      <c r="J594" s="658">
        <v>0</v>
      </c>
      <c r="K594" s="116">
        <v>10000000</v>
      </c>
      <c r="L594" s="116">
        <f t="shared" si="222"/>
        <v>1000000</v>
      </c>
      <c r="M594" s="658">
        <v>0</v>
      </c>
      <c r="N594" s="189">
        <f t="shared" si="224"/>
        <v>11000000</v>
      </c>
      <c r="O594" s="197" t="s">
        <v>58</v>
      </c>
      <c r="P594" s="197" t="s">
        <v>94</v>
      </c>
      <c r="Q594" s="175"/>
      <c r="R594" s="175"/>
      <c r="S594" s="116">
        <v>0</v>
      </c>
      <c r="T594" s="116">
        <f t="shared" si="223"/>
        <v>-200000</v>
      </c>
      <c r="U594" s="116">
        <v>10800000</v>
      </c>
      <c r="V594" s="210">
        <f t="shared" si="197"/>
        <v>0</v>
      </c>
      <c r="W594" s="115">
        <f t="shared" si="187"/>
        <v>0</v>
      </c>
      <c r="X594" s="181" t="s">
        <v>237</v>
      </c>
      <c r="Y594" s="116"/>
      <c r="Z594" s="185"/>
      <c r="AA594" s="592"/>
      <c r="AB594" s="186"/>
      <c r="AC594" s="9"/>
      <c r="AD594" s="297"/>
      <c r="AE594" s="297">
        <f t="shared" si="183"/>
        <v>200000</v>
      </c>
      <c r="AF594" s="9"/>
      <c r="AG594" s="9" t="s">
        <v>1395</v>
      </c>
      <c r="AH594" s="300">
        <v>42830</v>
      </c>
      <c r="AI594" s="9" t="s">
        <v>2033</v>
      </c>
      <c r="AJ594" s="300">
        <v>42830</v>
      </c>
      <c r="AK594" s="73" t="str">
        <f t="shared" si="186"/>
        <v>MANDALA KARYA PRIMA, PTMEI</v>
      </c>
    </row>
    <row r="595" spans="1:37" s="114" customFormat="1" ht="12" hidden="1" customHeight="1">
      <c r="A595" s="53"/>
      <c r="B595" s="53" t="s">
        <v>58</v>
      </c>
      <c r="C595" s="9">
        <v>2</v>
      </c>
      <c r="D595" s="8" t="s">
        <v>128</v>
      </c>
      <c r="E595" s="10" t="s">
        <v>376</v>
      </c>
      <c r="F595" s="356"/>
      <c r="G595" s="10"/>
      <c r="H595" s="10" t="s">
        <v>2442</v>
      </c>
      <c r="I595" s="10" t="s">
        <v>2443</v>
      </c>
      <c r="J595" s="658">
        <v>0</v>
      </c>
      <c r="K595" s="116">
        <v>4333333.33</v>
      </c>
      <c r="L595" s="116">
        <f t="shared" si="222"/>
        <v>433333.33300000004</v>
      </c>
      <c r="M595" s="658">
        <v>0</v>
      </c>
      <c r="N595" s="189">
        <f t="shared" si="224"/>
        <v>4766666.6629999997</v>
      </c>
      <c r="O595" s="197" t="s">
        <v>58</v>
      </c>
      <c r="P595" s="197" t="s">
        <v>113</v>
      </c>
      <c r="Q595" s="175"/>
      <c r="R595" s="175"/>
      <c r="S595" s="116">
        <v>0</v>
      </c>
      <c r="T595" s="116">
        <f t="shared" si="223"/>
        <v>-86666.666599999997</v>
      </c>
      <c r="U595" s="116">
        <v>4680000</v>
      </c>
      <c r="V595" s="210">
        <f t="shared" si="197"/>
        <v>0</v>
      </c>
      <c r="W595" s="115">
        <f t="shared" si="187"/>
        <v>-3.6000004038214684E-3</v>
      </c>
      <c r="X595" s="181" t="s">
        <v>237</v>
      </c>
      <c r="Y595" s="116"/>
      <c r="Z595" s="185"/>
      <c r="AA595" s="592"/>
      <c r="AB595" s="186"/>
      <c r="AC595" s="9"/>
      <c r="AD595" s="297"/>
      <c r="AE595" s="297">
        <f t="shared" si="183"/>
        <v>86666.666599999997</v>
      </c>
      <c r="AF595" s="9"/>
      <c r="AG595" s="9" t="s">
        <v>1395</v>
      </c>
      <c r="AH595" s="300">
        <v>42863</v>
      </c>
      <c r="AI595" s="9" t="s">
        <v>2033</v>
      </c>
      <c r="AJ595" s="300">
        <v>42863</v>
      </c>
      <c r="AK595" s="73" t="str">
        <f t="shared" si="186"/>
        <v>MANDALA KARYA PRIMA, PTMEI</v>
      </c>
    </row>
    <row r="596" spans="1:37" s="114" customFormat="1" ht="12" hidden="1" customHeight="1">
      <c r="A596" s="53"/>
      <c r="B596" s="53" t="s">
        <v>241</v>
      </c>
      <c r="C596" s="9">
        <v>2</v>
      </c>
      <c r="D596" s="8" t="s">
        <v>128</v>
      </c>
      <c r="E596" s="10" t="s">
        <v>376</v>
      </c>
      <c r="F596" s="356"/>
      <c r="G596" s="10"/>
      <c r="H596" s="10" t="s">
        <v>2608</v>
      </c>
      <c r="I596" s="10" t="s">
        <v>2651</v>
      </c>
      <c r="J596" s="658">
        <v>0</v>
      </c>
      <c r="K596" s="116">
        <v>15000000</v>
      </c>
      <c r="L596" s="116">
        <f t="shared" si="222"/>
        <v>1500000</v>
      </c>
      <c r="M596" s="658">
        <v>0</v>
      </c>
      <c r="N596" s="189">
        <f t="shared" si="224"/>
        <v>16500000</v>
      </c>
      <c r="O596" s="197" t="s">
        <v>242</v>
      </c>
      <c r="P596" s="197" t="s">
        <v>97</v>
      </c>
      <c r="Q596" s="175"/>
      <c r="R596" s="175"/>
      <c r="S596" s="116">
        <v>0</v>
      </c>
      <c r="T596" s="116">
        <f t="shared" si="223"/>
        <v>-300000</v>
      </c>
      <c r="U596" s="116">
        <v>16200000</v>
      </c>
      <c r="V596" s="210">
        <f t="shared" si="197"/>
        <v>0</v>
      </c>
      <c r="W596" s="115">
        <f t="shared" si="187"/>
        <v>0</v>
      </c>
      <c r="X596" s="181" t="s">
        <v>237</v>
      </c>
      <c r="Y596" s="116"/>
      <c r="Z596" s="185"/>
      <c r="AA596" s="592"/>
      <c r="AB596" s="186"/>
      <c r="AC596" s="9"/>
      <c r="AD596" s="297"/>
      <c r="AE596" s="297">
        <f t="shared" si="183"/>
        <v>300000</v>
      </c>
      <c r="AF596" s="9"/>
      <c r="AG596" s="9" t="s">
        <v>1395</v>
      </c>
      <c r="AH596" s="300">
        <v>42892</v>
      </c>
      <c r="AI596" s="9" t="s">
        <v>2033</v>
      </c>
      <c r="AJ596" s="300">
        <v>42892</v>
      </c>
      <c r="AK596" s="73" t="str">
        <f t="shared" si="186"/>
        <v>MANDALA KARYA PRIMA, PTJUL</v>
      </c>
    </row>
    <row r="597" spans="1:37" s="114" customFormat="1" ht="12" hidden="1" customHeight="1">
      <c r="A597" s="53"/>
      <c r="B597" s="53" t="s">
        <v>242</v>
      </c>
      <c r="C597" s="9">
        <v>3</v>
      </c>
      <c r="D597" s="8" t="s">
        <v>128</v>
      </c>
      <c r="E597" s="10" t="s">
        <v>376</v>
      </c>
      <c r="F597" s="356" t="s">
        <v>3057</v>
      </c>
      <c r="G597" s="10" t="s">
        <v>59</v>
      </c>
      <c r="H597" s="10" t="s">
        <v>2788</v>
      </c>
      <c r="I597" s="10" t="s">
        <v>2804</v>
      </c>
      <c r="J597" s="658">
        <v>0</v>
      </c>
      <c r="K597" s="116">
        <v>24000000</v>
      </c>
      <c r="L597" s="116">
        <f t="shared" si="222"/>
        <v>2400000</v>
      </c>
      <c r="M597" s="658">
        <v>0</v>
      </c>
      <c r="N597" s="189">
        <f t="shared" si="224"/>
        <v>26400000</v>
      </c>
      <c r="O597" s="197" t="s">
        <v>242</v>
      </c>
      <c r="P597" s="197" t="s">
        <v>113</v>
      </c>
      <c r="Q597" s="175"/>
      <c r="R597" s="175"/>
      <c r="S597" s="116">
        <v>0</v>
      </c>
      <c r="T597" s="116">
        <f t="shared" si="223"/>
        <v>-480000</v>
      </c>
      <c r="U597" s="116">
        <v>25910000</v>
      </c>
      <c r="V597" s="210">
        <f t="shared" si="197"/>
        <v>0</v>
      </c>
      <c r="W597" s="115">
        <f t="shared" si="187"/>
        <v>10000</v>
      </c>
      <c r="X597" s="181" t="s">
        <v>237</v>
      </c>
      <c r="Y597" s="116"/>
      <c r="Z597" s="185"/>
      <c r="AA597" s="592"/>
      <c r="AB597" s="186"/>
      <c r="AC597" s="9"/>
      <c r="AD597" s="297"/>
      <c r="AE597" s="297">
        <f t="shared" si="183"/>
        <v>480000</v>
      </c>
      <c r="AF597" s="9"/>
      <c r="AG597" s="9" t="s">
        <v>1395</v>
      </c>
      <c r="AH597" s="300">
        <v>42922</v>
      </c>
      <c r="AI597" s="9" t="s">
        <v>2033</v>
      </c>
      <c r="AJ597" s="300">
        <v>42923</v>
      </c>
      <c r="AK597" s="73" t="str">
        <f t="shared" si="186"/>
        <v>MANDALA KARYA PRIMA, PTJUL</v>
      </c>
    </row>
    <row r="598" spans="1:37" s="114" customFormat="1" ht="12" hidden="1" customHeight="1">
      <c r="A598" s="53"/>
      <c r="B598" s="1220" t="s">
        <v>243</v>
      </c>
      <c r="C598" s="1221">
        <v>1</v>
      </c>
      <c r="D598" s="1222" t="s">
        <v>128</v>
      </c>
      <c r="E598" s="1223" t="s">
        <v>376</v>
      </c>
      <c r="F598" s="1505" t="s">
        <v>3057</v>
      </c>
      <c r="G598" s="1223" t="s">
        <v>60</v>
      </c>
      <c r="H598" s="1223" t="s">
        <v>2916</v>
      </c>
      <c r="I598" s="1223" t="s">
        <v>2946</v>
      </c>
      <c r="J598" s="1237"/>
      <c r="K598" s="1224">
        <v>21000000</v>
      </c>
      <c r="L598" s="1224">
        <f t="shared" si="222"/>
        <v>2100000</v>
      </c>
      <c r="M598" s="1237"/>
      <c r="N598" s="1225">
        <f t="shared" si="224"/>
        <v>23100000</v>
      </c>
      <c r="O598" s="1202" t="s">
        <v>243</v>
      </c>
      <c r="P598" s="1202" t="s">
        <v>93</v>
      </c>
      <c r="Q598" s="175"/>
      <c r="R598" s="175"/>
      <c r="S598" s="116">
        <v>0</v>
      </c>
      <c r="T598" s="116">
        <f t="shared" si="223"/>
        <v>-420000</v>
      </c>
      <c r="U598" s="116">
        <v>22680000</v>
      </c>
      <c r="V598" s="210">
        <f t="shared" si="197"/>
        <v>0</v>
      </c>
      <c r="W598" s="115"/>
      <c r="X598" s="181"/>
      <c r="Y598" s="116"/>
      <c r="Z598" s="185"/>
      <c r="AA598" s="592"/>
      <c r="AB598" s="186"/>
      <c r="AC598" s="9"/>
      <c r="AD598" s="297"/>
      <c r="AE598" s="297">
        <f t="shared" si="183"/>
        <v>420000</v>
      </c>
      <c r="AF598" s="9"/>
      <c r="AG598" s="9" t="s">
        <v>1395</v>
      </c>
      <c r="AH598" s="300">
        <v>42949</v>
      </c>
      <c r="AI598" s="9" t="s">
        <v>2033</v>
      </c>
      <c r="AJ598" s="300">
        <v>42949</v>
      </c>
      <c r="AK598" s="73" t="str">
        <f t="shared" si="186"/>
        <v>MANDALA KARYA PRIMA, PTAGS</v>
      </c>
    </row>
    <row r="599" spans="1:37" s="114" customFormat="1" ht="12" hidden="1" customHeight="1">
      <c r="A599" s="1220"/>
      <c r="B599" s="1220" t="s">
        <v>244</v>
      </c>
      <c r="C599" s="1221">
        <v>4</v>
      </c>
      <c r="D599" s="1222" t="s">
        <v>128</v>
      </c>
      <c r="E599" s="1223" t="s">
        <v>376</v>
      </c>
      <c r="F599" s="1505" t="s">
        <v>3057</v>
      </c>
      <c r="G599" s="1223" t="s">
        <v>559</v>
      </c>
      <c r="H599" s="1223" t="s">
        <v>3143</v>
      </c>
      <c r="I599" s="1223" t="s">
        <v>3144</v>
      </c>
      <c r="J599" s="1237"/>
      <c r="K599" s="1224">
        <v>21000000</v>
      </c>
      <c r="L599" s="1224">
        <f t="shared" ref="L599:L601" si="225">K599*10%</f>
        <v>2100000</v>
      </c>
      <c r="M599" s="1237"/>
      <c r="N599" s="1225">
        <f t="shared" ref="N599:N601" si="226">K599+L599</f>
        <v>23100000</v>
      </c>
      <c r="O599" s="1202" t="s">
        <v>245</v>
      </c>
      <c r="P599" s="1202" t="s">
        <v>104</v>
      </c>
      <c r="Q599" s="175"/>
      <c r="R599" s="175"/>
      <c r="S599" s="116">
        <v>0</v>
      </c>
      <c r="T599" s="116">
        <f t="shared" si="223"/>
        <v>-420000</v>
      </c>
      <c r="U599" s="116">
        <v>22680000</v>
      </c>
      <c r="V599" s="210">
        <f t="shared" si="197"/>
        <v>0</v>
      </c>
      <c r="W599" s="115"/>
      <c r="X599" s="181"/>
      <c r="Y599" s="116"/>
      <c r="Z599" s="185"/>
      <c r="AA599" s="592"/>
      <c r="AB599" s="186"/>
      <c r="AC599" s="9"/>
      <c r="AD599" s="297"/>
      <c r="AE599" s="297"/>
      <c r="AF599" s="9"/>
      <c r="AG599" s="9"/>
      <c r="AH599" s="300"/>
      <c r="AI599" s="9"/>
      <c r="AJ599" s="300"/>
      <c r="AK599" s="73" t="str">
        <f t="shared" si="186"/>
        <v>MANDALA KARYA PRIMA, PTOKT</v>
      </c>
    </row>
    <row r="600" spans="1:37" s="114" customFormat="1" ht="12" hidden="1" customHeight="1">
      <c r="A600" s="1220"/>
      <c r="B600" s="1220" t="s">
        <v>245</v>
      </c>
      <c r="C600" s="1221">
        <v>9</v>
      </c>
      <c r="D600" s="1222" t="s">
        <v>128</v>
      </c>
      <c r="E600" s="1223" t="s">
        <v>376</v>
      </c>
      <c r="F600" s="1505" t="s">
        <v>3057</v>
      </c>
      <c r="G600" s="1223" t="s">
        <v>602</v>
      </c>
      <c r="H600" s="1223" t="s">
        <v>3397</v>
      </c>
      <c r="I600" s="1223" t="s">
        <v>3398</v>
      </c>
      <c r="J600" s="1237"/>
      <c r="K600" s="1224">
        <v>21000000</v>
      </c>
      <c r="L600" s="1224">
        <f t="shared" si="225"/>
        <v>2100000</v>
      </c>
      <c r="M600" s="1237"/>
      <c r="N600" s="1225">
        <f t="shared" si="226"/>
        <v>23100000</v>
      </c>
      <c r="O600" s="1202" t="s">
        <v>245</v>
      </c>
      <c r="P600" s="1202" t="s">
        <v>65</v>
      </c>
      <c r="Q600" s="175"/>
      <c r="R600" s="175"/>
      <c r="S600" s="116">
        <v>0</v>
      </c>
      <c r="T600" s="116">
        <f t="shared" si="223"/>
        <v>-420000</v>
      </c>
      <c r="U600" s="116">
        <v>22680000</v>
      </c>
      <c r="V600" s="210">
        <f t="shared" si="197"/>
        <v>0</v>
      </c>
      <c r="W600" s="115"/>
      <c r="X600" s="181"/>
      <c r="Y600" s="116"/>
      <c r="Z600" s="185"/>
      <c r="AA600" s="592"/>
      <c r="AB600" s="186"/>
      <c r="AC600" s="9"/>
      <c r="AD600" s="297"/>
      <c r="AE600" s="297"/>
      <c r="AF600" s="9"/>
      <c r="AG600" s="9"/>
      <c r="AH600" s="300"/>
      <c r="AI600" s="9"/>
      <c r="AJ600" s="300"/>
      <c r="AK600" s="73" t="str">
        <f t="shared" si="186"/>
        <v>MANDALA KARYA PRIMA, PTOKT</v>
      </c>
    </row>
    <row r="601" spans="1:37" s="114" customFormat="1" ht="12" hidden="1" customHeight="1">
      <c r="A601" s="1220"/>
      <c r="B601" s="1220" t="s">
        <v>238</v>
      </c>
      <c r="C601" s="1221">
        <v>7</v>
      </c>
      <c r="D601" s="1222" t="s">
        <v>128</v>
      </c>
      <c r="E601" s="1223" t="s">
        <v>376</v>
      </c>
      <c r="F601" s="1505" t="s">
        <v>3057</v>
      </c>
      <c r="G601" s="1223" t="s">
        <v>641</v>
      </c>
      <c r="H601" s="1223" t="s">
        <v>3535</v>
      </c>
      <c r="I601" s="1223" t="s">
        <v>3536</v>
      </c>
      <c r="J601" s="1237"/>
      <c r="K601" s="1224">
        <v>21000000</v>
      </c>
      <c r="L601" s="1224">
        <f t="shared" si="225"/>
        <v>2100000</v>
      </c>
      <c r="M601" s="1237"/>
      <c r="N601" s="1225">
        <f t="shared" si="226"/>
        <v>23100000</v>
      </c>
      <c r="O601" s="1202" t="s">
        <v>238</v>
      </c>
      <c r="P601" s="1202" t="s">
        <v>116</v>
      </c>
      <c r="Q601" s="175"/>
      <c r="R601" s="175"/>
      <c r="S601" s="116">
        <v>0</v>
      </c>
      <c r="T601" s="116">
        <f t="shared" si="223"/>
        <v>-420000</v>
      </c>
      <c r="U601" s="116">
        <v>22680000</v>
      </c>
      <c r="V601" s="210">
        <f t="shared" si="197"/>
        <v>0</v>
      </c>
      <c r="W601" s="115"/>
      <c r="X601" s="181"/>
      <c r="Y601" s="116"/>
      <c r="Z601" s="185"/>
      <c r="AA601" s="592"/>
      <c r="AB601" s="186"/>
      <c r="AC601" s="9"/>
      <c r="AD601" s="297"/>
      <c r="AE601" s="297"/>
      <c r="AF601" s="9"/>
      <c r="AG601" s="9"/>
      <c r="AH601" s="300"/>
      <c r="AI601" s="9"/>
      <c r="AJ601" s="300"/>
      <c r="AK601" s="73" t="str">
        <f t="shared" si="186"/>
        <v>MANDALA KARYA PRIMA, PTNOV</v>
      </c>
    </row>
    <row r="602" spans="1:37" s="114" customFormat="1" ht="12" hidden="1" customHeight="1">
      <c r="A602" s="1220"/>
      <c r="B602" s="1220" t="s">
        <v>140</v>
      </c>
      <c r="C602" s="1221">
        <v>6</v>
      </c>
      <c r="D602" s="1222" t="s">
        <v>128</v>
      </c>
      <c r="E602" s="1223" t="s">
        <v>376</v>
      </c>
      <c r="F602" s="1505" t="s">
        <v>3057</v>
      </c>
      <c r="G602" s="1223" t="s">
        <v>1616</v>
      </c>
      <c r="H602" s="1223" t="s">
        <v>3676</v>
      </c>
      <c r="I602" s="1223" t="s">
        <v>3677</v>
      </c>
      <c r="J602" s="1237"/>
      <c r="K602" s="1224">
        <v>21000000</v>
      </c>
      <c r="L602" s="1224">
        <f t="shared" ref="L602" si="227">K602*10%</f>
        <v>2100000</v>
      </c>
      <c r="M602" s="1237"/>
      <c r="N602" s="1225">
        <f t="shared" ref="N602" si="228">K602+L602</f>
        <v>23100000</v>
      </c>
      <c r="O602" s="1202" t="s">
        <v>140</v>
      </c>
      <c r="P602" s="1202" t="s">
        <v>99</v>
      </c>
      <c r="Q602" s="175"/>
      <c r="R602" s="175"/>
      <c r="S602" s="116"/>
      <c r="T602" s="116">
        <f t="shared" si="223"/>
        <v>-420000</v>
      </c>
      <c r="U602" s="116">
        <v>22680000</v>
      </c>
      <c r="V602" s="210"/>
      <c r="W602" s="115"/>
      <c r="X602" s="181"/>
      <c r="Y602" s="116"/>
      <c r="Z602" s="185"/>
      <c r="AA602" s="592"/>
      <c r="AB602" s="186"/>
      <c r="AC602" s="9"/>
      <c r="AD602" s="297"/>
      <c r="AE602" s="297"/>
      <c r="AF602" s="9"/>
      <c r="AG602" s="9"/>
      <c r="AH602" s="300"/>
      <c r="AI602" s="9"/>
      <c r="AJ602" s="300"/>
      <c r="AK602" s="73" t="str">
        <f t="shared" si="186"/>
        <v>MANDALA KARYA PRIMA, PTDES</v>
      </c>
    </row>
    <row r="603" spans="1:37" s="114" customFormat="1" ht="12" hidden="1" customHeight="1">
      <c r="A603" s="53"/>
      <c r="B603" s="53" t="s">
        <v>194</v>
      </c>
      <c r="C603" s="9">
        <v>31</v>
      </c>
      <c r="D603" s="8" t="s">
        <v>159</v>
      </c>
      <c r="E603" s="9" t="s">
        <v>355</v>
      </c>
      <c r="F603" s="8"/>
      <c r="G603" s="9"/>
      <c r="H603" s="10" t="s">
        <v>1930</v>
      </c>
      <c r="I603" s="10" t="s">
        <v>1931</v>
      </c>
      <c r="J603" s="658">
        <v>0</v>
      </c>
      <c r="K603" s="116">
        <v>13300000</v>
      </c>
      <c r="L603" s="116">
        <f t="shared" ref="L603:L611" si="229">K603*10%</f>
        <v>1330000</v>
      </c>
      <c r="M603" s="658">
        <v>0</v>
      </c>
      <c r="N603" s="189">
        <f t="shared" ref="N603:N611" si="230">K603+L603</f>
        <v>14630000</v>
      </c>
      <c r="O603" s="197" t="s">
        <v>239</v>
      </c>
      <c r="P603" s="197" t="s">
        <v>94</v>
      </c>
      <c r="Q603" s="175"/>
      <c r="R603" s="175"/>
      <c r="S603" s="116">
        <v>0</v>
      </c>
      <c r="T603" s="116">
        <f t="shared" ref="T603:T622" si="231">-K603*2%</f>
        <v>-266000</v>
      </c>
      <c r="U603" s="116">
        <v>14364000</v>
      </c>
      <c r="V603" s="210">
        <f t="shared" si="197"/>
        <v>0</v>
      </c>
      <c r="W603" s="115">
        <f t="shared" si="187"/>
        <v>0</v>
      </c>
      <c r="X603" s="181" t="s">
        <v>237</v>
      </c>
      <c r="Y603" s="116"/>
      <c r="Z603" s="185"/>
      <c r="AA603" s="592"/>
      <c r="AB603" s="186"/>
      <c r="AC603" s="300">
        <v>42797</v>
      </c>
      <c r="AD603" s="297">
        <v>266000</v>
      </c>
      <c r="AE603" s="297">
        <f t="shared" si="183"/>
        <v>0</v>
      </c>
      <c r="AF603" s="9" t="s">
        <v>2379</v>
      </c>
      <c r="AG603" s="9" t="s">
        <v>1395</v>
      </c>
      <c r="AH603" s="300">
        <v>42769</v>
      </c>
      <c r="AI603" s="9" t="s">
        <v>2038</v>
      </c>
      <c r="AJ603" s="300">
        <v>42772</v>
      </c>
      <c r="AK603" s="73" t="str">
        <f t="shared" si="186"/>
        <v>MANDIRI HERINDO ADIPERKASA, PTMAR</v>
      </c>
    </row>
    <row r="604" spans="1:37" s="114" customFormat="1" ht="12" hidden="1" customHeight="1">
      <c r="A604" s="53"/>
      <c r="B604" s="53" t="s">
        <v>194</v>
      </c>
      <c r="C604" s="9">
        <v>31</v>
      </c>
      <c r="D604" s="8" t="s">
        <v>159</v>
      </c>
      <c r="E604" s="9" t="s">
        <v>364</v>
      </c>
      <c r="F604" s="8"/>
      <c r="G604" s="9"/>
      <c r="H604" s="10" t="s">
        <v>1932</v>
      </c>
      <c r="I604" s="10" t="s">
        <v>1934</v>
      </c>
      <c r="J604" s="658">
        <v>0</v>
      </c>
      <c r="K604" s="116">
        <v>500000</v>
      </c>
      <c r="L604" s="116">
        <f t="shared" si="229"/>
        <v>50000</v>
      </c>
      <c r="M604" s="658">
        <v>0</v>
      </c>
      <c r="N604" s="189">
        <f t="shared" si="230"/>
        <v>550000</v>
      </c>
      <c r="O604" s="197" t="s">
        <v>239</v>
      </c>
      <c r="P604" s="197" t="s">
        <v>94</v>
      </c>
      <c r="Q604" s="175"/>
      <c r="R604" s="175"/>
      <c r="S604" s="116">
        <v>0</v>
      </c>
      <c r="T604" s="116">
        <f t="shared" si="231"/>
        <v>-10000</v>
      </c>
      <c r="U604" s="116">
        <v>540000</v>
      </c>
      <c r="V604" s="210">
        <f t="shared" si="197"/>
        <v>0</v>
      </c>
      <c r="W604" s="115">
        <f t="shared" si="187"/>
        <v>0</v>
      </c>
      <c r="X604" s="181" t="s">
        <v>237</v>
      </c>
      <c r="Y604" s="116"/>
      <c r="Z604" s="185"/>
      <c r="AA604" s="592"/>
      <c r="AB604" s="186"/>
      <c r="AC604" s="300">
        <v>42797</v>
      </c>
      <c r="AD604" s="297">
        <v>10000</v>
      </c>
      <c r="AE604" s="297">
        <f t="shared" si="183"/>
        <v>0</v>
      </c>
      <c r="AF604" s="9" t="s">
        <v>2380</v>
      </c>
      <c r="AG604" s="9" t="s">
        <v>1395</v>
      </c>
      <c r="AH604" s="300">
        <v>42769</v>
      </c>
      <c r="AI604" s="9" t="s">
        <v>2038</v>
      </c>
      <c r="AJ604" s="300">
        <v>42772</v>
      </c>
      <c r="AK604" s="73" t="str">
        <f t="shared" si="186"/>
        <v>MANDIRI HERINDO ADIPERKASA, PTMAR</v>
      </c>
    </row>
    <row r="605" spans="1:37" s="114" customFormat="1" ht="12" hidden="1" customHeight="1">
      <c r="A605" s="53"/>
      <c r="B605" s="53" t="s">
        <v>194</v>
      </c>
      <c r="C605" s="9">
        <v>31</v>
      </c>
      <c r="D605" s="8" t="s">
        <v>159</v>
      </c>
      <c r="E605" s="9" t="s">
        <v>357</v>
      </c>
      <c r="F605" s="8"/>
      <c r="G605" s="9"/>
      <c r="H605" s="10" t="s">
        <v>1933</v>
      </c>
      <c r="I605" s="10" t="s">
        <v>1935</v>
      </c>
      <c r="J605" s="658">
        <v>0</v>
      </c>
      <c r="K605" s="116">
        <v>1000000</v>
      </c>
      <c r="L605" s="116">
        <f t="shared" si="229"/>
        <v>100000</v>
      </c>
      <c r="M605" s="658">
        <v>0</v>
      </c>
      <c r="N605" s="189">
        <f t="shared" si="230"/>
        <v>1100000</v>
      </c>
      <c r="O605" s="197" t="s">
        <v>239</v>
      </c>
      <c r="P605" s="197" t="s">
        <v>94</v>
      </c>
      <c r="Q605" s="175"/>
      <c r="R605" s="175"/>
      <c r="S605" s="116">
        <v>0</v>
      </c>
      <c r="T605" s="116">
        <f t="shared" si="231"/>
        <v>-20000</v>
      </c>
      <c r="U605" s="116">
        <v>1080000</v>
      </c>
      <c r="V605" s="210">
        <f t="shared" si="197"/>
        <v>0</v>
      </c>
      <c r="W605" s="115">
        <f t="shared" si="187"/>
        <v>0</v>
      </c>
      <c r="X605" s="181" t="s">
        <v>237</v>
      </c>
      <c r="Y605" s="116"/>
      <c r="Z605" s="185"/>
      <c r="AA605" s="592"/>
      <c r="AB605" s="186"/>
      <c r="AC605" s="300">
        <v>42797</v>
      </c>
      <c r="AD605" s="297">
        <v>20000</v>
      </c>
      <c r="AE605" s="297">
        <f t="shared" si="183"/>
        <v>0</v>
      </c>
      <c r="AF605" s="9" t="s">
        <v>2381</v>
      </c>
      <c r="AG605" s="9" t="s">
        <v>1395</v>
      </c>
      <c r="AH605" s="300">
        <v>42769</v>
      </c>
      <c r="AI605" s="9" t="s">
        <v>2038</v>
      </c>
      <c r="AJ605" s="300">
        <v>42772</v>
      </c>
      <c r="AK605" s="73" t="str">
        <f t="shared" si="186"/>
        <v>MANDIRI HERINDO ADIPERKASA, PTMAR</v>
      </c>
    </row>
    <row r="606" spans="1:37" s="114" customFormat="1" ht="12" hidden="1" customHeight="1">
      <c r="A606" s="53"/>
      <c r="B606" s="53" t="s">
        <v>195</v>
      </c>
      <c r="C606" s="9">
        <v>28</v>
      </c>
      <c r="D606" s="8" t="s">
        <v>159</v>
      </c>
      <c r="E606" s="9" t="s">
        <v>355</v>
      </c>
      <c r="F606" s="8"/>
      <c r="G606" s="9"/>
      <c r="H606" s="10" t="s">
        <v>2087</v>
      </c>
      <c r="I606" s="10" t="s">
        <v>2090</v>
      </c>
      <c r="J606" s="658">
        <v>0</v>
      </c>
      <c r="K606" s="116">
        <v>13300000</v>
      </c>
      <c r="L606" s="116">
        <f t="shared" si="229"/>
        <v>1330000</v>
      </c>
      <c r="M606" s="658">
        <v>0</v>
      </c>
      <c r="N606" s="189">
        <f t="shared" si="230"/>
        <v>14630000</v>
      </c>
      <c r="O606" s="197" t="s">
        <v>239</v>
      </c>
      <c r="P606" s="197" t="s">
        <v>116</v>
      </c>
      <c r="Q606" s="175"/>
      <c r="R606" s="175"/>
      <c r="S606" s="116">
        <v>0</v>
      </c>
      <c r="T606" s="116">
        <f t="shared" si="231"/>
        <v>-266000</v>
      </c>
      <c r="U606" s="116">
        <v>14364000</v>
      </c>
      <c r="V606" s="210">
        <f t="shared" si="197"/>
        <v>0</v>
      </c>
      <c r="W606" s="115">
        <f t="shared" si="187"/>
        <v>0</v>
      </c>
      <c r="X606" s="181" t="s">
        <v>237</v>
      </c>
      <c r="Y606" s="116"/>
      <c r="Z606" s="185"/>
      <c r="AA606" s="592"/>
      <c r="AB606" s="186"/>
      <c r="AC606" s="300">
        <v>42816</v>
      </c>
      <c r="AD606" s="297">
        <v>266000</v>
      </c>
      <c r="AE606" s="297">
        <f t="shared" si="183"/>
        <v>0</v>
      </c>
      <c r="AF606" s="9" t="s">
        <v>2382</v>
      </c>
      <c r="AG606" s="9" t="s">
        <v>1395</v>
      </c>
      <c r="AH606" s="300">
        <v>42795</v>
      </c>
      <c r="AI606" s="9" t="s">
        <v>2170</v>
      </c>
      <c r="AJ606" s="300">
        <v>42797</v>
      </c>
      <c r="AK606" s="73" t="str">
        <f t="shared" si="186"/>
        <v>MANDIRI HERINDO ADIPERKASA, PTMAR</v>
      </c>
    </row>
    <row r="607" spans="1:37" s="114" customFormat="1" ht="12" hidden="1" customHeight="1">
      <c r="A607" s="53"/>
      <c r="B607" s="53" t="s">
        <v>195</v>
      </c>
      <c r="C607" s="9">
        <v>28</v>
      </c>
      <c r="D607" s="8" t="s">
        <v>159</v>
      </c>
      <c r="E607" s="9" t="s">
        <v>364</v>
      </c>
      <c r="F607" s="8"/>
      <c r="G607" s="9"/>
      <c r="H607" s="10" t="s">
        <v>2088</v>
      </c>
      <c r="I607" s="10" t="s">
        <v>2091</v>
      </c>
      <c r="J607" s="658">
        <v>0</v>
      </c>
      <c r="K607" s="116">
        <v>500000</v>
      </c>
      <c r="L607" s="116">
        <f t="shared" si="229"/>
        <v>50000</v>
      </c>
      <c r="M607" s="658">
        <v>0</v>
      </c>
      <c r="N607" s="189">
        <f t="shared" si="230"/>
        <v>550000</v>
      </c>
      <c r="O607" s="197" t="s">
        <v>239</v>
      </c>
      <c r="P607" s="197" t="s">
        <v>116</v>
      </c>
      <c r="Q607" s="175"/>
      <c r="R607" s="175"/>
      <c r="S607" s="116">
        <v>0</v>
      </c>
      <c r="T607" s="116">
        <f t="shared" si="231"/>
        <v>-10000</v>
      </c>
      <c r="U607" s="116">
        <v>540000</v>
      </c>
      <c r="V607" s="210">
        <f t="shared" si="197"/>
        <v>0</v>
      </c>
      <c r="W607" s="115">
        <f t="shared" si="187"/>
        <v>0</v>
      </c>
      <c r="X607" s="181" t="s">
        <v>237</v>
      </c>
      <c r="Y607" s="116"/>
      <c r="Z607" s="185"/>
      <c r="AA607" s="592"/>
      <c r="AB607" s="186"/>
      <c r="AC607" s="300">
        <v>42816</v>
      </c>
      <c r="AD607" s="297">
        <v>10000</v>
      </c>
      <c r="AE607" s="297">
        <f t="shared" si="183"/>
        <v>0</v>
      </c>
      <c r="AF607" s="9" t="s">
        <v>2383</v>
      </c>
      <c r="AG607" s="9" t="s">
        <v>1395</v>
      </c>
      <c r="AH607" s="300">
        <v>42795</v>
      </c>
      <c r="AI607" s="9" t="s">
        <v>2170</v>
      </c>
      <c r="AJ607" s="300">
        <v>42797</v>
      </c>
      <c r="AK607" s="73" t="str">
        <f t="shared" si="186"/>
        <v>MANDIRI HERINDO ADIPERKASA, PTMAR</v>
      </c>
    </row>
    <row r="608" spans="1:37" s="114" customFormat="1" ht="12" hidden="1" customHeight="1">
      <c r="A608" s="53"/>
      <c r="B608" s="53" t="s">
        <v>195</v>
      </c>
      <c r="C608" s="9">
        <v>28</v>
      </c>
      <c r="D608" s="8" t="s">
        <v>159</v>
      </c>
      <c r="E608" s="9" t="s">
        <v>357</v>
      </c>
      <c r="F608" s="8"/>
      <c r="G608" s="9"/>
      <c r="H608" s="10" t="s">
        <v>2089</v>
      </c>
      <c r="I608" s="10" t="s">
        <v>2092</v>
      </c>
      <c r="J608" s="658">
        <v>0</v>
      </c>
      <c r="K608" s="116">
        <v>1000000</v>
      </c>
      <c r="L608" s="116">
        <f t="shared" si="229"/>
        <v>100000</v>
      </c>
      <c r="M608" s="658">
        <v>0</v>
      </c>
      <c r="N608" s="189">
        <f t="shared" si="230"/>
        <v>1100000</v>
      </c>
      <c r="O608" s="197" t="s">
        <v>239</v>
      </c>
      <c r="P608" s="197" t="s">
        <v>116</v>
      </c>
      <c r="Q608" s="175"/>
      <c r="R608" s="175"/>
      <c r="S608" s="116">
        <v>0</v>
      </c>
      <c r="T608" s="116">
        <f t="shared" si="231"/>
        <v>-20000</v>
      </c>
      <c r="U608" s="116">
        <v>1080000</v>
      </c>
      <c r="V608" s="210">
        <f t="shared" si="197"/>
        <v>0</v>
      </c>
      <c r="W608" s="115">
        <f t="shared" si="187"/>
        <v>0</v>
      </c>
      <c r="X608" s="181" t="s">
        <v>237</v>
      </c>
      <c r="Y608" s="116"/>
      <c r="Z608" s="185"/>
      <c r="AA608" s="592"/>
      <c r="AB608" s="186"/>
      <c r="AC608" s="300">
        <v>42816</v>
      </c>
      <c r="AD608" s="297">
        <v>20000</v>
      </c>
      <c r="AE608" s="297">
        <f t="shared" si="183"/>
        <v>0</v>
      </c>
      <c r="AF608" s="9" t="s">
        <v>2384</v>
      </c>
      <c r="AG608" s="9" t="s">
        <v>1395</v>
      </c>
      <c r="AH608" s="300">
        <v>42795</v>
      </c>
      <c r="AI608" s="9" t="s">
        <v>2170</v>
      </c>
      <c r="AJ608" s="300">
        <v>42797</v>
      </c>
      <c r="AK608" s="73" t="str">
        <f t="shared" si="186"/>
        <v>MANDIRI HERINDO ADIPERKASA, PTMAR</v>
      </c>
    </row>
    <row r="609" spans="1:37" s="114" customFormat="1" ht="12" hidden="1" customHeight="1">
      <c r="A609" s="53"/>
      <c r="B609" s="53" t="s">
        <v>239</v>
      </c>
      <c r="C609" s="9">
        <v>31</v>
      </c>
      <c r="D609" s="8" t="s">
        <v>159</v>
      </c>
      <c r="E609" s="9" t="s">
        <v>355</v>
      </c>
      <c r="F609" s="8"/>
      <c r="G609" s="9"/>
      <c r="H609" s="10" t="s">
        <v>2234</v>
      </c>
      <c r="I609" s="10" t="s">
        <v>2235</v>
      </c>
      <c r="J609" s="658">
        <v>0</v>
      </c>
      <c r="K609" s="116">
        <v>13300000</v>
      </c>
      <c r="L609" s="116">
        <f t="shared" si="229"/>
        <v>1330000</v>
      </c>
      <c r="M609" s="658">
        <v>0</v>
      </c>
      <c r="N609" s="189">
        <f t="shared" si="230"/>
        <v>14630000</v>
      </c>
      <c r="O609" s="197" t="s">
        <v>240</v>
      </c>
      <c r="P609" s="197" t="s">
        <v>101</v>
      </c>
      <c r="Q609" s="175"/>
      <c r="R609" s="175"/>
      <c r="S609" s="116">
        <v>0</v>
      </c>
      <c r="T609" s="116">
        <f t="shared" si="231"/>
        <v>-266000</v>
      </c>
      <c r="U609" s="116">
        <v>14364000</v>
      </c>
      <c r="V609" s="210">
        <f t="shared" si="197"/>
        <v>0</v>
      </c>
      <c r="W609" s="115">
        <f t="shared" si="187"/>
        <v>0</v>
      </c>
      <c r="X609" s="181" t="s">
        <v>237</v>
      </c>
      <c r="Y609" s="116"/>
      <c r="Z609" s="185"/>
      <c r="AA609" s="592"/>
      <c r="AB609" s="186"/>
      <c r="AC609" s="300">
        <v>42850</v>
      </c>
      <c r="AD609" s="297">
        <v>266000</v>
      </c>
      <c r="AE609" s="297">
        <f t="shared" si="183"/>
        <v>0</v>
      </c>
      <c r="AF609" s="9" t="s">
        <v>2576</v>
      </c>
      <c r="AG609" s="9" t="s">
        <v>1395</v>
      </c>
      <c r="AH609" s="300">
        <v>42831</v>
      </c>
      <c r="AI609" s="9" t="s">
        <v>2332</v>
      </c>
      <c r="AJ609" s="300">
        <v>42831</v>
      </c>
      <c r="AK609" s="73" t="str">
        <f t="shared" si="186"/>
        <v>MANDIRI HERINDO ADIPERKASA, PTAPR</v>
      </c>
    </row>
    <row r="610" spans="1:37" s="114" customFormat="1" ht="12" hidden="1" customHeight="1">
      <c r="A610" s="53"/>
      <c r="B610" s="53" t="s">
        <v>239</v>
      </c>
      <c r="C610" s="9">
        <v>31</v>
      </c>
      <c r="D610" s="8" t="s">
        <v>159</v>
      </c>
      <c r="E610" s="9" t="s">
        <v>364</v>
      </c>
      <c r="F610" s="8"/>
      <c r="G610" s="9"/>
      <c r="H610" s="10" t="s">
        <v>2236</v>
      </c>
      <c r="I610" s="10" t="s">
        <v>2238</v>
      </c>
      <c r="J610" s="658">
        <v>0</v>
      </c>
      <c r="K610" s="116">
        <v>500000</v>
      </c>
      <c r="L610" s="116">
        <f t="shared" si="229"/>
        <v>50000</v>
      </c>
      <c r="M610" s="658">
        <v>0</v>
      </c>
      <c r="N610" s="189">
        <f t="shared" si="230"/>
        <v>550000</v>
      </c>
      <c r="O610" s="197" t="s">
        <v>240</v>
      </c>
      <c r="P610" s="197" t="s">
        <v>101</v>
      </c>
      <c r="Q610" s="175"/>
      <c r="R610" s="175"/>
      <c r="S610" s="116">
        <v>0</v>
      </c>
      <c r="T610" s="116">
        <f t="shared" si="231"/>
        <v>-10000</v>
      </c>
      <c r="U610" s="116">
        <v>540000</v>
      </c>
      <c r="V610" s="210">
        <f t="shared" si="197"/>
        <v>0</v>
      </c>
      <c r="W610" s="115">
        <f t="shared" si="187"/>
        <v>0</v>
      </c>
      <c r="X610" s="181" t="s">
        <v>237</v>
      </c>
      <c r="Y610" s="116"/>
      <c r="Z610" s="185"/>
      <c r="AA610" s="592"/>
      <c r="AB610" s="186"/>
      <c r="AC610" s="300">
        <v>42850</v>
      </c>
      <c r="AD610" s="297">
        <v>10000</v>
      </c>
      <c r="AE610" s="297">
        <f t="shared" si="183"/>
        <v>0</v>
      </c>
      <c r="AF610" s="9" t="s">
        <v>2577</v>
      </c>
      <c r="AG610" s="9" t="s">
        <v>1395</v>
      </c>
      <c r="AH610" s="300">
        <v>42831</v>
      </c>
      <c r="AI610" s="9" t="s">
        <v>2332</v>
      </c>
      <c r="AJ610" s="300">
        <v>42831</v>
      </c>
      <c r="AK610" s="73" t="str">
        <f t="shared" si="186"/>
        <v>MANDIRI HERINDO ADIPERKASA, PTAPR</v>
      </c>
    </row>
    <row r="611" spans="1:37" s="114" customFormat="1" ht="12" hidden="1" customHeight="1">
      <c r="A611" s="53"/>
      <c r="B611" s="53" t="s">
        <v>239</v>
      </c>
      <c r="C611" s="9">
        <v>31</v>
      </c>
      <c r="D611" s="8" t="s">
        <v>159</v>
      </c>
      <c r="E611" s="9" t="s">
        <v>357</v>
      </c>
      <c r="F611" s="8"/>
      <c r="G611" s="9"/>
      <c r="H611" s="10" t="s">
        <v>2237</v>
      </c>
      <c r="I611" s="10" t="s">
        <v>2239</v>
      </c>
      <c r="J611" s="658">
        <v>0</v>
      </c>
      <c r="K611" s="116">
        <v>1000000</v>
      </c>
      <c r="L611" s="116">
        <f t="shared" si="229"/>
        <v>100000</v>
      </c>
      <c r="M611" s="658">
        <v>0</v>
      </c>
      <c r="N611" s="189">
        <f t="shared" si="230"/>
        <v>1100000</v>
      </c>
      <c r="O611" s="197" t="s">
        <v>240</v>
      </c>
      <c r="P611" s="197" t="s">
        <v>101</v>
      </c>
      <c r="Q611" s="175"/>
      <c r="R611" s="175"/>
      <c r="S611" s="116">
        <v>0</v>
      </c>
      <c r="T611" s="116">
        <f t="shared" si="231"/>
        <v>-20000</v>
      </c>
      <c r="U611" s="116">
        <v>1080000</v>
      </c>
      <c r="V611" s="210">
        <f t="shared" si="197"/>
        <v>0</v>
      </c>
      <c r="W611" s="115">
        <f t="shared" si="187"/>
        <v>0</v>
      </c>
      <c r="X611" s="181" t="s">
        <v>237</v>
      </c>
      <c r="Y611" s="116"/>
      <c r="Z611" s="185"/>
      <c r="AA611" s="592"/>
      <c r="AB611" s="186"/>
      <c r="AC611" s="300">
        <v>42850</v>
      </c>
      <c r="AD611" s="297">
        <v>20000</v>
      </c>
      <c r="AE611" s="297">
        <f t="shared" si="183"/>
        <v>0</v>
      </c>
      <c r="AF611" s="9" t="s">
        <v>2578</v>
      </c>
      <c r="AG611" s="9" t="s">
        <v>1395</v>
      </c>
      <c r="AH611" s="300">
        <v>42831</v>
      </c>
      <c r="AI611" s="9" t="s">
        <v>2332</v>
      </c>
      <c r="AJ611" s="300">
        <v>42831</v>
      </c>
      <c r="AK611" s="73" t="str">
        <f t="shared" si="186"/>
        <v>MANDIRI HERINDO ADIPERKASA, PTAPR</v>
      </c>
    </row>
    <row r="612" spans="1:37" s="114" customFormat="1" ht="12" hidden="1" customHeight="1">
      <c r="A612" s="53"/>
      <c r="B612" s="53" t="s">
        <v>240</v>
      </c>
      <c r="C612" s="9">
        <v>30</v>
      </c>
      <c r="D612" s="8" t="s">
        <v>159</v>
      </c>
      <c r="E612" s="9" t="s">
        <v>355</v>
      </c>
      <c r="F612" s="8"/>
      <c r="G612" s="9"/>
      <c r="H612" s="10" t="s">
        <v>2419</v>
      </c>
      <c r="I612" s="10" t="s">
        <v>2420</v>
      </c>
      <c r="J612" s="658">
        <v>0</v>
      </c>
      <c r="K612" s="116">
        <v>13300000</v>
      </c>
      <c r="L612" s="116">
        <f t="shared" ref="L612:L642" si="232">K612*10%</f>
        <v>1330000</v>
      </c>
      <c r="M612" s="658">
        <v>0</v>
      </c>
      <c r="N612" s="189">
        <f t="shared" ref="N612:N642" si="233">K612+L612</f>
        <v>14630000</v>
      </c>
      <c r="O612" s="197" t="s">
        <v>58</v>
      </c>
      <c r="P612" s="197" t="s">
        <v>105</v>
      </c>
      <c r="Q612" s="175"/>
      <c r="R612" s="175"/>
      <c r="S612" s="116">
        <v>0</v>
      </c>
      <c r="T612" s="116">
        <f t="shared" si="231"/>
        <v>-266000</v>
      </c>
      <c r="U612" s="116">
        <v>14364000</v>
      </c>
      <c r="V612" s="210">
        <f t="shared" si="197"/>
        <v>0</v>
      </c>
      <c r="W612" s="115">
        <f t="shared" si="187"/>
        <v>0</v>
      </c>
      <c r="X612" s="181" t="s">
        <v>237</v>
      </c>
      <c r="Y612" s="116"/>
      <c r="Z612" s="185"/>
      <c r="AA612" s="592"/>
      <c r="AB612" s="186"/>
      <c r="AC612" s="300">
        <v>42872</v>
      </c>
      <c r="AD612" s="297">
        <v>266000</v>
      </c>
      <c r="AE612" s="297">
        <f t="shared" si="183"/>
        <v>0</v>
      </c>
      <c r="AF612" s="9" t="s">
        <v>2867</v>
      </c>
      <c r="AG612" s="9" t="s">
        <v>1395</v>
      </c>
      <c r="AH612" s="300">
        <v>42860</v>
      </c>
      <c r="AI612" s="9" t="s">
        <v>2332</v>
      </c>
      <c r="AJ612" s="300">
        <v>42860</v>
      </c>
      <c r="AK612" s="73" t="str">
        <f t="shared" si="186"/>
        <v>MANDIRI HERINDO ADIPERKASA, PTMEI</v>
      </c>
    </row>
    <row r="613" spans="1:37" s="114" customFormat="1" ht="12" hidden="1" customHeight="1">
      <c r="A613" s="53"/>
      <c r="B613" s="53" t="s">
        <v>240</v>
      </c>
      <c r="C613" s="9">
        <v>30</v>
      </c>
      <c r="D613" s="8" t="s">
        <v>159</v>
      </c>
      <c r="E613" s="9" t="s">
        <v>364</v>
      </c>
      <c r="F613" s="8"/>
      <c r="G613" s="9"/>
      <c r="H613" s="10" t="s">
        <v>2421</v>
      </c>
      <c r="I613" s="10" t="s">
        <v>2423</v>
      </c>
      <c r="J613" s="658">
        <v>0</v>
      </c>
      <c r="K613" s="116">
        <v>500000</v>
      </c>
      <c r="L613" s="116">
        <f t="shared" si="232"/>
        <v>50000</v>
      </c>
      <c r="M613" s="658">
        <v>0</v>
      </c>
      <c r="N613" s="189">
        <f t="shared" si="233"/>
        <v>550000</v>
      </c>
      <c r="O613" s="197" t="s">
        <v>58</v>
      </c>
      <c r="P613" s="197" t="s">
        <v>105</v>
      </c>
      <c r="Q613" s="175"/>
      <c r="R613" s="175"/>
      <c r="S613" s="116">
        <v>0</v>
      </c>
      <c r="T613" s="116">
        <f t="shared" si="231"/>
        <v>-10000</v>
      </c>
      <c r="U613" s="116">
        <v>540000</v>
      </c>
      <c r="V613" s="210">
        <f t="shared" si="197"/>
        <v>0</v>
      </c>
      <c r="W613" s="115">
        <f t="shared" si="187"/>
        <v>0</v>
      </c>
      <c r="X613" s="181" t="s">
        <v>237</v>
      </c>
      <c r="Y613" s="116"/>
      <c r="Z613" s="185"/>
      <c r="AA613" s="592"/>
      <c r="AB613" s="186"/>
      <c r="AC613" s="300">
        <v>42872</v>
      </c>
      <c r="AD613" s="297">
        <v>10000</v>
      </c>
      <c r="AE613" s="297">
        <f t="shared" si="183"/>
        <v>0</v>
      </c>
      <c r="AF613" s="9" t="s">
        <v>2868</v>
      </c>
      <c r="AG613" s="9" t="s">
        <v>1395</v>
      </c>
      <c r="AH613" s="300">
        <v>42860</v>
      </c>
      <c r="AI613" s="9" t="s">
        <v>2332</v>
      </c>
      <c r="AJ613" s="300">
        <v>42860</v>
      </c>
      <c r="AK613" s="73" t="str">
        <f t="shared" si="186"/>
        <v>MANDIRI HERINDO ADIPERKASA, PTMEI</v>
      </c>
    </row>
    <row r="614" spans="1:37" s="114" customFormat="1" ht="12" hidden="1" customHeight="1">
      <c r="A614" s="53"/>
      <c r="B614" s="53" t="s">
        <v>240</v>
      </c>
      <c r="C614" s="9">
        <v>30</v>
      </c>
      <c r="D614" s="8" t="s">
        <v>159</v>
      </c>
      <c r="E614" s="9" t="s">
        <v>357</v>
      </c>
      <c r="F614" s="8"/>
      <c r="G614" s="9"/>
      <c r="H614" s="10" t="s">
        <v>2422</v>
      </c>
      <c r="I614" s="10" t="s">
        <v>2424</v>
      </c>
      <c r="J614" s="658">
        <v>0</v>
      </c>
      <c r="K614" s="116">
        <v>1000000</v>
      </c>
      <c r="L614" s="116">
        <f t="shared" si="232"/>
        <v>100000</v>
      </c>
      <c r="M614" s="658">
        <v>0</v>
      </c>
      <c r="N614" s="189">
        <f t="shared" si="233"/>
        <v>1100000</v>
      </c>
      <c r="O614" s="197" t="s">
        <v>58</v>
      </c>
      <c r="P614" s="197" t="s">
        <v>105</v>
      </c>
      <c r="Q614" s="175"/>
      <c r="R614" s="175"/>
      <c r="S614" s="116">
        <v>0</v>
      </c>
      <c r="T614" s="116">
        <f t="shared" si="231"/>
        <v>-20000</v>
      </c>
      <c r="U614" s="116">
        <v>1080000</v>
      </c>
      <c r="V614" s="210">
        <f t="shared" si="197"/>
        <v>0</v>
      </c>
      <c r="W614" s="115">
        <f t="shared" si="187"/>
        <v>0</v>
      </c>
      <c r="X614" s="181" t="s">
        <v>237</v>
      </c>
      <c r="Y614" s="116"/>
      <c r="Z614" s="185"/>
      <c r="AA614" s="592"/>
      <c r="AB614" s="186"/>
      <c r="AC614" s="300">
        <v>42872</v>
      </c>
      <c r="AD614" s="297">
        <v>20000</v>
      </c>
      <c r="AE614" s="297">
        <f t="shared" si="183"/>
        <v>0</v>
      </c>
      <c r="AF614" s="9" t="s">
        <v>2869</v>
      </c>
      <c r="AG614" s="9" t="s">
        <v>1395</v>
      </c>
      <c r="AH614" s="300">
        <v>42860</v>
      </c>
      <c r="AI614" s="9" t="s">
        <v>2332</v>
      </c>
      <c r="AJ614" s="300">
        <v>42860</v>
      </c>
      <c r="AK614" s="73" t="str">
        <f t="shared" si="186"/>
        <v>MANDIRI HERINDO ADIPERKASA, PTMEI</v>
      </c>
    </row>
    <row r="615" spans="1:37" s="114" customFormat="1" ht="12" hidden="1" customHeight="1">
      <c r="A615" s="53"/>
      <c r="B615" s="53" t="s">
        <v>58</v>
      </c>
      <c r="C615" s="9">
        <v>31</v>
      </c>
      <c r="D615" s="8" t="s">
        <v>159</v>
      </c>
      <c r="E615" s="9" t="s">
        <v>355</v>
      </c>
      <c r="F615" s="8"/>
      <c r="G615" s="9"/>
      <c r="H615" s="10" t="s">
        <v>2602</v>
      </c>
      <c r="I615" s="10" t="s">
        <v>2640</v>
      </c>
      <c r="J615" s="658">
        <v>0</v>
      </c>
      <c r="K615" s="116">
        <v>15960000</v>
      </c>
      <c r="L615" s="116">
        <f t="shared" si="232"/>
        <v>1596000</v>
      </c>
      <c r="M615" s="658">
        <v>0</v>
      </c>
      <c r="N615" s="189">
        <f t="shared" si="233"/>
        <v>17556000</v>
      </c>
      <c r="O615" s="197" t="s">
        <v>241</v>
      </c>
      <c r="P615" s="197" t="s">
        <v>116</v>
      </c>
      <c r="Q615" s="175"/>
      <c r="R615" s="175"/>
      <c r="S615" s="116">
        <v>0</v>
      </c>
      <c r="T615" s="116">
        <f t="shared" si="231"/>
        <v>-319200</v>
      </c>
      <c r="U615" s="116">
        <v>17236800</v>
      </c>
      <c r="V615" s="210">
        <f t="shared" si="197"/>
        <v>0</v>
      </c>
      <c r="W615" s="115">
        <f t="shared" si="187"/>
        <v>0</v>
      </c>
      <c r="X615" s="181" t="s">
        <v>237</v>
      </c>
      <c r="Y615" s="116"/>
      <c r="Z615" s="185"/>
      <c r="AA615" s="592"/>
      <c r="AB615" s="186"/>
      <c r="AC615" s="300">
        <v>42908</v>
      </c>
      <c r="AD615" s="297">
        <v>319200</v>
      </c>
      <c r="AE615" s="297">
        <f t="shared" ref="AE615:AE743" si="234">-T615-AD615</f>
        <v>0</v>
      </c>
      <c r="AF615" s="9" t="s">
        <v>3028</v>
      </c>
      <c r="AG615" s="9" t="s">
        <v>1395</v>
      </c>
      <c r="AH615" s="300">
        <v>42892</v>
      </c>
      <c r="AI615" s="9" t="s">
        <v>2682</v>
      </c>
      <c r="AJ615" s="300">
        <v>42892</v>
      </c>
      <c r="AK615" s="73" t="str">
        <f t="shared" si="186"/>
        <v>MANDIRI HERINDO ADIPERKASA, PTJUN</v>
      </c>
    </row>
    <row r="616" spans="1:37" s="114" customFormat="1" ht="12" hidden="1" customHeight="1">
      <c r="A616" s="53"/>
      <c r="B616" s="53" t="s">
        <v>58</v>
      </c>
      <c r="C616" s="9">
        <v>31</v>
      </c>
      <c r="D616" s="8" t="s">
        <v>159</v>
      </c>
      <c r="E616" s="9" t="s">
        <v>364</v>
      </c>
      <c r="F616" s="8"/>
      <c r="G616" s="9"/>
      <c r="H616" s="10" t="s">
        <v>2603</v>
      </c>
      <c r="I616" s="10" t="s">
        <v>2641</v>
      </c>
      <c r="J616" s="658">
        <v>0</v>
      </c>
      <c r="K616" s="116">
        <v>500000</v>
      </c>
      <c r="L616" s="116">
        <f t="shared" si="232"/>
        <v>50000</v>
      </c>
      <c r="M616" s="658">
        <v>0</v>
      </c>
      <c r="N616" s="189">
        <f t="shared" si="233"/>
        <v>550000</v>
      </c>
      <c r="O616" s="197" t="s">
        <v>241</v>
      </c>
      <c r="P616" s="197" t="s">
        <v>116</v>
      </c>
      <c r="Q616" s="175"/>
      <c r="R616" s="175"/>
      <c r="S616" s="116">
        <v>0</v>
      </c>
      <c r="T616" s="116">
        <f t="shared" si="231"/>
        <v>-10000</v>
      </c>
      <c r="U616" s="116">
        <v>540000</v>
      </c>
      <c r="V616" s="210">
        <f t="shared" si="197"/>
        <v>0</v>
      </c>
      <c r="W616" s="115">
        <f t="shared" si="187"/>
        <v>0</v>
      </c>
      <c r="X616" s="181" t="s">
        <v>237</v>
      </c>
      <c r="Y616" s="116"/>
      <c r="Z616" s="185"/>
      <c r="AA616" s="592"/>
      <c r="AB616" s="186"/>
      <c r="AC616" s="300">
        <v>42908</v>
      </c>
      <c r="AD616" s="297">
        <v>10000</v>
      </c>
      <c r="AE616" s="297">
        <f t="shared" si="234"/>
        <v>0</v>
      </c>
      <c r="AF616" s="9" t="s">
        <v>3029</v>
      </c>
      <c r="AG616" s="9" t="s">
        <v>1395</v>
      </c>
      <c r="AH616" s="300">
        <v>42892</v>
      </c>
      <c r="AI616" s="9" t="s">
        <v>2682</v>
      </c>
      <c r="AJ616" s="300">
        <v>42892</v>
      </c>
      <c r="AK616" s="73" t="str">
        <f t="shared" si="186"/>
        <v>MANDIRI HERINDO ADIPERKASA, PTJUN</v>
      </c>
    </row>
    <row r="617" spans="1:37" s="114" customFormat="1" ht="12" hidden="1" customHeight="1">
      <c r="A617" s="53"/>
      <c r="B617" s="53" t="s">
        <v>58</v>
      </c>
      <c r="C617" s="9">
        <v>31</v>
      </c>
      <c r="D617" s="8" t="s">
        <v>159</v>
      </c>
      <c r="E617" s="9" t="s">
        <v>357</v>
      </c>
      <c r="F617" s="8"/>
      <c r="G617" s="9"/>
      <c r="H617" s="10" t="s">
        <v>2604</v>
      </c>
      <c r="I617" s="10" t="s">
        <v>2642</v>
      </c>
      <c r="J617" s="658">
        <v>0</v>
      </c>
      <c r="K617" s="116">
        <v>633333.32999999996</v>
      </c>
      <c r="L617" s="116">
        <f t="shared" si="232"/>
        <v>63333.332999999999</v>
      </c>
      <c r="M617" s="658">
        <v>0</v>
      </c>
      <c r="N617" s="189">
        <f t="shared" si="233"/>
        <v>696666.66299999994</v>
      </c>
      <c r="O617" s="197" t="s">
        <v>241</v>
      </c>
      <c r="P617" s="197" t="s">
        <v>116</v>
      </c>
      <c r="Q617" s="175"/>
      <c r="R617" s="175"/>
      <c r="S617" s="116">
        <v>0</v>
      </c>
      <c r="T617" s="116">
        <f t="shared" si="231"/>
        <v>-12666.666599999999</v>
      </c>
      <c r="U617" s="116">
        <v>684000</v>
      </c>
      <c r="V617" s="210">
        <f t="shared" si="197"/>
        <v>0</v>
      </c>
      <c r="W617" s="115">
        <f t="shared" si="187"/>
        <v>-3.6000000545755029E-3</v>
      </c>
      <c r="X617" s="181" t="s">
        <v>237</v>
      </c>
      <c r="Y617" s="116"/>
      <c r="Z617" s="185"/>
      <c r="AA617" s="592"/>
      <c r="AB617" s="186"/>
      <c r="AC617" s="300">
        <v>42908</v>
      </c>
      <c r="AD617" s="297">
        <v>12666</v>
      </c>
      <c r="AE617" s="297">
        <f t="shared" si="234"/>
        <v>0.66659999999865249</v>
      </c>
      <c r="AF617" s="9" t="s">
        <v>3030</v>
      </c>
      <c r="AG617" s="9" t="s">
        <v>1395</v>
      </c>
      <c r="AH617" s="300">
        <v>42892</v>
      </c>
      <c r="AI617" s="9" t="s">
        <v>2682</v>
      </c>
      <c r="AJ617" s="300">
        <v>42892</v>
      </c>
      <c r="AK617" s="73" t="str">
        <f t="shared" si="186"/>
        <v>MANDIRI HERINDO ADIPERKASA, PTJUN</v>
      </c>
    </row>
    <row r="618" spans="1:37" s="114" customFormat="1" ht="12" hidden="1" customHeight="1">
      <c r="A618" s="53"/>
      <c r="B618" s="53" t="s">
        <v>242</v>
      </c>
      <c r="C618" s="9">
        <v>3</v>
      </c>
      <c r="D618" s="8" t="s">
        <v>159</v>
      </c>
      <c r="E618" s="9" t="s">
        <v>355</v>
      </c>
      <c r="F618" s="8" t="s">
        <v>3056</v>
      </c>
      <c r="G618" s="9" t="s">
        <v>59</v>
      </c>
      <c r="H618" s="10" t="s">
        <v>2766</v>
      </c>
      <c r="I618" s="10" t="s">
        <v>2798</v>
      </c>
      <c r="J618" s="658">
        <v>0</v>
      </c>
      <c r="K618" s="116">
        <v>13300000</v>
      </c>
      <c r="L618" s="116">
        <f t="shared" ref="L618:L640" si="235">K618*10%</f>
        <v>1330000</v>
      </c>
      <c r="M618" s="658">
        <v>0</v>
      </c>
      <c r="N618" s="189">
        <f t="shared" ref="N618:N640" si="236">K618+L618</f>
        <v>14630000</v>
      </c>
      <c r="O618" s="197" t="s">
        <v>242</v>
      </c>
      <c r="P618" s="197" t="s">
        <v>113</v>
      </c>
      <c r="Q618" s="175"/>
      <c r="R618" s="175"/>
      <c r="S618" s="116">
        <v>0</v>
      </c>
      <c r="T618" s="116">
        <f t="shared" si="231"/>
        <v>-266000</v>
      </c>
      <c r="U618" s="116">
        <v>14364000</v>
      </c>
      <c r="V618" s="210">
        <f t="shared" si="197"/>
        <v>0</v>
      </c>
      <c r="W618" s="115">
        <f t="shared" si="187"/>
        <v>0</v>
      </c>
      <c r="X618" s="181" t="s">
        <v>237</v>
      </c>
      <c r="Y618" s="116"/>
      <c r="Z618" s="185"/>
      <c r="AA618" s="592"/>
      <c r="AB618" s="186"/>
      <c r="AC618" s="300"/>
      <c r="AD618" s="297"/>
      <c r="AE618" s="297">
        <f t="shared" si="234"/>
        <v>266000</v>
      </c>
      <c r="AF618" s="9"/>
      <c r="AG618" s="9" t="s">
        <v>1395</v>
      </c>
      <c r="AH618" s="300">
        <v>42922</v>
      </c>
      <c r="AI618" s="9" t="s">
        <v>2830</v>
      </c>
      <c r="AJ618" s="300">
        <v>42922</v>
      </c>
      <c r="AK618" s="73" t="str">
        <f t="shared" si="186"/>
        <v>MANDIRI HERINDO ADIPERKASA, PTJUL</v>
      </c>
    </row>
    <row r="619" spans="1:37" s="114" customFormat="1" ht="12" hidden="1" customHeight="1">
      <c r="A619" s="53"/>
      <c r="B619" s="53" t="s">
        <v>242</v>
      </c>
      <c r="C619" s="9">
        <v>3</v>
      </c>
      <c r="D619" s="8" t="s">
        <v>159</v>
      </c>
      <c r="E619" s="9" t="s">
        <v>364</v>
      </c>
      <c r="F619" s="8" t="s">
        <v>3058</v>
      </c>
      <c r="G619" s="9" t="s">
        <v>59</v>
      </c>
      <c r="H619" s="10" t="s">
        <v>2767</v>
      </c>
      <c r="I619" s="10" t="s">
        <v>2799</v>
      </c>
      <c r="J619" s="658">
        <v>0</v>
      </c>
      <c r="K619" s="116">
        <v>500000</v>
      </c>
      <c r="L619" s="116">
        <f t="shared" si="235"/>
        <v>50000</v>
      </c>
      <c r="M619" s="658">
        <v>0</v>
      </c>
      <c r="N619" s="189">
        <f t="shared" si="236"/>
        <v>550000</v>
      </c>
      <c r="O619" s="197" t="s">
        <v>242</v>
      </c>
      <c r="P619" s="197" t="s">
        <v>113</v>
      </c>
      <c r="Q619" s="175"/>
      <c r="R619" s="175"/>
      <c r="S619" s="116">
        <v>0</v>
      </c>
      <c r="T619" s="116">
        <f t="shared" si="231"/>
        <v>-10000</v>
      </c>
      <c r="U619" s="116">
        <v>540000</v>
      </c>
      <c r="V619" s="210">
        <f t="shared" si="197"/>
        <v>0</v>
      </c>
      <c r="W619" s="115">
        <f t="shared" si="187"/>
        <v>0</v>
      </c>
      <c r="X619" s="181" t="s">
        <v>237</v>
      </c>
      <c r="Y619" s="116"/>
      <c r="Z619" s="185"/>
      <c r="AA619" s="592"/>
      <c r="AB619" s="186"/>
      <c r="AC619" s="9"/>
      <c r="AD619" s="297"/>
      <c r="AE619" s="297">
        <f t="shared" si="234"/>
        <v>10000</v>
      </c>
      <c r="AF619" s="9"/>
      <c r="AG619" s="9" t="s">
        <v>1395</v>
      </c>
      <c r="AH619" s="300">
        <v>42922</v>
      </c>
      <c r="AI619" s="9" t="s">
        <v>2830</v>
      </c>
      <c r="AJ619" s="300">
        <v>42922</v>
      </c>
      <c r="AK619" s="73" t="str">
        <f t="shared" si="186"/>
        <v>MANDIRI HERINDO ADIPERKASA, PTJUL</v>
      </c>
    </row>
    <row r="620" spans="1:37" s="114" customFormat="1" ht="12" hidden="1" customHeight="1">
      <c r="A620" s="53"/>
      <c r="B620" s="53" t="s">
        <v>242</v>
      </c>
      <c r="C620" s="9">
        <v>3</v>
      </c>
      <c r="D620" s="8" t="s">
        <v>159</v>
      </c>
      <c r="E620" s="9" t="s">
        <v>357</v>
      </c>
      <c r="F620" s="8" t="s">
        <v>3044</v>
      </c>
      <c r="G620" s="9" t="s">
        <v>59</v>
      </c>
      <c r="H620" s="10" t="s">
        <v>2768</v>
      </c>
      <c r="I620" s="10" t="s">
        <v>2800</v>
      </c>
      <c r="J620" s="658">
        <v>0</v>
      </c>
      <c r="K620" s="116">
        <v>1000000</v>
      </c>
      <c r="L620" s="116">
        <f t="shared" si="235"/>
        <v>100000</v>
      </c>
      <c r="M620" s="658">
        <v>0</v>
      </c>
      <c r="N620" s="189">
        <f t="shared" si="236"/>
        <v>1100000</v>
      </c>
      <c r="O620" s="197" t="s">
        <v>242</v>
      </c>
      <c r="P620" s="197" t="s">
        <v>113</v>
      </c>
      <c r="Q620" s="175"/>
      <c r="R620" s="175"/>
      <c r="S620" s="116">
        <v>0</v>
      </c>
      <c r="T620" s="116">
        <f t="shared" si="231"/>
        <v>-20000</v>
      </c>
      <c r="U620" s="116">
        <v>1080000</v>
      </c>
      <c r="V620" s="210">
        <f t="shared" si="197"/>
        <v>0</v>
      </c>
      <c r="W620" s="115">
        <f t="shared" si="187"/>
        <v>0</v>
      </c>
      <c r="X620" s="181" t="s">
        <v>237</v>
      </c>
      <c r="Y620" s="116"/>
      <c r="Z620" s="185"/>
      <c r="AA620" s="592"/>
      <c r="AB620" s="186"/>
      <c r="AC620" s="9"/>
      <c r="AD620" s="297"/>
      <c r="AE620" s="297">
        <f t="shared" si="234"/>
        <v>20000</v>
      </c>
      <c r="AF620" s="9"/>
      <c r="AG620" s="9" t="s">
        <v>1395</v>
      </c>
      <c r="AH620" s="300">
        <v>42922</v>
      </c>
      <c r="AI620" s="9" t="s">
        <v>2830</v>
      </c>
      <c r="AJ620" s="300">
        <v>42922</v>
      </c>
      <c r="AK620" s="73" t="str">
        <f t="shared" si="186"/>
        <v>MANDIRI HERINDO ADIPERKASA, PTJUL</v>
      </c>
    </row>
    <row r="621" spans="1:37" s="114" customFormat="1" ht="12" hidden="1" customHeight="1">
      <c r="A621" s="53"/>
      <c r="B621" s="1220" t="s">
        <v>243</v>
      </c>
      <c r="C621" s="1221">
        <v>1</v>
      </c>
      <c r="D621" s="1222" t="s">
        <v>159</v>
      </c>
      <c r="E621" s="1221" t="s">
        <v>355</v>
      </c>
      <c r="F621" s="1417" t="s">
        <v>3056</v>
      </c>
      <c r="G621" s="1221" t="s">
        <v>60</v>
      </c>
      <c r="H621" s="1223" t="s">
        <v>2913</v>
      </c>
      <c r="I621" s="1223" t="s">
        <v>2941</v>
      </c>
      <c r="J621" s="1237"/>
      <c r="K621" s="1224">
        <v>13300000</v>
      </c>
      <c r="L621" s="1224">
        <f t="shared" si="235"/>
        <v>1330000</v>
      </c>
      <c r="M621" s="1237"/>
      <c r="N621" s="1225">
        <f t="shared" si="236"/>
        <v>14630000</v>
      </c>
      <c r="O621" s="197" t="s">
        <v>245</v>
      </c>
      <c r="P621" s="197" t="s">
        <v>105</v>
      </c>
      <c r="Q621" s="175"/>
      <c r="R621" s="175"/>
      <c r="S621" s="116">
        <v>0</v>
      </c>
      <c r="T621" s="116">
        <f t="shared" si="231"/>
        <v>-266000</v>
      </c>
      <c r="U621" s="116">
        <v>14364000</v>
      </c>
      <c r="V621" s="210">
        <f t="shared" si="197"/>
        <v>0</v>
      </c>
      <c r="W621" s="115">
        <f t="shared" si="187"/>
        <v>0</v>
      </c>
      <c r="X621" s="181" t="s">
        <v>237</v>
      </c>
      <c r="Y621" s="116"/>
      <c r="Z621" s="185"/>
      <c r="AA621" s="592"/>
      <c r="AB621" s="186"/>
      <c r="AC621" s="9"/>
      <c r="AD621" s="297"/>
      <c r="AE621" s="297">
        <f t="shared" si="234"/>
        <v>266000</v>
      </c>
      <c r="AF621" s="9"/>
      <c r="AG621" s="9" t="s">
        <v>1395</v>
      </c>
      <c r="AH621" s="300">
        <v>42949</v>
      </c>
      <c r="AI621" s="9" t="s">
        <v>2332</v>
      </c>
      <c r="AJ621" s="300">
        <v>42950</v>
      </c>
      <c r="AK621" s="73" t="str">
        <f t="shared" si="186"/>
        <v>MANDIRI HERINDO ADIPERKASA, PTOKT</v>
      </c>
    </row>
    <row r="622" spans="1:37" s="114" customFormat="1" ht="12" hidden="1" customHeight="1">
      <c r="A622" s="53"/>
      <c r="B622" s="758" t="s">
        <v>243</v>
      </c>
      <c r="C622" s="759">
        <v>1</v>
      </c>
      <c r="D622" s="760" t="s">
        <v>159</v>
      </c>
      <c r="E622" s="759" t="s">
        <v>364</v>
      </c>
      <c r="F622" s="1401" t="s">
        <v>3058</v>
      </c>
      <c r="G622" s="759" t="s">
        <v>60</v>
      </c>
      <c r="H622" s="761" t="s">
        <v>2914</v>
      </c>
      <c r="I622" s="761" t="s">
        <v>2942</v>
      </c>
      <c r="J622" s="1054"/>
      <c r="K622" s="762">
        <v>500000</v>
      </c>
      <c r="L622" s="762">
        <f t="shared" si="235"/>
        <v>50000</v>
      </c>
      <c r="M622" s="1054"/>
      <c r="N622" s="763">
        <f t="shared" si="236"/>
        <v>550000</v>
      </c>
      <c r="O622" s="1202"/>
      <c r="P622" s="1202"/>
      <c r="Q622" s="175"/>
      <c r="R622" s="175"/>
      <c r="S622" s="116"/>
      <c r="T622" s="116">
        <f t="shared" si="231"/>
        <v>-10000</v>
      </c>
      <c r="U622" s="116"/>
      <c r="V622" s="210">
        <f t="shared" si="197"/>
        <v>0</v>
      </c>
      <c r="W622" s="115"/>
      <c r="X622" s="181"/>
      <c r="Y622" s="116"/>
      <c r="Z622" s="185"/>
      <c r="AA622" s="592"/>
      <c r="AB622" s="186"/>
      <c r="AC622" s="9"/>
      <c r="AD622" s="297"/>
      <c r="AE622" s="297">
        <f t="shared" si="234"/>
        <v>10000</v>
      </c>
      <c r="AF622" s="9"/>
      <c r="AG622" s="9" t="s">
        <v>1395</v>
      </c>
      <c r="AH622" s="300">
        <v>42949</v>
      </c>
      <c r="AI622" s="9" t="s">
        <v>2332</v>
      </c>
      <c r="AJ622" s="300">
        <v>42950</v>
      </c>
      <c r="AK622" s="73" t="str">
        <f t="shared" si="186"/>
        <v>MANDIRI HERINDO ADIPERKASA, PT</v>
      </c>
    </row>
    <row r="623" spans="1:37" s="114" customFormat="1" ht="12" hidden="1" customHeight="1">
      <c r="A623" s="53"/>
      <c r="B623" s="53" t="s">
        <v>243</v>
      </c>
      <c r="C623" s="9">
        <v>1</v>
      </c>
      <c r="D623" s="8" t="s">
        <v>159</v>
      </c>
      <c r="E623" s="9" t="s">
        <v>357</v>
      </c>
      <c r="F623" s="8" t="s">
        <v>3044</v>
      </c>
      <c r="G623" s="9" t="s">
        <v>60</v>
      </c>
      <c r="H623" s="10" t="s">
        <v>2915</v>
      </c>
      <c r="I623" s="10" t="s">
        <v>2943</v>
      </c>
      <c r="J623" s="658"/>
      <c r="K623" s="116">
        <v>1000000</v>
      </c>
      <c r="L623" s="116">
        <f t="shared" si="235"/>
        <v>100000</v>
      </c>
      <c r="M623" s="658"/>
      <c r="N623" s="189">
        <f t="shared" si="236"/>
        <v>1100000</v>
      </c>
      <c r="O623" s="197" t="s">
        <v>243</v>
      </c>
      <c r="P623" s="197" t="s">
        <v>103</v>
      </c>
      <c r="Q623" s="175"/>
      <c r="R623" s="175"/>
      <c r="S623" s="116">
        <v>0</v>
      </c>
      <c r="T623" s="116">
        <f t="shared" ref="T623:T628" si="237">-K623*2%</f>
        <v>-20000</v>
      </c>
      <c r="U623" s="116">
        <v>1080000</v>
      </c>
      <c r="V623" s="210">
        <f t="shared" si="197"/>
        <v>0</v>
      </c>
      <c r="W623" s="115">
        <f t="shared" ref="W623:W625" si="238">N623+S623+T623-U623</f>
        <v>0</v>
      </c>
      <c r="X623" s="181" t="s">
        <v>237</v>
      </c>
      <c r="Y623" s="116"/>
      <c r="Z623" s="185"/>
      <c r="AA623" s="592"/>
      <c r="AB623" s="186"/>
      <c r="AC623" s="9"/>
      <c r="AD623" s="297"/>
      <c r="AE623" s="297">
        <f t="shared" si="234"/>
        <v>20000</v>
      </c>
      <c r="AF623" s="9"/>
      <c r="AG623" s="9" t="s">
        <v>1395</v>
      </c>
      <c r="AH623" s="300">
        <v>42949</v>
      </c>
      <c r="AI623" s="9" t="s">
        <v>2332</v>
      </c>
      <c r="AJ623" s="300">
        <v>42950</v>
      </c>
      <c r="AK623" s="73"/>
    </row>
    <row r="624" spans="1:37" s="114" customFormat="1" ht="12" hidden="1" customHeight="1">
      <c r="A624" s="1220"/>
      <c r="B624" s="1220" t="s">
        <v>244</v>
      </c>
      <c r="C624" s="1221">
        <v>4</v>
      </c>
      <c r="D624" s="1222" t="s">
        <v>159</v>
      </c>
      <c r="E624" s="1221" t="s">
        <v>355</v>
      </c>
      <c r="F624" s="1417" t="s">
        <v>3056</v>
      </c>
      <c r="G624" s="1221" t="s">
        <v>559</v>
      </c>
      <c r="H624" s="1223" t="s">
        <v>3126</v>
      </c>
      <c r="I624" s="1223" t="s">
        <v>3127</v>
      </c>
      <c r="J624" s="1237"/>
      <c r="K624" s="1224">
        <v>13300000</v>
      </c>
      <c r="L624" s="1224">
        <f t="shared" si="235"/>
        <v>1330000</v>
      </c>
      <c r="M624" s="1237"/>
      <c r="N624" s="1225">
        <f t="shared" si="236"/>
        <v>14630000</v>
      </c>
      <c r="O624" s="1202" t="s">
        <v>238</v>
      </c>
      <c r="P624" s="1202" t="s">
        <v>48</v>
      </c>
      <c r="Q624" s="175"/>
      <c r="R624" s="175"/>
      <c r="S624" s="116">
        <v>0</v>
      </c>
      <c r="T624" s="116">
        <f t="shared" si="237"/>
        <v>-266000</v>
      </c>
      <c r="U624" s="116">
        <v>14364000</v>
      </c>
      <c r="V624" s="210"/>
      <c r="W624" s="115">
        <f t="shared" si="238"/>
        <v>0</v>
      </c>
      <c r="X624" s="181"/>
      <c r="Y624" s="116"/>
      <c r="Z624" s="185"/>
      <c r="AA624" s="592"/>
      <c r="AB624" s="186"/>
      <c r="AC624" s="9"/>
      <c r="AD624" s="297"/>
      <c r="AE624" s="297">
        <f t="shared" si="234"/>
        <v>266000</v>
      </c>
      <c r="AF624" s="9"/>
      <c r="AG624" s="9"/>
      <c r="AH624" s="300"/>
      <c r="AI624" s="9"/>
      <c r="AJ624" s="300"/>
      <c r="AK624" s="73"/>
    </row>
    <row r="625" spans="1:37" s="114" customFormat="1" ht="12" hidden="1" customHeight="1">
      <c r="A625" s="1220"/>
      <c r="B625" s="1220" t="s">
        <v>244</v>
      </c>
      <c r="C625" s="1221">
        <v>4</v>
      </c>
      <c r="D625" s="1222" t="s">
        <v>159</v>
      </c>
      <c r="E625" s="1221" t="s">
        <v>364</v>
      </c>
      <c r="F625" s="1417" t="s">
        <v>3058</v>
      </c>
      <c r="G625" s="1221" t="s">
        <v>559</v>
      </c>
      <c r="H625" s="1223" t="s">
        <v>3129</v>
      </c>
      <c r="I625" s="1223" t="s">
        <v>3132</v>
      </c>
      <c r="J625" s="1237"/>
      <c r="K625" s="1224">
        <v>500000</v>
      </c>
      <c r="L625" s="1224">
        <f t="shared" si="235"/>
        <v>50000</v>
      </c>
      <c r="M625" s="1237"/>
      <c r="N625" s="1225">
        <f t="shared" si="236"/>
        <v>550000</v>
      </c>
      <c r="O625" s="1202" t="s">
        <v>238</v>
      </c>
      <c r="P625" s="1202" t="s">
        <v>114</v>
      </c>
      <c r="Q625" s="175"/>
      <c r="R625" s="175"/>
      <c r="S625" s="116">
        <v>0</v>
      </c>
      <c r="T625" s="116">
        <f t="shared" si="237"/>
        <v>-10000</v>
      </c>
      <c r="U625" s="116">
        <v>540000</v>
      </c>
      <c r="V625" s="210"/>
      <c r="W625" s="115">
        <f t="shared" si="238"/>
        <v>0</v>
      </c>
      <c r="X625" s="181"/>
      <c r="Y625" s="116"/>
      <c r="Z625" s="185"/>
      <c r="AA625" s="592"/>
      <c r="AB625" s="186"/>
      <c r="AC625" s="9"/>
      <c r="AD625" s="297"/>
      <c r="AE625" s="297">
        <f t="shared" si="234"/>
        <v>10000</v>
      </c>
      <c r="AF625" s="9"/>
      <c r="AG625" s="9"/>
      <c r="AH625" s="300"/>
      <c r="AI625" s="9"/>
      <c r="AJ625" s="300"/>
      <c r="AK625" s="73"/>
    </row>
    <row r="626" spans="1:37" s="114" customFormat="1" ht="12" hidden="1" customHeight="1">
      <c r="A626" s="1220"/>
      <c r="B626" s="1220" t="s">
        <v>244</v>
      </c>
      <c r="C626" s="1221">
        <v>4</v>
      </c>
      <c r="D626" s="1222" t="s">
        <v>159</v>
      </c>
      <c r="E626" s="1221" t="s">
        <v>357</v>
      </c>
      <c r="F626" s="1417" t="s">
        <v>3044</v>
      </c>
      <c r="G626" s="1221" t="s">
        <v>559</v>
      </c>
      <c r="H626" s="1223" t="s">
        <v>3128</v>
      </c>
      <c r="I626" s="1223" t="s">
        <v>3133</v>
      </c>
      <c r="J626" s="1237"/>
      <c r="K626" s="1224">
        <v>1000000</v>
      </c>
      <c r="L626" s="1224">
        <f t="shared" si="235"/>
        <v>100000</v>
      </c>
      <c r="M626" s="1237"/>
      <c r="N626" s="1225">
        <f t="shared" si="236"/>
        <v>1100000</v>
      </c>
      <c r="O626" s="1202" t="s">
        <v>238</v>
      </c>
      <c r="P626" s="1202" t="s">
        <v>114</v>
      </c>
      <c r="Q626" s="175"/>
      <c r="R626" s="175"/>
      <c r="S626" s="116">
        <v>0</v>
      </c>
      <c r="T626" s="116">
        <f t="shared" si="237"/>
        <v>-20000</v>
      </c>
      <c r="U626" s="116">
        <v>1080000</v>
      </c>
      <c r="V626" s="210"/>
      <c r="W626" s="115"/>
      <c r="X626" s="181"/>
      <c r="Y626" s="116"/>
      <c r="Z626" s="185"/>
      <c r="AA626" s="592"/>
      <c r="AB626" s="186"/>
      <c r="AC626" s="9"/>
      <c r="AD626" s="297"/>
      <c r="AE626" s="297">
        <f t="shared" si="234"/>
        <v>20000</v>
      </c>
      <c r="AF626" s="9"/>
      <c r="AG626" s="9"/>
      <c r="AH626" s="300"/>
      <c r="AI626" s="9"/>
      <c r="AJ626" s="300"/>
      <c r="AK626" s="73"/>
    </row>
    <row r="627" spans="1:37" s="114" customFormat="1" ht="12.75" hidden="1" customHeight="1">
      <c r="A627" s="53"/>
      <c r="B627" s="1220" t="s">
        <v>244</v>
      </c>
      <c r="C627" s="1221">
        <v>4</v>
      </c>
      <c r="D627" s="1222" t="s">
        <v>159</v>
      </c>
      <c r="E627" s="1221" t="s">
        <v>3137</v>
      </c>
      <c r="F627" s="1522" t="s">
        <v>3136</v>
      </c>
      <c r="G627" s="1221" t="s">
        <v>559</v>
      </c>
      <c r="H627" s="1223" t="s">
        <v>3130</v>
      </c>
      <c r="I627" s="1223" t="s">
        <v>3134</v>
      </c>
      <c r="J627" s="1237"/>
      <c r="K627" s="1224">
        <v>40000000</v>
      </c>
      <c r="L627" s="1224">
        <f t="shared" si="235"/>
        <v>4000000</v>
      </c>
      <c r="M627" s="1237"/>
      <c r="N627" s="1225">
        <f t="shared" si="236"/>
        <v>44000000</v>
      </c>
      <c r="O627" s="197" t="s">
        <v>244</v>
      </c>
      <c r="P627" s="197" t="s">
        <v>116</v>
      </c>
      <c r="Q627" s="175"/>
      <c r="R627" s="175"/>
      <c r="S627" s="116"/>
      <c r="T627" s="116">
        <f t="shared" si="237"/>
        <v>-800000</v>
      </c>
      <c r="U627" s="116">
        <f>K627+L627+T627</f>
        <v>43200000</v>
      </c>
      <c r="V627" s="210"/>
      <c r="W627" s="115"/>
      <c r="X627" s="181"/>
      <c r="Y627" s="116"/>
      <c r="Z627" s="185"/>
      <c r="AA627" s="592"/>
      <c r="AB627" s="186"/>
      <c r="AC627" s="9"/>
      <c r="AD627" s="297"/>
      <c r="AE627" s="297">
        <f t="shared" si="234"/>
        <v>800000</v>
      </c>
      <c r="AF627" s="9"/>
      <c r="AG627" s="9"/>
      <c r="AH627" s="300"/>
      <c r="AI627" s="9"/>
      <c r="AJ627" s="300"/>
      <c r="AK627" s="73"/>
    </row>
    <row r="628" spans="1:37" s="114" customFormat="1" ht="12" hidden="1" customHeight="1">
      <c r="A628" s="53"/>
      <c r="B628" s="1220" t="s">
        <v>244</v>
      </c>
      <c r="C628" s="1221">
        <v>4</v>
      </c>
      <c r="D628" s="1222" t="s">
        <v>159</v>
      </c>
      <c r="E628" s="1221" t="s">
        <v>364</v>
      </c>
      <c r="F628" s="1417" t="s">
        <v>3138</v>
      </c>
      <c r="G628" s="1221" t="s">
        <v>559</v>
      </c>
      <c r="H628" s="1223" t="s">
        <v>3131</v>
      </c>
      <c r="I628" s="1223" t="s">
        <v>3135</v>
      </c>
      <c r="J628" s="1237"/>
      <c r="K628" s="1224">
        <v>17000000</v>
      </c>
      <c r="L628" s="1224">
        <f t="shared" si="235"/>
        <v>1700000</v>
      </c>
      <c r="M628" s="1237"/>
      <c r="N628" s="1225">
        <f t="shared" si="236"/>
        <v>18700000</v>
      </c>
      <c r="O628" s="197" t="s">
        <v>244</v>
      </c>
      <c r="P628" s="197" t="s">
        <v>116</v>
      </c>
      <c r="Q628" s="175"/>
      <c r="R628" s="175"/>
      <c r="S628" s="116"/>
      <c r="T628" s="116">
        <f t="shared" si="237"/>
        <v>-340000</v>
      </c>
      <c r="U628" s="116">
        <f>K628+L628+T628</f>
        <v>18360000</v>
      </c>
      <c r="V628" s="210"/>
      <c r="W628" s="115"/>
      <c r="X628" s="181"/>
      <c r="Y628" s="116"/>
      <c r="Z628" s="185"/>
      <c r="AA628" s="592"/>
      <c r="AB628" s="186"/>
      <c r="AC628" s="9"/>
      <c r="AD628" s="297"/>
      <c r="AE628" s="297">
        <f t="shared" si="234"/>
        <v>340000</v>
      </c>
      <c r="AF628" s="9"/>
      <c r="AG628" s="9"/>
      <c r="AH628" s="300"/>
      <c r="AI628" s="9"/>
      <c r="AJ628" s="300"/>
      <c r="AK628" s="73"/>
    </row>
    <row r="629" spans="1:37" s="114" customFormat="1" ht="12" hidden="1" customHeight="1">
      <c r="A629" s="53"/>
      <c r="B629" s="758" t="s">
        <v>245</v>
      </c>
      <c r="C629" s="759">
        <v>9</v>
      </c>
      <c r="D629" s="760" t="s">
        <v>159</v>
      </c>
      <c r="E629" s="759" t="s">
        <v>355</v>
      </c>
      <c r="F629" s="1401" t="s">
        <v>3056</v>
      </c>
      <c r="G629" s="759" t="s">
        <v>602</v>
      </c>
      <c r="H629" s="761" t="s">
        <v>3399</v>
      </c>
      <c r="I629" s="761" t="s">
        <v>3400</v>
      </c>
      <c r="J629" s="1054"/>
      <c r="K629" s="762">
        <v>13300000</v>
      </c>
      <c r="L629" s="762">
        <f t="shared" si="235"/>
        <v>1330000</v>
      </c>
      <c r="M629" s="1054"/>
      <c r="N629" s="763">
        <f t="shared" si="236"/>
        <v>14630000</v>
      </c>
      <c r="O629" s="1202"/>
      <c r="P629" s="1202"/>
      <c r="Q629" s="175"/>
      <c r="R629" s="175"/>
      <c r="S629" s="116"/>
      <c r="T629" s="116"/>
      <c r="U629" s="116"/>
      <c r="V629" s="210"/>
      <c r="W629" s="115"/>
      <c r="X629" s="181"/>
      <c r="Y629" s="116"/>
      <c r="Z629" s="185"/>
      <c r="AA629" s="592"/>
      <c r="AB629" s="186"/>
      <c r="AC629" s="9"/>
      <c r="AD629" s="297"/>
      <c r="AE629" s="297">
        <f t="shared" si="234"/>
        <v>0</v>
      </c>
      <c r="AF629" s="9"/>
      <c r="AG629" s="9"/>
      <c r="AH629" s="300"/>
      <c r="AI629" s="9"/>
      <c r="AJ629" s="300"/>
      <c r="AK629" s="73"/>
    </row>
    <row r="630" spans="1:37" s="114" customFormat="1" ht="12" hidden="1" customHeight="1">
      <c r="A630" s="53"/>
      <c r="B630" s="758" t="s">
        <v>245</v>
      </c>
      <c r="C630" s="759">
        <v>9</v>
      </c>
      <c r="D630" s="760" t="s">
        <v>159</v>
      </c>
      <c r="E630" s="759" t="s">
        <v>364</v>
      </c>
      <c r="F630" s="1401" t="s">
        <v>3058</v>
      </c>
      <c r="G630" s="759" t="s">
        <v>602</v>
      </c>
      <c r="H630" s="761" t="s">
        <v>3401</v>
      </c>
      <c r="I630" s="761" t="s">
        <v>3402</v>
      </c>
      <c r="J630" s="1054"/>
      <c r="K630" s="762">
        <v>500000</v>
      </c>
      <c r="L630" s="762">
        <f t="shared" si="235"/>
        <v>50000</v>
      </c>
      <c r="M630" s="1054"/>
      <c r="N630" s="763">
        <f t="shared" si="236"/>
        <v>550000</v>
      </c>
      <c r="O630" s="1202"/>
      <c r="P630" s="1202"/>
      <c r="Q630" s="175"/>
      <c r="R630" s="175"/>
      <c r="S630" s="116"/>
      <c r="T630" s="116"/>
      <c r="U630" s="116"/>
      <c r="V630" s="210"/>
      <c r="W630" s="115"/>
      <c r="X630" s="181"/>
      <c r="Y630" s="116"/>
      <c r="Z630" s="185"/>
      <c r="AA630" s="592"/>
      <c r="AB630" s="186"/>
      <c r="AC630" s="9"/>
      <c r="AD630" s="297"/>
      <c r="AE630" s="297">
        <f t="shared" si="234"/>
        <v>0</v>
      </c>
      <c r="AF630" s="9"/>
      <c r="AG630" s="9"/>
      <c r="AH630" s="300"/>
      <c r="AI630" s="9"/>
      <c r="AJ630" s="300"/>
      <c r="AK630" s="73"/>
    </row>
    <row r="631" spans="1:37" s="114" customFormat="1" ht="12" hidden="1" customHeight="1">
      <c r="A631" s="53"/>
      <c r="B631" s="758" t="s">
        <v>245</v>
      </c>
      <c r="C631" s="759">
        <v>9</v>
      </c>
      <c r="D631" s="760" t="s">
        <v>159</v>
      </c>
      <c r="E631" s="759" t="s">
        <v>357</v>
      </c>
      <c r="F631" s="1401" t="s">
        <v>3044</v>
      </c>
      <c r="G631" s="759" t="s">
        <v>602</v>
      </c>
      <c r="H631" s="761" t="s">
        <v>3403</v>
      </c>
      <c r="I631" s="761" t="s">
        <v>3404</v>
      </c>
      <c r="J631" s="1054"/>
      <c r="K631" s="762">
        <v>1000000</v>
      </c>
      <c r="L631" s="762">
        <f t="shared" si="235"/>
        <v>100000</v>
      </c>
      <c r="M631" s="1054"/>
      <c r="N631" s="763">
        <f t="shared" si="236"/>
        <v>1100000</v>
      </c>
      <c r="O631" s="1202"/>
      <c r="P631" s="1202"/>
      <c r="Q631" s="175"/>
      <c r="R631" s="175"/>
      <c r="S631" s="116"/>
      <c r="T631" s="116"/>
      <c r="U631" s="116"/>
      <c r="V631" s="210"/>
      <c r="W631" s="115"/>
      <c r="X631" s="181"/>
      <c r="Y631" s="116"/>
      <c r="Z631" s="185"/>
      <c r="AA631" s="592"/>
      <c r="AB631" s="186"/>
      <c r="AC631" s="9"/>
      <c r="AD631" s="297"/>
      <c r="AE631" s="297">
        <f t="shared" si="234"/>
        <v>0</v>
      </c>
      <c r="AF631" s="9"/>
      <c r="AG631" s="9"/>
      <c r="AH631" s="300"/>
      <c r="AI631" s="9"/>
      <c r="AJ631" s="300"/>
      <c r="AK631" s="73"/>
    </row>
    <row r="632" spans="1:37" s="114" customFormat="1" ht="12" hidden="1" customHeight="1">
      <c r="A632" s="53"/>
      <c r="B632" s="758" t="s">
        <v>245</v>
      </c>
      <c r="C632" s="759">
        <v>9</v>
      </c>
      <c r="D632" s="760" t="s">
        <v>159</v>
      </c>
      <c r="E632" s="759" t="s">
        <v>354</v>
      </c>
      <c r="F632" s="1401" t="s">
        <v>3405</v>
      </c>
      <c r="G632" s="759" t="s">
        <v>602</v>
      </c>
      <c r="H632" s="761" t="s">
        <v>3406</v>
      </c>
      <c r="I632" s="761" t="s">
        <v>3407</v>
      </c>
      <c r="J632" s="1054"/>
      <c r="K632" s="762">
        <v>16000000</v>
      </c>
      <c r="L632" s="762">
        <f t="shared" si="235"/>
        <v>1600000</v>
      </c>
      <c r="M632" s="1054"/>
      <c r="N632" s="763">
        <f t="shared" si="236"/>
        <v>17600000</v>
      </c>
      <c r="O632" s="1202"/>
      <c r="P632" s="1202"/>
      <c r="Q632" s="175"/>
      <c r="R632" s="175"/>
      <c r="S632" s="116"/>
      <c r="T632" s="116">
        <f>-K632*2%</f>
        <v>-320000</v>
      </c>
      <c r="U632" s="116"/>
      <c r="V632" s="210"/>
      <c r="W632" s="115"/>
      <c r="X632" s="181"/>
      <c r="Y632" s="116"/>
      <c r="Z632" s="185"/>
      <c r="AA632" s="592"/>
      <c r="AB632" s="186"/>
      <c r="AC632" s="9"/>
      <c r="AD632" s="297"/>
      <c r="AE632" s="297">
        <f t="shared" si="234"/>
        <v>320000</v>
      </c>
      <c r="AF632" s="9"/>
      <c r="AG632" s="9"/>
      <c r="AH632" s="300"/>
      <c r="AI632" s="9"/>
      <c r="AJ632" s="300"/>
      <c r="AK632" s="73"/>
    </row>
    <row r="633" spans="1:37" s="114" customFormat="1" ht="12" hidden="1" customHeight="1">
      <c r="A633" s="53"/>
      <c r="B633" s="758" t="s">
        <v>238</v>
      </c>
      <c r="C633" s="759">
        <v>7</v>
      </c>
      <c r="D633" s="760" t="s">
        <v>159</v>
      </c>
      <c r="E633" s="759" t="s">
        <v>355</v>
      </c>
      <c r="F633" s="1401" t="s">
        <v>3056</v>
      </c>
      <c r="G633" s="759" t="s">
        <v>641</v>
      </c>
      <c r="H633" s="761" t="s">
        <v>3537</v>
      </c>
      <c r="I633" s="761" t="s">
        <v>3538</v>
      </c>
      <c r="J633" s="1054"/>
      <c r="K633" s="762">
        <v>13300000</v>
      </c>
      <c r="L633" s="762">
        <f t="shared" si="235"/>
        <v>1330000</v>
      </c>
      <c r="M633" s="1054"/>
      <c r="N633" s="763">
        <f t="shared" si="236"/>
        <v>14630000</v>
      </c>
      <c r="O633" s="1202"/>
      <c r="P633" s="1202"/>
      <c r="Q633" s="175"/>
      <c r="R633" s="175"/>
      <c r="S633" s="116"/>
      <c r="T633" s="116"/>
      <c r="U633" s="116"/>
      <c r="V633" s="210"/>
      <c r="W633" s="115"/>
      <c r="X633" s="181"/>
      <c r="Y633" s="116"/>
      <c r="Z633" s="185"/>
      <c r="AA633" s="592"/>
      <c r="AB633" s="186"/>
      <c r="AC633" s="9"/>
      <c r="AD633" s="297"/>
      <c r="AE633" s="297"/>
      <c r="AF633" s="9"/>
      <c r="AG633" s="9"/>
      <c r="AH633" s="300"/>
      <c r="AI633" s="9"/>
      <c r="AJ633" s="300"/>
      <c r="AK633" s="73"/>
    </row>
    <row r="634" spans="1:37" s="114" customFormat="1" ht="12" hidden="1" customHeight="1">
      <c r="A634" s="53"/>
      <c r="B634" s="758" t="s">
        <v>238</v>
      </c>
      <c r="C634" s="759">
        <v>7</v>
      </c>
      <c r="D634" s="760" t="s">
        <v>159</v>
      </c>
      <c r="E634" s="759" t="s">
        <v>364</v>
      </c>
      <c r="F634" s="1401" t="s">
        <v>3058</v>
      </c>
      <c r="G634" s="759" t="s">
        <v>641</v>
      </c>
      <c r="H634" s="761" t="s">
        <v>3539</v>
      </c>
      <c r="I634" s="761" t="s">
        <v>3540</v>
      </c>
      <c r="J634" s="1054"/>
      <c r="K634" s="762">
        <v>500000</v>
      </c>
      <c r="L634" s="762">
        <f t="shared" si="235"/>
        <v>50000</v>
      </c>
      <c r="M634" s="1054"/>
      <c r="N634" s="763">
        <f t="shared" si="236"/>
        <v>550000</v>
      </c>
      <c r="O634" s="1202"/>
      <c r="P634" s="1202"/>
      <c r="Q634" s="175"/>
      <c r="R634" s="175"/>
      <c r="S634" s="116"/>
      <c r="T634" s="116"/>
      <c r="U634" s="116"/>
      <c r="V634" s="210"/>
      <c r="W634" s="115"/>
      <c r="X634" s="181"/>
      <c r="Y634" s="116"/>
      <c r="Z634" s="185"/>
      <c r="AA634" s="592"/>
      <c r="AB634" s="186"/>
      <c r="AC634" s="9"/>
      <c r="AD634" s="297"/>
      <c r="AE634" s="297"/>
      <c r="AF634" s="9"/>
      <c r="AG634" s="9"/>
      <c r="AH634" s="300"/>
      <c r="AI634" s="9"/>
      <c r="AJ634" s="300"/>
      <c r="AK634" s="73"/>
    </row>
    <row r="635" spans="1:37" s="114" customFormat="1" ht="12" hidden="1" customHeight="1">
      <c r="A635" s="53"/>
      <c r="B635" s="758" t="s">
        <v>238</v>
      </c>
      <c r="C635" s="759">
        <v>7</v>
      </c>
      <c r="D635" s="760" t="s">
        <v>159</v>
      </c>
      <c r="E635" s="759" t="s">
        <v>357</v>
      </c>
      <c r="F635" s="1401" t="s">
        <v>3044</v>
      </c>
      <c r="G635" s="759" t="s">
        <v>641</v>
      </c>
      <c r="H635" s="761" t="s">
        <v>3541</v>
      </c>
      <c r="I635" s="761" t="s">
        <v>3542</v>
      </c>
      <c r="J635" s="1054"/>
      <c r="K635" s="762">
        <v>1000000</v>
      </c>
      <c r="L635" s="762">
        <f t="shared" si="235"/>
        <v>100000</v>
      </c>
      <c r="M635" s="1054"/>
      <c r="N635" s="763">
        <f t="shared" si="236"/>
        <v>1100000</v>
      </c>
      <c r="O635" s="1202"/>
      <c r="P635" s="1202"/>
      <c r="Q635" s="175"/>
      <c r="R635" s="175"/>
      <c r="S635" s="116"/>
      <c r="T635" s="116"/>
      <c r="U635" s="116"/>
      <c r="V635" s="210"/>
      <c r="W635" s="115"/>
      <c r="X635" s="181"/>
      <c r="Y635" s="116"/>
      <c r="Z635" s="185"/>
      <c r="AA635" s="592"/>
      <c r="AB635" s="186"/>
      <c r="AC635" s="9"/>
      <c r="AD635" s="297"/>
      <c r="AE635" s="297"/>
      <c r="AF635" s="9"/>
      <c r="AG635" s="9"/>
      <c r="AH635" s="300"/>
      <c r="AI635" s="9"/>
      <c r="AJ635" s="300"/>
      <c r="AK635" s="73"/>
    </row>
    <row r="636" spans="1:37" s="114" customFormat="1" ht="12" hidden="1" customHeight="1">
      <c r="A636" s="53"/>
      <c r="B636" s="758" t="s">
        <v>238</v>
      </c>
      <c r="C636" s="759">
        <v>7</v>
      </c>
      <c r="D636" s="760" t="s">
        <v>159</v>
      </c>
      <c r="E636" s="759" t="s">
        <v>354</v>
      </c>
      <c r="F636" s="1401" t="s">
        <v>3405</v>
      </c>
      <c r="G636" s="759" t="s">
        <v>641</v>
      </c>
      <c r="H636" s="761" t="s">
        <v>3543</v>
      </c>
      <c r="I636" s="761" t="s">
        <v>3544</v>
      </c>
      <c r="J636" s="1054"/>
      <c r="K636" s="762">
        <v>16000000</v>
      </c>
      <c r="L636" s="762">
        <f t="shared" si="235"/>
        <v>1600000</v>
      </c>
      <c r="M636" s="1054"/>
      <c r="N636" s="763">
        <f t="shared" si="236"/>
        <v>17600000</v>
      </c>
      <c r="O636" s="1202"/>
      <c r="P636" s="1202"/>
      <c r="Q636" s="175"/>
      <c r="R636" s="175"/>
      <c r="S636" s="116"/>
      <c r="T636" s="116"/>
      <c r="U636" s="116"/>
      <c r="V636" s="210"/>
      <c r="W636" s="115"/>
      <c r="X636" s="181"/>
      <c r="Y636" s="116"/>
      <c r="Z636" s="185"/>
      <c r="AA636" s="592"/>
      <c r="AB636" s="186"/>
      <c r="AC636" s="9"/>
      <c r="AD636" s="297"/>
      <c r="AE636" s="297"/>
      <c r="AF636" s="9"/>
      <c r="AG636" s="9"/>
      <c r="AH636" s="300"/>
      <c r="AI636" s="9"/>
      <c r="AJ636" s="300"/>
      <c r="AK636" s="73"/>
    </row>
    <row r="637" spans="1:37" s="114" customFormat="1" ht="12" hidden="1" customHeight="1">
      <c r="A637" s="53"/>
      <c r="B637" s="758" t="s">
        <v>140</v>
      </c>
      <c r="C637" s="759">
        <v>6</v>
      </c>
      <c r="D637" s="760" t="s">
        <v>159</v>
      </c>
      <c r="E637" s="759" t="s">
        <v>355</v>
      </c>
      <c r="F637" s="1401" t="s">
        <v>3056</v>
      </c>
      <c r="G637" s="759" t="s">
        <v>1616</v>
      </c>
      <c r="H637" s="761" t="s">
        <v>3682</v>
      </c>
      <c r="I637" s="761" t="s">
        <v>3683</v>
      </c>
      <c r="J637" s="1054"/>
      <c r="K637" s="762">
        <v>18300000</v>
      </c>
      <c r="L637" s="762">
        <f t="shared" si="235"/>
        <v>1830000</v>
      </c>
      <c r="M637" s="1054"/>
      <c r="N637" s="763">
        <f t="shared" si="236"/>
        <v>20130000</v>
      </c>
      <c r="O637" s="1202"/>
      <c r="P637" s="1202"/>
      <c r="Q637" s="175"/>
      <c r="R637" s="175"/>
      <c r="S637" s="116"/>
      <c r="T637" s="116"/>
      <c r="U637" s="116"/>
      <c r="V637" s="210"/>
      <c r="W637" s="115"/>
      <c r="X637" s="181"/>
      <c r="Y637" s="116"/>
      <c r="Z637" s="185"/>
      <c r="AA637" s="592"/>
      <c r="AB637" s="186"/>
      <c r="AC637" s="9"/>
      <c r="AD637" s="297"/>
      <c r="AE637" s="297"/>
      <c r="AF637" s="9"/>
      <c r="AG637" s="9"/>
      <c r="AH637" s="300"/>
      <c r="AI637" s="9"/>
      <c r="AJ637" s="300"/>
      <c r="AK637" s="73"/>
    </row>
    <row r="638" spans="1:37" s="114" customFormat="1" ht="12" hidden="1" customHeight="1">
      <c r="A638" s="53"/>
      <c r="B638" s="758" t="s">
        <v>140</v>
      </c>
      <c r="C638" s="759">
        <v>6</v>
      </c>
      <c r="D638" s="760" t="s">
        <v>159</v>
      </c>
      <c r="E638" s="759" t="s">
        <v>364</v>
      </c>
      <c r="F638" s="1401" t="s">
        <v>3058</v>
      </c>
      <c r="G638" s="759" t="s">
        <v>1616</v>
      </c>
      <c r="H638" s="761" t="s">
        <v>3684</v>
      </c>
      <c r="I638" s="761" t="s">
        <v>3685</v>
      </c>
      <c r="J638" s="1054"/>
      <c r="K638" s="762">
        <v>500000</v>
      </c>
      <c r="L638" s="762">
        <f t="shared" si="235"/>
        <v>50000</v>
      </c>
      <c r="M638" s="1054"/>
      <c r="N638" s="763">
        <f t="shared" si="236"/>
        <v>550000</v>
      </c>
      <c r="O638" s="1202"/>
      <c r="P638" s="1202"/>
      <c r="Q638" s="175"/>
      <c r="R638" s="175"/>
      <c r="S638" s="116"/>
      <c r="T638" s="116"/>
      <c r="U638" s="116"/>
      <c r="V638" s="210"/>
      <c r="W638" s="115"/>
      <c r="X638" s="181"/>
      <c r="Y638" s="116"/>
      <c r="Z638" s="185"/>
      <c r="AA638" s="592"/>
      <c r="AB638" s="186"/>
      <c r="AC638" s="9"/>
      <c r="AD638" s="297"/>
      <c r="AE638" s="297"/>
      <c r="AF638" s="9"/>
      <c r="AG638" s="9"/>
      <c r="AH638" s="300"/>
      <c r="AI638" s="9"/>
      <c r="AJ638" s="300"/>
      <c r="AK638" s="73"/>
    </row>
    <row r="639" spans="1:37" s="114" customFormat="1" ht="12" hidden="1" customHeight="1">
      <c r="A639" s="53"/>
      <c r="B639" s="758" t="s">
        <v>140</v>
      </c>
      <c r="C639" s="759">
        <v>6</v>
      </c>
      <c r="D639" s="760" t="s">
        <v>159</v>
      </c>
      <c r="E639" s="759" t="s">
        <v>357</v>
      </c>
      <c r="F639" s="1401" t="s">
        <v>3686</v>
      </c>
      <c r="G639" s="759" t="s">
        <v>1616</v>
      </c>
      <c r="H639" s="761" t="s">
        <v>3687</v>
      </c>
      <c r="I639" s="761" t="s">
        <v>3688</v>
      </c>
      <c r="J639" s="1054"/>
      <c r="K639" s="762">
        <v>6000000</v>
      </c>
      <c r="L639" s="762">
        <f t="shared" si="235"/>
        <v>600000</v>
      </c>
      <c r="M639" s="1054"/>
      <c r="N639" s="763">
        <f t="shared" si="236"/>
        <v>6600000</v>
      </c>
      <c r="O639" s="1202"/>
      <c r="P639" s="1202"/>
      <c r="Q639" s="175"/>
      <c r="R639" s="175"/>
      <c r="S639" s="116"/>
      <c r="T639" s="116"/>
      <c r="U639" s="116"/>
      <c r="V639" s="210"/>
      <c r="W639" s="115"/>
      <c r="X639" s="181"/>
      <c r="Y639" s="116"/>
      <c r="Z639" s="185"/>
      <c r="AA639" s="592"/>
      <c r="AB639" s="186"/>
      <c r="AC639" s="9"/>
      <c r="AD639" s="297"/>
      <c r="AE639" s="297"/>
      <c r="AF639" s="9"/>
      <c r="AG639" s="9"/>
      <c r="AH639" s="300"/>
      <c r="AI639" s="9"/>
      <c r="AJ639" s="300"/>
      <c r="AK639" s="73"/>
    </row>
    <row r="640" spans="1:37" s="114" customFormat="1" ht="12" hidden="1" customHeight="1">
      <c r="A640" s="53"/>
      <c r="B640" s="758" t="s">
        <v>140</v>
      </c>
      <c r="C640" s="759">
        <v>6</v>
      </c>
      <c r="D640" s="760" t="s">
        <v>159</v>
      </c>
      <c r="E640" s="759" t="s">
        <v>354</v>
      </c>
      <c r="F640" s="1401" t="s">
        <v>3405</v>
      </c>
      <c r="G640" s="759" t="s">
        <v>1616</v>
      </c>
      <c r="H640" s="761" t="s">
        <v>3689</v>
      </c>
      <c r="I640" s="761" t="s">
        <v>3690</v>
      </c>
      <c r="J640" s="1054"/>
      <c r="K640" s="762">
        <v>16000000</v>
      </c>
      <c r="L640" s="762">
        <f t="shared" si="235"/>
        <v>1600000</v>
      </c>
      <c r="M640" s="1054"/>
      <c r="N640" s="763">
        <f t="shared" si="236"/>
        <v>17600000</v>
      </c>
      <c r="O640" s="1202"/>
      <c r="P640" s="1202"/>
      <c r="Q640" s="175"/>
      <c r="R640" s="175"/>
      <c r="S640" s="116"/>
      <c r="T640" s="116"/>
      <c r="U640" s="116"/>
      <c r="V640" s="210"/>
      <c r="W640" s="115"/>
      <c r="X640" s="181"/>
      <c r="Y640" s="116"/>
      <c r="Z640" s="185"/>
      <c r="AA640" s="592"/>
      <c r="AB640" s="186"/>
      <c r="AC640" s="9"/>
      <c r="AD640" s="297"/>
      <c r="AE640" s="297"/>
      <c r="AF640" s="9"/>
      <c r="AG640" s="9"/>
      <c r="AH640" s="300"/>
      <c r="AI640" s="9"/>
      <c r="AJ640" s="300"/>
      <c r="AK640" s="73"/>
    </row>
    <row r="641" spans="1:37" s="114" customFormat="1" ht="12" hidden="1" customHeight="1">
      <c r="A641" s="53"/>
      <c r="B641" s="53" t="s">
        <v>194</v>
      </c>
      <c r="C641" s="9">
        <v>9</v>
      </c>
      <c r="D641" s="8" t="s">
        <v>164</v>
      </c>
      <c r="E641" s="10" t="s">
        <v>376</v>
      </c>
      <c r="F641" s="356"/>
      <c r="G641" s="10"/>
      <c r="H641" s="10" t="s">
        <v>1813</v>
      </c>
      <c r="I641" s="10" t="s">
        <v>1814</v>
      </c>
      <c r="J641" s="658">
        <v>0</v>
      </c>
      <c r="K641" s="116">
        <v>20000000</v>
      </c>
      <c r="L641" s="116">
        <f t="shared" si="232"/>
        <v>2000000</v>
      </c>
      <c r="M641" s="658">
        <v>0</v>
      </c>
      <c r="N641" s="189">
        <f t="shared" si="233"/>
        <v>22000000</v>
      </c>
      <c r="O641" s="197" t="s">
        <v>195</v>
      </c>
      <c r="P641" s="197" t="s">
        <v>26</v>
      </c>
      <c r="Q641" s="175"/>
      <c r="R641" s="175"/>
      <c r="S641" s="116">
        <v>0</v>
      </c>
      <c r="T641" s="116">
        <f>-K641*2%</f>
        <v>-400000</v>
      </c>
      <c r="U641" s="116">
        <v>21600000</v>
      </c>
      <c r="V641" s="210">
        <f t="shared" si="197"/>
        <v>0</v>
      </c>
      <c r="W641" s="115">
        <f t="shared" si="187"/>
        <v>0</v>
      </c>
      <c r="X641" s="181" t="s">
        <v>237</v>
      </c>
      <c r="Y641" s="116"/>
      <c r="Z641" s="185"/>
      <c r="AA641" s="592">
        <f>-S641-Z641</f>
        <v>0</v>
      </c>
      <c r="AB641" s="186"/>
      <c r="AC641" s="300">
        <v>42773</v>
      </c>
      <c r="AD641" s="297">
        <v>400000</v>
      </c>
      <c r="AE641" s="297">
        <f t="shared" si="234"/>
        <v>0</v>
      </c>
      <c r="AF641" s="9" t="s">
        <v>2368</v>
      </c>
      <c r="AG641" s="9" t="s">
        <v>1395</v>
      </c>
      <c r="AH641" s="300">
        <v>42746</v>
      </c>
      <c r="AI641" s="9" t="s">
        <v>1878</v>
      </c>
      <c r="AJ641" s="300">
        <v>42747</v>
      </c>
      <c r="AK641" s="73" t="str">
        <f t="shared" si="186"/>
        <v>MANDIRI INTI PERKASA, PTFEB</v>
      </c>
    </row>
    <row r="642" spans="1:37" s="114" customFormat="1" ht="12" hidden="1" customHeight="1">
      <c r="A642" s="53"/>
      <c r="B642" s="53" t="s">
        <v>194</v>
      </c>
      <c r="C642" s="9">
        <v>9</v>
      </c>
      <c r="D642" s="8" t="s">
        <v>164</v>
      </c>
      <c r="E642" s="10" t="s">
        <v>364</v>
      </c>
      <c r="F642" s="356"/>
      <c r="G642" s="10"/>
      <c r="H642" s="10" t="s">
        <v>1815</v>
      </c>
      <c r="I642" s="10" t="s">
        <v>1816</v>
      </c>
      <c r="J642" s="658">
        <v>0</v>
      </c>
      <c r="K642" s="116">
        <v>6000000</v>
      </c>
      <c r="L642" s="116">
        <f t="shared" si="232"/>
        <v>600000</v>
      </c>
      <c r="M642" s="658">
        <v>0</v>
      </c>
      <c r="N642" s="189">
        <f t="shared" si="233"/>
        <v>6600000</v>
      </c>
      <c r="O642" s="197" t="s">
        <v>195</v>
      </c>
      <c r="P642" s="197" t="s">
        <v>26</v>
      </c>
      <c r="Q642" s="175"/>
      <c r="R642" s="175"/>
      <c r="S642" s="116">
        <v>0</v>
      </c>
      <c r="T642" s="116">
        <f>-K642*2%</f>
        <v>-120000</v>
      </c>
      <c r="U642" s="116">
        <v>6480000</v>
      </c>
      <c r="V642" s="210">
        <f t="shared" si="197"/>
        <v>0</v>
      </c>
      <c r="W642" s="115">
        <f t="shared" si="187"/>
        <v>0</v>
      </c>
      <c r="X642" s="181" t="s">
        <v>237</v>
      </c>
      <c r="Y642" s="116"/>
      <c r="Z642" s="185"/>
      <c r="AA642" s="592">
        <f>-S642-Z642</f>
        <v>0</v>
      </c>
      <c r="AB642" s="186"/>
      <c r="AC642" s="300">
        <v>42773</v>
      </c>
      <c r="AD642" s="297">
        <v>120000</v>
      </c>
      <c r="AE642" s="297">
        <f t="shared" si="234"/>
        <v>0</v>
      </c>
      <c r="AF642" s="9" t="s">
        <v>2369</v>
      </c>
      <c r="AG642" s="9" t="s">
        <v>1395</v>
      </c>
      <c r="AH642" s="300">
        <v>42746</v>
      </c>
      <c r="AI642" s="9" t="s">
        <v>1878</v>
      </c>
      <c r="AJ642" s="300">
        <v>42747</v>
      </c>
      <c r="AK642" s="73" t="str">
        <f t="shared" si="186"/>
        <v>MANDIRI INTI PERKASA, PTFEB</v>
      </c>
    </row>
    <row r="643" spans="1:37" s="114" customFormat="1" ht="12" hidden="1" customHeight="1">
      <c r="A643" s="53"/>
      <c r="B643" s="53" t="s">
        <v>195</v>
      </c>
      <c r="C643" s="9">
        <v>1</v>
      </c>
      <c r="D643" s="8" t="s">
        <v>164</v>
      </c>
      <c r="E643" s="10" t="s">
        <v>376</v>
      </c>
      <c r="F643" s="356"/>
      <c r="G643" s="10"/>
      <c r="H643" s="10" t="s">
        <v>1948</v>
      </c>
      <c r="I643" s="10" t="s">
        <v>1950</v>
      </c>
      <c r="J643" s="658">
        <v>0</v>
      </c>
      <c r="K643" s="116">
        <v>20000000</v>
      </c>
      <c r="L643" s="116">
        <f t="shared" ref="L643:L648" si="239">K643*10%</f>
        <v>2000000</v>
      </c>
      <c r="M643" s="658">
        <v>0</v>
      </c>
      <c r="N643" s="189">
        <f t="shared" ref="N643:N648" si="240">K643+L643</f>
        <v>22000000</v>
      </c>
      <c r="O643" s="197" t="s">
        <v>239</v>
      </c>
      <c r="P643" s="197" t="s">
        <v>87</v>
      </c>
      <c r="Q643" s="175"/>
      <c r="R643" s="175"/>
      <c r="S643" s="116">
        <v>0</v>
      </c>
      <c r="T643" s="116">
        <f t="shared" ref="T643:T648" si="241">-K643*2%</f>
        <v>-400000</v>
      </c>
      <c r="U643" s="116">
        <v>21600000</v>
      </c>
      <c r="V643" s="210">
        <f t="shared" si="197"/>
        <v>0</v>
      </c>
      <c r="W643" s="115">
        <f t="shared" si="187"/>
        <v>0</v>
      </c>
      <c r="X643" s="181" t="s">
        <v>237</v>
      </c>
      <c r="Y643" s="116"/>
      <c r="Z643" s="185"/>
      <c r="AA643" s="592"/>
      <c r="AB643" s="186"/>
      <c r="AC643" s="300">
        <v>42795</v>
      </c>
      <c r="AD643" s="297">
        <v>400000</v>
      </c>
      <c r="AE643" s="297">
        <f t="shared" si="234"/>
        <v>0</v>
      </c>
      <c r="AF643" s="9" t="s">
        <v>2586</v>
      </c>
      <c r="AG643" s="9" t="s">
        <v>1395</v>
      </c>
      <c r="AH643" s="300">
        <v>42769</v>
      </c>
      <c r="AI643" s="9" t="s">
        <v>2033</v>
      </c>
      <c r="AJ643" s="300">
        <v>42772</v>
      </c>
      <c r="AK643" s="73" t="str">
        <f t="shared" si="186"/>
        <v>MANDIRI INTI PERKASA, PTMAR</v>
      </c>
    </row>
    <row r="644" spans="1:37" s="114" customFormat="1" ht="12" hidden="1" customHeight="1">
      <c r="A644" s="53"/>
      <c r="B644" s="53" t="s">
        <v>195</v>
      </c>
      <c r="C644" s="9">
        <v>1</v>
      </c>
      <c r="D644" s="8" t="s">
        <v>164</v>
      </c>
      <c r="E644" s="10" t="s">
        <v>364</v>
      </c>
      <c r="F644" s="356"/>
      <c r="G644" s="10"/>
      <c r="H644" s="10" t="s">
        <v>1949</v>
      </c>
      <c r="I644" s="10" t="s">
        <v>1951</v>
      </c>
      <c r="J644" s="658">
        <v>0</v>
      </c>
      <c r="K644" s="116">
        <v>6000000</v>
      </c>
      <c r="L644" s="116">
        <f t="shared" si="239"/>
        <v>600000</v>
      </c>
      <c r="M644" s="658">
        <v>0</v>
      </c>
      <c r="N644" s="189">
        <f t="shared" si="240"/>
        <v>6600000</v>
      </c>
      <c r="O644" s="197" t="s">
        <v>239</v>
      </c>
      <c r="P644" s="197" t="s">
        <v>87</v>
      </c>
      <c r="Q644" s="175"/>
      <c r="R644" s="175"/>
      <c r="S644" s="116">
        <v>0</v>
      </c>
      <c r="T644" s="116">
        <f t="shared" si="241"/>
        <v>-120000</v>
      </c>
      <c r="U644" s="116">
        <v>6480000</v>
      </c>
      <c r="V644" s="210">
        <f t="shared" si="197"/>
        <v>0</v>
      </c>
      <c r="W644" s="115">
        <f t="shared" si="187"/>
        <v>0</v>
      </c>
      <c r="X644" s="181" t="s">
        <v>237</v>
      </c>
      <c r="Y644" s="116"/>
      <c r="Z644" s="185"/>
      <c r="AA644" s="592"/>
      <c r="AB644" s="186"/>
      <c r="AC644" s="300">
        <v>42795</v>
      </c>
      <c r="AD644" s="297">
        <v>120000</v>
      </c>
      <c r="AE644" s="297">
        <f t="shared" si="234"/>
        <v>0</v>
      </c>
      <c r="AF644" s="9" t="s">
        <v>2587</v>
      </c>
      <c r="AG644" s="9" t="s">
        <v>1395</v>
      </c>
      <c r="AH644" s="300">
        <v>42769</v>
      </c>
      <c r="AI644" s="9" t="s">
        <v>2033</v>
      </c>
      <c r="AJ644" s="300">
        <v>42772</v>
      </c>
      <c r="AK644" s="73" t="str">
        <f t="shared" ref="AK644:AK757" si="242">CONCATENATE(D644,O644)</f>
        <v>MANDIRI INTI PERKASA, PTMAR</v>
      </c>
    </row>
    <row r="645" spans="1:37" s="114" customFormat="1" ht="12" hidden="1" customHeight="1">
      <c r="A645" s="53"/>
      <c r="B645" s="53" t="s">
        <v>239</v>
      </c>
      <c r="C645" s="9">
        <v>1</v>
      </c>
      <c r="D645" s="8" t="s">
        <v>164</v>
      </c>
      <c r="E645" s="10" t="s">
        <v>376</v>
      </c>
      <c r="F645" s="356"/>
      <c r="G645" s="10"/>
      <c r="H645" s="10" t="s">
        <v>2117</v>
      </c>
      <c r="I645" s="10" t="s">
        <v>2118</v>
      </c>
      <c r="J645" s="658">
        <v>0</v>
      </c>
      <c r="K645" s="116">
        <v>20000000</v>
      </c>
      <c r="L645" s="116">
        <f t="shared" si="239"/>
        <v>2000000</v>
      </c>
      <c r="M645" s="658">
        <v>0</v>
      </c>
      <c r="N645" s="189">
        <f t="shared" si="240"/>
        <v>22000000</v>
      </c>
      <c r="O645" s="197" t="s">
        <v>239</v>
      </c>
      <c r="P645" s="197" t="s">
        <v>105</v>
      </c>
      <c r="Q645" s="175"/>
      <c r="R645" s="175"/>
      <c r="S645" s="116">
        <v>0</v>
      </c>
      <c r="T645" s="116">
        <f t="shared" si="241"/>
        <v>-400000</v>
      </c>
      <c r="U645" s="116">
        <v>21600000</v>
      </c>
      <c r="V645" s="210">
        <f t="shared" si="197"/>
        <v>0</v>
      </c>
      <c r="W645" s="115">
        <f t="shared" si="187"/>
        <v>0</v>
      </c>
      <c r="X645" s="181" t="s">
        <v>237</v>
      </c>
      <c r="Y645" s="116"/>
      <c r="Z645" s="185"/>
      <c r="AA645" s="592"/>
      <c r="AB645" s="186"/>
      <c r="AC645" s="300">
        <v>42811</v>
      </c>
      <c r="AD645" s="297">
        <v>400000</v>
      </c>
      <c r="AE645" s="297">
        <f t="shared" si="234"/>
        <v>0</v>
      </c>
      <c r="AF645" s="9" t="s">
        <v>2584</v>
      </c>
      <c r="AG645" s="9" t="s">
        <v>1395</v>
      </c>
      <c r="AH645" s="300">
        <v>42796</v>
      </c>
      <c r="AI645" s="9" t="s">
        <v>2033</v>
      </c>
      <c r="AJ645" s="300">
        <v>42797</v>
      </c>
      <c r="AK645" s="73" t="str">
        <f t="shared" si="242"/>
        <v>MANDIRI INTI PERKASA, PTMAR</v>
      </c>
    </row>
    <row r="646" spans="1:37" s="114" customFormat="1" ht="12" hidden="1" customHeight="1">
      <c r="A646" s="53"/>
      <c r="B646" s="53" t="s">
        <v>239</v>
      </c>
      <c r="C646" s="9">
        <v>1</v>
      </c>
      <c r="D646" s="8" t="s">
        <v>164</v>
      </c>
      <c r="E646" s="10" t="s">
        <v>364</v>
      </c>
      <c r="F646" s="356"/>
      <c r="G646" s="10"/>
      <c r="H646" s="10" t="s">
        <v>2119</v>
      </c>
      <c r="I646" s="10" t="s">
        <v>2120</v>
      </c>
      <c r="J646" s="658">
        <v>0</v>
      </c>
      <c r="K646" s="116">
        <v>6000000</v>
      </c>
      <c r="L646" s="116">
        <f t="shared" si="239"/>
        <v>600000</v>
      </c>
      <c r="M646" s="658">
        <v>0</v>
      </c>
      <c r="N646" s="189">
        <f t="shared" si="240"/>
        <v>6600000</v>
      </c>
      <c r="O646" s="197" t="s">
        <v>239</v>
      </c>
      <c r="P646" s="197" t="s">
        <v>105</v>
      </c>
      <c r="Q646" s="175"/>
      <c r="R646" s="175"/>
      <c r="S646" s="116">
        <v>0</v>
      </c>
      <c r="T646" s="116">
        <f t="shared" si="241"/>
        <v>-120000</v>
      </c>
      <c r="U646" s="116">
        <v>6480000</v>
      </c>
      <c r="V646" s="210">
        <f t="shared" si="197"/>
        <v>0</v>
      </c>
      <c r="W646" s="115">
        <f t="shared" ref="W646:W758" si="243">N646+S646+T646-U646</f>
        <v>0</v>
      </c>
      <c r="X646" s="181" t="s">
        <v>237</v>
      </c>
      <c r="Y646" s="116"/>
      <c r="Z646" s="185"/>
      <c r="AA646" s="592"/>
      <c r="AB646" s="186"/>
      <c r="AC646" s="300">
        <v>42811</v>
      </c>
      <c r="AD646" s="297">
        <v>120000</v>
      </c>
      <c r="AE646" s="297">
        <f t="shared" si="234"/>
        <v>0</v>
      </c>
      <c r="AF646" s="9" t="s">
        <v>2585</v>
      </c>
      <c r="AG646" s="9" t="s">
        <v>1395</v>
      </c>
      <c r="AH646" s="300">
        <v>42796</v>
      </c>
      <c r="AI646" s="9" t="s">
        <v>2033</v>
      </c>
      <c r="AJ646" s="300">
        <v>42797</v>
      </c>
      <c r="AK646" s="73" t="str">
        <f t="shared" si="242"/>
        <v>MANDIRI INTI PERKASA, PTMAR</v>
      </c>
    </row>
    <row r="647" spans="1:37" s="114" customFormat="1" ht="12" hidden="1" customHeight="1">
      <c r="A647" s="53"/>
      <c r="B647" s="53" t="s">
        <v>240</v>
      </c>
      <c r="C647" s="9">
        <v>3</v>
      </c>
      <c r="D647" s="8" t="s">
        <v>164</v>
      </c>
      <c r="E647" s="10" t="s">
        <v>376</v>
      </c>
      <c r="F647" s="356"/>
      <c r="G647" s="10"/>
      <c r="H647" s="10" t="s">
        <v>2255</v>
      </c>
      <c r="I647" s="10" t="s">
        <v>2256</v>
      </c>
      <c r="J647" s="658">
        <v>0</v>
      </c>
      <c r="K647" s="116">
        <v>20000000</v>
      </c>
      <c r="L647" s="116">
        <f t="shared" si="239"/>
        <v>2000000</v>
      </c>
      <c r="M647" s="658">
        <v>0</v>
      </c>
      <c r="N647" s="189">
        <f t="shared" si="240"/>
        <v>22000000</v>
      </c>
      <c r="O647" s="197" t="s">
        <v>58</v>
      </c>
      <c r="P647" s="197" t="s">
        <v>92</v>
      </c>
      <c r="Q647" s="175"/>
      <c r="R647" s="175"/>
      <c r="S647" s="116">
        <v>0</v>
      </c>
      <c r="T647" s="116">
        <f t="shared" si="241"/>
        <v>-400000</v>
      </c>
      <c r="U647" s="116">
        <v>21600000</v>
      </c>
      <c r="V647" s="210">
        <f t="shared" si="197"/>
        <v>0</v>
      </c>
      <c r="W647" s="115">
        <f t="shared" si="243"/>
        <v>0</v>
      </c>
      <c r="X647" s="181" t="s">
        <v>237</v>
      </c>
      <c r="Y647" s="116"/>
      <c r="Z647" s="185"/>
      <c r="AA647" s="592"/>
      <c r="AB647" s="186"/>
      <c r="AC647" s="9"/>
      <c r="AD647" s="297"/>
      <c r="AE647" s="297">
        <f t="shared" si="234"/>
        <v>400000</v>
      </c>
      <c r="AF647" s="9"/>
      <c r="AG647" s="9" t="s">
        <v>1395</v>
      </c>
      <c r="AH647" s="300">
        <v>42830</v>
      </c>
      <c r="AI647" s="9" t="s">
        <v>2033</v>
      </c>
      <c r="AJ647" s="300">
        <v>42830</v>
      </c>
      <c r="AK647" s="73" t="str">
        <f t="shared" si="242"/>
        <v>MANDIRI INTI PERKASA, PTMEI</v>
      </c>
    </row>
    <row r="648" spans="1:37" s="114" customFormat="1" ht="12" hidden="1" customHeight="1">
      <c r="A648" s="53"/>
      <c r="B648" s="53" t="s">
        <v>240</v>
      </c>
      <c r="C648" s="9">
        <v>3</v>
      </c>
      <c r="D648" s="8" t="s">
        <v>164</v>
      </c>
      <c r="E648" s="10" t="s">
        <v>364</v>
      </c>
      <c r="F648" s="356"/>
      <c r="G648" s="10"/>
      <c r="H648" s="10" t="s">
        <v>2257</v>
      </c>
      <c r="I648" s="10" t="s">
        <v>2258</v>
      </c>
      <c r="J648" s="658">
        <v>0</v>
      </c>
      <c r="K648" s="116">
        <v>6000000</v>
      </c>
      <c r="L648" s="116">
        <f t="shared" si="239"/>
        <v>600000</v>
      </c>
      <c r="M648" s="658">
        <v>0</v>
      </c>
      <c r="N648" s="189">
        <f t="shared" si="240"/>
        <v>6600000</v>
      </c>
      <c r="O648" s="197" t="s">
        <v>58</v>
      </c>
      <c r="P648" s="197" t="s">
        <v>92</v>
      </c>
      <c r="Q648" s="175"/>
      <c r="R648" s="175"/>
      <c r="S648" s="116">
        <v>0</v>
      </c>
      <c r="T648" s="116">
        <f t="shared" si="241"/>
        <v>-120000</v>
      </c>
      <c r="U648" s="116">
        <v>6480000</v>
      </c>
      <c r="V648" s="210">
        <f t="shared" si="197"/>
        <v>0</v>
      </c>
      <c r="W648" s="115">
        <f t="shared" si="243"/>
        <v>0</v>
      </c>
      <c r="X648" s="181" t="s">
        <v>237</v>
      </c>
      <c r="Y648" s="116"/>
      <c r="Z648" s="185"/>
      <c r="AA648" s="592"/>
      <c r="AB648" s="186"/>
      <c r="AC648" s="9"/>
      <c r="AD648" s="297"/>
      <c r="AE648" s="297">
        <f t="shared" si="234"/>
        <v>120000</v>
      </c>
      <c r="AF648" s="9"/>
      <c r="AG648" s="9" t="s">
        <v>1395</v>
      </c>
      <c r="AH648" s="300">
        <v>42830</v>
      </c>
      <c r="AI648" s="9" t="s">
        <v>2033</v>
      </c>
      <c r="AJ648" s="300">
        <v>42830</v>
      </c>
      <c r="AK648" s="73" t="str">
        <f t="shared" si="242"/>
        <v>MANDIRI INTI PERKASA, PTMEI</v>
      </c>
    </row>
    <row r="649" spans="1:37" s="114" customFormat="1" ht="12" hidden="1" customHeight="1">
      <c r="A649" s="53"/>
      <c r="B649" s="53" t="s">
        <v>58</v>
      </c>
      <c r="C649" s="9">
        <v>2</v>
      </c>
      <c r="D649" s="8" t="s">
        <v>164</v>
      </c>
      <c r="E649" s="10" t="s">
        <v>376</v>
      </c>
      <c r="F649" s="356"/>
      <c r="G649" s="10"/>
      <c r="H649" s="10" t="s">
        <v>2431</v>
      </c>
      <c r="I649" s="10" t="s">
        <v>2432</v>
      </c>
      <c r="J649" s="658">
        <v>0</v>
      </c>
      <c r="K649" s="116">
        <v>20000000</v>
      </c>
      <c r="L649" s="116">
        <f t="shared" ref="L649:L690" si="244">K649*10%</f>
        <v>2000000</v>
      </c>
      <c r="M649" s="658">
        <v>0</v>
      </c>
      <c r="N649" s="189">
        <f t="shared" ref="N649:N751" si="245">K649+L649</f>
        <v>22000000</v>
      </c>
      <c r="O649" s="197" t="s">
        <v>241</v>
      </c>
      <c r="P649" s="197" t="s">
        <v>92</v>
      </c>
      <c r="Q649" s="175"/>
      <c r="R649" s="175"/>
      <c r="S649" s="116">
        <v>0</v>
      </c>
      <c r="T649" s="116">
        <f t="shared" ref="T649:T654" si="246">-K649*2%</f>
        <v>-400000</v>
      </c>
      <c r="U649" s="116">
        <v>21600000</v>
      </c>
      <c r="V649" s="210">
        <f t="shared" si="197"/>
        <v>0</v>
      </c>
      <c r="W649" s="115">
        <f t="shared" si="243"/>
        <v>0</v>
      </c>
      <c r="X649" s="181" t="s">
        <v>237</v>
      </c>
      <c r="Y649" s="116"/>
      <c r="Z649" s="185"/>
      <c r="AA649" s="592"/>
      <c r="AB649" s="186"/>
      <c r="AC649" s="300">
        <v>42888</v>
      </c>
      <c r="AD649" s="297">
        <v>400000</v>
      </c>
      <c r="AE649" s="297">
        <f t="shared" si="234"/>
        <v>0</v>
      </c>
      <c r="AF649" s="9" t="s">
        <v>3031</v>
      </c>
      <c r="AG649" s="9" t="s">
        <v>1395</v>
      </c>
      <c r="AH649" s="300">
        <v>42863</v>
      </c>
      <c r="AI649" s="9" t="s">
        <v>2033</v>
      </c>
      <c r="AJ649" s="300">
        <v>42863</v>
      </c>
      <c r="AK649" s="73" t="str">
        <f t="shared" si="242"/>
        <v>MANDIRI INTI PERKASA, PTJUN</v>
      </c>
    </row>
    <row r="650" spans="1:37" s="114" customFormat="1" ht="12" hidden="1" customHeight="1">
      <c r="A650" s="53"/>
      <c r="B650" s="53" t="s">
        <v>58</v>
      </c>
      <c r="C650" s="9">
        <v>2</v>
      </c>
      <c r="D650" s="8" t="s">
        <v>164</v>
      </c>
      <c r="E650" s="10" t="s">
        <v>364</v>
      </c>
      <c r="F650" s="356"/>
      <c r="G650" s="10"/>
      <c r="H650" s="10" t="s">
        <v>2433</v>
      </c>
      <c r="I650" s="10" t="s">
        <v>2434</v>
      </c>
      <c r="J650" s="658">
        <v>0</v>
      </c>
      <c r="K650" s="116">
        <v>6000000</v>
      </c>
      <c r="L650" s="116">
        <f t="shared" si="244"/>
        <v>600000</v>
      </c>
      <c r="M650" s="658">
        <v>0</v>
      </c>
      <c r="N650" s="189">
        <f t="shared" si="245"/>
        <v>6600000</v>
      </c>
      <c r="O650" s="197" t="s">
        <v>241</v>
      </c>
      <c r="P650" s="197" t="s">
        <v>92</v>
      </c>
      <c r="Q650" s="175"/>
      <c r="R650" s="175"/>
      <c r="S650" s="116">
        <v>0</v>
      </c>
      <c r="T650" s="116">
        <f t="shared" si="246"/>
        <v>-120000</v>
      </c>
      <c r="U650" s="116">
        <v>6480000</v>
      </c>
      <c r="V650" s="210">
        <f t="shared" si="197"/>
        <v>0</v>
      </c>
      <c r="W650" s="115">
        <f t="shared" si="243"/>
        <v>0</v>
      </c>
      <c r="X650" s="181" t="s">
        <v>237</v>
      </c>
      <c r="Y650" s="116"/>
      <c r="Z650" s="185"/>
      <c r="AA650" s="592"/>
      <c r="AB650" s="186"/>
      <c r="AC650" s="300">
        <v>42888</v>
      </c>
      <c r="AD650" s="297">
        <v>120000</v>
      </c>
      <c r="AE650" s="297">
        <f t="shared" si="234"/>
        <v>0</v>
      </c>
      <c r="AF650" s="9" t="s">
        <v>3032</v>
      </c>
      <c r="AG650" s="9" t="s">
        <v>1395</v>
      </c>
      <c r="AH650" s="300">
        <v>42863</v>
      </c>
      <c r="AI650" s="9" t="s">
        <v>2033</v>
      </c>
      <c r="AJ650" s="834" t="s">
        <v>2536</v>
      </c>
      <c r="AK650" s="73" t="str">
        <f t="shared" si="242"/>
        <v>MANDIRI INTI PERKASA, PTJUN</v>
      </c>
    </row>
    <row r="651" spans="1:37" s="114" customFormat="1" ht="12" hidden="1" customHeight="1">
      <c r="A651" s="53"/>
      <c r="B651" s="53" t="s">
        <v>241</v>
      </c>
      <c r="C651" s="9">
        <v>2</v>
      </c>
      <c r="D651" s="8" t="s">
        <v>164</v>
      </c>
      <c r="E651" s="10" t="s">
        <v>376</v>
      </c>
      <c r="F651" s="356"/>
      <c r="G651" s="10"/>
      <c r="H651" s="10" t="s">
        <v>2606</v>
      </c>
      <c r="I651" s="10" t="s">
        <v>2652</v>
      </c>
      <c r="J651" s="658">
        <v>0</v>
      </c>
      <c r="K651" s="116">
        <v>9333333.3300000001</v>
      </c>
      <c r="L651" s="116">
        <f t="shared" si="244"/>
        <v>933333.3330000001</v>
      </c>
      <c r="M651" s="658">
        <v>0</v>
      </c>
      <c r="N651" s="189">
        <f t="shared" si="245"/>
        <v>10266666.663000001</v>
      </c>
      <c r="O651" s="197" t="s">
        <v>241</v>
      </c>
      <c r="P651" s="197" t="s">
        <v>34</v>
      </c>
      <c r="Q651" s="175"/>
      <c r="R651" s="175"/>
      <c r="S651" s="116">
        <v>0</v>
      </c>
      <c r="T651" s="116">
        <f t="shared" si="246"/>
        <v>-186666.6666</v>
      </c>
      <c r="U651" s="116">
        <v>10080000</v>
      </c>
      <c r="V651" s="210">
        <f t="shared" si="197"/>
        <v>0</v>
      </c>
      <c r="W651" s="115">
        <f t="shared" si="243"/>
        <v>-3.5999994724988937E-3</v>
      </c>
      <c r="X651" s="181" t="s">
        <v>237</v>
      </c>
      <c r="Y651" s="116"/>
      <c r="Z651" s="185"/>
      <c r="AA651" s="592"/>
      <c r="AB651" s="186"/>
      <c r="AC651" s="300">
        <v>42906</v>
      </c>
      <c r="AD651" s="297">
        <v>186666</v>
      </c>
      <c r="AE651" s="297">
        <f t="shared" si="234"/>
        <v>0.6665999999968335</v>
      </c>
      <c r="AF651" s="9" t="s">
        <v>3033</v>
      </c>
      <c r="AG651" s="9" t="s">
        <v>1395</v>
      </c>
      <c r="AH651" s="300">
        <v>42892</v>
      </c>
      <c r="AI651" s="9" t="s">
        <v>2033</v>
      </c>
      <c r="AJ651" s="300">
        <v>42892</v>
      </c>
      <c r="AK651" s="73" t="str">
        <f t="shared" si="242"/>
        <v>MANDIRI INTI PERKASA, PTJUN</v>
      </c>
    </row>
    <row r="652" spans="1:37" s="114" customFormat="1" ht="12" hidden="1" customHeight="1">
      <c r="A652" s="53"/>
      <c r="B652" s="53" t="s">
        <v>241</v>
      </c>
      <c r="C652" s="9">
        <v>2</v>
      </c>
      <c r="D652" s="8" t="s">
        <v>164</v>
      </c>
      <c r="E652" s="10" t="s">
        <v>364</v>
      </c>
      <c r="F652" s="356"/>
      <c r="G652" s="10"/>
      <c r="H652" s="10" t="s">
        <v>2607</v>
      </c>
      <c r="I652" s="10" t="s">
        <v>2653</v>
      </c>
      <c r="J652" s="658">
        <v>0</v>
      </c>
      <c r="K652" s="116">
        <v>2200000</v>
      </c>
      <c r="L652" s="116">
        <f t="shared" si="244"/>
        <v>220000</v>
      </c>
      <c r="M652" s="658">
        <v>0</v>
      </c>
      <c r="N652" s="189">
        <f t="shared" si="245"/>
        <v>2420000</v>
      </c>
      <c r="O652" s="197" t="s">
        <v>241</v>
      </c>
      <c r="P652" s="197" t="s">
        <v>34</v>
      </c>
      <c r="Q652" s="175"/>
      <c r="R652" s="175"/>
      <c r="S652" s="116">
        <v>0</v>
      </c>
      <c r="T652" s="116">
        <f t="shared" si="246"/>
        <v>-44000</v>
      </c>
      <c r="U652" s="116">
        <v>2376000</v>
      </c>
      <c r="V652" s="210">
        <f t="shared" si="197"/>
        <v>0</v>
      </c>
      <c r="W652" s="115">
        <f t="shared" si="243"/>
        <v>0</v>
      </c>
      <c r="X652" s="181" t="s">
        <v>237</v>
      </c>
      <c r="Y652" s="116"/>
      <c r="Z652" s="185"/>
      <c r="AA652" s="592"/>
      <c r="AB652" s="186"/>
      <c r="AC652" s="300">
        <v>42906</v>
      </c>
      <c r="AD652" s="297">
        <v>44000</v>
      </c>
      <c r="AE652" s="297">
        <f t="shared" si="234"/>
        <v>0</v>
      </c>
      <c r="AF652" s="9" t="s">
        <v>3034</v>
      </c>
      <c r="AG652" s="9" t="s">
        <v>1395</v>
      </c>
      <c r="AH652" s="300">
        <v>42892</v>
      </c>
      <c r="AI652" s="9" t="s">
        <v>2033</v>
      </c>
      <c r="AJ652" s="300">
        <v>42892</v>
      </c>
      <c r="AK652" s="73" t="str">
        <f t="shared" si="242"/>
        <v>MANDIRI INTI PERKASA, PTJUN</v>
      </c>
    </row>
    <row r="653" spans="1:37" s="114" customFormat="1" ht="12" hidden="1" customHeight="1">
      <c r="A653" s="53"/>
      <c r="B653" s="53" t="s">
        <v>242</v>
      </c>
      <c r="C653" s="9">
        <v>3</v>
      </c>
      <c r="D653" s="8" t="s">
        <v>164</v>
      </c>
      <c r="E653" s="10" t="s">
        <v>376</v>
      </c>
      <c r="F653" s="356" t="s">
        <v>3059</v>
      </c>
      <c r="G653" s="10" t="s">
        <v>59</v>
      </c>
      <c r="H653" s="10" t="s">
        <v>2769</v>
      </c>
      <c r="I653" s="10" t="s">
        <v>2801</v>
      </c>
      <c r="J653" s="658">
        <v>0</v>
      </c>
      <c r="K653" s="116">
        <v>20000000</v>
      </c>
      <c r="L653" s="116">
        <f t="shared" ref="L653:L659" si="247">K653*10%</f>
        <v>2000000</v>
      </c>
      <c r="M653" s="658">
        <v>0</v>
      </c>
      <c r="N653" s="189">
        <f t="shared" ref="N653:N659" si="248">K653+L653</f>
        <v>22000000</v>
      </c>
      <c r="O653" s="197" t="s">
        <v>242</v>
      </c>
      <c r="P653" s="197" t="s">
        <v>48</v>
      </c>
      <c r="Q653" s="175"/>
      <c r="R653" s="175"/>
      <c r="S653" s="116">
        <v>0</v>
      </c>
      <c r="T653" s="116">
        <f t="shared" si="246"/>
        <v>-400000</v>
      </c>
      <c r="U653" s="116">
        <v>21600000</v>
      </c>
      <c r="V653" s="210">
        <f t="shared" si="197"/>
        <v>0</v>
      </c>
      <c r="W653" s="115">
        <f t="shared" si="243"/>
        <v>0</v>
      </c>
      <c r="X653" s="181" t="s">
        <v>237</v>
      </c>
      <c r="Y653" s="116"/>
      <c r="Z653" s="185"/>
      <c r="AA653" s="592"/>
      <c r="AB653" s="186"/>
      <c r="AC653" s="9"/>
      <c r="AD653" s="297"/>
      <c r="AE653" s="297">
        <f t="shared" si="234"/>
        <v>400000</v>
      </c>
      <c r="AF653" s="9"/>
      <c r="AG653" s="9" t="s">
        <v>1395</v>
      </c>
      <c r="AH653" s="300">
        <v>42922</v>
      </c>
      <c r="AI653" s="9" t="s">
        <v>2033</v>
      </c>
      <c r="AJ653" s="300">
        <v>42923</v>
      </c>
      <c r="AK653" s="73" t="str">
        <f t="shared" si="242"/>
        <v>MANDIRI INTI PERKASA, PTJUL</v>
      </c>
    </row>
    <row r="654" spans="1:37" s="114" customFormat="1" ht="12" hidden="1" customHeight="1">
      <c r="A654" s="53"/>
      <c r="B654" s="53" t="s">
        <v>242</v>
      </c>
      <c r="C654" s="9">
        <v>3</v>
      </c>
      <c r="D654" s="8" t="s">
        <v>164</v>
      </c>
      <c r="E654" s="10" t="s">
        <v>364</v>
      </c>
      <c r="F654" s="356" t="s">
        <v>3060</v>
      </c>
      <c r="G654" s="10" t="s">
        <v>59</v>
      </c>
      <c r="H654" s="10" t="s">
        <v>2770</v>
      </c>
      <c r="I654" s="10" t="s">
        <v>2802</v>
      </c>
      <c r="J654" s="658">
        <v>0</v>
      </c>
      <c r="K654" s="116">
        <v>6000000</v>
      </c>
      <c r="L654" s="116">
        <f t="shared" si="247"/>
        <v>600000</v>
      </c>
      <c r="M654" s="658">
        <v>0</v>
      </c>
      <c r="N654" s="189">
        <f t="shared" si="248"/>
        <v>6600000</v>
      </c>
      <c r="O654" s="197" t="s">
        <v>242</v>
      </c>
      <c r="P654" s="197" t="s">
        <v>48</v>
      </c>
      <c r="Q654" s="175"/>
      <c r="R654" s="175"/>
      <c r="S654" s="116">
        <v>0</v>
      </c>
      <c r="T654" s="116">
        <f t="shared" si="246"/>
        <v>-120000</v>
      </c>
      <c r="U654" s="116">
        <v>6480000</v>
      </c>
      <c r="V654" s="210">
        <f t="shared" si="197"/>
        <v>0</v>
      </c>
      <c r="W654" s="115">
        <f t="shared" si="243"/>
        <v>0</v>
      </c>
      <c r="X654" s="181" t="s">
        <v>237</v>
      </c>
      <c r="Y654" s="116"/>
      <c r="Z654" s="185"/>
      <c r="AA654" s="592"/>
      <c r="AB654" s="186"/>
      <c r="AC654" s="9"/>
      <c r="AD654" s="297"/>
      <c r="AE654" s="297">
        <f t="shared" si="234"/>
        <v>120000</v>
      </c>
      <c r="AF654" s="9"/>
      <c r="AG654" s="9" t="s">
        <v>1395</v>
      </c>
      <c r="AH654" s="300">
        <v>42922</v>
      </c>
      <c r="AI654" s="9" t="s">
        <v>2033</v>
      </c>
      <c r="AJ654" s="300">
        <v>42923</v>
      </c>
      <c r="AK654" s="73" t="str">
        <f t="shared" si="242"/>
        <v>MANDIRI INTI PERKASA, PTJUL</v>
      </c>
    </row>
    <row r="655" spans="1:37" s="114" customFormat="1" ht="12" hidden="1" customHeight="1">
      <c r="A655" s="53"/>
      <c r="B655" s="53" t="s">
        <v>243</v>
      </c>
      <c r="C655" s="9">
        <v>1</v>
      </c>
      <c r="D655" s="8" t="s">
        <v>164</v>
      </c>
      <c r="E655" s="10" t="s">
        <v>376</v>
      </c>
      <c r="F655" s="356" t="s">
        <v>3059</v>
      </c>
      <c r="G655" s="10" t="s">
        <v>60</v>
      </c>
      <c r="H655" s="10" t="s">
        <v>2917</v>
      </c>
      <c r="I655" s="10" t="s">
        <v>2944</v>
      </c>
      <c r="J655" s="658"/>
      <c r="K655" s="116">
        <v>20000000</v>
      </c>
      <c r="L655" s="116">
        <f t="shared" si="247"/>
        <v>2000000</v>
      </c>
      <c r="M655" s="658">
        <v>0</v>
      </c>
      <c r="N655" s="189">
        <f t="shared" si="248"/>
        <v>22000000</v>
      </c>
      <c r="O655" s="197" t="s">
        <v>243</v>
      </c>
      <c r="P655" s="197" t="s">
        <v>31</v>
      </c>
      <c r="Q655" s="175"/>
      <c r="R655" s="175"/>
      <c r="S655" s="116">
        <v>0</v>
      </c>
      <c r="T655" s="116">
        <f t="shared" ref="T655:T664" si="249">-K655*2%</f>
        <v>-400000</v>
      </c>
      <c r="U655" s="116">
        <v>21600000</v>
      </c>
      <c r="V655" s="210">
        <f t="shared" si="197"/>
        <v>0</v>
      </c>
      <c r="W655" s="115">
        <f t="shared" si="243"/>
        <v>0</v>
      </c>
      <c r="X655" s="181" t="s">
        <v>237</v>
      </c>
      <c r="Y655" s="116"/>
      <c r="Z655" s="185"/>
      <c r="AA655" s="592"/>
      <c r="AB655" s="186"/>
      <c r="AC655" s="9"/>
      <c r="AD655" s="297"/>
      <c r="AE655" s="297"/>
      <c r="AF655" s="9"/>
      <c r="AG655" s="9" t="s">
        <v>1395</v>
      </c>
      <c r="AH655" s="300">
        <v>42949</v>
      </c>
      <c r="AI655" s="9" t="s">
        <v>2033</v>
      </c>
      <c r="AJ655" s="300">
        <v>42949</v>
      </c>
      <c r="AK655" s="73" t="str">
        <f t="shared" si="242"/>
        <v>MANDIRI INTI PERKASA, PTAGS</v>
      </c>
    </row>
    <row r="656" spans="1:37" s="114" customFormat="1" ht="12" hidden="1" customHeight="1">
      <c r="A656" s="53"/>
      <c r="B656" s="53" t="s">
        <v>243</v>
      </c>
      <c r="C656" s="9">
        <v>1</v>
      </c>
      <c r="D656" s="8" t="s">
        <v>164</v>
      </c>
      <c r="E656" s="10" t="s">
        <v>364</v>
      </c>
      <c r="F656" s="356" t="s">
        <v>3060</v>
      </c>
      <c r="G656" s="10" t="s">
        <v>60</v>
      </c>
      <c r="H656" s="10" t="s">
        <v>2918</v>
      </c>
      <c r="I656" s="10" t="s">
        <v>2945</v>
      </c>
      <c r="J656" s="658"/>
      <c r="K656" s="116">
        <v>6000000</v>
      </c>
      <c r="L656" s="116">
        <f t="shared" si="247"/>
        <v>600000</v>
      </c>
      <c r="M656" s="658">
        <v>0</v>
      </c>
      <c r="N656" s="189">
        <f t="shared" si="248"/>
        <v>6600000</v>
      </c>
      <c r="O656" s="197" t="s">
        <v>243</v>
      </c>
      <c r="P656" s="197" t="s">
        <v>31</v>
      </c>
      <c r="Q656" s="175"/>
      <c r="R656" s="175"/>
      <c r="S656" s="116">
        <v>0</v>
      </c>
      <c r="T656" s="116">
        <f t="shared" si="249"/>
        <v>-120000</v>
      </c>
      <c r="U656" s="116">
        <v>6480000</v>
      </c>
      <c r="V656" s="210">
        <f t="shared" si="197"/>
        <v>0</v>
      </c>
      <c r="W656" s="115">
        <f t="shared" si="243"/>
        <v>0</v>
      </c>
      <c r="X656" s="181" t="s">
        <v>237</v>
      </c>
      <c r="Y656" s="116"/>
      <c r="Z656" s="185"/>
      <c r="AA656" s="592"/>
      <c r="AB656" s="186"/>
      <c r="AC656" s="9"/>
      <c r="AD656" s="297"/>
      <c r="AE656" s="297"/>
      <c r="AF656" s="9"/>
      <c r="AG656" s="9" t="s">
        <v>1395</v>
      </c>
      <c r="AH656" s="300">
        <v>42949</v>
      </c>
      <c r="AI656" s="9" t="s">
        <v>2033</v>
      </c>
      <c r="AJ656" s="300">
        <v>42949</v>
      </c>
      <c r="AK656" s="73" t="str">
        <f t="shared" si="242"/>
        <v>MANDIRI INTI PERKASA, PTAGS</v>
      </c>
    </row>
    <row r="657" spans="1:37" s="1211" customFormat="1" ht="12" hidden="1" customHeight="1">
      <c r="A657" s="758"/>
      <c r="B657" s="1220" t="s">
        <v>244</v>
      </c>
      <c r="C657" s="1221">
        <v>4</v>
      </c>
      <c r="D657" s="1222" t="s">
        <v>164</v>
      </c>
      <c r="E657" s="1223" t="s">
        <v>376</v>
      </c>
      <c r="F657" s="1521" t="s">
        <v>3059</v>
      </c>
      <c r="G657" s="1223" t="s">
        <v>559</v>
      </c>
      <c r="H657" s="1223" t="s">
        <v>3139</v>
      </c>
      <c r="I657" s="1223" t="s">
        <v>3141</v>
      </c>
      <c r="J657" s="1237"/>
      <c r="K657" s="1224">
        <v>27500000</v>
      </c>
      <c r="L657" s="1224">
        <f t="shared" si="247"/>
        <v>2750000</v>
      </c>
      <c r="M657" s="1237"/>
      <c r="N657" s="1225">
        <f t="shared" si="248"/>
        <v>30250000</v>
      </c>
      <c r="O657" s="1307" t="s">
        <v>245</v>
      </c>
      <c r="P657" s="1307" t="s">
        <v>102</v>
      </c>
      <c r="Q657" s="1308"/>
      <c r="R657" s="1214"/>
      <c r="S657" s="762"/>
      <c r="T657" s="762">
        <f t="shared" si="249"/>
        <v>-550000</v>
      </c>
      <c r="U657" s="762">
        <v>29700000</v>
      </c>
      <c r="V657" s="1215"/>
      <c r="W657" s="1203"/>
      <c r="X657" s="1204"/>
      <c r="Y657" s="762"/>
      <c r="Z657" s="1205"/>
      <c r="AA657" s="1206"/>
      <c r="AB657" s="1207"/>
      <c r="AC657" s="759"/>
      <c r="AD657" s="1208"/>
      <c r="AE657" s="1208"/>
      <c r="AF657" s="759"/>
      <c r="AG657" s="759"/>
      <c r="AH657" s="1209"/>
      <c r="AI657" s="759"/>
      <c r="AJ657" s="1209"/>
      <c r="AK657" s="1210" t="str">
        <f t="shared" si="242"/>
        <v>MANDIRI INTI PERKASA, PTOKT</v>
      </c>
    </row>
    <row r="658" spans="1:37" s="1211" customFormat="1" ht="12" hidden="1" customHeight="1">
      <c r="A658" s="758"/>
      <c r="B658" s="1220" t="s">
        <v>244</v>
      </c>
      <c r="C658" s="1221">
        <v>4</v>
      </c>
      <c r="D658" s="1222" t="s">
        <v>164</v>
      </c>
      <c r="E658" s="1223" t="s">
        <v>364</v>
      </c>
      <c r="F658" s="1521" t="s">
        <v>3060</v>
      </c>
      <c r="G658" s="1223" t="s">
        <v>559</v>
      </c>
      <c r="H658" s="1223" t="s">
        <v>3140</v>
      </c>
      <c r="I658" s="1223" t="s">
        <v>3142</v>
      </c>
      <c r="J658" s="1237"/>
      <c r="K658" s="1224">
        <v>6000000</v>
      </c>
      <c r="L658" s="1224">
        <f t="shared" si="247"/>
        <v>600000</v>
      </c>
      <c r="M658" s="1237"/>
      <c r="N658" s="1225">
        <f t="shared" si="248"/>
        <v>6600000</v>
      </c>
      <c r="O658" s="1307" t="s">
        <v>245</v>
      </c>
      <c r="P658" s="1307" t="s">
        <v>102</v>
      </c>
      <c r="Q658" s="1308"/>
      <c r="R658" s="1214"/>
      <c r="S658" s="762"/>
      <c r="T658" s="762">
        <f t="shared" si="249"/>
        <v>-120000</v>
      </c>
      <c r="U658" s="762">
        <v>6480000</v>
      </c>
      <c r="V658" s="1215"/>
      <c r="W658" s="1203"/>
      <c r="X658" s="1204"/>
      <c r="Y658" s="762"/>
      <c r="Z658" s="1205"/>
      <c r="AA658" s="1206"/>
      <c r="AB658" s="1207"/>
      <c r="AC658" s="759"/>
      <c r="AD658" s="1208"/>
      <c r="AE658" s="1208"/>
      <c r="AF658" s="759"/>
      <c r="AG658" s="759"/>
      <c r="AH658" s="1209"/>
      <c r="AI658" s="759"/>
      <c r="AJ658" s="1209"/>
      <c r="AK658" s="1210"/>
    </row>
    <row r="659" spans="1:37" s="1211" customFormat="1" ht="12" hidden="1" customHeight="1">
      <c r="A659" s="758"/>
      <c r="B659" s="1220" t="s">
        <v>245</v>
      </c>
      <c r="C659" s="1221">
        <v>9</v>
      </c>
      <c r="D659" s="1222" t="s">
        <v>164</v>
      </c>
      <c r="E659" s="1223" t="s">
        <v>3408</v>
      </c>
      <c r="F659" s="1521" t="s">
        <v>3410</v>
      </c>
      <c r="G659" s="1223" t="s">
        <v>602</v>
      </c>
      <c r="H659" s="1223" t="s">
        <v>3409</v>
      </c>
      <c r="I659" s="1223" t="s">
        <v>3411</v>
      </c>
      <c r="J659" s="1237"/>
      <c r="K659" s="1224">
        <v>25000000</v>
      </c>
      <c r="L659" s="1224">
        <f t="shared" si="247"/>
        <v>2500000</v>
      </c>
      <c r="M659" s="1237"/>
      <c r="N659" s="1225">
        <f t="shared" si="248"/>
        <v>27500000</v>
      </c>
      <c r="O659" s="1307" t="s">
        <v>245</v>
      </c>
      <c r="P659" s="1307" t="s">
        <v>103</v>
      </c>
      <c r="Q659" s="1308"/>
      <c r="R659" s="1214"/>
      <c r="S659" s="762">
        <v>0</v>
      </c>
      <c r="T659" s="762">
        <f t="shared" si="249"/>
        <v>-500000</v>
      </c>
      <c r="U659" s="762">
        <v>27000000</v>
      </c>
      <c r="V659" s="1215"/>
      <c r="W659" s="1203"/>
      <c r="X659" s="1204"/>
      <c r="Y659" s="762"/>
      <c r="Z659" s="1205"/>
      <c r="AA659" s="1206"/>
      <c r="AB659" s="1207"/>
      <c r="AC659" s="759"/>
      <c r="AD659" s="1208"/>
      <c r="AE659" s="1208"/>
      <c r="AF659" s="759"/>
      <c r="AG659" s="759"/>
      <c r="AH659" s="1209"/>
      <c r="AI659" s="759"/>
      <c r="AJ659" s="1209"/>
      <c r="AK659" s="1210"/>
    </row>
    <row r="660" spans="1:37" s="1211" customFormat="1" ht="12" hidden="1" customHeight="1">
      <c r="A660" s="758"/>
      <c r="B660" s="1220" t="s">
        <v>245</v>
      </c>
      <c r="C660" s="1221">
        <v>9</v>
      </c>
      <c r="D660" s="1222" t="s">
        <v>164</v>
      </c>
      <c r="E660" s="1223" t="s">
        <v>364</v>
      </c>
      <c r="F660" s="1521" t="s">
        <v>3060</v>
      </c>
      <c r="G660" s="1223" t="s">
        <v>602</v>
      </c>
      <c r="H660" s="1223" t="s">
        <v>3412</v>
      </c>
      <c r="I660" s="1223" t="s">
        <v>3413</v>
      </c>
      <c r="J660" s="1237"/>
      <c r="K660" s="1224">
        <v>6000000</v>
      </c>
      <c r="L660" s="1224">
        <f t="shared" ref="L660:L662" si="250">K660*10%</f>
        <v>600000</v>
      </c>
      <c r="M660" s="1237"/>
      <c r="N660" s="1225">
        <f t="shared" ref="N660:N662" si="251">K660+L660</f>
        <v>6600000</v>
      </c>
      <c r="O660" s="1307" t="s">
        <v>245</v>
      </c>
      <c r="P660" s="1307" t="s">
        <v>103</v>
      </c>
      <c r="Q660" s="1308"/>
      <c r="R660" s="1214"/>
      <c r="S660" s="762">
        <v>0</v>
      </c>
      <c r="T660" s="762">
        <f t="shared" si="249"/>
        <v>-120000</v>
      </c>
      <c r="U660" s="762">
        <v>6480000</v>
      </c>
      <c r="V660" s="1215"/>
      <c r="W660" s="1203"/>
      <c r="X660" s="1204"/>
      <c r="Y660" s="762"/>
      <c r="Z660" s="1205"/>
      <c r="AA660" s="1206"/>
      <c r="AB660" s="1207"/>
      <c r="AC660" s="759"/>
      <c r="AD660" s="1208"/>
      <c r="AE660" s="1208"/>
      <c r="AF660" s="759"/>
      <c r="AG660" s="759"/>
      <c r="AH660" s="1209"/>
      <c r="AI660" s="759"/>
      <c r="AJ660" s="1209"/>
      <c r="AK660" s="1210"/>
    </row>
    <row r="661" spans="1:37" s="1211" customFormat="1" ht="12" hidden="1" customHeight="1">
      <c r="A661" s="1220"/>
      <c r="B661" s="1220" t="s">
        <v>238</v>
      </c>
      <c r="C661" s="1221">
        <v>6</v>
      </c>
      <c r="D661" s="1222" t="s">
        <v>164</v>
      </c>
      <c r="E661" s="1223" t="s">
        <v>3408</v>
      </c>
      <c r="F661" s="1521" t="s">
        <v>3057</v>
      </c>
      <c r="G661" s="1223" t="s">
        <v>641</v>
      </c>
      <c r="H661" s="1223" t="s">
        <v>3531</v>
      </c>
      <c r="I661" s="1223" t="s">
        <v>3532</v>
      </c>
      <c r="J661" s="1237"/>
      <c r="K661" s="1224">
        <v>25000000</v>
      </c>
      <c r="L661" s="1224">
        <f t="shared" si="250"/>
        <v>2500000</v>
      </c>
      <c r="M661" s="1237"/>
      <c r="N661" s="1225">
        <f t="shared" si="251"/>
        <v>27500000</v>
      </c>
      <c r="O661" s="1202" t="s">
        <v>238</v>
      </c>
      <c r="P661" s="1202" t="s">
        <v>93</v>
      </c>
      <c r="Q661" s="1308"/>
      <c r="R661" s="1214"/>
      <c r="S661" s="762">
        <v>0</v>
      </c>
      <c r="T661" s="762">
        <f t="shared" si="249"/>
        <v>-500000</v>
      </c>
      <c r="U661" s="762">
        <v>27000000</v>
      </c>
      <c r="V661" s="1215"/>
      <c r="W661" s="1203"/>
      <c r="X661" s="1204"/>
      <c r="Y661" s="762"/>
      <c r="Z661" s="1205"/>
      <c r="AA661" s="1206"/>
      <c r="AB661" s="1207"/>
      <c r="AC661" s="759"/>
      <c r="AD661" s="1208"/>
      <c r="AE661" s="1208"/>
      <c r="AF661" s="759"/>
      <c r="AG661" s="759"/>
      <c r="AH661" s="1209"/>
      <c r="AI661" s="759"/>
      <c r="AJ661" s="1209"/>
      <c r="AK661" s="1210"/>
    </row>
    <row r="662" spans="1:37" s="1211" customFormat="1" ht="12" hidden="1" customHeight="1">
      <c r="A662" s="1220"/>
      <c r="B662" s="1220" t="s">
        <v>238</v>
      </c>
      <c r="C662" s="1221">
        <v>6</v>
      </c>
      <c r="D662" s="1222" t="s">
        <v>164</v>
      </c>
      <c r="E662" s="1223" t="s">
        <v>364</v>
      </c>
      <c r="F662" s="1521" t="s">
        <v>3060</v>
      </c>
      <c r="G662" s="1223" t="s">
        <v>641</v>
      </c>
      <c r="H662" s="1223" t="s">
        <v>3533</v>
      </c>
      <c r="I662" s="1223" t="s">
        <v>3534</v>
      </c>
      <c r="J662" s="1237"/>
      <c r="K662" s="1224">
        <v>6000000</v>
      </c>
      <c r="L662" s="1224">
        <f t="shared" si="250"/>
        <v>600000</v>
      </c>
      <c r="M662" s="1237"/>
      <c r="N662" s="1225">
        <f t="shared" si="251"/>
        <v>6600000</v>
      </c>
      <c r="O662" s="1202" t="s">
        <v>238</v>
      </c>
      <c r="P662" s="1202" t="s">
        <v>93</v>
      </c>
      <c r="Q662" s="1308"/>
      <c r="R662" s="1214"/>
      <c r="S662" s="762">
        <v>0</v>
      </c>
      <c r="T662" s="762">
        <f t="shared" si="249"/>
        <v>-120000</v>
      </c>
      <c r="U662" s="762">
        <v>6480000</v>
      </c>
      <c r="V662" s="1215"/>
      <c r="W662" s="1203"/>
      <c r="X662" s="1204"/>
      <c r="Y662" s="762"/>
      <c r="Z662" s="1205"/>
      <c r="AA662" s="1206"/>
      <c r="AB662" s="1207"/>
      <c r="AC662" s="759"/>
      <c r="AD662" s="1208"/>
      <c r="AE662" s="1208"/>
      <c r="AF662" s="759"/>
      <c r="AG662" s="759"/>
      <c r="AH662" s="1209"/>
      <c r="AI662" s="759"/>
      <c r="AJ662" s="1209"/>
      <c r="AK662" s="1210"/>
    </row>
    <row r="663" spans="1:37" s="1211" customFormat="1" ht="12" hidden="1" customHeight="1">
      <c r="A663" s="758"/>
      <c r="B663" s="758" t="s">
        <v>140</v>
      </c>
      <c r="C663" s="759">
        <v>6</v>
      </c>
      <c r="D663" s="760" t="s">
        <v>164</v>
      </c>
      <c r="E663" s="761" t="s">
        <v>3408</v>
      </c>
      <c r="F663" s="1523" t="s">
        <v>3057</v>
      </c>
      <c r="G663" s="761" t="s">
        <v>1616</v>
      </c>
      <c r="H663" s="761" t="s">
        <v>3678</v>
      </c>
      <c r="I663" s="761" t="s">
        <v>3679</v>
      </c>
      <c r="J663" s="1054"/>
      <c r="K663" s="762">
        <v>25000000</v>
      </c>
      <c r="L663" s="762">
        <f t="shared" ref="L663:L664" si="252">K663*10%</f>
        <v>2500000</v>
      </c>
      <c r="M663" s="1054"/>
      <c r="N663" s="763">
        <f t="shared" ref="N663:N664" si="253">K663+L663</f>
        <v>27500000</v>
      </c>
      <c r="O663" s="1202" t="s">
        <v>140</v>
      </c>
      <c r="P663" s="1202" t="s">
        <v>34</v>
      </c>
      <c r="Q663" s="1214"/>
      <c r="R663" s="1214"/>
      <c r="S663" s="762">
        <v>0</v>
      </c>
      <c r="T663" s="762">
        <f t="shared" si="249"/>
        <v>-500000</v>
      </c>
      <c r="U663" s="762">
        <v>27000000</v>
      </c>
      <c r="V663" s="1215"/>
      <c r="W663" s="1203"/>
      <c r="X663" s="1204"/>
      <c r="Y663" s="762"/>
      <c r="Z663" s="1205"/>
      <c r="AA663" s="1206"/>
      <c r="AB663" s="1207"/>
      <c r="AC663" s="759"/>
      <c r="AD663" s="1208"/>
      <c r="AE663" s="1208"/>
      <c r="AF663" s="759"/>
      <c r="AG663" s="759"/>
      <c r="AH663" s="1209"/>
      <c r="AI663" s="759"/>
      <c r="AJ663" s="1209"/>
      <c r="AK663" s="1210"/>
    </row>
    <row r="664" spans="1:37" s="1211" customFormat="1" ht="12" hidden="1" customHeight="1">
      <c r="A664" s="758"/>
      <c r="B664" s="758" t="s">
        <v>140</v>
      </c>
      <c r="C664" s="759">
        <v>6</v>
      </c>
      <c r="D664" s="760" t="s">
        <v>164</v>
      </c>
      <c r="E664" s="761" t="s">
        <v>364</v>
      </c>
      <c r="F664" s="1523" t="s">
        <v>3060</v>
      </c>
      <c r="G664" s="761" t="s">
        <v>1616</v>
      </c>
      <c r="H664" s="761" t="s">
        <v>3680</v>
      </c>
      <c r="I664" s="761" t="s">
        <v>3681</v>
      </c>
      <c r="J664" s="1054"/>
      <c r="K664" s="762">
        <v>6000000</v>
      </c>
      <c r="L664" s="762">
        <f t="shared" si="252"/>
        <v>600000</v>
      </c>
      <c r="M664" s="1054"/>
      <c r="N664" s="763">
        <f t="shared" si="253"/>
        <v>6600000</v>
      </c>
      <c r="O664" s="1202" t="s">
        <v>140</v>
      </c>
      <c r="P664" s="1202" t="s">
        <v>34</v>
      </c>
      <c r="Q664" s="1214"/>
      <c r="R664" s="1214"/>
      <c r="S664" s="762">
        <v>0</v>
      </c>
      <c r="T664" s="762">
        <f t="shared" si="249"/>
        <v>-120000</v>
      </c>
      <c r="U664" s="762">
        <v>6480000</v>
      </c>
      <c r="V664" s="1215"/>
      <c r="W664" s="1203"/>
      <c r="X664" s="1204"/>
      <c r="Y664" s="762"/>
      <c r="Z664" s="1205"/>
      <c r="AA664" s="1206"/>
      <c r="AB664" s="1207"/>
      <c r="AC664" s="759"/>
      <c r="AD664" s="1208"/>
      <c r="AE664" s="1208"/>
      <c r="AF664" s="759"/>
      <c r="AG664" s="759"/>
      <c r="AH664" s="1209"/>
      <c r="AI664" s="759"/>
      <c r="AJ664" s="1209"/>
      <c r="AK664" s="1210"/>
    </row>
    <row r="665" spans="1:37" s="114" customFormat="1" ht="12" hidden="1" customHeight="1">
      <c r="A665" s="53"/>
      <c r="B665" s="53" t="s">
        <v>194</v>
      </c>
      <c r="C665" s="9">
        <v>9</v>
      </c>
      <c r="D665" s="8" t="s">
        <v>45</v>
      </c>
      <c r="E665" s="10" t="s">
        <v>354</v>
      </c>
      <c r="F665" s="356"/>
      <c r="G665" s="10"/>
      <c r="H665" s="10" t="s">
        <v>1770</v>
      </c>
      <c r="I665" s="10" t="s">
        <v>1817</v>
      </c>
      <c r="J665" s="658">
        <v>0</v>
      </c>
      <c r="K665" s="116">
        <v>12000000</v>
      </c>
      <c r="L665" s="116">
        <f t="shared" si="244"/>
        <v>1200000</v>
      </c>
      <c r="M665" s="658">
        <v>0</v>
      </c>
      <c r="N665" s="189">
        <f t="shared" si="245"/>
        <v>13200000</v>
      </c>
      <c r="O665" s="197" t="s">
        <v>195</v>
      </c>
      <c r="P665" s="197" t="s">
        <v>116</v>
      </c>
      <c r="Q665" s="175"/>
      <c r="R665" s="175"/>
      <c r="S665" s="116">
        <v>0</v>
      </c>
      <c r="T665" s="116">
        <f t="shared" ref="T665:T670" si="254">-K665*2%</f>
        <v>-240000</v>
      </c>
      <c r="U665" s="116">
        <v>12960000</v>
      </c>
      <c r="V665" s="210">
        <f t="shared" si="197"/>
        <v>0</v>
      </c>
      <c r="W665" s="115">
        <f t="shared" si="243"/>
        <v>0</v>
      </c>
      <c r="X665" s="181" t="s">
        <v>294</v>
      </c>
      <c r="Y665" s="116"/>
      <c r="Z665" s="185"/>
      <c r="AA665" s="592">
        <f>-S665-Z665</f>
        <v>0</v>
      </c>
      <c r="AB665" s="186"/>
      <c r="AC665" s="9"/>
      <c r="AD665" s="297"/>
      <c r="AE665" s="297">
        <f t="shared" si="234"/>
        <v>240000</v>
      </c>
      <c r="AF665" s="9"/>
      <c r="AG665" s="9" t="s">
        <v>1395</v>
      </c>
      <c r="AH665" s="300">
        <v>42746</v>
      </c>
      <c r="AI665" s="9" t="s">
        <v>1427</v>
      </c>
      <c r="AJ665" s="300">
        <v>42746</v>
      </c>
      <c r="AK665" s="73" t="str">
        <f t="shared" si="242"/>
        <v>MEDCO PAPUA INDUSTRI LESTARI, PTFEB</v>
      </c>
    </row>
    <row r="666" spans="1:37" s="114" customFormat="1" ht="12" hidden="1" customHeight="1">
      <c r="A666" s="53"/>
      <c r="B666" s="53" t="s">
        <v>195</v>
      </c>
      <c r="C666" s="9">
        <v>1</v>
      </c>
      <c r="D666" s="8" t="s">
        <v>45</v>
      </c>
      <c r="E666" s="10" t="s">
        <v>354</v>
      </c>
      <c r="F666" s="356"/>
      <c r="G666" s="10"/>
      <c r="H666" s="10" t="s">
        <v>1940</v>
      </c>
      <c r="I666" s="10" t="s">
        <v>1941</v>
      </c>
      <c r="J666" s="658">
        <v>0</v>
      </c>
      <c r="K666" s="116">
        <v>12000000</v>
      </c>
      <c r="L666" s="116">
        <f t="shared" si="244"/>
        <v>1200000</v>
      </c>
      <c r="M666" s="658">
        <v>0</v>
      </c>
      <c r="N666" s="189">
        <f t="shared" si="245"/>
        <v>13200000</v>
      </c>
      <c r="O666" s="197" t="s">
        <v>239</v>
      </c>
      <c r="P666" s="197" t="s">
        <v>42</v>
      </c>
      <c r="Q666" s="175"/>
      <c r="R666" s="175"/>
      <c r="S666" s="116">
        <v>0</v>
      </c>
      <c r="T666" s="116">
        <f t="shared" si="254"/>
        <v>-240000</v>
      </c>
      <c r="U666" s="116">
        <v>12960000</v>
      </c>
      <c r="V666" s="210">
        <f t="shared" si="197"/>
        <v>0</v>
      </c>
      <c r="W666" s="115">
        <f t="shared" si="243"/>
        <v>0</v>
      </c>
      <c r="X666" s="181" t="s">
        <v>294</v>
      </c>
      <c r="Y666" s="116"/>
      <c r="Z666" s="185"/>
      <c r="AA666" s="592"/>
      <c r="AB666" s="186"/>
      <c r="AC666" s="9"/>
      <c r="AD666" s="297"/>
      <c r="AE666" s="297">
        <f t="shared" si="234"/>
        <v>240000</v>
      </c>
      <c r="AF666" s="9"/>
      <c r="AG666" s="9" t="s">
        <v>1395</v>
      </c>
      <c r="AH666" s="300">
        <v>42769</v>
      </c>
      <c r="AI666" s="9" t="s">
        <v>1427</v>
      </c>
      <c r="AJ666" s="300">
        <v>42769</v>
      </c>
      <c r="AK666" s="73" t="str">
        <f t="shared" si="242"/>
        <v>MEDCO PAPUA INDUSTRI LESTARI, PTMAR</v>
      </c>
    </row>
    <row r="667" spans="1:37" s="114" customFormat="1" ht="12" hidden="1" customHeight="1">
      <c r="A667" s="53"/>
      <c r="B667" s="53" t="s">
        <v>239</v>
      </c>
      <c r="C667" s="9">
        <v>1</v>
      </c>
      <c r="D667" s="8" t="s">
        <v>45</v>
      </c>
      <c r="E667" s="10" t="s">
        <v>354</v>
      </c>
      <c r="F667" s="356"/>
      <c r="G667" s="10"/>
      <c r="H667" s="10" t="s">
        <v>2104</v>
      </c>
      <c r="I667" s="10" t="s">
        <v>2105</v>
      </c>
      <c r="J667" s="658">
        <v>0</v>
      </c>
      <c r="K667" s="116">
        <v>12000000</v>
      </c>
      <c r="L667" s="116">
        <f t="shared" si="244"/>
        <v>1200000</v>
      </c>
      <c r="M667" s="658">
        <v>0</v>
      </c>
      <c r="N667" s="189">
        <f t="shared" si="245"/>
        <v>13200000</v>
      </c>
      <c r="O667" s="197" t="s">
        <v>240</v>
      </c>
      <c r="P667" s="197" t="s">
        <v>65</v>
      </c>
      <c r="Q667" s="175"/>
      <c r="R667" s="175"/>
      <c r="S667" s="116">
        <v>0</v>
      </c>
      <c r="T667" s="116">
        <f t="shared" si="254"/>
        <v>-240000</v>
      </c>
      <c r="U667" s="116">
        <v>12960000</v>
      </c>
      <c r="V667" s="210">
        <f t="shared" si="197"/>
        <v>0</v>
      </c>
      <c r="W667" s="115">
        <f t="shared" si="243"/>
        <v>0</v>
      </c>
      <c r="X667" s="181" t="s">
        <v>294</v>
      </c>
      <c r="Y667" s="116"/>
      <c r="Z667" s="185"/>
      <c r="AA667" s="592"/>
      <c r="AB667" s="186"/>
      <c r="AC667" s="9"/>
      <c r="AD667" s="297"/>
      <c r="AE667" s="297">
        <f t="shared" si="234"/>
        <v>240000</v>
      </c>
      <c r="AF667" s="9"/>
      <c r="AG667" s="9" t="s">
        <v>1395</v>
      </c>
      <c r="AH667" s="300">
        <v>42796</v>
      </c>
      <c r="AI667" s="9" t="s">
        <v>1427</v>
      </c>
      <c r="AJ667" s="300">
        <v>42800</v>
      </c>
      <c r="AK667" s="73" t="str">
        <f t="shared" si="242"/>
        <v>MEDCO PAPUA INDUSTRI LESTARI, PTAPR</v>
      </c>
    </row>
    <row r="668" spans="1:37" s="114" customFormat="1" ht="12" hidden="1" customHeight="1">
      <c r="A668" s="53"/>
      <c r="B668" s="53" t="s">
        <v>240</v>
      </c>
      <c r="C668" s="9">
        <v>3</v>
      </c>
      <c r="D668" s="8" t="s">
        <v>45</v>
      </c>
      <c r="E668" s="10" t="s">
        <v>354</v>
      </c>
      <c r="F668" s="356"/>
      <c r="G668" s="10"/>
      <c r="H668" s="10" t="s">
        <v>2261</v>
      </c>
      <c r="I668" s="10" t="s">
        <v>2262</v>
      </c>
      <c r="J668" s="658">
        <v>0</v>
      </c>
      <c r="K668" s="116">
        <v>12000000</v>
      </c>
      <c r="L668" s="116">
        <f t="shared" si="244"/>
        <v>1200000</v>
      </c>
      <c r="M668" s="658">
        <v>0</v>
      </c>
      <c r="N668" s="189">
        <f t="shared" si="245"/>
        <v>13200000</v>
      </c>
      <c r="O668" s="197" t="s">
        <v>58</v>
      </c>
      <c r="P668" s="197" t="s">
        <v>89</v>
      </c>
      <c r="Q668" s="175"/>
      <c r="R668" s="175"/>
      <c r="S668" s="116">
        <v>0</v>
      </c>
      <c r="T668" s="116">
        <f t="shared" si="254"/>
        <v>-240000</v>
      </c>
      <c r="U668" s="116">
        <v>12960000</v>
      </c>
      <c r="V668" s="210">
        <f t="shared" si="197"/>
        <v>0</v>
      </c>
      <c r="W668" s="115">
        <f t="shared" si="243"/>
        <v>0</v>
      </c>
      <c r="X668" s="181" t="s">
        <v>294</v>
      </c>
      <c r="Y668" s="116"/>
      <c r="Z668" s="185"/>
      <c r="AA668" s="592"/>
      <c r="AB668" s="186"/>
      <c r="AC668" s="9"/>
      <c r="AD668" s="297"/>
      <c r="AE668" s="297">
        <f t="shared" si="234"/>
        <v>240000</v>
      </c>
      <c r="AF668" s="9"/>
      <c r="AG668" s="9" t="s">
        <v>1395</v>
      </c>
      <c r="AH668" s="300">
        <v>42830</v>
      </c>
      <c r="AI668" s="9" t="s">
        <v>1427</v>
      </c>
      <c r="AJ668" s="300">
        <v>42830</v>
      </c>
      <c r="AK668" s="73" t="str">
        <f t="shared" si="242"/>
        <v>MEDCO PAPUA INDUSTRI LESTARI, PTMEI</v>
      </c>
    </row>
    <row r="669" spans="1:37" s="114" customFormat="1" ht="12" hidden="1" customHeight="1">
      <c r="A669" s="53"/>
      <c r="B669" s="53" t="s">
        <v>58</v>
      </c>
      <c r="C669" s="9">
        <v>2</v>
      </c>
      <c r="D669" s="8" t="s">
        <v>45</v>
      </c>
      <c r="E669" s="10" t="s">
        <v>354</v>
      </c>
      <c r="F669" s="356"/>
      <c r="G669" s="10"/>
      <c r="H669" s="10" t="s">
        <v>2425</v>
      </c>
      <c r="I669" s="10" t="s">
        <v>2426</v>
      </c>
      <c r="J669" s="658">
        <v>0</v>
      </c>
      <c r="K669" s="116">
        <v>12000000</v>
      </c>
      <c r="L669" s="116">
        <f t="shared" si="244"/>
        <v>1200000</v>
      </c>
      <c r="M669" s="658">
        <v>0</v>
      </c>
      <c r="N669" s="189">
        <f t="shared" si="245"/>
        <v>13200000</v>
      </c>
      <c r="O669" s="197" t="s">
        <v>241</v>
      </c>
      <c r="P669" s="197" t="s">
        <v>26</v>
      </c>
      <c r="Q669" s="175"/>
      <c r="R669" s="175"/>
      <c r="S669" s="116">
        <v>0</v>
      </c>
      <c r="T669" s="116">
        <f t="shared" si="254"/>
        <v>-240000</v>
      </c>
      <c r="U669" s="116">
        <v>12960000</v>
      </c>
      <c r="V669" s="210">
        <f t="shared" si="197"/>
        <v>0</v>
      </c>
      <c r="W669" s="115">
        <f t="shared" si="243"/>
        <v>0</v>
      </c>
      <c r="X669" s="181" t="s">
        <v>294</v>
      </c>
      <c r="Y669" s="116"/>
      <c r="Z669" s="185"/>
      <c r="AA669" s="592"/>
      <c r="AB669" s="186"/>
      <c r="AC669" s="9"/>
      <c r="AD669" s="297"/>
      <c r="AE669" s="297">
        <f t="shared" si="234"/>
        <v>240000</v>
      </c>
      <c r="AF669" s="9"/>
      <c r="AG669" s="9" t="s">
        <v>1395</v>
      </c>
      <c r="AH669" s="300">
        <v>42863</v>
      </c>
      <c r="AI669" s="9" t="s">
        <v>1427</v>
      </c>
      <c r="AJ669" s="300">
        <v>42863</v>
      </c>
      <c r="AK669" s="73" t="str">
        <f t="shared" si="242"/>
        <v>MEDCO PAPUA INDUSTRI LESTARI, PTJUN</v>
      </c>
    </row>
    <row r="670" spans="1:37" s="114" customFormat="1" ht="12" hidden="1" customHeight="1">
      <c r="A670" s="53"/>
      <c r="B670" s="53" t="s">
        <v>241</v>
      </c>
      <c r="C670" s="9">
        <v>2</v>
      </c>
      <c r="D670" s="8" t="s">
        <v>45</v>
      </c>
      <c r="E670" s="10" t="s">
        <v>354</v>
      </c>
      <c r="F670" s="356"/>
      <c r="G670" s="10"/>
      <c r="H670" s="10" t="s">
        <v>2612</v>
      </c>
      <c r="I670" s="10" t="s">
        <v>2646</v>
      </c>
      <c r="J670" s="658">
        <v>0</v>
      </c>
      <c r="K670" s="116">
        <v>12000000</v>
      </c>
      <c r="L670" s="116">
        <f t="shared" si="244"/>
        <v>1200000</v>
      </c>
      <c r="M670" s="658">
        <v>0</v>
      </c>
      <c r="N670" s="189">
        <f t="shared" si="245"/>
        <v>13200000</v>
      </c>
      <c r="O670" s="197" t="s">
        <v>241</v>
      </c>
      <c r="P670" s="197" t="s">
        <v>34</v>
      </c>
      <c r="Q670" s="175"/>
      <c r="R670" s="175"/>
      <c r="S670" s="116">
        <v>0</v>
      </c>
      <c r="T670" s="116">
        <f t="shared" si="254"/>
        <v>-240000</v>
      </c>
      <c r="U670" s="116">
        <v>12960000</v>
      </c>
      <c r="V670" s="210">
        <f t="shared" si="197"/>
        <v>0</v>
      </c>
      <c r="W670" s="115">
        <f t="shared" si="243"/>
        <v>0</v>
      </c>
      <c r="X670" s="181" t="s">
        <v>294</v>
      </c>
      <c r="Y670" s="116"/>
      <c r="Z670" s="185"/>
      <c r="AA670" s="592"/>
      <c r="AB670" s="186"/>
      <c r="AC670" s="9"/>
      <c r="AD670" s="297"/>
      <c r="AE670" s="297">
        <f t="shared" si="234"/>
        <v>240000</v>
      </c>
      <c r="AF670" s="9"/>
      <c r="AG670" s="9" t="s">
        <v>1395</v>
      </c>
      <c r="AH670" s="300">
        <v>42893</v>
      </c>
      <c r="AI670" s="9" t="s">
        <v>1427</v>
      </c>
      <c r="AJ670" s="300">
        <v>42893</v>
      </c>
      <c r="AK670" s="73" t="str">
        <f t="shared" si="242"/>
        <v>MEDCO PAPUA INDUSTRI LESTARI, PTJUN</v>
      </c>
    </row>
    <row r="671" spans="1:37" s="114" customFormat="1" ht="12" hidden="1" customHeight="1">
      <c r="A671" s="53"/>
      <c r="B671" s="53" t="s">
        <v>242</v>
      </c>
      <c r="C671" s="9">
        <v>3</v>
      </c>
      <c r="D671" s="8" t="s">
        <v>45</v>
      </c>
      <c r="E671" s="10" t="s">
        <v>354</v>
      </c>
      <c r="F671" s="356" t="s">
        <v>3061</v>
      </c>
      <c r="G671" s="10" t="s">
        <v>60</v>
      </c>
      <c r="H671" s="10" t="s">
        <v>2776</v>
      </c>
      <c r="I671" s="10" t="s">
        <v>2794</v>
      </c>
      <c r="J671" s="658">
        <v>0</v>
      </c>
      <c r="K671" s="116">
        <v>12000000</v>
      </c>
      <c r="L671" s="116">
        <f>K671*10%</f>
        <v>1200000</v>
      </c>
      <c r="M671" s="658">
        <v>0</v>
      </c>
      <c r="N671" s="189">
        <f t="shared" ref="N671:N676" si="255">K671+L671</f>
        <v>13200000</v>
      </c>
      <c r="O671" s="197" t="s">
        <v>242</v>
      </c>
      <c r="P671" s="197" t="s">
        <v>114</v>
      </c>
      <c r="Q671" s="175"/>
      <c r="R671" s="175"/>
      <c r="S671" s="116">
        <v>0</v>
      </c>
      <c r="T671" s="116">
        <f>-K671*2%</f>
        <v>-240000</v>
      </c>
      <c r="U671" s="116">
        <v>12960000</v>
      </c>
      <c r="V671" s="210">
        <f t="shared" si="197"/>
        <v>0</v>
      </c>
      <c r="W671" s="115">
        <f t="shared" si="243"/>
        <v>0</v>
      </c>
      <c r="X671" s="181" t="s">
        <v>294</v>
      </c>
      <c r="Y671" s="116"/>
      <c r="Z671" s="185"/>
      <c r="AA671" s="592"/>
      <c r="AB671" s="186"/>
      <c r="AC671" s="9"/>
      <c r="AD671" s="297"/>
      <c r="AE671" s="297">
        <f t="shared" si="234"/>
        <v>240000</v>
      </c>
      <c r="AF671" s="9"/>
      <c r="AG671" s="9" t="s">
        <v>1395</v>
      </c>
      <c r="AH671" s="300">
        <v>42923</v>
      </c>
      <c r="AI671" s="9" t="s">
        <v>1427</v>
      </c>
      <c r="AJ671" s="300">
        <v>42923</v>
      </c>
      <c r="AK671" s="73" t="str">
        <f t="shared" si="242"/>
        <v>MEDCO PAPUA INDUSTRI LESTARI, PTJUL</v>
      </c>
    </row>
    <row r="672" spans="1:37" s="114" customFormat="1" ht="12" hidden="1" customHeight="1">
      <c r="A672" s="53"/>
      <c r="B672" s="1220" t="s">
        <v>243</v>
      </c>
      <c r="C672" s="1221">
        <v>1</v>
      </c>
      <c r="D672" s="1222" t="s">
        <v>45</v>
      </c>
      <c r="E672" s="1223" t="s">
        <v>354</v>
      </c>
      <c r="F672" s="1505" t="s">
        <v>3095</v>
      </c>
      <c r="G672" s="1223" t="s">
        <v>559</v>
      </c>
      <c r="H672" s="1223" t="s">
        <v>2911</v>
      </c>
      <c r="I672" s="1223" t="s">
        <v>2951</v>
      </c>
      <c r="J672" s="1237"/>
      <c r="K672" s="1224">
        <v>12000000</v>
      </c>
      <c r="L672" s="1224">
        <v>1200000</v>
      </c>
      <c r="M672" s="1225">
        <v>13200000</v>
      </c>
      <c r="N672" s="1225">
        <f t="shared" si="255"/>
        <v>13200000</v>
      </c>
      <c r="O672" s="197" t="s">
        <v>245</v>
      </c>
      <c r="P672" s="197" t="s">
        <v>105</v>
      </c>
      <c r="Q672" s="175"/>
      <c r="R672" s="175"/>
      <c r="S672" s="116">
        <v>0</v>
      </c>
      <c r="T672" s="116">
        <f t="shared" ref="T672:T673" si="256">-K672*2%</f>
        <v>-240000</v>
      </c>
      <c r="U672" s="116">
        <v>12960000</v>
      </c>
      <c r="V672" s="210"/>
      <c r="W672" s="115">
        <f t="shared" si="243"/>
        <v>0</v>
      </c>
      <c r="X672" s="181" t="s">
        <v>294</v>
      </c>
      <c r="Y672" s="116"/>
      <c r="Z672" s="185"/>
      <c r="AA672" s="592"/>
      <c r="AB672" s="186"/>
      <c r="AC672" s="9"/>
      <c r="AD672" s="297"/>
      <c r="AE672" s="297"/>
      <c r="AF672" s="9"/>
      <c r="AG672" s="9"/>
      <c r="AH672" s="300"/>
      <c r="AI672" s="9"/>
      <c r="AJ672" s="300"/>
      <c r="AK672" s="73" t="str">
        <f t="shared" si="242"/>
        <v>MEDCO PAPUA INDUSTRI LESTARI, PTOKT</v>
      </c>
    </row>
    <row r="673" spans="1:37" s="114" customFormat="1" ht="12.75" hidden="1" customHeight="1">
      <c r="A673" s="53"/>
      <c r="B673" s="1220" t="s">
        <v>244</v>
      </c>
      <c r="C673" s="1221">
        <v>1</v>
      </c>
      <c r="D673" s="1222" t="s">
        <v>45</v>
      </c>
      <c r="E673" s="1223" t="s">
        <v>354</v>
      </c>
      <c r="F673" s="1505" t="s">
        <v>3095</v>
      </c>
      <c r="G673" s="1223" t="s">
        <v>602</v>
      </c>
      <c r="H673" s="1223" t="s">
        <v>3093</v>
      </c>
      <c r="I673" s="1223" t="s">
        <v>3094</v>
      </c>
      <c r="J673" s="1237"/>
      <c r="K673" s="1224">
        <v>12000000</v>
      </c>
      <c r="L673" s="1224">
        <f>K673*10%</f>
        <v>1200000</v>
      </c>
      <c r="M673" s="1237"/>
      <c r="N673" s="1225">
        <f t="shared" si="255"/>
        <v>13200000</v>
      </c>
      <c r="O673" s="197" t="s">
        <v>245</v>
      </c>
      <c r="P673" s="197" t="s">
        <v>105</v>
      </c>
      <c r="Q673" s="175"/>
      <c r="R673" s="175"/>
      <c r="S673" s="116">
        <v>0</v>
      </c>
      <c r="T673" s="116">
        <f t="shared" si="256"/>
        <v>-240000</v>
      </c>
      <c r="U673" s="116">
        <v>12960000</v>
      </c>
      <c r="V673" s="210">
        <f t="shared" si="197"/>
        <v>0</v>
      </c>
      <c r="W673" s="115">
        <f t="shared" si="243"/>
        <v>0</v>
      </c>
      <c r="X673" s="181" t="s">
        <v>294</v>
      </c>
      <c r="Y673" s="116"/>
      <c r="Z673" s="185"/>
      <c r="AA673" s="592"/>
      <c r="AB673" s="186"/>
      <c r="AC673" s="9"/>
      <c r="AD673" s="297"/>
      <c r="AE673" s="297">
        <f t="shared" si="234"/>
        <v>240000</v>
      </c>
      <c r="AF673" s="9"/>
      <c r="AG673" s="9" t="s">
        <v>1395</v>
      </c>
      <c r="AH673" s="300">
        <v>42949</v>
      </c>
      <c r="AI673" s="9" t="s">
        <v>1427</v>
      </c>
      <c r="AJ673" s="300">
        <v>42949</v>
      </c>
      <c r="AK673" s="73" t="str">
        <f t="shared" si="242"/>
        <v>MEDCO PAPUA INDUSTRI LESTARI, PTOKT</v>
      </c>
    </row>
    <row r="674" spans="1:37" s="114" customFormat="1" ht="12.75" hidden="1" customHeight="1">
      <c r="A674" s="53"/>
      <c r="B674" s="758" t="s">
        <v>245</v>
      </c>
      <c r="C674" s="759">
        <v>10</v>
      </c>
      <c r="D674" s="760" t="s">
        <v>45</v>
      </c>
      <c r="E674" s="761" t="s">
        <v>354</v>
      </c>
      <c r="F674" s="1506" t="s">
        <v>3095</v>
      </c>
      <c r="G674" s="761" t="s">
        <v>641</v>
      </c>
      <c r="H674" s="761" t="s">
        <v>3420</v>
      </c>
      <c r="I674" s="761" t="s">
        <v>3421</v>
      </c>
      <c r="J674" s="1054"/>
      <c r="K674" s="762">
        <v>12000000</v>
      </c>
      <c r="L674" s="762">
        <f>K674*10%</f>
        <v>1200000</v>
      </c>
      <c r="M674" s="1054"/>
      <c r="N674" s="763">
        <f t="shared" si="255"/>
        <v>13200000</v>
      </c>
      <c r="O674" s="1202"/>
      <c r="P674" s="1202"/>
      <c r="Q674" s="175"/>
      <c r="R674" s="175"/>
      <c r="S674" s="116"/>
      <c r="T674" s="116"/>
      <c r="U674" s="116"/>
      <c r="V674" s="210"/>
      <c r="W674" s="115"/>
      <c r="X674" s="181"/>
      <c r="Y674" s="116"/>
      <c r="Z674" s="185"/>
      <c r="AA674" s="592"/>
      <c r="AB674" s="186"/>
      <c r="AC674" s="9"/>
      <c r="AD674" s="297"/>
      <c r="AE674" s="297"/>
      <c r="AF674" s="9"/>
      <c r="AG674" s="9"/>
      <c r="AH674" s="300"/>
      <c r="AI674" s="9"/>
      <c r="AJ674" s="300"/>
      <c r="AK674" s="73"/>
    </row>
    <row r="675" spans="1:37" s="114" customFormat="1" ht="12.75" hidden="1" customHeight="1">
      <c r="A675" s="53"/>
      <c r="B675" s="758" t="s">
        <v>238</v>
      </c>
      <c r="C675" s="759">
        <v>2</v>
      </c>
      <c r="D675" s="760" t="s">
        <v>45</v>
      </c>
      <c r="E675" s="761" t="s">
        <v>354</v>
      </c>
      <c r="F675" s="1506" t="s">
        <v>3095</v>
      </c>
      <c r="G675" s="761" t="s">
        <v>1616</v>
      </c>
      <c r="H675" s="761" t="s">
        <v>3574</v>
      </c>
      <c r="I675" s="761" t="s">
        <v>3575</v>
      </c>
      <c r="J675" s="1054"/>
      <c r="K675" s="762">
        <v>12000000</v>
      </c>
      <c r="L675" s="762">
        <f>K675*10%</f>
        <v>1200000</v>
      </c>
      <c r="M675" s="1054"/>
      <c r="N675" s="763">
        <f t="shared" si="255"/>
        <v>13200000</v>
      </c>
      <c r="O675" s="1202"/>
      <c r="P675" s="1202"/>
      <c r="Q675" s="175"/>
      <c r="R675" s="175"/>
      <c r="S675" s="116"/>
      <c r="T675" s="116"/>
      <c r="U675" s="116"/>
      <c r="V675" s="210"/>
      <c r="W675" s="115"/>
      <c r="X675" s="181"/>
      <c r="Y675" s="116"/>
      <c r="Z675" s="185"/>
      <c r="AA675" s="592"/>
      <c r="AB675" s="186"/>
      <c r="AC675" s="9"/>
      <c r="AD675" s="297"/>
      <c r="AE675" s="297"/>
      <c r="AF675" s="9"/>
      <c r="AG675" s="9"/>
      <c r="AH675" s="300"/>
      <c r="AI675" s="9"/>
      <c r="AJ675" s="300"/>
      <c r="AK675" s="73"/>
    </row>
    <row r="676" spans="1:37" s="114" customFormat="1" ht="12.75" hidden="1" customHeight="1">
      <c r="A676" s="53"/>
      <c r="B676" s="758" t="s">
        <v>140</v>
      </c>
      <c r="C676" s="759">
        <v>11</v>
      </c>
      <c r="D676" s="760" t="s">
        <v>45</v>
      </c>
      <c r="E676" s="761" t="s">
        <v>354</v>
      </c>
      <c r="F676" s="1506" t="s">
        <v>3095</v>
      </c>
      <c r="G676" s="761" t="s">
        <v>1617</v>
      </c>
      <c r="H676" s="761" t="s">
        <v>3708</v>
      </c>
      <c r="I676" s="761" t="s">
        <v>3709</v>
      </c>
      <c r="J676" s="1054"/>
      <c r="K676" s="762">
        <v>12000000</v>
      </c>
      <c r="L676" s="762">
        <f>K676*10%</f>
        <v>1200000</v>
      </c>
      <c r="M676" s="1054"/>
      <c r="N676" s="763">
        <f t="shared" si="255"/>
        <v>13200000</v>
      </c>
      <c r="O676" s="1202"/>
      <c r="P676" s="1202"/>
      <c r="Q676" s="175"/>
      <c r="R676" s="175"/>
      <c r="S676" s="116"/>
      <c r="T676" s="116"/>
      <c r="U676" s="116"/>
      <c r="V676" s="210"/>
      <c r="W676" s="115"/>
      <c r="X676" s="181"/>
      <c r="Y676" s="116"/>
      <c r="Z676" s="185"/>
      <c r="AA676" s="592"/>
      <c r="AB676" s="186"/>
      <c r="AC676" s="9"/>
      <c r="AD676" s="297"/>
      <c r="AE676" s="297"/>
      <c r="AF676" s="9"/>
      <c r="AG676" s="9"/>
      <c r="AH676" s="300"/>
      <c r="AI676" s="9"/>
      <c r="AJ676" s="300"/>
      <c r="AK676" s="73"/>
    </row>
    <row r="677" spans="1:37" s="114" customFormat="1" ht="12" hidden="1" customHeight="1">
      <c r="A677" s="53"/>
      <c r="B677" s="53" t="s">
        <v>194</v>
      </c>
      <c r="C677" s="9">
        <v>9</v>
      </c>
      <c r="D677" s="8" t="s">
        <v>133</v>
      </c>
      <c r="E677" s="9" t="s">
        <v>364</v>
      </c>
      <c r="F677" s="8"/>
      <c r="G677" s="9"/>
      <c r="H677" s="10" t="s">
        <v>1772</v>
      </c>
      <c r="I677" s="9" t="s">
        <v>1771</v>
      </c>
      <c r="J677" s="658">
        <v>0</v>
      </c>
      <c r="K677" s="118">
        <v>30000000</v>
      </c>
      <c r="L677" s="118">
        <f t="shared" si="244"/>
        <v>3000000</v>
      </c>
      <c r="M677" s="658">
        <v>0</v>
      </c>
      <c r="N677" s="189">
        <f t="shared" si="245"/>
        <v>33000000</v>
      </c>
      <c r="O677" s="197" t="s">
        <v>195</v>
      </c>
      <c r="P677" s="197" t="s">
        <v>93</v>
      </c>
      <c r="Q677" s="175"/>
      <c r="R677" s="175"/>
      <c r="S677" s="116">
        <v>0</v>
      </c>
      <c r="T677" s="116">
        <f t="shared" ref="T677:T682" si="257">-K677*2%</f>
        <v>-600000</v>
      </c>
      <c r="U677" s="116">
        <v>32400000</v>
      </c>
      <c r="V677" s="210">
        <f t="shared" si="197"/>
        <v>0</v>
      </c>
      <c r="W677" s="115">
        <f t="shared" si="243"/>
        <v>0</v>
      </c>
      <c r="X677" s="181" t="s">
        <v>237</v>
      </c>
      <c r="Y677" s="116"/>
      <c r="Z677" s="185"/>
      <c r="AA677" s="592">
        <f>-S677-Z677</f>
        <v>0</v>
      </c>
      <c r="AB677" s="186"/>
      <c r="AC677" s="9"/>
      <c r="AD677" s="297"/>
      <c r="AE677" s="297">
        <f t="shared" si="234"/>
        <v>600000</v>
      </c>
      <c r="AF677" s="9"/>
      <c r="AG677" s="9" t="s">
        <v>1775</v>
      </c>
      <c r="AH677" s="300">
        <v>42746</v>
      </c>
      <c r="AI677" s="9" t="s">
        <v>1882</v>
      </c>
      <c r="AJ677" s="9"/>
      <c r="AK677" s="73" t="str">
        <f t="shared" si="242"/>
        <v>METALINDO BUMI RAYA, PTFEB</v>
      </c>
    </row>
    <row r="678" spans="1:37" s="114" customFormat="1" ht="12" hidden="1" customHeight="1">
      <c r="A678" s="53"/>
      <c r="B678" s="53" t="s">
        <v>195</v>
      </c>
      <c r="C678" s="9">
        <v>1</v>
      </c>
      <c r="D678" s="8" t="s">
        <v>133</v>
      </c>
      <c r="E678" s="9" t="s">
        <v>364</v>
      </c>
      <c r="F678" s="8"/>
      <c r="G678" s="9"/>
      <c r="H678" s="10" t="s">
        <v>1952</v>
      </c>
      <c r="I678" s="9" t="s">
        <v>1953</v>
      </c>
      <c r="J678" s="658">
        <v>0</v>
      </c>
      <c r="K678" s="118">
        <v>30000000</v>
      </c>
      <c r="L678" s="118">
        <f t="shared" si="244"/>
        <v>3000000</v>
      </c>
      <c r="M678" s="658">
        <v>0</v>
      </c>
      <c r="N678" s="189">
        <f t="shared" si="245"/>
        <v>33000000</v>
      </c>
      <c r="O678" s="197" t="s">
        <v>239</v>
      </c>
      <c r="P678" s="197" t="s">
        <v>93</v>
      </c>
      <c r="Q678" s="175"/>
      <c r="R678" s="175"/>
      <c r="S678" s="116">
        <v>0</v>
      </c>
      <c r="T678" s="116">
        <f t="shared" si="257"/>
        <v>-600000</v>
      </c>
      <c r="U678" s="116">
        <v>32400000</v>
      </c>
      <c r="V678" s="210">
        <f t="shared" si="197"/>
        <v>0</v>
      </c>
      <c r="W678" s="115">
        <f t="shared" si="243"/>
        <v>0</v>
      </c>
      <c r="X678" s="181" t="s">
        <v>237</v>
      </c>
      <c r="Y678" s="116"/>
      <c r="Z678" s="185"/>
      <c r="AA678" s="592"/>
      <c r="AB678" s="186"/>
      <c r="AC678" s="9"/>
      <c r="AD678" s="297"/>
      <c r="AE678" s="297">
        <f t="shared" si="234"/>
        <v>600000</v>
      </c>
      <c r="AF678" s="9"/>
      <c r="AG678" s="9" t="s">
        <v>1395</v>
      </c>
      <c r="AH678" s="300"/>
      <c r="AI678" s="9" t="s">
        <v>1882</v>
      </c>
      <c r="AJ678" s="9"/>
      <c r="AK678" s="73" t="str">
        <f t="shared" si="242"/>
        <v>METALINDO BUMI RAYA, PTMAR</v>
      </c>
    </row>
    <row r="679" spans="1:37" s="114" customFormat="1" ht="12" hidden="1" customHeight="1">
      <c r="A679" s="53"/>
      <c r="B679" s="53" t="s">
        <v>239</v>
      </c>
      <c r="C679" s="9">
        <v>1</v>
      </c>
      <c r="D679" s="8" t="s">
        <v>133</v>
      </c>
      <c r="E679" s="9" t="s">
        <v>364</v>
      </c>
      <c r="F679" s="8"/>
      <c r="G679" s="9"/>
      <c r="H679" s="10" t="s">
        <v>2109</v>
      </c>
      <c r="I679" s="9" t="s">
        <v>2110</v>
      </c>
      <c r="J679" s="658">
        <v>0</v>
      </c>
      <c r="K679" s="118">
        <v>30000000</v>
      </c>
      <c r="L679" s="118">
        <f t="shared" si="244"/>
        <v>3000000</v>
      </c>
      <c r="M679" s="658">
        <v>0</v>
      </c>
      <c r="N679" s="189">
        <f t="shared" si="245"/>
        <v>33000000</v>
      </c>
      <c r="O679" s="197" t="s">
        <v>240</v>
      </c>
      <c r="P679" s="197" t="s">
        <v>101</v>
      </c>
      <c r="Q679" s="175"/>
      <c r="R679" s="175"/>
      <c r="S679" s="116">
        <v>0</v>
      </c>
      <c r="T679" s="116">
        <f t="shared" si="257"/>
        <v>-600000</v>
      </c>
      <c r="U679" s="116">
        <v>32400000</v>
      </c>
      <c r="V679" s="210">
        <f t="shared" si="197"/>
        <v>0</v>
      </c>
      <c r="W679" s="115">
        <f t="shared" si="243"/>
        <v>0</v>
      </c>
      <c r="X679" s="181" t="s">
        <v>237</v>
      </c>
      <c r="Y679" s="116"/>
      <c r="Z679" s="185"/>
      <c r="AA679" s="592"/>
      <c r="AB679" s="186"/>
      <c r="AC679" s="9"/>
      <c r="AD679" s="297"/>
      <c r="AE679" s="297">
        <f t="shared" si="234"/>
        <v>600000</v>
      </c>
      <c r="AF679" s="9"/>
      <c r="AG679" s="9" t="s">
        <v>1395</v>
      </c>
      <c r="AH679" s="300">
        <v>42796</v>
      </c>
      <c r="AI679" s="9" t="s">
        <v>1882</v>
      </c>
      <c r="AJ679" s="9"/>
      <c r="AK679" s="73" t="str">
        <f t="shared" si="242"/>
        <v>METALINDO BUMI RAYA, PTAPR</v>
      </c>
    </row>
    <row r="680" spans="1:37" s="114" customFormat="1" ht="12" hidden="1" customHeight="1">
      <c r="A680" s="53"/>
      <c r="B680" s="53" t="s">
        <v>240</v>
      </c>
      <c r="C680" s="9">
        <v>3</v>
      </c>
      <c r="D680" s="8" t="s">
        <v>133</v>
      </c>
      <c r="E680" s="9" t="s">
        <v>364</v>
      </c>
      <c r="F680" s="8"/>
      <c r="G680" s="9"/>
      <c r="H680" s="10" t="s">
        <v>2247</v>
      </c>
      <c r="I680" s="9" t="s">
        <v>2248</v>
      </c>
      <c r="J680" s="658">
        <v>0</v>
      </c>
      <c r="K680" s="118">
        <v>30000000</v>
      </c>
      <c r="L680" s="118">
        <f t="shared" si="244"/>
        <v>3000000</v>
      </c>
      <c r="M680" s="658">
        <v>0</v>
      </c>
      <c r="N680" s="189">
        <f t="shared" si="245"/>
        <v>33000000</v>
      </c>
      <c r="O680" s="197" t="s">
        <v>58</v>
      </c>
      <c r="P680" s="197" t="s">
        <v>39</v>
      </c>
      <c r="Q680" s="175"/>
      <c r="R680" s="175"/>
      <c r="S680" s="116">
        <v>0</v>
      </c>
      <c r="T680" s="116">
        <f t="shared" si="257"/>
        <v>-600000</v>
      </c>
      <c r="U680" s="116">
        <v>32400000</v>
      </c>
      <c r="V680" s="210">
        <f t="shared" si="197"/>
        <v>0</v>
      </c>
      <c r="W680" s="115">
        <f t="shared" si="243"/>
        <v>0</v>
      </c>
      <c r="X680" s="181" t="s">
        <v>237</v>
      </c>
      <c r="Y680" s="116"/>
      <c r="Z680" s="185"/>
      <c r="AA680" s="592"/>
      <c r="AB680" s="186"/>
      <c r="AC680" s="9"/>
      <c r="AD680" s="297"/>
      <c r="AE680" s="297">
        <f t="shared" si="234"/>
        <v>600000</v>
      </c>
      <c r="AF680" s="9"/>
      <c r="AG680" s="9" t="s">
        <v>1395</v>
      </c>
      <c r="AH680" s="300">
        <v>42829</v>
      </c>
      <c r="AI680" s="9" t="s">
        <v>1882</v>
      </c>
      <c r="AJ680" s="9"/>
      <c r="AK680" s="73" t="str">
        <f t="shared" si="242"/>
        <v>METALINDO BUMI RAYA, PTMEI</v>
      </c>
    </row>
    <row r="681" spans="1:37" s="114" customFormat="1" ht="12" hidden="1" customHeight="1">
      <c r="A681" s="53"/>
      <c r="B681" s="53" t="s">
        <v>58</v>
      </c>
      <c r="C681" s="9">
        <v>2</v>
      </c>
      <c r="D681" s="8" t="s">
        <v>133</v>
      </c>
      <c r="E681" s="9" t="s">
        <v>364</v>
      </c>
      <c r="F681" s="8"/>
      <c r="G681" s="9"/>
      <c r="H681" s="10" t="s">
        <v>2427</v>
      </c>
      <c r="I681" s="9" t="s">
        <v>2428</v>
      </c>
      <c r="J681" s="658">
        <v>0</v>
      </c>
      <c r="K681" s="118">
        <v>30000000</v>
      </c>
      <c r="L681" s="118">
        <f t="shared" si="244"/>
        <v>3000000</v>
      </c>
      <c r="M681" s="658">
        <v>0</v>
      </c>
      <c r="N681" s="189">
        <f t="shared" si="245"/>
        <v>33000000</v>
      </c>
      <c r="O681" s="197" t="s">
        <v>241</v>
      </c>
      <c r="P681" s="197" t="s">
        <v>116</v>
      </c>
      <c r="Q681" s="175"/>
      <c r="R681" s="175"/>
      <c r="S681" s="116">
        <v>0</v>
      </c>
      <c r="T681" s="116">
        <f t="shared" si="257"/>
        <v>-600000</v>
      </c>
      <c r="U681" s="116">
        <v>32400000</v>
      </c>
      <c r="V681" s="210">
        <f t="shared" si="197"/>
        <v>0</v>
      </c>
      <c r="W681" s="115">
        <f t="shared" si="243"/>
        <v>0</v>
      </c>
      <c r="X681" s="181" t="s">
        <v>237</v>
      </c>
      <c r="Y681" s="116"/>
      <c r="Z681" s="185"/>
      <c r="AA681" s="592"/>
      <c r="AB681" s="186"/>
      <c r="AC681" s="9"/>
      <c r="AD681" s="297"/>
      <c r="AE681" s="297">
        <f t="shared" si="234"/>
        <v>600000</v>
      </c>
      <c r="AF681" s="9"/>
      <c r="AG681" s="9" t="s">
        <v>1395</v>
      </c>
      <c r="AH681" s="300">
        <v>42858</v>
      </c>
      <c r="AI681" s="9" t="s">
        <v>1882</v>
      </c>
      <c r="AJ681" s="9"/>
      <c r="AK681" s="73" t="str">
        <f t="shared" si="242"/>
        <v>METALINDO BUMI RAYA, PTJUN</v>
      </c>
    </row>
    <row r="682" spans="1:37" s="114" customFormat="1" ht="12" hidden="1" customHeight="1">
      <c r="A682" s="53"/>
      <c r="B682" s="53" t="s">
        <v>241</v>
      </c>
      <c r="C682" s="9">
        <v>2</v>
      </c>
      <c r="D682" s="8" t="s">
        <v>133</v>
      </c>
      <c r="E682" s="9" t="s">
        <v>364</v>
      </c>
      <c r="F682" s="8"/>
      <c r="G682" s="9"/>
      <c r="H682" s="10" t="s">
        <v>2600</v>
      </c>
      <c r="I682" s="9" t="s">
        <v>2644</v>
      </c>
      <c r="J682" s="658">
        <v>0</v>
      </c>
      <c r="K682" s="118">
        <v>30000000</v>
      </c>
      <c r="L682" s="118">
        <f t="shared" ref="L682:L689" si="258">K682*10%</f>
        <v>3000000</v>
      </c>
      <c r="M682" s="658">
        <v>0</v>
      </c>
      <c r="N682" s="189">
        <f t="shared" ref="N682:N689" si="259">K682+L682</f>
        <v>33000000</v>
      </c>
      <c r="O682" s="197" t="s">
        <v>242</v>
      </c>
      <c r="P682" s="197" t="s">
        <v>18</v>
      </c>
      <c r="Q682" s="175"/>
      <c r="R682" s="175"/>
      <c r="S682" s="116">
        <v>0</v>
      </c>
      <c r="T682" s="116">
        <f t="shared" si="257"/>
        <v>-600000</v>
      </c>
      <c r="U682" s="116">
        <v>32400000</v>
      </c>
      <c r="V682" s="210">
        <f t="shared" si="197"/>
        <v>0</v>
      </c>
      <c r="W682" s="115">
        <f t="shared" si="243"/>
        <v>0</v>
      </c>
      <c r="X682" s="181" t="s">
        <v>237</v>
      </c>
      <c r="Y682" s="116"/>
      <c r="Z682" s="185"/>
      <c r="AA682" s="592"/>
      <c r="AB682" s="186"/>
      <c r="AC682" s="9"/>
      <c r="AD682" s="297"/>
      <c r="AE682" s="297">
        <f t="shared" si="234"/>
        <v>600000</v>
      </c>
      <c r="AF682" s="9"/>
      <c r="AG682" s="9" t="s">
        <v>1395</v>
      </c>
      <c r="AH682" s="300">
        <v>42891</v>
      </c>
      <c r="AI682" s="9" t="s">
        <v>1882</v>
      </c>
      <c r="AJ682" s="9"/>
      <c r="AK682" s="73" t="str">
        <f t="shared" si="242"/>
        <v>METALINDO BUMI RAYA, PTJUL</v>
      </c>
    </row>
    <row r="683" spans="1:37" s="114" customFormat="1" ht="12" hidden="1" customHeight="1">
      <c r="A683" s="53"/>
      <c r="B683" s="53" t="s">
        <v>242</v>
      </c>
      <c r="C683" s="9">
        <v>3</v>
      </c>
      <c r="D683" s="8" t="s">
        <v>133</v>
      </c>
      <c r="E683" s="9" t="s">
        <v>364</v>
      </c>
      <c r="F683" s="8" t="s">
        <v>3062</v>
      </c>
      <c r="G683" s="9" t="s">
        <v>60</v>
      </c>
      <c r="H683" s="10" t="s">
        <v>2772</v>
      </c>
      <c r="I683" s="9" t="s">
        <v>2790</v>
      </c>
      <c r="J683" s="658">
        <v>0</v>
      </c>
      <c r="K683" s="118">
        <v>30000000</v>
      </c>
      <c r="L683" s="118">
        <f t="shared" si="258"/>
        <v>3000000</v>
      </c>
      <c r="M683" s="658">
        <v>0</v>
      </c>
      <c r="N683" s="189">
        <f t="shared" si="259"/>
        <v>33000000</v>
      </c>
      <c r="O683" s="197" t="s">
        <v>244</v>
      </c>
      <c r="P683" s="197" t="s">
        <v>38</v>
      </c>
      <c r="Q683" s="175"/>
      <c r="R683" s="175"/>
      <c r="S683" s="116">
        <v>0</v>
      </c>
      <c r="T683" s="116">
        <f t="shared" ref="T683:T685" si="260">-K683*2%</f>
        <v>-600000</v>
      </c>
      <c r="U683" s="116">
        <v>32400000</v>
      </c>
      <c r="V683" s="210">
        <f t="shared" si="197"/>
        <v>0</v>
      </c>
      <c r="W683" s="115">
        <f t="shared" si="243"/>
        <v>0</v>
      </c>
      <c r="X683" s="181" t="s">
        <v>237</v>
      </c>
      <c r="Y683" s="116"/>
      <c r="Z683" s="185"/>
      <c r="AA683" s="592"/>
      <c r="AB683" s="186"/>
      <c r="AC683" s="9"/>
      <c r="AD683" s="297"/>
      <c r="AE683" s="297">
        <f t="shared" si="234"/>
        <v>600000</v>
      </c>
      <c r="AF683" s="9"/>
      <c r="AG683" s="9" t="s">
        <v>1395</v>
      </c>
      <c r="AH683" s="300">
        <v>42921</v>
      </c>
      <c r="AI683" s="9" t="s">
        <v>1882</v>
      </c>
      <c r="AJ683" s="9"/>
      <c r="AK683" s="73" t="str">
        <f t="shared" si="242"/>
        <v>METALINDO BUMI RAYA, PTSEP</v>
      </c>
    </row>
    <row r="684" spans="1:37" s="114" customFormat="1" ht="12" hidden="1" customHeight="1">
      <c r="A684" s="53"/>
      <c r="B684" s="758" t="s">
        <v>243</v>
      </c>
      <c r="C684" s="759">
        <v>1</v>
      </c>
      <c r="D684" s="760" t="s">
        <v>133</v>
      </c>
      <c r="E684" s="759" t="s">
        <v>364</v>
      </c>
      <c r="F684" s="1401" t="s">
        <v>3062</v>
      </c>
      <c r="G684" s="759" t="s">
        <v>559</v>
      </c>
      <c r="H684" s="761" t="s">
        <v>2909</v>
      </c>
      <c r="I684" s="759" t="s">
        <v>2948</v>
      </c>
      <c r="J684" s="1054"/>
      <c r="K684" s="764">
        <v>30000000</v>
      </c>
      <c r="L684" s="764">
        <f t="shared" si="258"/>
        <v>3000000</v>
      </c>
      <c r="M684" s="1054"/>
      <c r="N684" s="763">
        <f t="shared" si="259"/>
        <v>33000000</v>
      </c>
      <c r="O684" s="1202"/>
      <c r="P684" s="1202"/>
      <c r="Q684" s="175"/>
      <c r="R684" s="175"/>
      <c r="S684" s="116"/>
      <c r="T684" s="116">
        <f t="shared" si="260"/>
        <v>-600000</v>
      </c>
      <c r="U684" s="116"/>
      <c r="V684" s="210">
        <f t="shared" si="197"/>
        <v>0</v>
      </c>
      <c r="W684" s="115"/>
      <c r="X684" s="181"/>
      <c r="Y684" s="116"/>
      <c r="Z684" s="185"/>
      <c r="AA684" s="592"/>
      <c r="AB684" s="186"/>
      <c r="AC684" s="9"/>
      <c r="AD684" s="297"/>
      <c r="AE684" s="297"/>
      <c r="AF684" s="9"/>
      <c r="AG684" s="9" t="s">
        <v>1395</v>
      </c>
      <c r="AH684" s="300">
        <v>42918</v>
      </c>
      <c r="AI684" s="9" t="s">
        <v>1882</v>
      </c>
      <c r="AJ684" s="300">
        <v>42918</v>
      </c>
      <c r="AK684" s="73"/>
    </row>
    <row r="685" spans="1:37" s="114" customFormat="1" ht="12" hidden="1" customHeight="1">
      <c r="A685" s="53"/>
      <c r="B685" s="1220" t="s">
        <v>244</v>
      </c>
      <c r="C685" s="1221">
        <v>7</v>
      </c>
      <c r="D685" s="1222" t="s">
        <v>133</v>
      </c>
      <c r="E685" s="1221" t="s">
        <v>364</v>
      </c>
      <c r="F685" s="1417" t="s">
        <v>3062</v>
      </c>
      <c r="G685" s="1221" t="s">
        <v>602</v>
      </c>
      <c r="H685" s="1223" t="s">
        <v>3196</v>
      </c>
      <c r="I685" s="1221" t="s">
        <v>3197</v>
      </c>
      <c r="J685" s="1237"/>
      <c r="K685" s="1212">
        <v>27235965.550000001</v>
      </c>
      <c r="L685" s="1212">
        <f t="shared" si="258"/>
        <v>2723596.5550000002</v>
      </c>
      <c r="M685" s="1237"/>
      <c r="N685" s="1225">
        <f t="shared" si="259"/>
        <v>29959562.105</v>
      </c>
      <c r="O685" s="1202" t="s">
        <v>238</v>
      </c>
      <c r="P685" s="1202" t="s">
        <v>106</v>
      </c>
      <c r="Q685" s="175"/>
      <c r="R685" s="175"/>
      <c r="S685" s="116"/>
      <c r="T685" s="116">
        <f t="shared" si="260"/>
        <v>-544719.31099999999</v>
      </c>
      <c r="U685" s="116">
        <v>29414843</v>
      </c>
      <c r="V685" s="210"/>
      <c r="W685" s="115"/>
      <c r="X685" s="181"/>
      <c r="Y685" s="116"/>
      <c r="Z685" s="185"/>
      <c r="AA685" s="592"/>
      <c r="AB685" s="186"/>
      <c r="AC685" s="9"/>
      <c r="AD685" s="297"/>
      <c r="AE685" s="297"/>
      <c r="AF685" s="9"/>
      <c r="AG685" s="9"/>
      <c r="AH685" s="300"/>
      <c r="AI685" s="9"/>
      <c r="AJ685" s="300"/>
      <c r="AK685" s="73"/>
    </row>
    <row r="686" spans="1:37" s="114" customFormat="1" ht="12" hidden="1" customHeight="1">
      <c r="A686" s="53"/>
      <c r="B686" s="758" t="s">
        <v>245</v>
      </c>
      <c r="C686" s="759">
        <v>10</v>
      </c>
      <c r="D686" s="760" t="s">
        <v>133</v>
      </c>
      <c r="E686" s="759" t="s">
        <v>364</v>
      </c>
      <c r="F686" s="1401" t="s">
        <v>3062</v>
      </c>
      <c r="G686" s="759" t="s">
        <v>641</v>
      </c>
      <c r="H686" s="761" t="s">
        <v>3418</v>
      </c>
      <c r="I686" s="759" t="s">
        <v>3419</v>
      </c>
      <c r="J686" s="658"/>
      <c r="K686" s="764">
        <v>30000000</v>
      </c>
      <c r="L686" s="764">
        <f t="shared" si="258"/>
        <v>3000000</v>
      </c>
      <c r="M686" s="658"/>
      <c r="N686" s="763">
        <f t="shared" si="259"/>
        <v>33000000</v>
      </c>
      <c r="O686" s="1202"/>
      <c r="P686" s="1202"/>
      <c r="Q686" s="175"/>
      <c r="R686" s="175"/>
      <c r="S686" s="116"/>
      <c r="T686" s="116"/>
      <c r="U686" s="116"/>
      <c r="V686" s="210"/>
      <c r="W686" s="115"/>
      <c r="X686" s="181"/>
      <c r="Y686" s="116"/>
      <c r="Z686" s="185"/>
      <c r="AA686" s="592"/>
      <c r="AB686" s="186"/>
      <c r="AC686" s="9"/>
      <c r="AD686" s="297"/>
      <c r="AE686" s="297"/>
      <c r="AF686" s="9"/>
      <c r="AG686" s="9"/>
      <c r="AH686" s="300"/>
      <c r="AI686" s="9"/>
      <c r="AJ686" s="300"/>
      <c r="AK686" s="73"/>
    </row>
    <row r="687" spans="1:37" s="114" customFormat="1" ht="12" hidden="1" customHeight="1">
      <c r="A687" s="53"/>
      <c r="B687" s="758" t="s">
        <v>238</v>
      </c>
      <c r="C687" s="759">
        <v>14</v>
      </c>
      <c r="D687" s="760" t="s">
        <v>133</v>
      </c>
      <c r="E687" s="759" t="s">
        <v>364</v>
      </c>
      <c r="F687" s="1401" t="s">
        <v>3062</v>
      </c>
      <c r="G687" s="759" t="s">
        <v>1616</v>
      </c>
      <c r="H687" s="761" t="s">
        <v>3576</v>
      </c>
      <c r="I687" s="759" t="s">
        <v>3577</v>
      </c>
      <c r="J687" s="658"/>
      <c r="K687" s="764">
        <v>30000000</v>
      </c>
      <c r="L687" s="764">
        <f t="shared" si="258"/>
        <v>3000000</v>
      </c>
      <c r="M687" s="658"/>
      <c r="N687" s="763">
        <f t="shared" si="259"/>
        <v>33000000</v>
      </c>
      <c r="O687" s="1202"/>
      <c r="P687" s="1202"/>
      <c r="Q687" s="175"/>
      <c r="R687" s="175"/>
      <c r="S687" s="116"/>
      <c r="T687" s="116"/>
      <c r="U687" s="116"/>
      <c r="V687" s="210"/>
      <c r="W687" s="115"/>
      <c r="X687" s="181"/>
      <c r="Y687" s="116"/>
      <c r="Z687" s="185"/>
      <c r="AA687" s="592"/>
      <c r="AB687" s="186"/>
      <c r="AC687" s="9"/>
      <c r="AD687" s="297"/>
      <c r="AE687" s="297"/>
      <c r="AF687" s="9"/>
      <c r="AG687" s="9"/>
      <c r="AH687" s="300"/>
      <c r="AI687" s="9"/>
      <c r="AJ687" s="300"/>
      <c r="AK687" s="73"/>
    </row>
    <row r="688" spans="1:37" s="114" customFormat="1" ht="12" hidden="1" customHeight="1">
      <c r="A688" s="53"/>
      <c r="B688" s="758" t="s">
        <v>140</v>
      </c>
      <c r="C688" s="759">
        <v>11</v>
      </c>
      <c r="D688" s="760" t="s">
        <v>133</v>
      </c>
      <c r="E688" s="759" t="s">
        <v>364</v>
      </c>
      <c r="F688" s="1401" t="s">
        <v>3062</v>
      </c>
      <c r="G688" s="759" t="s">
        <v>1617</v>
      </c>
      <c r="H688" s="761" t="s">
        <v>3712</v>
      </c>
      <c r="I688" s="759" t="s">
        <v>3713</v>
      </c>
      <c r="J688" s="658"/>
      <c r="K688" s="764">
        <v>30000000</v>
      </c>
      <c r="L688" s="764">
        <f t="shared" ref="L688" si="261">K688*10%</f>
        <v>3000000</v>
      </c>
      <c r="M688" s="658"/>
      <c r="N688" s="763">
        <f t="shared" ref="N688" si="262">K688+L688</f>
        <v>33000000</v>
      </c>
      <c r="O688" s="1202"/>
      <c r="P688" s="1202"/>
      <c r="Q688" s="175"/>
      <c r="R688" s="175"/>
      <c r="S688" s="116"/>
      <c r="T688" s="116"/>
      <c r="U688" s="116"/>
      <c r="V688" s="210"/>
      <c r="W688" s="115"/>
      <c r="X688" s="181"/>
      <c r="Y688" s="116"/>
      <c r="Z688" s="185"/>
      <c r="AA688" s="592"/>
      <c r="AB688" s="186"/>
      <c r="AC688" s="9"/>
      <c r="AD688" s="297"/>
      <c r="AE688" s="297"/>
      <c r="AF688" s="9"/>
      <c r="AG688" s="9"/>
      <c r="AH688" s="300"/>
      <c r="AI688" s="9"/>
      <c r="AJ688" s="300"/>
      <c r="AK688" s="73"/>
    </row>
    <row r="689" spans="1:37" s="114" customFormat="1" ht="12" hidden="1" customHeight="1">
      <c r="A689" s="53"/>
      <c r="B689" s="758" t="s">
        <v>140</v>
      </c>
      <c r="C689" s="759">
        <v>5</v>
      </c>
      <c r="D689" s="760" t="s">
        <v>3672</v>
      </c>
      <c r="E689" s="759" t="s">
        <v>62</v>
      </c>
      <c r="F689" s="1401" t="s">
        <v>3673</v>
      </c>
      <c r="G689" s="759">
        <v>18</v>
      </c>
      <c r="H689" s="761" t="s">
        <v>3674</v>
      </c>
      <c r="I689" s="759" t="s">
        <v>3675</v>
      </c>
      <c r="J689" s="658"/>
      <c r="K689" s="764">
        <v>72381586</v>
      </c>
      <c r="L689" s="764">
        <f t="shared" si="258"/>
        <v>7238158.6000000006</v>
      </c>
      <c r="M689" s="658"/>
      <c r="N689" s="763">
        <f t="shared" si="259"/>
        <v>79619744.599999994</v>
      </c>
      <c r="O689" s="1202"/>
      <c r="P689" s="1202"/>
      <c r="Q689" s="175"/>
      <c r="R689" s="175"/>
      <c r="S689" s="116"/>
      <c r="T689" s="116"/>
      <c r="U689" s="116"/>
      <c r="V689" s="210"/>
      <c r="W689" s="115"/>
      <c r="X689" s="181"/>
      <c r="Y689" s="116"/>
      <c r="Z689" s="185"/>
      <c r="AA689" s="592"/>
      <c r="AB689" s="186"/>
      <c r="AC689" s="9"/>
      <c r="AD689" s="297"/>
      <c r="AE689" s="297"/>
      <c r="AF689" s="9"/>
      <c r="AG689" s="9"/>
      <c r="AH689" s="300"/>
      <c r="AI689" s="9"/>
      <c r="AJ689" s="300"/>
      <c r="AK689" s="73"/>
    </row>
    <row r="690" spans="1:37" s="114" customFormat="1" ht="12" hidden="1" customHeight="1">
      <c r="A690" s="53"/>
      <c r="B690" s="53" t="s">
        <v>195</v>
      </c>
      <c r="C690" s="9">
        <v>14</v>
      </c>
      <c r="D690" s="8" t="s">
        <v>2064</v>
      </c>
      <c r="E690" s="9" t="s">
        <v>144</v>
      </c>
      <c r="F690" s="8"/>
      <c r="G690" s="9"/>
      <c r="H690" s="10" t="s">
        <v>2065</v>
      </c>
      <c r="I690" s="9" t="s">
        <v>2068</v>
      </c>
      <c r="J690" s="658">
        <v>0</v>
      </c>
      <c r="K690" s="118">
        <v>5000000</v>
      </c>
      <c r="L690" s="118">
        <f t="shared" si="244"/>
        <v>500000</v>
      </c>
      <c r="M690" s="658">
        <v>0</v>
      </c>
      <c r="N690" s="189">
        <f t="shared" si="245"/>
        <v>5500000</v>
      </c>
      <c r="O690" s="197" t="s">
        <v>239</v>
      </c>
      <c r="P690" s="197" t="s">
        <v>105</v>
      </c>
      <c r="Q690" s="175"/>
      <c r="R690" s="175"/>
      <c r="S690" s="116">
        <v>0</v>
      </c>
      <c r="T690" s="116">
        <f>-K690*2%</f>
        <v>-100000</v>
      </c>
      <c r="U690" s="116">
        <v>5400000</v>
      </c>
      <c r="V690" s="210">
        <f t="shared" si="197"/>
        <v>0</v>
      </c>
      <c r="W690" s="115">
        <f t="shared" si="243"/>
        <v>0</v>
      </c>
      <c r="X690" s="181" t="s">
        <v>237</v>
      </c>
      <c r="Y690" s="116"/>
      <c r="Z690" s="185"/>
      <c r="AA690" s="592"/>
      <c r="AB690" s="186"/>
      <c r="AC690" s="300">
        <v>42811</v>
      </c>
      <c r="AD690" s="297">
        <v>100000</v>
      </c>
      <c r="AE690" s="297">
        <f t="shared" si="234"/>
        <v>0</v>
      </c>
      <c r="AF690" s="9" t="s">
        <v>2386</v>
      </c>
      <c r="AG690" s="9" t="s">
        <v>1395</v>
      </c>
      <c r="AH690" s="300">
        <v>42783</v>
      </c>
      <c r="AI690" s="9" t="s">
        <v>1426</v>
      </c>
      <c r="AJ690" s="300">
        <v>42783</v>
      </c>
      <c r="AK690" s="73" t="str">
        <f t="shared" si="242"/>
        <v>NUSANTARA SARANA ALAM, PTMAR</v>
      </c>
    </row>
    <row r="691" spans="1:37" s="114" customFormat="1" ht="12" hidden="1" customHeight="1">
      <c r="A691" s="53"/>
      <c r="B691" s="53" t="s">
        <v>195</v>
      </c>
      <c r="C691" s="9">
        <v>14</v>
      </c>
      <c r="D691" s="8" t="s">
        <v>2064</v>
      </c>
      <c r="E691" s="9" t="s">
        <v>118</v>
      </c>
      <c r="F691" s="8"/>
      <c r="G691" s="9"/>
      <c r="H691" s="10" t="s">
        <v>2066</v>
      </c>
      <c r="I691" s="9" t="s">
        <v>14</v>
      </c>
      <c r="J691" s="658">
        <v>0</v>
      </c>
      <c r="K691" s="118">
        <v>1779640</v>
      </c>
      <c r="L691" s="118">
        <v>0</v>
      </c>
      <c r="M691" s="658">
        <v>0</v>
      </c>
      <c r="N691" s="189">
        <f t="shared" si="245"/>
        <v>1779640</v>
      </c>
      <c r="O691" s="197" t="s">
        <v>239</v>
      </c>
      <c r="P691" s="197" t="s">
        <v>105</v>
      </c>
      <c r="Q691" s="175"/>
      <c r="R691" s="175"/>
      <c r="S691" s="116">
        <v>0</v>
      </c>
      <c r="T691" s="116">
        <v>0</v>
      </c>
      <c r="U691" s="116">
        <v>1779640</v>
      </c>
      <c r="V691" s="210">
        <f t="shared" si="197"/>
        <v>0</v>
      </c>
      <c r="W691" s="115">
        <f t="shared" si="243"/>
        <v>0</v>
      </c>
      <c r="X691" s="181" t="s">
        <v>237</v>
      </c>
      <c r="Y691" s="116"/>
      <c r="Z691" s="185"/>
      <c r="AA691" s="592"/>
      <c r="AB691" s="186"/>
      <c r="AC691" s="9"/>
      <c r="AD691" s="297"/>
      <c r="AE691" s="297">
        <f t="shared" si="234"/>
        <v>0</v>
      </c>
      <c r="AF691" s="9"/>
      <c r="AG691" s="9" t="s">
        <v>1395</v>
      </c>
      <c r="AH691" s="300">
        <v>42783</v>
      </c>
      <c r="AI691" s="9" t="s">
        <v>1426</v>
      </c>
      <c r="AJ691" s="300">
        <v>42783</v>
      </c>
      <c r="AK691" s="73" t="str">
        <f t="shared" si="242"/>
        <v>NUSANTARA SARANA ALAM, PTMAR</v>
      </c>
    </row>
    <row r="692" spans="1:37" s="114" customFormat="1" ht="12" hidden="1" customHeight="1">
      <c r="A692" s="53"/>
      <c r="B692" s="53" t="s">
        <v>195</v>
      </c>
      <c r="C692" s="9">
        <v>14</v>
      </c>
      <c r="D692" s="8" t="s">
        <v>2064</v>
      </c>
      <c r="E692" s="9" t="s">
        <v>354</v>
      </c>
      <c r="F692" s="8"/>
      <c r="G692" s="9"/>
      <c r="H692" s="10" t="s">
        <v>2067</v>
      </c>
      <c r="I692" s="9" t="s">
        <v>2069</v>
      </c>
      <c r="J692" s="658">
        <v>0</v>
      </c>
      <c r="K692" s="118">
        <v>22000000</v>
      </c>
      <c r="L692" s="118">
        <f t="shared" ref="L692:L744" si="263">K692*10%</f>
        <v>2200000</v>
      </c>
      <c r="M692" s="658">
        <v>0</v>
      </c>
      <c r="N692" s="189">
        <f t="shared" si="245"/>
        <v>24200000</v>
      </c>
      <c r="O692" s="197" t="s">
        <v>239</v>
      </c>
      <c r="P692" s="197" t="s">
        <v>105</v>
      </c>
      <c r="Q692" s="175"/>
      <c r="R692" s="175"/>
      <c r="S692" s="116">
        <v>0</v>
      </c>
      <c r="T692" s="116">
        <f>-K692*2%</f>
        <v>-440000</v>
      </c>
      <c r="U692" s="116">
        <v>23760000</v>
      </c>
      <c r="V692" s="210">
        <f t="shared" si="197"/>
        <v>0</v>
      </c>
      <c r="W692" s="115">
        <f t="shared" si="243"/>
        <v>0</v>
      </c>
      <c r="X692" s="181" t="s">
        <v>237</v>
      </c>
      <c r="Y692" s="116"/>
      <c r="Z692" s="185"/>
      <c r="AA692" s="592"/>
      <c r="AB692" s="186"/>
      <c r="AC692" s="300">
        <v>42811</v>
      </c>
      <c r="AD692" s="297">
        <v>440000</v>
      </c>
      <c r="AE692" s="297">
        <f t="shared" si="234"/>
        <v>0</v>
      </c>
      <c r="AF692" s="9" t="s">
        <v>2387</v>
      </c>
      <c r="AG692" s="9" t="s">
        <v>1395</v>
      </c>
      <c r="AH692" s="300">
        <v>42783</v>
      </c>
      <c r="AI692" s="9" t="s">
        <v>1426</v>
      </c>
      <c r="AJ692" s="300">
        <v>42783</v>
      </c>
      <c r="AK692" s="73" t="str">
        <f t="shared" si="242"/>
        <v>NUSANTARA SARANA ALAM, PTMAR</v>
      </c>
    </row>
    <row r="693" spans="1:37" s="114" customFormat="1" ht="14.25" hidden="1" customHeight="1">
      <c r="A693" s="53"/>
      <c r="B693" s="53" t="s">
        <v>239</v>
      </c>
      <c r="C693" s="9">
        <v>1</v>
      </c>
      <c r="D693" s="8" t="s">
        <v>2064</v>
      </c>
      <c r="E693" s="9" t="s">
        <v>354</v>
      </c>
      <c r="F693" s="8"/>
      <c r="G693" s="9"/>
      <c r="H693" s="10" t="s">
        <v>2141</v>
      </c>
      <c r="I693" s="9" t="s">
        <v>2142</v>
      </c>
      <c r="J693" s="658">
        <v>0</v>
      </c>
      <c r="K693" s="118">
        <v>22000000</v>
      </c>
      <c r="L693" s="118">
        <f t="shared" si="263"/>
        <v>2200000</v>
      </c>
      <c r="M693" s="658">
        <v>0</v>
      </c>
      <c r="N693" s="189">
        <f t="shared" si="245"/>
        <v>24200000</v>
      </c>
      <c r="O693" s="197" t="s">
        <v>239</v>
      </c>
      <c r="P693" s="197" t="s">
        <v>105</v>
      </c>
      <c r="Q693" s="175"/>
      <c r="R693" s="175"/>
      <c r="S693" s="116">
        <v>0</v>
      </c>
      <c r="T693" s="116"/>
      <c r="U693" s="116"/>
      <c r="V693" s="210">
        <f t="shared" ref="V693:V802" si="264">M693+Q693-R693</f>
        <v>0</v>
      </c>
      <c r="W693" s="115">
        <f t="shared" si="243"/>
        <v>24200000</v>
      </c>
      <c r="X693" s="181"/>
      <c r="Y693" s="116"/>
      <c r="Z693" s="185"/>
      <c r="AA693" s="592"/>
      <c r="AB693" s="186"/>
      <c r="AC693" s="9"/>
      <c r="AD693" s="297"/>
      <c r="AE693" s="297">
        <f t="shared" si="234"/>
        <v>0</v>
      </c>
      <c r="AF693" s="9"/>
      <c r="AG693" s="9" t="s">
        <v>1395</v>
      </c>
      <c r="AH693" s="300">
        <v>42796</v>
      </c>
      <c r="AI693" s="9" t="s">
        <v>1426</v>
      </c>
      <c r="AJ693" s="300">
        <v>42796</v>
      </c>
      <c r="AK693" s="73" t="str">
        <f t="shared" si="242"/>
        <v>NUSANTARA SARANA ALAM, PTMAR</v>
      </c>
    </row>
    <row r="694" spans="1:37" s="114" customFormat="1" ht="12" hidden="1" customHeight="1">
      <c r="A694" s="53"/>
      <c r="B694" s="53" t="s">
        <v>239</v>
      </c>
      <c r="C694" s="9">
        <v>1</v>
      </c>
      <c r="D694" s="8" t="s">
        <v>2064</v>
      </c>
      <c r="E694" s="9" t="s">
        <v>354</v>
      </c>
      <c r="F694" s="8"/>
      <c r="G694" s="9"/>
      <c r="H694" s="10" t="s">
        <v>2143</v>
      </c>
      <c r="I694" s="9" t="s">
        <v>2144</v>
      </c>
      <c r="J694" s="658">
        <v>0</v>
      </c>
      <c r="K694" s="118">
        <v>22000000</v>
      </c>
      <c r="L694" s="118">
        <f t="shared" si="263"/>
        <v>2200000</v>
      </c>
      <c r="M694" s="658">
        <v>0</v>
      </c>
      <c r="N694" s="189">
        <f t="shared" si="245"/>
        <v>24200000</v>
      </c>
      <c r="O694" s="197" t="s">
        <v>240</v>
      </c>
      <c r="P694" s="197" t="s">
        <v>114</v>
      </c>
      <c r="Q694" s="175"/>
      <c r="R694" s="175"/>
      <c r="S694" s="116">
        <v>0</v>
      </c>
      <c r="T694" s="116">
        <f>-K694*2%</f>
        <v>-440000</v>
      </c>
      <c r="U694" s="116">
        <v>23760000</v>
      </c>
      <c r="V694" s="210">
        <f t="shared" si="264"/>
        <v>0</v>
      </c>
      <c r="W694" s="115">
        <f t="shared" si="243"/>
        <v>0</v>
      </c>
      <c r="X694" s="181" t="s">
        <v>237</v>
      </c>
      <c r="Y694" s="116"/>
      <c r="Z694" s="185"/>
      <c r="AA694" s="592"/>
      <c r="AB694" s="186"/>
      <c r="AC694" s="300">
        <v>42853</v>
      </c>
      <c r="AD694" s="297">
        <v>440000</v>
      </c>
      <c r="AE694" s="297">
        <f t="shared" si="234"/>
        <v>0</v>
      </c>
      <c r="AF694" s="9" t="s">
        <v>2889</v>
      </c>
      <c r="AG694" s="9" t="s">
        <v>1395</v>
      </c>
      <c r="AH694" s="300">
        <v>42796</v>
      </c>
      <c r="AI694" s="9" t="s">
        <v>1426</v>
      </c>
      <c r="AJ694" s="300">
        <v>42796</v>
      </c>
      <c r="AK694" s="73" t="str">
        <f t="shared" si="242"/>
        <v>NUSANTARA SARANA ALAM, PTAPR</v>
      </c>
    </row>
    <row r="695" spans="1:37" s="114" customFormat="1" ht="12" hidden="1" customHeight="1">
      <c r="A695" s="53"/>
      <c r="B695" s="53" t="s">
        <v>240</v>
      </c>
      <c r="C695" s="9">
        <v>3</v>
      </c>
      <c r="D695" s="8" t="s">
        <v>2064</v>
      </c>
      <c r="E695" s="9" t="s">
        <v>354</v>
      </c>
      <c r="F695" s="8"/>
      <c r="G695" s="9"/>
      <c r="H695" s="10" t="s">
        <v>2279</v>
      </c>
      <c r="I695" s="9" t="s">
        <v>2280</v>
      </c>
      <c r="J695" s="658">
        <v>0</v>
      </c>
      <c r="K695" s="118">
        <v>22000000</v>
      </c>
      <c r="L695" s="118">
        <f t="shared" si="263"/>
        <v>2200000</v>
      </c>
      <c r="M695" s="658">
        <v>0</v>
      </c>
      <c r="N695" s="189">
        <f t="shared" si="245"/>
        <v>24200000</v>
      </c>
      <c r="O695" s="197" t="s">
        <v>58</v>
      </c>
      <c r="P695" s="197" t="s">
        <v>104</v>
      </c>
      <c r="Q695" s="175"/>
      <c r="R695" s="175"/>
      <c r="S695" s="116">
        <v>0</v>
      </c>
      <c r="T695" s="116">
        <f>-K695*2%</f>
        <v>-440000</v>
      </c>
      <c r="U695" s="116">
        <v>23760000</v>
      </c>
      <c r="V695" s="210">
        <f t="shared" si="264"/>
        <v>0</v>
      </c>
      <c r="W695" s="115">
        <f t="shared" si="243"/>
        <v>0</v>
      </c>
      <c r="X695" s="181" t="s">
        <v>237</v>
      </c>
      <c r="Y695" s="116"/>
      <c r="Z695" s="185"/>
      <c r="AA695" s="592"/>
      <c r="AB695" s="186"/>
      <c r="AC695" s="300">
        <v>42865</v>
      </c>
      <c r="AD695" s="297">
        <v>440000</v>
      </c>
      <c r="AE695" s="297">
        <f t="shared" si="234"/>
        <v>0</v>
      </c>
      <c r="AF695" s="9" t="s">
        <v>2890</v>
      </c>
      <c r="AG695" s="9" t="s">
        <v>1395</v>
      </c>
      <c r="AH695" s="300">
        <v>42829</v>
      </c>
      <c r="AI695" s="9" t="s">
        <v>1426</v>
      </c>
      <c r="AJ695" s="300">
        <v>42829</v>
      </c>
      <c r="AK695" s="73" t="str">
        <f t="shared" si="242"/>
        <v>NUSANTARA SARANA ALAM, PTMEI</v>
      </c>
    </row>
    <row r="696" spans="1:37" s="114" customFormat="1" ht="12" hidden="1" customHeight="1">
      <c r="A696" s="53"/>
      <c r="B696" s="53" t="s">
        <v>58</v>
      </c>
      <c r="C696" s="9">
        <v>2</v>
      </c>
      <c r="D696" s="8" t="s">
        <v>2064</v>
      </c>
      <c r="E696" s="9" t="s">
        <v>354</v>
      </c>
      <c r="F696" s="8"/>
      <c r="G696" s="9"/>
      <c r="H696" s="10" t="s">
        <v>2490</v>
      </c>
      <c r="I696" s="9" t="s">
        <v>2491</v>
      </c>
      <c r="J696" s="658">
        <v>0</v>
      </c>
      <c r="K696" s="118">
        <v>4400000</v>
      </c>
      <c r="L696" s="118">
        <f t="shared" si="263"/>
        <v>440000</v>
      </c>
      <c r="M696" s="658">
        <v>0</v>
      </c>
      <c r="N696" s="189">
        <f>K696+L696</f>
        <v>4840000</v>
      </c>
      <c r="O696" s="197" t="s">
        <v>241</v>
      </c>
      <c r="P696" s="197" t="s">
        <v>19</v>
      </c>
      <c r="Q696" s="175"/>
      <c r="R696" s="175"/>
      <c r="S696" s="116">
        <v>0</v>
      </c>
      <c r="T696" s="116">
        <f>-K696*2%</f>
        <v>-88000</v>
      </c>
      <c r="U696" s="116">
        <v>4752000</v>
      </c>
      <c r="V696" s="210">
        <f t="shared" si="264"/>
        <v>0</v>
      </c>
      <c r="W696" s="115">
        <f t="shared" si="243"/>
        <v>0</v>
      </c>
      <c r="X696" s="181" t="s">
        <v>237</v>
      </c>
      <c r="Y696" s="116"/>
      <c r="Z696" s="185"/>
      <c r="AA696" s="592"/>
      <c r="AB696" s="186"/>
      <c r="AC696" s="300">
        <v>42895</v>
      </c>
      <c r="AD696" s="297">
        <v>88000</v>
      </c>
      <c r="AE696" s="297">
        <f t="shared" si="234"/>
        <v>0</v>
      </c>
      <c r="AF696" s="9" t="s">
        <v>3038</v>
      </c>
      <c r="AG696" s="9" t="s">
        <v>1395</v>
      </c>
      <c r="AH696" s="300">
        <v>42860</v>
      </c>
      <c r="AI696" s="9" t="s">
        <v>2515</v>
      </c>
      <c r="AJ696" s="300">
        <v>42860</v>
      </c>
      <c r="AK696" s="73" t="str">
        <f t="shared" si="242"/>
        <v>NUSANTARA SARANA ALAM, PTJUN</v>
      </c>
    </row>
    <row r="697" spans="1:37" s="114" customFormat="1" ht="12" hidden="1" customHeight="1">
      <c r="A697" s="53"/>
      <c r="B697" s="53" t="s">
        <v>241</v>
      </c>
      <c r="C697" s="9">
        <v>2</v>
      </c>
      <c r="D697" s="8" t="s">
        <v>2064</v>
      </c>
      <c r="E697" s="9" t="s">
        <v>354</v>
      </c>
      <c r="F697" s="8"/>
      <c r="G697" s="9"/>
      <c r="H697" s="10" t="s">
        <v>2620</v>
      </c>
      <c r="I697" s="9" t="s">
        <v>2662</v>
      </c>
      <c r="J697" s="658">
        <v>0</v>
      </c>
      <c r="K697" s="118">
        <v>22000000</v>
      </c>
      <c r="L697" s="118">
        <f t="shared" si="263"/>
        <v>2200000</v>
      </c>
      <c r="M697" s="658">
        <v>0</v>
      </c>
      <c r="N697" s="189">
        <f t="shared" si="245"/>
        <v>24200000</v>
      </c>
      <c r="O697" s="197" t="s">
        <v>242</v>
      </c>
      <c r="P697" s="197" t="s">
        <v>34</v>
      </c>
      <c r="Q697" s="175"/>
      <c r="R697" s="175"/>
      <c r="S697" s="116">
        <v>0</v>
      </c>
      <c r="T697" s="116">
        <f>-K697*2%</f>
        <v>-440000</v>
      </c>
      <c r="U697" s="116">
        <v>23760000</v>
      </c>
      <c r="V697" s="210">
        <f t="shared" si="264"/>
        <v>0</v>
      </c>
      <c r="W697" s="115">
        <f t="shared" si="243"/>
        <v>0</v>
      </c>
      <c r="X697" s="181" t="s">
        <v>237</v>
      </c>
      <c r="Y697" s="116"/>
      <c r="Z697" s="185"/>
      <c r="AA697" s="592"/>
      <c r="AB697" s="186"/>
      <c r="AC697" s="9"/>
      <c r="AD697" s="297"/>
      <c r="AE697" s="297">
        <f t="shared" si="234"/>
        <v>440000</v>
      </c>
      <c r="AF697" s="9"/>
      <c r="AG697" s="9" t="s">
        <v>1395</v>
      </c>
      <c r="AH697" s="300">
        <v>42892</v>
      </c>
      <c r="AI697" s="9" t="s">
        <v>1426</v>
      </c>
      <c r="AJ697" s="300">
        <v>42892</v>
      </c>
      <c r="AK697" s="73" t="str">
        <f t="shared" si="242"/>
        <v>NUSANTARA SARANA ALAM, PTJUL</v>
      </c>
    </row>
    <row r="698" spans="1:37" s="114" customFormat="1" ht="12" hidden="1" customHeight="1">
      <c r="A698" s="53"/>
      <c r="B698" s="53" t="s">
        <v>242</v>
      </c>
      <c r="C698" s="9">
        <v>3</v>
      </c>
      <c r="D698" s="8" t="s">
        <v>2064</v>
      </c>
      <c r="E698" s="9" t="s">
        <v>354</v>
      </c>
      <c r="F698" s="8" t="s">
        <v>3081</v>
      </c>
      <c r="G698" s="9" t="s">
        <v>59</v>
      </c>
      <c r="H698" s="10" t="s">
        <v>2761</v>
      </c>
      <c r="I698" s="9" t="s">
        <v>2814</v>
      </c>
      <c r="J698" s="658">
        <v>0</v>
      </c>
      <c r="K698" s="118">
        <v>22000000</v>
      </c>
      <c r="L698" s="118">
        <f t="shared" ref="L698:L706" si="265">K698*10%</f>
        <v>2200000</v>
      </c>
      <c r="M698" s="658">
        <v>0</v>
      </c>
      <c r="N698" s="189">
        <f t="shared" ref="N698:N706" si="266">K698+L698</f>
        <v>24200000</v>
      </c>
      <c r="O698" s="197" t="s">
        <v>243</v>
      </c>
      <c r="P698" s="197" t="s">
        <v>31</v>
      </c>
      <c r="Q698" s="175"/>
      <c r="R698" s="175"/>
      <c r="S698" s="116">
        <v>0</v>
      </c>
      <c r="T698" s="116">
        <f>-K698*2%</f>
        <v>-440000</v>
      </c>
      <c r="U698" s="116">
        <v>23760000</v>
      </c>
      <c r="V698" s="210">
        <f t="shared" si="264"/>
        <v>0</v>
      </c>
      <c r="W698" s="115">
        <f t="shared" si="243"/>
        <v>0</v>
      </c>
      <c r="X698" s="181" t="s">
        <v>237</v>
      </c>
      <c r="Y698" s="116"/>
      <c r="Z698" s="185"/>
      <c r="AA698" s="592"/>
      <c r="AB698" s="186"/>
      <c r="AC698" s="9"/>
      <c r="AD698" s="297"/>
      <c r="AE698" s="297">
        <f t="shared" si="234"/>
        <v>440000</v>
      </c>
      <c r="AF698" s="9"/>
      <c r="AG698" s="9" t="s">
        <v>1395</v>
      </c>
      <c r="AH698" s="300">
        <v>42922</v>
      </c>
      <c r="AI698" s="9" t="s">
        <v>2832</v>
      </c>
      <c r="AJ698" s="300">
        <v>42922</v>
      </c>
      <c r="AK698" s="73" t="str">
        <f t="shared" si="242"/>
        <v>NUSANTARA SARANA ALAM, PTAGS</v>
      </c>
    </row>
    <row r="699" spans="1:37" s="114" customFormat="1" ht="14.25" hidden="1" customHeight="1">
      <c r="A699" s="53"/>
      <c r="B699" s="53" t="s">
        <v>243</v>
      </c>
      <c r="C699" s="9">
        <v>1</v>
      </c>
      <c r="D699" s="8" t="s">
        <v>2064</v>
      </c>
      <c r="E699" s="9" t="s">
        <v>354</v>
      </c>
      <c r="F699" s="8" t="s">
        <v>3118</v>
      </c>
      <c r="G699" s="9" t="s">
        <v>60</v>
      </c>
      <c r="H699" s="10" t="s">
        <v>2927</v>
      </c>
      <c r="I699" s="9" t="s">
        <v>2965</v>
      </c>
      <c r="J699" s="658"/>
      <c r="K699" s="118">
        <v>22000000</v>
      </c>
      <c r="L699" s="118">
        <f t="shared" si="265"/>
        <v>2200000</v>
      </c>
      <c r="M699" s="658">
        <v>0</v>
      </c>
      <c r="N699" s="189">
        <f t="shared" si="266"/>
        <v>24200000</v>
      </c>
      <c r="O699" s="197" t="s">
        <v>244</v>
      </c>
      <c r="P699" s="197" t="s">
        <v>115</v>
      </c>
      <c r="Q699" s="175"/>
      <c r="R699" s="175"/>
      <c r="S699" s="116"/>
      <c r="T699" s="116">
        <f t="shared" ref="T699:T704" si="267">-K699*2%</f>
        <v>-440000</v>
      </c>
      <c r="U699" s="116">
        <v>23760000</v>
      </c>
      <c r="V699" s="210">
        <f t="shared" si="264"/>
        <v>0</v>
      </c>
      <c r="W699" s="115">
        <f t="shared" si="243"/>
        <v>0</v>
      </c>
      <c r="X699" s="181" t="s">
        <v>237</v>
      </c>
      <c r="Y699" s="116"/>
      <c r="Z699" s="185"/>
      <c r="AA699" s="592"/>
      <c r="AB699" s="186"/>
      <c r="AC699" s="9"/>
      <c r="AD699" s="297"/>
      <c r="AE699" s="297"/>
      <c r="AF699" s="9"/>
      <c r="AG699" s="9" t="s">
        <v>1395</v>
      </c>
      <c r="AH699" s="300">
        <v>42949</v>
      </c>
      <c r="AI699" s="9" t="s">
        <v>2832</v>
      </c>
      <c r="AJ699" s="300">
        <v>42949</v>
      </c>
      <c r="AK699" s="73" t="str">
        <f t="shared" si="242"/>
        <v>NUSANTARA SARANA ALAM, PTSEP</v>
      </c>
    </row>
    <row r="700" spans="1:37" s="114" customFormat="1" ht="12.75" hidden="1" customHeight="1">
      <c r="A700" s="53"/>
      <c r="B700" s="1220" t="s">
        <v>244</v>
      </c>
      <c r="C700" s="1221">
        <v>4</v>
      </c>
      <c r="D700" s="1222" t="s">
        <v>2064</v>
      </c>
      <c r="E700" s="1221" t="s">
        <v>354</v>
      </c>
      <c r="F700" s="1417" t="s">
        <v>3118</v>
      </c>
      <c r="G700" s="1221" t="s">
        <v>559</v>
      </c>
      <c r="H700" s="1223" t="s">
        <v>3122</v>
      </c>
      <c r="I700" s="1221" t="s">
        <v>3123</v>
      </c>
      <c r="J700" s="1237"/>
      <c r="K700" s="1212">
        <v>22000000</v>
      </c>
      <c r="L700" s="1212">
        <f t="shared" si="265"/>
        <v>2200000</v>
      </c>
      <c r="M700" s="1054">
        <v>0</v>
      </c>
      <c r="N700" s="1225">
        <f t="shared" si="266"/>
        <v>24200000</v>
      </c>
      <c r="O700" s="1307" t="s">
        <v>245</v>
      </c>
      <c r="P700" s="197" t="s">
        <v>34</v>
      </c>
      <c r="Q700" s="175"/>
      <c r="R700" s="175"/>
      <c r="S700" s="116">
        <v>0</v>
      </c>
      <c r="T700" s="116">
        <f t="shared" si="267"/>
        <v>-440000</v>
      </c>
      <c r="U700" s="116">
        <v>23760000</v>
      </c>
      <c r="V700" s="210">
        <f t="shared" si="264"/>
        <v>0</v>
      </c>
      <c r="W700" s="115">
        <f t="shared" si="243"/>
        <v>0</v>
      </c>
      <c r="X700" s="181" t="s">
        <v>237</v>
      </c>
      <c r="Y700" s="116"/>
      <c r="Z700" s="185"/>
      <c r="AA700" s="592"/>
      <c r="AB700" s="186"/>
      <c r="AC700" s="9"/>
      <c r="AD700" s="297"/>
      <c r="AE700" s="297"/>
      <c r="AF700" s="9"/>
      <c r="AG700" s="9"/>
      <c r="AH700" s="300"/>
      <c r="AI700" s="9"/>
      <c r="AJ700" s="300"/>
      <c r="AK700" s="73" t="str">
        <f t="shared" si="242"/>
        <v>NUSANTARA SARANA ALAM, PTOKT</v>
      </c>
    </row>
    <row r="701" spans="1:37" s="114" customFormat="1" ht="12.75" hidden="1" customHeight="1">
      <c r="A701" s="53"/>
      <c r="B701" s="1220" t="s">
        <v>245</v>
      </c>
      <c r="C701" s="1221">
        <v>3</v>
      </c>
      <c r="D701" s="1222" t="s">
        <v>2064</v>
      </c>
      <c r="E701" s="1221" t="s">
        <v>354</v>
      </c>
      <c r="F701" s="1417" t="s">
        <v>3118</v>
      </c>
      <c r="G701" s="1221" t="s">
        <v>602</v>
      </c>
      <c r="H701" s="1223" t="s">
        <v>3332</v>
      </c>
      <c r="I701" s="1221" t="s">
        <v>3333</v>
      </c>
      <c r="J701" s="1237"/>
      <c r="K701" s="1212">
        <v>22000000</v>
      </c>
      <c r="L701" s="1212">
        <f t="shared" si="265"/>
        <v>2200000</v>
      </c>
      <c r="M701" s="1237">
        <v>0</v>
      </c>
      <c r="N701" s="1225">
        <f t="shared" si="266"/>
        <v>24200000</v>
      </c>
      <c r="O701" s="1202" t="s">
        <v>238</v>
      </c>
      <c r="P701" s="1202" t="s">
        <v>114</v>
      </c>
      <c r="Q701" s="175"/>
      <c r="R701" s="175"/>
      <c r="S701" s="116">
        <v>0</v>
      </c>
      <c r="T701" s="116">
        <f t="shared" si="267"/>
        <v>-440000</v>
      </c>
      <c r="U701" s="116">
        <v>23760000</v>
      </c>
      <c r="V701" s="210"/>
      <c r="W701" s="115">
        <f t="shared" si="243"/>
        <v>0</v>
      </c>
      <c r="X701" s="181"/>
      <c r="Y701" s="116"/>
      <c r="Z701" s="185"/>
      <c r="AA701" s="592"/>
      <c r="AB701" s="186"/>
      <c r="AC701" s="9"/>
      <c r="AD701" s="297"/>
      <c r="AE701" s="297"/>
      <c r="AF701" s="9"/>
      <c r="AG701" s="9"/>
      <c r="AH701" s="300"/>
      <c r="AI701" s="9"/>
      <c r="AJ701" s="300"/>
      <c r="AK701" s="73" t="str">
        <f t="shared" si="242"/>
        <v>NUSANTARA SARANA ALAM, PTNOV</v>
      </c>
    </row>
    <row r="702" spans="1:37" s="114" customFormat="1" ht="12.75" hidden="1" customHeight="1">
      <c r="A702" s="53"/>
      <c r="B702" s="1220" t="s">
        <v>238</v>
      </c>
      <c r="C702" s="1221">
        <v>1</v>
      </c>
      <c r="D702" s="1222" t="s">
        <v>2064</v>
      </c>
      <c r="E702" s="1221" t="s">
        <v>354</v>
      </c>
      <c r="F702" s="1417" t="s">
        <v>3118</v>
      </c>
      <c r="G702" s="1221" t="s">
        <v>641</v>
      </c>
      <c r="H702" s="1223" t="s">
        <v>3499</v>
      </c>
      <c r="I702" s="1221" t="s">
        <v>3500</v>
      </c>
      <c r="J702" s="1237"/>
      <c r="K702" s="1212">
        <v>22000000</v>
      </c>
      <c r="L702" s="1212">
        <f t="shared" si="265"/>
        <v>2200000</v>
      </c>
      <c r="M702" s="1237"/>
      <c r="N702" s="1225">
        <f t="shared" si="266"/>
        <v>24200000</v>
      </c>
      <c r="O702" s="1202" t="s">
        <v>140</v>
      </c>
      <c r="P702" s="1202" t="s">
        <v>88</v>
      </c>
      <c r="Q702" s="175"/>
      <c r="R702" s="175"/>
      <c r="S702" s="116">
        <v>0</v>
      </c>
      <c r="T702" s="116">
        <f t="shared" ref="T702" si="268">-K702*2%</f>
        <v>-440000</v>
      </c>
      <c r="U702" s="116">
        <v>23760000</v>
      </c>
      <c r="V702" s="210"/>
      <c r="W702" s="115"/>
      <c r="X702" s="181"/>
      <c r="Y702" s="116"/>
      <c r="Z702" s="185"/>
      <c r="AA702" s="592"/>
      <c r="AB702" s="186"/>
      <c r="AC702" s="9"/>
      <c r="AD702" s="297"/>
      <c r="AE702" s="297"/>
      <c r="AF702" s="9"/>
      <c r="AG702" s="9"/>
      <c r="AH702" s="300"/>
      <c r="AI702" s="9"/>
      <c r="AJ702" s="300"/>
      <c r="AK702" s="73" t="str">
        <f t="shared" si="242"/>
        <v>NUSANTARA SARANA ALAM, PTDES</v>
      </c>
    </row>
    <row r="703" spans="1:37" s="114" customFormat="1" ht="12.75" hidden="1" customHeight="1">
      <c r="A703" s="53"/>
      <c r="B703" s="758" t="s">
        <v>140</v>
      </c>
      <c r="C703" s="759">
        <v>4</v>
      </c>
      <c r="D703" s="760" t="s">
        <v>2064</v>
      </c>
      <c r="E703" s="759" t="s">
        <v>354</v>
      </c>
      <c r="F703" s="1401" t="s">
        <v>3118</v>
      </c>
      <c r="G703" s="759" t="s">
        <v>1616</v>
      </c>
      <c r="H703" s="761" t="s">
        <v>3638</v>
      </c>
      <c r="I703" s="759" t="s">
        <v>3639</v>
      </c>
      <c r="J703" s="1054"/>
      <c r="K703" s="764">
        <v>22000000</v>
      </c>
      <c r="L703" s="764">
        <f t="shared" ref="L703" si="269">K703*10%</f>
        <v>2200000</v>
      </c>
      <c r="M703" s="1054"/>
      <c r="N703" s="763">
        <f t="shared" ref="N703" si="270">K703+L703</f>
        <v>24200000</v>
      </c>
      <c r="O703" s="1202"/>
      <c r="P703" s="1202"/>
      <c r="Q703" s="175"/>
      <c r="R703" s="175"/>
      <c r="S703" s="116"/>
      <c r="T703" s="116"/>
      <c r="U703" s="116"/>
      <c r="V703" s="210"/>
      <c r="W703" s="115"/>
      <c r="X703" s="181"/>
      <c r="Y703" s="116"/>
      <c r="Z703" s="185"/>
      <c r="AA703" s="592"/>
      <c r="AB703" s="186"/>
      <c r="AC703" s="9"/>
      <c r="AD703" s="297"/>
      <c r="AE703" s="297"/>
      <c r="AF703" s="9"/>
      <c r="AG703" s="9"/>
      <c r="AH703" s="300"/>
      <c r="AI703" s="9"/>
      <c r="AJ703" s="300"/>
      <c r="AK703" s="73"/>
    </row>
    <row r="704" spans="1:37" s="114" customFormat="1" ht="12.75" hidden="1" customHeight="1">
      <c r="A704" s="1220"/>
      <c r="B704" s="1220" t="s">
        <v>242</v>
      </c>
      <c r="C704" s="1221">
        <v>19</v>
      </c>
      <c r="D704" s="1222" t="s">
        <v>2894</v>
      </c>
      <c r="E704" s="1221" t="s">
        <v>144</v>
      </c>
      <c r="F704" s="1417" t="s">
        <v>3084</v>
      </c>
      <c r="G704" s="1221" t="s">
        <v>3085</v>
      </c>
      <c r="H704" s="1223" t="s">
        <v>2895</v>
      </c>
      <c r="I704" s="1221" t="s">
        <v>2896</v>
      </c>
      <c r="J704" s="1237"/>
      <c r="K704" s="1212">
        <v>15000000</v>
      </c>
      <c r="L704" s="1212">
        <f t="shared" si="265"/>
        <v>1500000</v>
      </c>
      <c r="M704" s="1237"/>
      <c r="N704" s="1225">
        <f t="shared" si="266"/>
        <v>16500000</v>
      </c>
      <c r="O704" s="1202" t="s">
        <v>140</v>
      </c>
      <c r="P704" s="1202" t="s">
        <v>26</v>
      </c>
      <c r="Q704" s="175"/>
      <c r="R704" s="175"/>
      <c r="S704" s="116">
        <v>0</v>
      </c>
      <c r="T704" s="116">
        <f t="shared" si="267"/>
        <v>-300000</v>
      </c>
      <c r="U704" s="116">
        <v>16200000</v>
      </c>
      <c r="V704" s="210">
        <f t="shared" si="264"/>
        <v>0</v>
      </c>
      <c r="W704" s="115">
        <f t="shared" si="243"/>
        <v>0</v>
      </c>
      <c r="X704" s="181"/>
      <c r="Y704" s="116"/>
      <c r="Z704" s="185"/>
      <c r="AA704" s="592"/>
      <c r="AB704" s="186"/>
      <c r="AC704" s="9"/>
      <c r="AD704" s="297"/>
      <c r="AE704" s="297"/>
      <c r="AF704" s="9"/>
      <c r="AG704" s="9" t="s">
        <v>2061</v>
      </c>
      <c r="AH704" s="300">
        <v>42940</v>
      </c>
      <c r="AI704" s="9" t="s">
        <v>3003</v>
      </c>
      <c r="AJ704" s="300">
        <v>42940</v>
      </c>
      <c r="AK704" s="73" t="str">
        <f t="shared" si="242"/>
        <v>PAMA PERSADA NUSANTARA, PTDES</v>
      </c>
    </row>
    <row r="705" spans="1:37" s="114" customFormat="1" ht="12.75" hidden="1" customHeight="1">
      <c r="A705" s="53"/>
      <c r="B705" s="758" t="s">
        <v>238</v>
      </c>
      <c r="C705" s="759">
        <v>6</v>
      </c>
      <c r="D705" s="760" t="s">
        <v>2894</v>
      </c>
      <c r="E705" s="759" t="s">
        <v>144</v>
      </c>
      <c r="F705" s="1401" t="s">
        <v>3503</v>
      </c>
      <c r="G705" s="759" t="s">
        <v>59</v>
      </c>
      <c r="H705" s="761" t="s">
        <v>3504</v>
      </c>
      <c r="I705" s="759" t="s">
        <v>3505</v>
      </c>
      <c r="J705" s="1054"/>
      <c r="K705" s="764">
        <v>25000000</v>
      </c>
      <c r="L705" s="764">
        <f t="shared" si="265"/>
        <v>2500000</v>
      </c>
      <c r="M705" s="1054"/>
      <c r="N705" s="763">
        <f t="shared" si="266"/>
        <v>27500000</v>
      </c>
      <c r="O705" s="1202"/>
      <c r="P705" s="1202"/>
      <c r="Q705" s="175"/>
      <c r="R705" s="175"/>
      <c r="S705" s="116"/>
      <c r="T705" s="116"/>
      <c r="U705" s="116"/>
      <c r="V705" s="210"/>
      <c r="W705" s="115"/>
      <c r="X705" s="181"/>
      <c r="Y705" s="116"/>
      <c r="Z705" s="185"/>
      <c r="AA705" s="592"/>
      <c r="AB705" s="186"/>
      <c r="AC705" s="9"/>
      <c r="AD705" s="297"/>
      <c r="AE705" s="297"/>
      <c r="AF705" s="9"/>
      <c r="AG705" s="9"/>
      <c r="AH705" s="300"/>
      <c r="AI705" s="9"/>
      <c r="AJ705" s="300"/>
      <c r="AK705" s="73"/>
    </row>
    <row r="706" spans="1:37" s="114" customFormat="1" ht="12.75" hidden="1" customHeight="1">
      <c r="A706" s="53"/>
      <c r="B706" s="758" t="s">
        <v>238</v>
      </c>
      <c r="C706" s="759">
        <v>6</v>
      </c>
      <c r="D706" s="760" t="s">
        <v>2894</v>
      </c>
      <c r="E706" s="759" t="s">
        <v>144</v>
      </c>
      <c r="F706" s="1401" t="s">
        <v>3503</v>
      </c>
      <c r="G706" s="759" t="s">
        <v>60</v>
      </c>
      <c r="H706" s="761" t="s">
        <v>3506</v>
      </c>
      <c r="I706" s="759" t="s">
        <v>3507</v>
      </c>
      <c r="J706" s="1054"/>
      <c r="K706" s="764">
        <v>25000000</v>
      </c>
      <c r="L706" s="764">
        <f t="shared" si="265"/>
        <v>2500000</v>
      </c>
      <c r="M706" s="1054"/>
      <c r="N706" s="763">
        <f t="shared" si="266"/>
        <v>27500000</v>
      </c>
      <c r="O706" s="1202"/>
      <c r="P706" s="1202"/>
      <c r="Q706" s="175"/>
      <c r="R706" s="175"/>
      <c r="S706" s="116"/>
      <c r="T706" s="116"/>
      <c r="U706" s="116"/>
      <c r="V706" s="210"/>
      <c r="W706" s="115"/>
      <c r="X706" s="181"/>
      <c r="Y706" s="116"/>
      <c r="Z706" s="185"/>
      <c r="AA706" s="592"/>
      <c r="AB706" s="186"/>
      <c r="AC706" s="9"/>
      <c r="AD706" s="297"/>
      <c r="AE706" s="297"/>
      <c r="AF706" s="9"/>
      <c r="AG706" s="9"/>
      <c r="AH706" s="300"/>
      <c r="AI706" s="9"/>
      <c r="AJ706" s="300"/>
      <c r="AK706" s="73"/>
    </row>
    <row r="707" spans="1:37" s="114" customFormat="1" ht="12" hidden="1" customHeight="1">
      <c r="A707" s="53"/>
      <c r="B707" s="53" t="s">
        <v>243</v>
      </c>
      <c r="C707" s="9"/>
      <c r="D707" s="8" t="s">
        <v>2894</v>
      </c>
      <c r="E707" s="9"/>
      <c r="F707" s="8"/>
      <c r="G707" s="9"/>
      <c r="H707" s="10"/>
      <c r="I707" s="9"/>
      <c r="J707" s="658"/>
      <c r="K707" s="118"/>
      <c r="L707" s="118"/>
      <c r="M707" s="658"/>
      <c r="N707" s="189"/>
      <c r="O707" s="197"/>
      <c r="P707" s="197"/>
      <c r="Q707" s="175"/>
      <c r="R707" s="175"/>
      <c r="S707" s="116"/>
      <c r="T707" s="116"/>
      <c r="U707" s="116"/>
      <c r="V707" s="210"/>
      <c r="W707" s="115"/>
      <c r="X707" s="181"/>
      <c r="Y707" s="116"/>
      <c r="Z707" s="185"/>
      <c r="AA707" s="592"/>
      <c r="AB707" s="186"/>
      <c r="AC707" s="9"/>
      <c r="AD707" s="297"/>
      <c r="AE707" s="297"/>
      <c r="AF707" s="9"/>
      <c r="AG707" s="892"/>
      <c r="AH707" s="893"/>
      <c r="AI707" s="892"/>
      <c r="AJ707" s="893"/>
      <c r="AK707" s="73" t="str">
        <f t="shared" si="242"/>
        <v>PAMA PERSADA NUSANTARA, PT</v>
      </c>
    </row>
    <row r="708" spans="1:37" s="114" customFormat="1" ht="12" hidden="1" customHeight="1">
      <c r="A708" s="53"/>
      <c r="B708" s="53" t="s">
        <v>194</v>
      </c>
      <c r="C708" s="9">
        <v>10</v>
      </c>
      <c r="D708" s="8" t="s">
        <v>430</v>
      </c>
      <c r="E708" s="10" t="s">
        <v>364</v>
      </c>
      <c r="F708" s="356"/>
      <c r="G708" s="10"/>
      <c r="H708" s="10" t="s">
        <v>1773</v>
      </c>
      <c r="I708" s="10" t="s">
        <v>1774</v>
      </c>
      <c r="J708" s="658">
        <v>0</v>
      </c>
      <c r="K708" s="118">
        <v>18500000</v>
      </c>
      <c r="L708" s="118">
        <f t="shared" si="263"/>
        <v>1850000</v>
      </c>
      <c r="M708" s="658">
        <v>0</v>
      </c>
      <c r="N708" s="189">
        <f t="shared" si="245"/>
        <v>20350000</v>
      </c>
      <c r="O708" s="197" t="s">
        <v>194</v>
      </c>
      <c r="P708" s="197" t="s">
        <v>89</v>
      </c>
      <c r="Q708" s="175"/>
      <c r="R708" s="175"/>
      <c r="S708" s="116">
        <f t="shared" ref="S708:S716" si="271">-K708*10%</f>
        <v>-1850000</v>
      </c>
      <c r="T708" s="116">
        <v>0</v>
      </c>
      <c r="U708" s="116">
        <v>18500000</v>
      </c>
      <c r="V708" s="210">
        <f t="shared" si="264"/>
        <v>0</v>
      </c>
      <c r="W708" s="115">
        <f t="shared" si="243"/>
        <v>0</v>
      </c>
      <c r="X708" s="181" t="s">
        <v>237</v>
      </c>
      <c r="Y708" s="116"/>
      <c r="Z708" s="185"/>
      <c r="AA708" s="592">
        <f>-S708-Z708</f>
        <v>1850000</v>
      </c>
      <c r="AB708" s="186"/>
      <c r="AC708" s="9"/>
      <c r="AD708" s="297"/>
      <c r="AE708" s="297">
        <f t="shared" si="234"/>
        <v>0</v>
      </c>
      <c r="AF708" s="9"/>
      <c r="AG708" s="9" t="s">
        <v>1775</v>
      </c>
      <c r="AH708" s="300">
        <v>42746</v>
      </c>
      <c r="AI708" s="9" t="s">
        <v>1883</v>
      </c>
      <c r="AJ708" s="9"/>
      <c r="AK708" s="73" t="str">
        <f t="shared" si="242"/>
        <v>PEMBANGUNAN PERUMAHAN (PERSERO), PTJAN</v>
      </c>
    </row>
    <row r="709" spans="1:37" s="114" customFormat="1" ht="12" hidden="1" customHeight="1">
      <c r="A709" s="53"/>
      <c r="B709" s="53" t="s">
        <v>195</v>
      </c>
      <c r="C709" s="9">
        <v>1</v>
      </c>
      <c r="D709" s="8" t="s">
        <v>430</v>
      </c>
      <c r="E709" s="10" t="s">
        <v>364</v>
      </c>
      <c r="F709" s="356"/>
      <c r="G709" s="10"/>
      <c r="H709" s="10" t="s">
        <v>2027</v>
      </c>
      <c r="I709" s="10" t="s">
        <v>2108</v>
      </c>
      <c r="J709" s="658">
        <v>0</v>
      </c>
      <c r="K709" s="118">
        <v>18500000</v>
      </c>
      <c r="L709" s="118">
        <f t="shared" si="263"/>
        <v>1850000</v>
      </c>
      <c r="M709" s="658">
        <v>0</v>
      </c>
      <c r="N709" s="189">
        <f t="shared" si="245"/>
        <v>20350000</v>
      </c>
      <c r="O709" s="197" t="s">
        <v>239</v>
      </c>
      <c r="P709" s="197" t="s">
        <v>97</v>
      </c>
      <c r="Q709" s="175"/>
      <c r="R709" s="175"/>
      <c r="S709" s="116">
        <f t="shared" si="271"/>
        <v>-1850000</v>
      </c>
      <c r="T709" s="116">
        <v>0</v>
      </c>
      <c r="U709" s="116">
        <v>18500000</v>
      </c>
      <c r="V709" s="210">
        <f t="shared" si="264"/>
        <v>0</v>
      </c>
      <c r="W709" s="115">
        <f t="shared" si="243"/>
        <v>0</v>
      </c>
      <c r="X709" s="181" t="s">
        <v>237</v>
      </c>
      <c r="Y709" s="116"/>
      <c r="Z709" s="185"/>
      <c r="AA709" s="592"/>
      <c r="AB709" s="186"/>
      <c r="AC709" s="9"/>
      <c r="AD709" s="297"/>
      <c r="AE709" s="297">
        <f t="shared" si="234"/>
        <v>0</v>
      </c>
      <c r="AF709" s="9"/>
      <c r="AG709" s="9" t="s">
        <v>1395</v>
      </c>
      <c r="AH709" s="300"/>
      <c r="AI709" s="9" t="s">
        <v>1883</v>
      </c>
      <c r="AJ709" s="9"/>
      <c r="AK709" s="73" t="str">
        <f t="shared" si="242"/>
        <v>PEMBANGUNAN PERUMAHAN (PERSERO), PTMAR</v>
      </c>
    </row>
    <row r="710" spans="1:37" s="114" customFormat="1" ht="12" hidden="1" customHeight="1">
      <c r="A710" s="53"/>
      <c r="B710" s="53" t="s">
        <v>239</v>
      </c>
      <c r="C710" s="9">
        <v>1</v>
      </c>
      <c r="D710" s="8" t="s">
        <v>430</v>
      </c>
      <c r="E710" s="10" t="s">
        <v>364</v>
      </c>
      <c r="F710" s="356"/>
      <c r="G710" s="10"/>
      <c r="H710" s="10" t="s">
        <v>2106</v>
      </c>
      <c r="I710" s="10" t="s">
        <v>2107</v>
      </c>
      <c r="J710" s="658">
        <v>0</v>
      </c>
      <c r="K710" s="118">
        <v>18500000</v>
      </c>
      <c r="L710" s="118">
        <f t="shared" si="263"/>
        <v>1850000</v>
      </c>
      <c r="M710" s="658">
        <v>0</v>
      </c>
      <c r="N710" s="189">
        <f t="shared" si="245"/>
        <v>20350000</v>
      </c>
      <c r="O710" s="197" t="s">
        <v>240</v>
      </c>
      <c r="P710" s="197" t="s">
        <v>18</v>
      </c>
      <c r="Q710" s="175"/>
      <c r="R710" s="175"/>
      <c r="S710" s="116">
        <f t="shared" si="271"/>
        <v>-1850000</v>
      </c>
      <c r="T710" s="116">
        <v>0</v>
      </c>
      <c r="U710" s="116">
        <v>18500000</v>
      </c>
      <c r="V710" s="210">
        <f t="shared" si="264"/>
        <v>0</v>
      </c>
      <c r="W710" s="115">
        <f t="shared" si="243"/>
        <v>0</v>
      </c>
      <c r="X710" s="181" t="s">
        <v>237</v>
      </c>
      <c r="Y710" s="116"/>
      <c r="Z710" s="185"/>
      <c r="AA710" s="592"/>
      <c r="AB710" s="186"/>
      <c r="AC710" s="9"/>
      <c r="AD710" s="297"/>
      <c r="AE710" s="297">
        <f t="shared" si="234"/>
        <v>0</v>
      </c>
      <c r="AF710" s="9"/>
      <c r="AG710" s="9" t="s">
        <v>1395</v>
      </c>
      <c r="AH710" s="300">
        <v>42796</v>
      </c>
      <c r="AI710" s="9" t="s">
        <v>1883</v>
      </c>
      <c r="AJ710" s="9"/>
      <c r="AK710" s="73" t="str">
        <f t="shared" si="242"/>
        <v>PEMBANGUNAN PERUMAHAN (PERSERO), PTAPR</v>
      </c>
    </row>
    <row r="711" spans="1:37" s="114" customFormat="1" ht="12" hidden="1" customHeight="1">
      <c r="A711" s="53"/>
      <c r="B711" s="53" t="s">
        <v>240</v>
      </c>
      <c r="C711" s="9">
        <v>3</v>
      </c>
      <c r="D711" s="8" t="s">
        <v>430</v>
      </c>
      <c r="E711" s="10" t="s">
        <v>364</v>
      </c>
      <c r="F711" s="356"/>
      <c r="G711" s="10"/>
      <c r="H711" s="10" t="s">
        <v>2263</v>
      </c>
      <c r="I711" s="10" t="s">
        <v>2264</v>
      </c>
      <c r="J711" s="658">
        <v>0</v>
      </c>
      <c r="K711" s="118">
        <v>18500000</v>
      </c>
      <c r="L711" s="118">
        <f t="shared" si="263"/>
        <v>1850000</v>
      </c>
      <c r="M711" s="658">
        <v>0</v>
      </c>
      <c r="N711" s="189">
        <f t="shared" si="245"/>
        <v>20350000</v>
      </c>
      <c r="O711" s="197" t="s">
        <v>58</v>
      </c>
      <c r="P711" s="197" t="s">
        <v>105</v>
      </c>
      <c r="Q711" s="175"/>
      <c r="R711" s="175"/>
      <c r="S711" s="116">
        <f t="shared" si="271"/>
        <v>-1850000</v>
      </c>
      <c r="T711" s="116">
        <v>0</v>
      </c>
      <c r="U711" s="116">
        <v>18500000</v>
      </c>
      <c r="V711" s="210">
        <f t="shared" si="264"/>
        <v>0</v>
      </c>
      <c r="W711" s="115">
        <f t="shared" si="243"/>
        <v>0</v>
      </c>
      <c r="X711" s="181" t="s">
        <v>237</v>
      </c>
      <c r="Y711" s="116"/>
      <c r="Z711" s="185"/>
      <c r="AA711" s="592"/>
      <c r="AB711" s="186"/>
      <c r="AC711" s="9"/>
      <c r="AD711" s="297"/>
      <c r="AE711" s="297">
        <f t="shared" si="234"/>
        <v>0</v>
      </c>
      <c r="AF711" s="9"/>
      <c r="AG711" s="9" t="s">
        <v>1395</v>
      </c>
      <c r="AH711" s="300">
        <v>42830</v>
      </c>
      <c r="AI711" s="9" t="s">
        <v>1883</v>
      </c>
      <c r="AJ711" s="9"/>
      <c r="AK711" s="73" t="str">
        <f t="shared" si="242"/>
        <v>PEMBANGUNAN PERUMAHAN (PERSERO), PTMEI</v>
      </c>
    </row>
    <row r="712" spans="1:37" s="114" customFormat="1" ht="12" hidden="1" customHeight="1">
      <c r="A712" s="53"/>
      <c r="B712" s="53" t="s">
        <v>58</v>
      </c>
      <c r="C712" s="9">
        <v>2</v>
      </c>
      <c r="D712" s="8" t="s">
        <v>430</v>
      </c>
      <c r="E712" s="10" t="s">
        <v>364</v>
      </c>
      <c r="F712" s="356"/>
      <c r="G712" s="10"/>
      <c r="H712" s="10" t="s">
        <v>2429</v>
      </c>
      <c r="I712" s="10" t="s">
        <v>2430</v>
      </c>
      <c r="J712" s="658">
        <v>0</v>
      </c>
      <c r="K712" s="118">
        <v>18500000</v>
      </c>
      <c r="L712" s="118">
        <f t="shared" si="263"/>
        <v>1850000</v>
      </c>
      <c r="M712" s="658">
        <v>0</v>
      </c>
      <c r="N712" s="189">
        <f t="shared" si="245"/>
        <v>20350000</v>
      </c>
      <c r="O712" s="197" t="s">
        <v>241</v>
      </c>
      <c r="P712" s="197" t="s">
        <v>88</v>
      </c>
      <c r="Q712" s="175"/>
      <c r="R712" s="175"/>
      <c r="S712" s="116">
        <f t="shared" si="271"/>
        <v>-1850000</v>
      </c>
      <c r="T712" s="116">
        <v>0</v>
      </c>
      <c r="U712" s="116">
        <v>18500000</v>
      </c>
      <c r="V712" s="210">
        <f t="shared" si="264"/>
        <v>0</v>
      </c>
      <c r="W712" s="115">
        <f t="shared" si="243"/>
        <v>0</v>
      </c>
      <c r="X712" s="181" t="s">
        <v>237</v>
      </c>
      <c r="Y712" s="116"/>
      <c r="Z712" s="185"/>
      <c r="AA712" s="592"/>
      <c r="AB712" s="186"/>
      <c r="AC712" s="9"/>
      <c r="AD712" s="297"/>
      <c r="AE712" s="297">
        <f t="shared" si="234"/>
        <v>0</v>
      </c>
      <c r="AF712" s="9"/>
      <c r="AG712" s="9" t="s">
        <v>1395</v>
      </c>
      <c r="AH712" s="300">
        <v>42859</v>
      </c>
      <c r="AI712" s="9" t="s">
        <v>1883</v>
      </c>
      <c r="AJ712" s="9"/>
      <c r="AK712" s="73" t="str">
        <f t="shared" si="242"/>
        <v>PEMBANGUNAN PERUMAHAN (PERSERO), PTJUN</v>
      </c>
    </row>
    <row r="713" spans="1:37" s="114" customFormat="1" ht="12" hidden="1" customHeight="1">
      <c r="A713" s="53"/>
      <c r="B713" s="53" t="s">
        <v>241</v>
      </c>
      <c r="C713" s="9">
        <v>2</v>
      </c>
      <c r="D713" s="8" t="s">
        <v>430</v>
      </c>
      <c r="E713" s="10" t="s">
        <v>364</v>
      </c>
      <c r="F713" s="356"/>
      <c r="G713" s="10"/>
      <c r="H713" s="10" t="s">
        <v>2601</v>
      </c>
      <c r="I713" s="10" t="s">
        <v>2645</v>
      </c>
      <c r="J713" s="658">
        <v>0</v>
      </c>
      <c r="K713" s="118">
        <v>6166666.6699999999</v>
      </c>
      <c r="L713" s="118">
        <v>0</v>
      </c>
      <c r="M713" s="658">
        <v>0</v>
      </c>
      <c r="N713" s="189">
        <f t="shared" ref="N713:N730" si="272">K713+L713</f>
        <v>6166666.6699999999</v>
      </c>
      <c r="O713" s="197" t="s">
        <v>244</v>
      </c>
      <c r="P713" s="197" t="s">
        <v>88</v>
      </c>
      <c r="Q713" s="175"/>
      <c r="R713" s="175"/>
      <c r="S713" s="116">
        <v>0</v>
      </c>
      <c r="T713" s="116">
        <v>0</v>
      </c>
      <c r="U713" s="116">
        <v>6166666.6699999999</v>
      </c>
      <c r="V713" s="210">
        <f t="shared" si="264"/>
        <v>0</v>
      </c>
      <c r="W713" s="115">
        <f t="shared" si="243"/>
        <v>0</v>
      </c>
      <c r="X713" s="181" t="s">
        <v>237</v>
      </c>
      <c r="Y713" s="116"/>
      <c r="Z713" s="185"/>
      <c r="AA713" s="592"/>
      <c r="AB713" s="186"/>
      <c r="AC713" s="9"/>
      <c r="AD713" s="297"/>
      <c r="AE713" s="297">
        <f t="shared" si="234"/>
        <v>0</v>
      </c>
      <c r="AF713" s="9"/>
      <c r="AG713" s="9" t="s">
        <v>1395</v>
      </c>
      <c r="AH713" s="300">
        <v>42891</v>
      </c>
      <c r="AI713" s="9" t="s">
        <v>1882</v>
      </c>
      <c r="AJ713" s="9"/>
      <c r="AK713" s="73" t="str">
        <f t="shared" si="242"/>
        <v>PEMBANGUNAN PERUMAHAN (PERSERO), PTSEP</v>
      </c>
    </row>
    <row r="714" spans="1:37" s="114" customFormat="1" ht="12" hidden="1" customHeight="1">
      <c r="A714" s="53"/>
      <c r="B714" s="53" t="s">
        <v>242</v>
      </c>
      <c r="C714" s="9">
        <v>3</v>
      </c>
      <c r="D714" s="8" t="s">
        <v>430</v>
      </c>
      <c r="E714" s="10" t="s">
        <v>364</v>
      </c>
      <c r="F714" s="356" t="s">
        <v>3063</v>
      </c>
      <c r="G714" s="10" t="s">
        <v>59</v>
      </c>
      <c r="H714" s="10" t="s">
        <v>2773</v>
      </c>
      <c r="I714" s="10" t="s">
        <v>2791</v>
      </c>
      <c r="J714" s="658">
        <v>0</v>
      </c>
      <c r="K714" s="118">
        <v>18500000</v>
      </c>
      <c r="L714" s="118">
        <f t="shared" ref="L714:L719" si="273">K714*10%</f>
        <v>1850000</v>
      </c>
      <c r="M714" s="658">
        <v>0</v>
      </c>
      <c r="N714" s="189">
        <f t="shared" si="272"/>
        <v>20350000</v>
      </c>
      <c r="O714" s="197" t="s">
        <v>242</v>
      </c>
      <c r="P714" s="197" t="s">
        <v>113</v>
      </c>
      <c r="Q714" s="175"/>
      <c r="R714" s="175"/>
      <c r="S714" s="116">
        <f t="shared" si="271"/>
        <v>-1850000</v>
      </c>
      <c r="T714" s="116">
        <v>0</v>
      </c>
      <c r="U714" s="116">
        <v>18500000</v>
      </c>
      <c r="V714" s="210">
        <f t="shared" si="264"/>
        <v>0</v>
      </c>
      <c r="W714" s="115">
        <f t="shared" si="243"/>
        <v>0</v>
      </c>
      <c r="X714" s="181" t="s">
        <v>237</v>
      </c>
      <c r="Y714" s="116"/>
      <c r="Z714" s="185"/>
      <c r="AA714" s="592"/>
      <c r="AB714" s="186"/>
      <c r="AC714" s="9"/>
      <c r="AD714" s="297"/>
      <c r="AE714" s="297">
        <f t="shared" si="234"/>
        <v>0</v>
      </c>
      <c r="AF714" s="9"/>
      <c r="AG714" s="9" t="s">
        <v>1395</v>
      </c>
      <c r="AH714" s="300">
        <v>42921</v>
      </c>
      <c r="AI714" s="9" t="s">
        <v>1882</v>
      </c>
      <c r="AJ714" s="9"/>
      <c r="AK714" s="73" t="str">
        <f t="shared" si="242"/>
        <v>PEMBANGUNAN PERUMAHAN (PERSERO), PTJUL</v>
      </c>
    </row>
    <row r="715" spans="1:37" s="114" customFormat="1" ht="12" hidden="1" customHeight="1">
      <c r="A715" s="1220"/>
      <c r="B715" s="1220" t="s">
        <v>243</v>
      </c>
      <c r="C715" s="1221">
        <v>1</v>
      </c>
      <c r="D715" s="1222" t="s">
        <v>430</v>
      </c>
      <c r="E715" s="1223" t="s">
        <v>364</v>
      </c>
      <c r="F715" s="1505" t="s">
        <v>3063</v>
      </c>
      <c r="G715" s="1223" t="s">
        <v>60</v>
      </c>
      <c r="H715" s="1223" t="s">
        <v>2910</v>
      </c>
      <c r="I715" s="1223" t="s">
        <v>2949</v>
      </c>
      <c r="J715" s="658">
        <v>0</v>
      </c>
      <c r="K715" s="1212">
        <v>18500000</v>
      </c>
      <c r="L715" s="1212">
        <f t="shared" si="273"/>
        <v>1850000</v>
      </c>
      <c r="M715" s="658">
        <v>0</v>
      </c>
      <c r="N715" s="1225">
        <f t="shared" ref="N715:N720" si="274">K715+L715</f>
        <v>20350000</v>
      </c>
      <c r="O715" s="197" t="s">
        <v>243</v>
      </c>
      <c r="P715" s="197" t="s">
        <v>99</v>
      </c>
      <c r="Q715" s="175"/>
      <c r="R715" s="175"/>
      <c r="S715" s="116">
        <f t="shared" si="271"/>
        <v>-1850000</v>
      </c>
      <c r="T715" s="116">
        <v>0</v>
      </c>
      <c r="U715" s="116">
        <v>18500000</v>
      </c>
      <c r="V715" s="210">
        <f t="shared" si="264"/>
        <v>0</v>
      </c>
      <c r="W715" s="115">
        <f t="shared" si="243"/>
        <v>0</v>
      </c>
      <c r="X715" s="181"/>
      <c r="Y715" s="116"/>
      <c r="Z715" s="185"/>
      <c r="AA715" s="592"/>
      <c r="AB715" s="186"/>
      <c r="AC715" s="9"/>
      <c r="AD715" s="297"/>
      <c r="AE715" s="297"/>
      <c r="AF715" s="9"/>
      <c r="AG715" s="9" t="s">
        <v>1395</v>
      </c>
      <c r="AH715" s="300">
        <v>42918</v>
      </c>
      <c r="AI715" s="9" t="s">
        <v>1882</v>
      </c>
      <c r="AJ715" s="300">
        <v>42918</v>
      </c>
      <c r="AK715" s="73" t="str">
        <f t="shared" si="242"/>
        <v>PEMBANGUNAN PERUMAHAN (PERSERO), PTAGS</v>
      </c>
    </row>
    <row r="716" spans="1:37" s="114" customFormat="1" ht="12" hidden="1" customHeight="1">
      <c r="A716" s="1220"/>
      <c r="B716" s="1220" t="s">
        <v>243</v>
      </c>
      <c r="C716" s="1221">
        <v>24</v>
      </c>
      <c r="D716" s="1222" t="s">
        <v>430</v>
      </c>
      <c r="E716" s="1223" t="s">
        <v>364</v>
      </c>
      <c r="F716" s="1505" t="s">
        <v>3063</v>
      </c>
      <c r="G716" s="1223" t="s">
        <v>559</v>
      </c>
      <c r="H716" s="1223" t="s">
        <v>3256</v>
      </c>
      <c r="I716" s="1223" t="s">
        <v>3257</v>
      </c>
      <c r="J716" s="1237"/>
      <c r="K716" s="1212">
        <v>18500000</v>
      </c>
      <c r="L716" s="1212">
        <f t="shared" si="273"/>
        <v>1850000</v>
      </c>
      <c r="M716" s="1237"/>
      <c r="N716" s="1225">
        <f t="shared" si="274"/>
        <v>20350000</v>
      </c>
      <c r="O716" s="1202" t="s">
        <v>238</v>
      </c>
      <c r="P716" s="1202" t="s">
        <v>106</v>
      </c>
      <c r="Q716" s="175"/>
      <c r="R716" s="175"/>
      <c r="S716" s="116">
        <f t="shared" si="271"/>
        <v>-1850000</v>
      </c>
      <c r="T716" s="116">
        <v>0</v>
      </c>
      <c r="U716" s="116">
        <v>18500000</v>
      </c>
      <c r="V716" s="210"/>
      <c r="W716" s="115">
        <f t="shared" si="243"/>
        <v>0</v>
      </c>
      <c r="X716" s="181"/>
      <c r="Y716" s="116"/>
      <c r="Z716" s="185"/>
      <c r="AA716" s="592"/>
      <c r="AB716" s="186"/>
      <c r="AC716" s="9"/>
      <c r="AD716" s="297"/>
      <c r="AE716" s="297"/>
      <c r="AF716" s="9"/>
      <c r="AG716" s="9"/>
      <c r="AH716" s="300"/>
      <c r="AI716" s="9"/>
      <c r="AJ716" s="300"/>
      <c r="AK716" s="73" t="str">
        <f t="shared" si="242"/>
        <v>PEMBANGUNAN PERUMAHAN (PERSERO), PTNOV</v>
      </c>
    </row>
    <row r="717" spans="1:37" s="114" customFormat="1" ht="12" hidden="1" customHeight="1">
      <c r="A717" s="1220"/>
      <c r="B717" s="1315" t="s">
        <v>244</v>
      </c>
      <c r="C717" s="1316">
        <v>25</v>
      </c>
      <c r="D717" s="1317" t="s">
        <v>430</v>
      </c>
      <c r="E717" s="1318" t="s">
        <v>364</v>
      </c>
      <c r="F717" s="1524" t="s">
        <v>3063</v>
      </c>
      <c r="G717" s="1318" t="s">
        <v>602</v>
      </c>
      <c r="H717" s="1318" t="s">
        <v>3455</v>
      </c>
      <c r="I717" s="1318" t="s">
        <v>3258</v>
      </c>
      <c r="J717" s="1054"/>
      <c r="K717" s="1319">
        <v>18500000</v>
      </c>
      <c r="L717" s="1319">
        <f t="shared" si="273"/>
        <v>1850000</v>
      </c>
      <c r="M717" s="1054"/>
      <c r="N717" s="1320">
        <f t="shared" si="274"/>
        <v>20350000</v>
      </c>
      <c r="O717" s="1202"/>
      <c r="P717" s="1202"/>
      <c r="Q717" s="175"/>
      <c r="R717" s="175"/>
      <c r="S717" s="116"/>
      <c r="T717" s="116"/>
      <c r="U717" s="116"/>
      <c r="V717" s="210"/>
      <c r="W717" s="115">
        <f t="shared" si="243"/>
        <v>20350000</v>
      </c>
      <c r="X717" s="181"/>
      <c r="Y717" s="116"/>
      <c r="Z717" s="185"/>
      <c r="AA717" s="592"/>
      <c r="AB717" s="186"/>
      <c r="AC717" s="9"/>
      <c r="AD717" s="297"/>
      <c r="AE717" s="297"/>
      <c r="AF717" s="9"/>
      <c r="AG717" s="9"/>
      <c r="AH717" s="300"/>
      <c r="AI717" s="9"/>
      <c r="AJ717" s="300"/>
      <c r="AK717" s="73"/>
    </row>
    <row r="718" spans="1:37" s="114" customFormat="1" ht="12" hidden="1" customHeight="1">
      <c r="A718" s="1220"/>
      <c r="B718" s="1315" t="s">
        <v>245</v>
      </c>
      <c r="C718" s="1316">
        <v>23</v>
      </c>
      <c r="D718" s="1317" t="s">
        <v>430</v>
      </c>
      <c r="E718" s="1318" t="s">
        <v>364</v>
      </c>
      <c r="F718" s="1524" t="s">
        <v>3063</v>
      </c>
      <c r="G718" s="1318" t="s">
        <v>641</v>
      </c>
      <c r="H718" s="1318" t="s">
        <v>3454</v>
      </c>
      <c r="I718" s="1318" t="s">
        <v>3456</v>
      </c>
      <c r="J718" s="1054"/>
      <c r="K718" s="1319">
        <v>18500000</v>
      </c>
      <c r="L718" s="1319">
        <f t="shared" si="273"/>
        <v>1850000</v>
      </c>
      <c r="M718" s="1054"/>
      <c r="N718" s="1320">
        <f t="shared" si="274"/>
        <v>20350000</v>
      </c>
      <c r="O718" s="1202"/>
      <c r="P718" s="1202"/>
      <c r="Q718" s="175"/>
      <c r="R718" s="175"/>
      <c r="S718" s="116"/>
      <c r="T718" s="116"/>
      <c r="U718" s="116"/>
      <c r="V718" s="210"/>
      <c r="W718" s="115"/>
      <c r="X718" s="181"/>
      <c r="Y718" s="116"/>
      <c r="Z718" s="185"/>
      <c r="AA718" s="592"/>
      <c r="AB718" s="186"/>
      <c r="AC718" s="9"/>
      <c r="AD718" s="297"/>
      <c r="AE718" s="297"/>
      <c r="AF718" s="9"/>
      <c r="AG718" s="9"/>
      <c r="AH718" s="300"/>
      <c r="AI718" s="9"/>
      <c r="AJ718" s="300"/>
      <c r="AK718" s="73"/>
    </row>
    <row r="719" spans="1:37" s="114" customFormat="1" ht="12" hidden="1" customHeight="1">
      <c r="A719" s="1220"/>
      <c r="B719" s="758" t="s">
        <v>238</v>
      </c>
      <c r="C719" s="759">
        <v>23</v>
      </c>
      <c r="D719" s="760" t="s">
        <v>430</v>
      </c>
      <c r="E719" s="761" t="s">
        <v>364</v>
      </c>
      <c r="F719" s="1506" t="s">
        <v>3063</v>
      </c>
      <c r="G719" s="761" t="s">
        <v>1616</v>
      </c>
      <c r="H719" s="761" t="s">
        <v>3615</v>
      </c>
      <c r="I719" s="761" t="s">
        <v>3616</v>
      </c>
      <c r="J719" s="1054"/>
      <c r="K719" s="764">
        <v>18500000</v>
      </c>
      <c r="L719" s="764">
        <f t="shared" si="273"/>
        <v>1850000</v>
      </c>
      <c r="M719" s="1054"/>
      <c r="N719" s="763">
        <f t="shared" si="274"/>
        <v>20350000</v>
      </c>
      <c r="O719" s="1202"/>
      <c r="P719" s="1202"/>
      <c r="Q719" s="175"/>
      <c r="R719" s="175"/>
      <c r="S719" s="116"/>
      <c r="T719" s="116"/>
      <c r="U719" s="116"/>
      <c r="V719" s="210"/>
      <c r="W719" s="115"/>
      <c r="X719" s="181"/>
      <c r="Y719" s="116"/>
      <c r="Z719" s="185"/>
      <c r="AA719" s="592"/>
      <c r="AB719" s="186"/>
      <c r="AC719" s="9"/>
      <c r="AD719" s="297"/>
      <c r="AE719" s="297"/>
      <c r="AF719" s="9"/>
      <c r="AG719" s="9"/>
      <c r="AH719" s="300"/>
      <c r="AI719" s="9"/>
      <c r="AJ719" s="300"/>
      <c r="AK719" s="73"/>
    </row>
    <row r="720" spans="1:37" s="114" customFormat="1" ht="12" hidden="1" customHeight="1">
      <c r="A720" s="1220"/>
      <c r="B720" s="758" t="s">
        <v>140</v>
      </c>
      <c r="C720" s="759">
        <v>16</v>
      </c>
      <c r="D720" s="760" t="s">
        <v>430</v>
      </c>
      <c r="E720" s="761" t="s">
        <v>364</v>
      </c>
      <c r="F720" s="1506" t="s">
        <v>3063</v>
      </c>
      <c r="G720" s="761" t="s">
        <v>1617</v>
      </c>
      <c r="H720" s="761" t="s">
        <v>3764</v>
      </c>
      <c r="I720" s="761" t="s">
        <v>3765</v>
      </c>
      <c r="J720" s="1054"/>
      <c r="K720" s="764">
        <v>18500000</v>
      </c>
      <c r="L720" s="764">
        <f t="shared" ref="L720" si="275">K720*10%</f>
        <v>1850000</v>
      </c>
      <c r="M720" s="1054"/>
      <c r="N720" s="763">
        <f t="shared" si="274"/>
        <v>20350000</v>
      </c>
      <c r="O720" s="1202"/>
      <c r="P720" s="1202"/>
      <c r="Q720" s="175"/>
      <c r="R720" s="175"/>
      <c r="S720" s="116"/>
      <c r="T720" s="116"/>
      <c r="U720" s="116"/>
      <c r="V720" s="210"/>
      <c r="W720" s="115"/>
      <c r="X720" s="181"/>
      <c r="Y720" s="116"/>
      <c r="Z720" s="185"/>
      <c r="AA720" s="592"/>
      <c r="AB720" s="186"/>
      <c r="AC720" s="9"/>
      <c r="AD720" s="297"/>
      <c r="AE720" s="297"/>
      <c r="AF720" s="9"/>
      <c r="AG720" s="9"/>
      <c r="AH720" s="300"/>
      <c r="AI720" s="9"/>
      <c r="AJ720" s="300"/>
      <c r="AK720" s="73"/>
    </row>
    <row r="721" spans="1:37" s="114" customFormat="1" ht="12" hidden="1" customHeight="1">
      <c r="A721" s="53"/>
      <c r="B721" s="53" t="s">
        <v>240</v>
      </c>
      <c r="C721" s="9">
        <v>6</v>
      </c>
      <c r="D721" s="8" t="s">
        <v>396</v>
      </c>
      <c r="E721" s="10" t="s">
        <v>364</v>
      </c>
      <c r="F721" s="356"/>
      <c r="G721" s="10"/>
      <c r="H721" s="10" t="s">
        <v>2530</v>
      </c>
      <c r="I721" s="10" t="s">
        <v>2692</v>
      </c>
      <c r="J721" s="658">
        <v>0</v>
      </c>
      <c r="K721" s="118">
        <v>40909090.909999996</v>
      </c>
      <c r="L721" s="118">
        <f t="shared" si="263"/>
        <v>4090909.091</v>
      </c>
      <c r="M721" s="658">
        <v>0</v>
      </c>
      <c r="N721" s="189">
        <f t="shared" si="272"/>
        <v>45000000.000999995</v>
      </c>
      <c r="O721" s="197" t="s">
        <v>243</v>
      </c>
      <c r="P721" s="197" t="s">
        <v>94</v>
      </c>
      <c r="Q721" s="175"/>
      <c r="R721" s="175"/>
      <c r="S721" s="116">
        <v>0</v>
      </c>
      <c r="T721" s="116">
        <f>-K721*2.2%</f>
        <v>-900000.00002000004</v>
      </c>
      <c r="U721" s="116">
        <v>44100000</v>
      </c>
      <c r="V721" s="210">
        <f t="shared" si="264"/>
        <v>0</v>
      </c>
      <c r="W721" s="115">
        <f t="shared" si="243"/>
        <v>9.7999721765518188E-4</v>
      </c>
      <c r="X721" s="181" t="s">
        <v>237</v>
      </c>
      <c r="Y721" s="116"/>
      <c r="Z721" s="185"/>
      <c r="AA721" s="592"/>
      <c r="AB721" s="186"/>
      <c r="AC721" s="9"/>
      <c r="AD721" s="297"/>
      <c r="AE721" s="297">
        <f t="shared" si="234"/>
        <v>900000.00002000004</v>
      </c>
      <c r="AF721" s="9"/>
      <c r="AG721" s="9" t="s">
        <v>1395</v>
      </c>
      <c r="AH721" s="300">
        <v>42865</v>
      </c>
      <c r="AI721" s="9" t="s">
        <v>2534</v>
      </c>
      <c r="AJ721" s="834" t="s">
        <v>2725</v>
      </c>
      <c r="AK721" s="73" t="str">
        <f t="shared" si="242"/>
        <v>PEMERINTAH KABUPATEN SIGIAGS</v>
      </c>
    </row>
    <row r="722" spans="1:37" s="114" customFormat="1" ht="12" hidden="1" customHeight="1">
      <c r="A722" s="53"/>
      <c r="B722" s="53" t="s">
        <v>240</v>
      </c>
      <c r="C722" s="9">
        <v>6</v>
      </c>
      <c r="D722" s="8" t="s">
        <v>396</v>
      </c>
      <c r="E722" s="10" t="s">
        <v>364</v>
      </c>
      <c r="F722" s="356"/>
      <c r="G722" s="10"/>
      <c r="H722" s="10" t="s">
        <v>2531</v>
      </c>
      <c r="I722" s="10" t="s">
        <v>2693</v>
      </c>
      <c r="J722" s="658">
        <v>0</v>
      </c>
      <c r="K722" s="118">
        <v>40909090.909999996</v>
      </c>
      <c r="L722" s="118">
        <f t="shared" ref="L722:L730" si="276">K722*10%</f>
        <v>4090909.091</v>
      </c>
      <c r="M722" s="658">
        <v>0</v>
      </c>
      <c r="N722" s="189">
        <f t="shared" si="272"/>
        <v>45000000.000999995</v>
      </c>
      <c r="O722" s="197" t="s">
        <v>243</v>
      </c>
      <c r="P722" s="197" t="s">
        <v>94</v>
      </c>
      <c r="Q722" s="175"/>
      <c r="R722" s="175"/>
      <c r="S722" s="116">
        <v>0</v>
      </c>
      <c r="T722" s="116">
        <f t="shared" ref="T722:T725" si="277">-K722*2.2%</f>
        <v>-900000.00002000004</v>
      </c>
      <c r="U722" s="116">
        <v>44100000</v>
      </c>
      <c r="V722" s="210">
        <f t="shared" si="264"/>
        <v>0</v>
      </c>
      <c r="W722" s="115">
        <f t="shared" si="243"/>
        <v>9.7999721765518188E-4</v>
      </c>
      <c r="X722" s="181" t="s">
        <v>237</v>
      </c>
      <c r="Y722" s="116"/>
      <c r="Z722" s="185"/>
      <c r="AA722" s="592"/>
      <c r="AB722" s="186"/>
      <c r="AC722" s="9"/>
      <c r="AD722" s="297"/>
      <c r="AE722" s="297">
        <f t="shared" si="234"/>
        <v>900000.00002000004</v>
      </c>
      <c r="AF722" s="9"/>
      <c r="AG722" s="9" t="s">
        <v>1395</v>
      </c>
      <c r="AH722" s="300">
        <v>42865</v>
      </c>
      <c r="AI722" s="9" t="s">
        <v>2534</v>
      </c>
      <c r="AJ722" s="834" t="s">
        <v>2725</v>
      </c>
      <c r="AK722" s="73" t="str">
        <f t="shared" si="242"/>
        <v>PEMERINTAH KABUPATEN SIGIAGS</v>
      </c>
    </row>
    <row r="723" spans="1:37" s="114" customFormat="1" ht="12" hidden="1" customHeight="1">
      <c r="A723" s="53"/>
      <c r="B723" s="53" t="s">
        <v>240</v>
      </c>
      <c r="C723" s="9">
        <v>6</v>
      </c>
      <c r="D723" s="8" t="s">
        <v>396</v>
      </c>
      <c r="E723" s="10" t="s">
        <v>364</v>
      </c>
      <c r="F723" s="356"/>
      <c r="G723" s="10"/>
      <c r="H723" s="10" t="s">
        <v>2532</v>
      </c>
      <c r="I723" s="10" t="s">
        <v>2695</v>
      </c>
      <c r="J723" s="658">
        <v>0</v>
      </c>
      <c r="K723" s="118">
        <v>40909090.909999996</v>
      </c>
      <c r="L723" s="118">
        <f t="shared" si="276"/>
        <v>4090909.091</v>
      </c>
      <c r="M723" s="658">
        <v>0</v>
      </c>
      <c r="N723" s="189">
        <f t="shared" si="272"/>
        <v>45000000.000999995</v>
      </c>
      <c r="O723" s="197" t="s">
        <v>243</v>
      </c>
      <c r="P723" s="197" t="s">
        <v>94</v>
      </c>
      <c r="Q723" s="175"/>
      <c r="R723" s="175"/>
      <c r="S723" s="116">
        <v>0</v>
      </c>
      <c r="T723" s="116">
        <f t="shared" si="277"/>
        <v>-900000.00002000004</v>
      </c>
      <c r="U723" s="116">
        <v>44100000</v>
      </c>
      <c r="V723" s="210">
        <f t="shared" si="264"/>
        <v>0</v>
      </c>
      <c r="W723" s="115">
        <f t="shared" si="243"/>
        <v>9.7999721765518188E-4</v>
      </c>
      <c r="X723" s="181" t="s">
        <v>237</v>
      </c>
      <c r="Y723" s="116"/>
      <c r="Z723" s="185"/>
      <c r="AA723" s="592"/>
      <c r="AB723" s="186"/>
      <c r="AC723" s="9"/>
      <c r="AD723" s="297"/>
      <c r="AE723" s="297">
        <f t="shared" si="234"/>
        <v>900000.00002000004</v>
      </c>
      <c r="AF723" s="9"/>
      <c r="AG723" s="9" t="s">
        <v>1395</v>
      </c>
      <c r="AH723" s="300">
        <v>42865</v>
      </c>
      <c r="AI723" s="9" t="s">
        <v>2534</v>
      </c>
      <c r="AJ723" s="834" t="s">
        <v>2725</v>
      </c>
      <c r="AK723" s="73" t="str">
        <f t="shared" si="242"/>
        <v>PEMERINTAH KABUPATEN SIGIAGS</v>
      </c>
    </row>
    <row r="724" spans="1:37" s="114" customFormat="1" ht="12" hidden="1" customHeight="1">
      <c r="A724" s="53"/>
      <c r="B724" s="53" t="s">
        <v>240</v>
      </c>
      <c r="C724" s="9">
        <v>6</v>
      </c>
      <c r="D724" s="8" t="s">
        <v>396</v>
      </c>
      <c r="E724" s="10" t="s">
        <v>364</v>
      </c>
      <c r="F724" s="356"/>
      <c r="G724" s="10"/>
      <c r="H724" s="10" t="s">
        <v>2533</v>
      </c>
      <c r="I724" s="10" t="s">
        <v>2696</v>
      </c>
      <c r="J724" s="658">
        <v>0</v>
      </c>
      <c r="K724" s="118">
        <v>40909090.909999996</v>
      </c>
      <c r="L724" s="118">
        <f t="shared" si="276"/>
        <v>4090909.091</v>
      </c>
      <c r="M724" s="658">
        <v>0</v>
      </c>
      <c r="N724" s="189">
        <f t="shared" si="272"/>
        <v>45000000.000999995</v>
      </c>
      <c r="O724" s="197" t="s">
        <v>243</v>
      </c>
      <c r="P724" s="197" t="s">
        <v>94</v>
      </c>
      <c r="Q724" s="175"/>
      <c r="R724" s="175"/>
      <c r="S724" s="116">
        <v>0</v>
      </c>
      <c r="T724" s="116">
        <f t="shared" si="277"/>
        <v>-900000.00002000004</v>
      </c>
      <c r="U724" s="116">
        <v>44100000</v>
      </c>
      <c r="V724" s="210">
        <f t="shared" si="264"/>
        <v>0</v>
      </c>
      <c r="W724" s="115">
        <f t="shared" si="243"/>
        <v>9.7999721765518188E-4</v>
      </c>
      <c r="X724" s="181" t="s">
        <v>237</v>
      </c>
      <c r="Y724" s="116"/>
      <c r="Z724" s="185"/>
      <c r="AA724" s="592"/>
      <c r="AB724" s="186"/>
      <c r="AC724" s="9"/>
      <c r="AD724" s="297"/>
      <c r="AE724" s="297">
        <f t="shared" si="234"/>
        <v>900000.00002000004</v>
      </c>
      <c r="AF724" s="9"/>
      <c r="AG724" s="9" t="s">
        <v>1395</v>
      </c>
      <c r="AH724" s="300">
        <v>42865</v>
      </c>
      <c r="AI724" s="9" t="s">
        <v>2534</v>
      </c>
      <c r="AJ724" s="834" t="s">
        <v>2725</v>
      </c>
      <c r="AK724" s="73" t="str">
        <f t="shared" si="242"/>
        <v>PEMERINTAH KABUPATEN SIGIAGS</v>
      </c>
    </row>
    <row r="725" spans="1:37" s="114" customFormat="1" ht="12" hidden="1" customHeight="1">
      <c r="A725" s="53"/>
      <c r="B725" s="53" t="s">
        <v>58</v>
      </c>
      <c r="C725" s="9">
        <v>2</v>
      </c>
      <c r="D725" s="8" t="s">
        <v>396</v>
      </c>
      <c r="E725" s="10" t="s">
        <v>364</v>
      </c>
      <c r="F725" s="356"/>
      <c r="G725" s="10"/>
      <c r="H725" s="10" t="s">
        <v>2697</v>
      </c>
      <c r="I725" s="10" t="s">
        <v>2698</v>
      </c>
      <c r="J725" s="658">
        <v>0</v>
      </c>
      <c r="K725" s="118">
        <v>40909090.909999996</v>
      </c>
      <c r="L725" s="118">
        <f t="shared" si="276"/>
        <v>4090909.091</v>
      </c>
      <c r="M725" s="658">
        <v>0</v>
      </c>
      <c r="N725" s="189">
        <f t="shared" si="272"/>
        <v>45000000.000999995</v>
      </c>
      <c r="O725" s="197" t="s">
        <v>243</v>
      </c>
      <c r="P725" s="197" t="s">
        <v>94</v>
      </c>
      <c r="Q725" s="175"/>
      <c r="R725" s="175"/>
      <c r="S725" s="116">
        <v>0</v>
      </c>
      <c r="T725" s="116">
        <f t="shared" si="277"/>
        <v>-900000.00002000004</v>
      </c>
      <c r="U725" s="116">
        <v>44100000</v>
      </c>
      <c r="V725" s="210">
        <f t="shared" si="264"/>
        <v>0</v>
      </c>
      <c r="W725" s="115">
        <f t="shared" si="243"/>
        <v>9.7999721765518188E-4</v>
      </c>
      <c r="X725" s="181" t="s">
        <v>237</v>
      </c>
      <c r="Y725" s="116"/>
      <c r="Z725" s="185"/>
      <c r="AA725" s="592"/>
      <c r="AB725" s="186"/>
      <c r="AC725" s="9"/>
      <c r="AD725" s="297"/>
      <c r="AE725" s="297">
        <f t="shared" si="234"/>
        <v>900000.00002000004</v>
      </c>
      <c r="AF725" s="9"/>
      <c r="AG725" s="9" t="s">
        <v>2726</v>
      </c>
      <c r="AH725" s="300">
        <v>42902</v>
      </c>
      <c r="AI725" s="9" t="s">
        <v>2534</v>
      </c>
      <c r="AJ725" s="834" t="s">
        <v>2725</v>
      </c>
      <c r="AK725" s="73" t="str">
        <f t="shared" si="242"/>
        <v>PEMERINTAH KABUPATEN SIGIAGS</v>
      </c>
    </row>
    <row r="726" spans="1:37" s="114" customFormat="1" ht="12" hidden="1" customHeight="1">
      <c r="A726" s="53"/>
      <c r="B726" s="758" t="s">
        <v>243</v>
      </c>
      <c r="C726" s="759">
        <v>1</v>
      </c>
      <c r="D726" s="760" t="s">
        <v>396</v>
      </c>
      <c r="E726" s="761" t="s">
        <v>364</v>
      </c>
      <c r="F726" s="1506"/>
      <c r="G726" s="761" t="s">
        <v>59</v>
      </c>
      <c r="H726" s="761" t="s">
        <v>2930</v>
      </c>
      <c r="I726" s="761" t="s">
        <v>2971</v>
      </c>
      <c r="J726" s="1054"/>
      <c r="K726" s="764">
        <v>40909090.909999996</v>
      </c>
      <c r="L726" s="764">
        <f>K726*10%</f>
        <v>4090909.091</v>
      </c>
      <c r="M726" s="1054">
        <v>0</v>
      </c>
      <c r="N726" s="763">
        <f>K726+L726</f>
        <v>45000000.000999995</v>
      </c>
      <c r="O726" s="1202"/>
      <c r="P726" s="1202"/>
      <c r="Q726" s="175"/>
      <c r="R726" s="175"/>
      <c r="S726" s="116"/>
      <c r="T726" s="116"/>
      <c r="U726" s="116"/>
      <c r="V726" s="210">
        <f t="shared" si="264"/>
        <v>0</v>
      </c>
      <c r="W726" s="115">
        <f t="shared" ref="W726:W727" si="278">N726+S726+T726-U726</f>
        <v>45000000.000999995</v>
      </c>
      <c r="X726" s="181"/>
      <c r="Y726" s="116"/>
      <c r="Z726" s="185"/>
      <c r="AA726" s="592"/>
      <c r="AB726" s="186"/>
      <c r="AC726" s="9"/>
      <c r="AD726" s="297"/>
      <c r="AE726" s="297"/>
      <c r="AF726" s="9"/>
      <c r="AG726" s="9" t="s">
        <v>1395</v>
      </c>
      <c r="AH726" s="300">
        <v>42949</v>
      </c>
      <c r="AI726" s="9" t="s">
        <v>3001</v>
      </c>
      <c r="AJ726" s="300">
        <v>42949</v>
      </c>
      <c r="AK726" s="73"/>
    </row>
    <row r="727" spans="1:37" s="114" customFormat="1" ht="12" hidden="1" customHeight="1">
      <c r="A727" s="53"/>
      <c r="B727" s="758" t="s">
        <v>243</v>
      </c>
      <c r="C727" s="759">
        <v>1</v>
      </c>
      <c r="D727" s="760" t="s">
        <v>396</v>
      </c>
      <c r="E727" s="761" t="s">
        <v>364</v>
      </c>
      <c r="F727" s="1506"/>
      <c r="G727" s="761" t="s">
        <v>60</v>
      </c>
      <c r="H727" s="761" t="s">
        <v>2931</v>
      </c>
      <c r="I727" s="761" t="s">
        <v>2972</v>
      </c>
      <c r="J727" s="1054"/>
      <c r="K727" s="764">
        <v>40909090.909999996</v>
      </c>
      <c r="L727" s="764">
        <f>K727*10%</f>
        <v>4090909.091</v>
      </c>
      <c r="M727" s="1054">
        <v>0</v>
      </c>
      <c r="N727" s="763">
        <f>K727+L727</f>
        <v>45000000.000999995</v>
      </c>
      <c r="O727" s="1202"/>
      <c r="P727" s="1202"/>
      <c r="Q727" s="175"/>
      <c r="R727" s="175"/>
      <c r="S727" s="116"/>
      <c r="T727" s="116"/>
      <c r="U727" s="116"/>
      <c r="V727" s="210">
        <f t="shared" si="264"/>
        <v>0</v>
      </c>
      <c r="W727" s="115">
        <f t="shared" si="278"/>
        <v>45000000.000999995</v>
      </c>
      <c r="X727" s="181"/>
      <c r="Y727" s="116"/>
      <c r="Z727" s="185"/>
      <c r="AA727" s="592"/>
      <c r="AB727" s="186"/>
      <c r="AC727" s="9"/>
      <c r="AD727" s="297"/>
      <c r="AE727" s="297"/>
      <c r="AF727" s="9"/>
      <c r="AG727" s="9" t="s">
        <v>1395</v>
      </c>
      <c r="AH727" s="300">
        <v>42949</v>
      </c>
      <c r="AI727" s="9" t="s">
        <v>3001</v>
      </c>
      <c r="AJ727" s="300">
        <v>42949</v>
      </c>
      <c r="AK727" s="73"/>
    </row>
    <row r="728" spans="1:37" s="114" customFormat="1" ht="12" hidden="1" customHeight="1">
      <c r="A728" s="53"/>
      <c r="B728" s="53" t="s">
        <v>58</v>
      </c>
      <c r="C728" s="9">
        <v>18</v>
      </c>
      <c r="D728" s="8" t="s">
        <v>396</v>
      </c>
      <c r="E728" s="10" t="s">
        <v>364</v>
      </c>
      <c r="F728" s="356"/>
      <c r="G728" s="10"/>
      <c r="H728" s="10" t="s">
        <v>2542</v>
      </c>
      <c r="I728" s="10" t="s">
        <v>2545</v>
      </c>
      <c r="J728" s="658">
        <v>0</v>
      </c>
      <c r="K728" s="118">
        <v>18181818.18</v>
      </c>
      <c r="L728" s="118">
        <f t="shared" si="276"/>
        <v>1818181.818</v>
      </c>
      <c r="M728" s="658">
        <v>0</v>
      </c>
      <c r="N728" s="189">
        <f t="shared" si="272"/>
        <v>19999999.998</v>
      </c>
      <c r="O728" s="197" t="s">
        <v>242</v>
      </c>
      <c r="P728" s="197" t="s">
        <v>99</v>
      </c>
      <c r="Q728" s="175"/>
      <c r="R728" s="175"/>
      <c r="S728" s="116">
        <v>0</v>
      </c>
      <c r="T728" s="116">
        <v>0</v>
      </c>
      <c r="U728" s="116">
        <v>20000000</v>
      </c>
      <c r="V728" s="210">
        <f t="shared" si="264"/>
        <v>0</v>
      </c>
      <c r="W728" s="115">
        <v>0</v>
      </c>
      <c r="X728" s="181" t="s">
        <v>237</v>
      </c>
      <c r="Y728" s="116"/>
      <c r="Z728" s="185"/>
      <c r="AA728" s="592"/>
      <c r="AB728" s="186"/>
      <c r="AC728" s="9"/>
      <c r="AD728" s="297"/>
      <c r="AE728" s="297">
        <f t="shared" si="234"/>
        <v>0</v>
      </c>
      <c r="AF728" s="9"/>
      <c r="AG728" s="9" t="s">
        <v>1395</v>
      </c>
      <c r="AH728" s="300">
        <v>42873</v>
      </c>
      <c r="AI728" s="9" t="s">
        <v>2548</v>
      </c>
      <c r="AJ728" s="300">
        <v>42873</v>
      </c>
      <c r="AK728" s="73" t="str">
        <f t="shared" si="242"/>
        <v>PEMERINTAH KABUPATEN SIGIJUL</v>
      </c>
    </row>
    <row r="729" spans="1:37" s="114" customFormat="1" ht="12" hidden="1" customHeight="1">
      <c r="A729" s="53"/>
      <c r="B729" s="53" t="s">
        <v>58</v>
      </c>
      <c r="C729" s="9">
        <v>18</v>
      </c>
      <c r="D729" s="8" t="s">
        <v>396</v>
      </c>
      <c r="E729" s="10" t="s">
        <v>364</v>
      </c>
      <c r="F729" s="356"/>
      <c r="G729" s="10"/>
      <c r="H729" s="10" t="s">
        <v>2543</v>
      </c>
      <c r="I729" s="10" t="s">
        <v>2546</v>
      </c>
      <c r="J729" s="658">
        <v>0</v>
      </c>
      <c r="K729" s="118">
        <v>18181818.18</v>
      </c>
      <c r="L729" s="118">
        <f t="shared" si="276"/>
        <v>1818181.818</v>
      </c>
      <c r="M729" s="658">
        <v>0</v>
      </c>
      <c r="N729" s="189">
        <f t="shared" si="272"/>
        <v>19999999.998</v>
      </c>
      <c r="O729" s="197" t="s">
        <v>242</v>
      </c>
      <c r="P729" s="197" t="s">
        <v>99</v>
      </c>
      <c r="Q729" s="175"/>
      <c r="R729" s="175"/>
      <c r="S729" s="116">
        <v>0</v>
      </c>
      <c r="T729" s="116">
        <v>0</v>
      </c>
      <c r="U729" s="116">
        <v>20000000</v>
      </c>
      <c r="V729" s="210">
        <f t="shared" si="264"/>
        <v>0</v>
      </c>
      <c r="W729" s="115">
        <v>0</v>
      </c>
      <c r="X729" s="181" t="s">
        <v>237</v>
      </c>
      <c r="Y729" s="116"/>
      <c r="Z729" s="185"/>
      <c r="AA729" s="592"/>
      <c r="AB729" s="186"/>
      <c r="AC729" s="9"/>
      <c r="AD729" s="297"/>
      <c r="AE729" s="297">
        <f t="shared" si="234"/>
        <v>0</v>
      </c>
      <c r="AF729" s="9"/>
      <c r="AG729" s="9" t="s">
        <v>1395</v>
      </c>
      <c r="AH729" s="300">
        <v>42873</v>
      </c>
      <c r="AI729" s="9" t="s">
        <v>2548</v>
      </c>
      <c r="AJ729" s="300">
        <v>42873</v>
      </c>
      <c r="AK729" s="73" t="str">
        <f t="shared" si="242"/>
        <v>PEMERINTAH KABUPATEN SIGIJUL</v>
      </c>
    </row>
    <row r="730" spans="1:37" s="114" customFormat="1" ht="12" hidden="1" customHeight="1">
      <c r="A730" s="53"/>
      <c r="B730" s="53" t="s">
        <v>58</v>
      </c>
      <c r="C730" s="9">
        <v>18</v>
      </c>
      <c r="D730" s="8" t="s">
        <v>396</v>
      </c>
      <c r="E730" s="10" t="s">
        <v>364</v>
      </c>
      <c r="F730" s="356"/>
      <c r="G730" s="10"/>
      <c r="H730" s="10" t="s">
        <v>2544</v>
      </c>
      <c r="I730" s="10" t="s">
        <v>2547</v>
      </c>
      <c r="J730" s="658">
        <v>0</v>
      </c>
      <c r="K730" s="118">
        <v>18181818.18</v>
      </c>
      <c r="L730" s="118">
        <f t="shared" si="276"/>
        <v>1818181.818</v>
      </c>
      <c r="M730" s="658">
        <v>0</v>
      </c>
      <c r="N730" s="189">
        <f t="shared" si="272"/>
        <v>19999999.998</v>
      </c>
      <c r="O730" s="197" t="s">
        <v>242</v>
      </c>
      <c r="P730" s="197" t="s">
        <v>99</v>
      </c>
      <c r="Q730" s="175"/>
      <c r="R730" s="175"/>
      <c r="S730" s="116">
        <v>0</v>
      </c>
      <c r="T730" s="116">
        <v>0</v>
      </c>
      <c r="U730" s="116">
        <v>20000000</v>
      </c>
      <c r="V730" s="210">
        <f t="shared" si="264"/>
        <v>0</v>
      </c>
      <c r="W730" s="115">
        <v>0</v>
      </c>
      <c r="X730" s="181" t="s">
        <v>237</v>
      </c>
      <c r="Y730" s="116"/>
      <c r="Z730" s="185"/>
      <c r="AA730" s="592"/>
      <c r="AB730" s="186"/>
      <c r="AC730" s="9"/>
      <c r="AD730" s="297"/>
      <c r="AE730" s="297">
        <f t="shared" si="234"/>
        <v>0</v>
      </c>
      <c r="AF730" s="9"/>
      <c r="AG730" s="9" t="s">
        <v>1395</v>
      </c>
      <c r="AH730" s="300">
        <v>42873</v>
      </c>
      <c r="AI730" s="9" t="s">
        <v>2548</v>
      </c>
      <c r="AJ730" s="300">
        <v>42873</v>
      </c>
      <c r="AK730" s="73" t="str">
        <f t="shared" si="242"/>
        <v>PEMERINTAH KABUPATEN SIGIJUL</v>
      </c>
    </row>
    <row r="731" spans="1:37" s="114" customFormat="1" ht="12" hidden="1" customHeight="1">
      <c r="A731" s="53"/>
      <c r="B731" s="758" t="s">
        <v>242</v>
      </c>
      <c r="C731" s="759">
        <v>19</v>
      </c>
      <c r="D731" s="760" t="s">
        <v>396</v>
      </c>
      <c r="E731" s="761" t="s">
        <v>364</v>
      </c>
      <c r="F731" s="1506"/>
      <c r="G731" s="761"/>
      <c r="H731" s="761" t="s">
        <v>2898</v>
      </c>
      <c r="I731" s="761" t="s">
        <v>2901</v>
      </c>
      <c r="J731" s="1054"/>
      <c r="K731" s="764">
        <v>18181818.18</v>
      </c>
      <c r="L731" s="764">
        <f>K731*10%</f>
        <v>1818181.818</v>
      </c>
      <c r="M731" s="1054">
        <v>0</v>
      </c>
      <c r="N731" s="763">
        <f>K731+L731</f>
        <v>19999999.998</v>
      </c>
      <c r="O731" s="1202"/>
      <c r="P731" s="1202"/>
      <c r="Q731" s="175"/>
      <c r="R731" s="175"/>
      <c r="S731" s="116">
        <v>0</v>
      </c>
      <c r="T731" s="116"/>
      <c r="U731" s="116"/>
      <c r="V731" s="210">
        <f t="shared" si="264"/>
        <v>0</v>
      </c>
      <c r="W731" s="115">
        <f t="shared" si="243"/>
        <v>19999999.998</v>
      </c>
      <c r="X731" s="181"/>
      <c r="Y731" s="116"/>
      <c r="Z731" s="185"/>
      <c r="AA731" s="592"/>
      <c r="AB731" s="186"/>
      <c r="AC731" s="9"/>
      <c r="AD731" s="297"/>
      <c r="AE731" s="297"/>
      <c r="AF731" s="9"/>
      <c r="AG731" s="9" t="s">
        <v>1395</v>
      </c>
      <c r="AH731" s="300">
        <v>42941</v>
      </c>
      <c r="AI731" s="9" t="s">
        <v>1882</v>
      </c>
      <c r="AJ731" s="300">
        <v>42941</v>
      </c>
      <c r="AK731" s="73"/>
    </row>
    <row r="732" spans="1:37" s="114" customFormat="1" ht="12" hidden="1" customHeight="1">
      <c r="A732" s="53"/>
      <c r="B732" s="758" t="s">
        <v>242</v>
      </c>
      <c r="C732" s="759">
        <v>19</v>
      </c>
      <c r="D732" s="760" t="s">
        <v>396</v>
      </c>
      <c r="E732" s="761" t="s">
        <v>364</v>
      </c>
      <c r="F732" s="1506"/>
      <c r="G732" s="761"/>
      <c r="H732" s="761" t="s">
        <v>2899</v>
      </c>
      <c r="I732" s="761" t="s">
        <v>2902</v>
      </c>
      <c r="J732" s="1054"/>
      <c r="K732" s="764">
        <v>18181818.18</v>
      </c>
      <c r="L732" s="764">
        <f>K732*10%</f>
        <v>1818181.818</v>
      </c>
      <c r="M732" s="1054">
        <v>0</v>
      </c>
      <c r="N732" s="763">
        <f>K732+L732</f>
        <v>19999999.998</v>
      </c>
      <c r="O732" s="1202"/>
      <c r="P732" s="1202"/>
      <c r="Q732" s="175"/>
      <c r="R732" s="175"/>
      <c r="S732" s="116">
        <v>0</v>
      </c>
      <c r="T732" s="116"/>
      <c r="U732" s="116"/>
      <c r="V732" s="210">
        <f t="shared" si="264"/>
        <v>0</v>
      </c>
      <c r="W732" s="115">
        <f t="shared" si="243"/>
        <v>19999999.998</v>
      </c>
      <c r="X732" s="181"/>
      <c r="Y732" s="116"/>
      <c r="Z732" s="185"/>
      <c r="AA732" s="592"/>
      <c r="AB732" s="186"/>
      <c r="AC732" s="9"/>
      <c r="AD732" s="297"/>
      <c r="AE732" s="297"/>
      <c r="AF732" s="9"/>
      <c r="AG732" s="9" t="s">
        <v>1395</v>
      </c>
      <c r="AH732" s="300">
        <v>42941</v>
      </c>
      <c r="AI732" s="9" t="s">
        <v>1882</v>
      </c>
      <c r="AJ732" s="300">
        <v>42941</v>
      </c>
      <c r="AK732" s="73"/>
    </row>
    <row r="733" spans="1:37" s="114" customFormat="1" ht="12" hidden="1" customHeight="1">
      <c r="A733" s="53"/>
      <c r="B733" s="758" t="s">
        <v>242</v>
      </c>
      <c r="C733" s="759">
        <v>19</v>
      </c>
      <c r="D733" s="760" t="s">
        <v>396</v>
      </c>
      <c r="E733" s="761" t="s">
        <v>364</v>
      </c>
      <c r="F733" s="1506"/>
      <c r="G733" s="761"/>
      <c r="H733" s="761" t="s">
        <v>2900</v>
      </c>
      <c r="I733" s="761" t="s">
        <v>2903</v>
      </c>
      <c r="J733" s="1054"/>
      <c r="K733" s="764">
        <v>18181818.18</v>
      </c>
      <c r="L733" s="764">
        <f>K733*10%</f>
        <v>1818181.818</v>
      </c>
      <c r="M733" s="1054">
        <v>0</v>
      </c>
      <c r="N733" s="763">
        <f>K733+L733</f>
        <v>19999999.998</v>
      </c>
      <c r="O733" s="1202"/>
      <c r="P733" s="1202"/>
      <c r="Q733" s="175"/>
      <c r="R733" s="175"/>
      <c r="S733" s="116">
        <v>0</v>
      </c>
      <c r="T733" s="116"/>
      <c r="U733" s="116"/>
      <c r="V733" s="210">
        <f t="shared" si="264"/>
        <v>0</v>
      </c>
      <c r="W733" s="115">
        <f t="shared" si="243"/>
        <v>19999999.998</v>
      </c>
      <c r="X733" s="181"/>
      <c r="Y733" s="116"/>
      <c r="Z733" s="185"/>
      <c r="AA733" s="592"/>
      <c r="AB733" s="186"/>
      <c r="AC733" s="9"/>
      <c r="AD733" s="297"/>
      <c r="AE733" s="297"/>
      <c r="AF733" s="9"/>
      <c r="AG733" s="9" t="s">
        <v>1395</v>
      </c>
      <c r="AH733" s="300">
        <v>42941</v>
      </c>
      <c r="AI733" s="9" t="s">
        <v>1882</v>
      </c>
      <c r="AJ733" s="300">
        <v>42941</v>
      </c>
      <c r="AK733" s="73"/>
    </row>
    <row r="734" spans="1:37" s="114" customFormat="1" ht="12" hidden="1" customHeight="1">
      <c r="A734" s="53"/>
      <c r="B734" s="758" t="s">
        <v>244</v>
      </c>
      <c r="C734" s="759">
        <v>4</v>
      </c>
      <c r="D734" s="760" t="s">
        <v>396</v>
      </c>
      <c r="E734" s="761" t="s">
        <v>364</v>
      </c>
      <c r="F734" s="1506" t="s">
        <v>3202</v>
      </c>
      <c r="G734" s="761" t="s">
        <v>60</v>
      </c>
      <c r="H734" s="761" t="s">
        <v>3198</v>
      </c>
      <c r="I734" s="759" t="s">
        <v>3204</v>
      </c>
      <c r="J734" s="1054"/>
      <c r="K734" s="764">
        <v>18181818.18</v>
      </c>
      <c r="L734" s="764">
        <f t="shared" ref="L734:L736" si="279">K734*10%</f>
        <v>1818181.818</v>
      </c>
      <c r="M734" s="1054">
        <v>0</v>
      </c>
      <c r="N734" s="763">
        <f t="shared" ref="N734:N736" si="280">K734+L734</f>
        <v>19999999.998</v>
      </c>
      <c r="O734" s="1202"/>
      <c r="P734" s="1202"/>
      <c r="Q734" s="175"/>
      <c r="R734" s="175"/>
      <c r="S734" s="116"/>
      <c r="T734" s="116"/>
      <c r="U734" s="116"/>
      <c r="V734" s="210"/>
      <c r="W734" s="115"/>
      <c r="X734" s="181"/>
      <c r="Y734" s="116"/>
      <c r="Z734" s="185"/>
      <c r="AA734" s="592"/>
      <c r="AB734" s="186"/>
      <c r="AC734" s="9"/>
      <c r="AD734" s="297"/>
      <c r="AE734" s="297"/>
      <c r="AF734" s="9"/>
      <c r="AG734" s="9"/>
      <c r="AH734" s="300"/>
      <c r="AI734" s="9"/>
      <c r="AJ734" s="300"/>
      <c r="AK734" s="73"/>
    </row>
    <row r="735" spans="1:37" s="114" customFormat="1" ht="12" hidden="1" customHeight="1">
      <c r="A735" s="53"/>
      <c r="B735" s="758" t="s">
        <v>244</v>
      </c>
      <c r="C735" s="759">
        <v>4</v>
      </c>
      <c r="D735" s="760" t="s">
        <v>396</v>
      </c>
      <c r="E735" s="761" t="s">
        <v>364</v>
      </c>
      <c r="F735" s="1506" t="s">
        <v>3202</v>
      </c>
      <c r="G735" s="761" t="s">
        <v>559</v>
      </c>
      <c r="H735" s="761" t="s">
        <v>3199</v>
      </c>
      <c r="I735" s="759" t="s">
        <v>3203</v>
      </c>
      <c r="J735" s="1054"/>
      <c r="K735" s="764">
        <v>18181818.18</v>
      </c>
      <c r="L735" s="764">
        <f t="shared" si="279"/>
        <v>1818181.818</v>
      </c>
      <c r="M735" s="1054">
        <v>0</v>
      </c>
      <c r="N735" s="763">
        <f t="shared" si="280"/>
        <v>19999999.998</v>
      </c>
      <c r="O735" s="1202"/>
      <c r="P735" s="1202"/>
      <c r="Q735" s="175"/>
      <c r="R735" s="175"/>
      <c r="S735" s="116"/>
      <c r="T735" s="116"/>
      <c r="U735" s="116"/>
      <c r="V735" s="210"/>
      <c r="W735" s="115"/>
      <c r="X735" s="181"/>
      <c r="Y735" s="116"/>
      <c r="Z735" s="185"/>
      <c r="AA735" s="592"/>
      <c r="AB735" s="186"/>
      <c r="AC735" s="9"/>
      <c r="AD735" s="297"/>
      <c r="AE735" s="297"/>
      <c r="AF735" s="9"/>
      <c r="AG735" s="9"/>
      <c r="AH735" s="300"/>
      <c r="AI735" s="9"/>
      <c r="AJ735" s="300"/>
      <c r="AK735" s="73"/>
    </row>
    <row r="736" spans="1:37" s="114" customFormat="1" ht="12" hidden="1" customHeight="1">
      <c r="A736" s="53"/>
      <c r="B736" s="758" t="s">
        <v>244</v>
      </c>
      <c r="C736" s="759">
        <v>4</v>
      </c>
      <c r="D736" s="760" t="s">
        <v>396</v>
      </c>
      <c r="E736" s="761" t="s">
        <v>364</v>
      </c>
      <c r="F736" s="1506" t="s">
        <v>3202</v>
      </c>
      <c r="G736" s="761" t="s">
        <v>602</v>
      </c>
      <c r="H736" s="761" t="s">
        <v>3200</v>
      </c>
      <c r="I736" s="759" t="s">
        <v>3201</v>
      </c>
      <c r="J736" s="1054"/>
      <c r="K736" s="764">
        <v>18181818.18</v>
      </c>
      <c r="L736" s="764">
        <f t="shared" si="279"/>
        <v>1818181.818</v>
      </c>
      <c r="M736" s="1054">
        <v>0</v>
      </c>
      <c r="N736" s="763">
        <f t="shared" si="280"/>
        <v>19999999.998</v>
      </c>
      <c r="O736" s="1202"/>
      <c r="P736" s="1202"/>
      <c r="Q736" s="175"/>
      <c r="R736" s="175"/>
      <c r="S736" s="116"/>
      <c r="T736" s="116"/>
      <c r="U736" s="116"/>
      <c r="V736" s="210"/>
      <c r="W736" s="115"/>
      <c r="X736" s="181"/>
      <c r="Y736" s="116"/>
      <c r="Z736" s="185"/>
      <c r="AA736" s="592"/>
      <c r="AB736" s="186"/>
      <c r="AC736" s="9"/>
      <c r="AD736" s="297"/>
      <c r="AE736" s="297"/>
      <c r="AF736" s="9"/>
      <c r="AG736" s="9"/>
      <c r="AH736" s="300"/>
      <c r="AI736" s="9"/>
      <c r="AJ736" s="300"/>
      <c r="AK736" s="73"/>
    </row>
    <row r="737" spans="1:37" s="114" customFormat="1" ht="12" hidden="1" customHeight="1">
      <c r="A737" s="53"/>
      <c r="B737" s="53" t="s">
        <v>195</v>
      </c>
      <c r="C737" s="9">
        <v>28</v>
      </c>
      <c r="D737" s="8" t="s">
        <v>2194</v>
      </c>
      <c r="E737" s="10" t="s">
        <v>62</v>
      </c>
      <c r="F737" s="356"/>
      <c r="G737" s="10"/>
      <c r="H737" s="10" t="s">
        <v>2093</v>
      </c>
      <c r="I737" s="10" t="s">
        <v>2094</v>
      </c>
      <c r="J737" s="658">
        <v>0</v>
      </c>
      <c r="K737" s="118">
        <v>7000000</v>
      </c>
      <c r="L737" s="118">
        <f t="shared" si="263"/>
        <v>700000</v>
      </c>
      <c r="M737" s="658">
        <v>0</v>
      </c>
      <c r="N737" s="189">
        <f t="shared" si="245"/>
        <v>7700000</v>
      </c>
      <c r="O737" s="197" t="s">
        <v>239</v>
      </c>
      <c r="P737" s="197" t="s">
        <v>103</v>
      </c>
      <c r="Q737" s="175"/>
      <c r="R737" s="175"/>
      <c r="S737" s="116">
        <v>0</v>
      </c>
      <c r="T737" s="116">
        <v>0</v>
      </c>
      <c r="U737" s="116">
        <v>7700000</v>
      </c>
      <c r="V737" s="210">
        <f t="shared" si="264"/>
        <v>0</v>
      </c>
      <c r="W737" s="115">
        <f t="shared" si="243"/>
        <v>0</v>
      </c>
      <c r="X737" s="181" t="s">
        <v>1913</v>
      </c>
      <c r="Y737" s="116"/>
      <c r="Z737" s="185"/>
      <c r="AA737" s="592"/>
      <c r="AB737" s="186"/>
      <c r="AC737" s="9"/>
      <c r="AD737" s="297"/>
      <c r="AE737" s="297">
        <f t="shared" si="234"/>
        <v>0</v>
      </c>
      <c r="AF737" s="9"/>
      <c r="AG737" s="9" t="s">
        <v>2095</v>
      </c>
      <c r="AH737" s="300">
        <v>42794</v>
      </c>
      <c r="AI737" s="9" t="s">
        <v>1882</v>
      </c>
      <c r="AJ737" s="9"/>
      <c r="AK737" s="73" t="str">
        <f t="shared" si="242"/>
        <v>PERKEBUNAN NUSANTARA XIII, PTMAR</v>
      </c>
    </row>
    <row r="738" spans="1:37" s="114" customFormat="1" ht="12" hidden="1" customHeight="1">
      <c r="A738" s="53"/>
      <c r="B738" s="758" t="s">
        <v>245</v>
      </c>
      <c r="C738" s="759">
        <v>26</v>
      </c>
      <c r="D738" s="760" t="s">
        <v>2194</v>
      </c>
      <c r="E738" s="761" t="s">
        <v>62</v>
      </c>
      <c r="F738" s="1506" t="s">
        <v>3464</v>
      </c>
      <c r="G738" s="761"/>
      <c r="H738" s="761" t="s">
        <v>3465</v>
      </c>
      <c r="I738" s="761" t="s">
        <v>3466</v>
      </c>
      <c r="J738" s="1054"/>
      <c r="K738" s="764">
        <v>17000000</v>
      </c>
      <c r="L738" s="764">
        <f t="shared" si="263"/>
        <v>1700000</v>
      </c>
      <c r="M738" s="1054"/>
      <c r="N738" s="763">
        <f t="shared" si="245"/>
        <v>18700000</v>
      </c>
      <c r="O738" s="1202"/>
      <c r="P738" s="1202"/>
      <c r="Q738" s="175"/>
      <c r="R738" s="175"/>
      <c r="S738" s="116"/>
      <c r="T738" s="116">
        <f t="shared" ref="T738:T743" si="281">-K738*2%</f>
        <v>-340000</v>
      </c>
      <c r="U738" s="116"/>
      <c r="V738" s="210"/>
      <c r="W738" s="115">
        <f t="shared" si="243"/>
        <v>18360000</v>
      </c>
      <c r="X738" s="181"/>
      <c r="Y738" s="116"/>
      <c r="Z738" s="185"/>
      <c r="AA738" s="592"/>
      <c r="AB738" s="186"/>
      <c r="AC738" s="9"/>
      <c r="AD738" s="297"/>
      <c r="AE738" s="297"/>
      <c r="AF738" s="9"/>
      <c r="AG738" s="9"/>
      <c r="AH738" s="300"/>
      <c r="AI738" s="9"/>
      <c r="AJ738" s="9"/>
      <c r="AK738" s="73"/>
    </row>
    <row r="739" spans="1:37" s="114" customFormat="1" ht="12" hidden="1" customHeight="1">
      <c r="A739" s="53"/>
      <c r="B739" s="53" t="s">
        <v>194</v>
      </c>
      <c r="C739" s="9">
        <v>9</v>
      </c>
      <c r="D739" s="8" t="s">
        <v>108</v>
      </c>
      <c r="E739" s="10" t="s">
        <v>354</v>
      </c>
      <c r="F739" s="356"/>
      <c r="G739" s="10"/>
      <c r="H739" s="10" t="s">
        <v>1818</v>
      </c>
      <c r="I739" s="10" t="s">
        <v>1819</v>
      </c>
      <c r="J739" s="658">
        <v>0</v>
      </c>
      <c r="K739" s="118">
        <v>22000000</v>
      </c>
      <c r="L739" s="118">
        <f t="shared" si="263"/>
        <v>2200000</v>
      </c>
      <c r="M739" s="658">
        <v>0</v>
      </c>
      <c r="N739" s="189">
        <f t="shared" si="245"/>
        <v>24200000</v>
      </c>
      <c r="O739" s="197" t="s">
        <v>195</v>
      </c>
      <c r="P739" s="197" t="s">
        <v>104</v>
      </c>
      <c r="Q739" s="175"/>
      <c r="R739" s="175"/>
      <c r="S739" s="116">
        <v>0</v>
      </c>
      <c r="T739" s="116">
        <f t="shared" si="281"/>
        <v>-440000</v>
      </c>
      <c r="U739" s="116">
        <v>23760000</v>
      </c>
      <c r="V739" s="210">
        <f t="shared" si="264"/>
        <v>0</v>
      </c>
      <c r="W739" s="115">
        <f t="shared" si="243"/>
        <v>0</v>
      </c>
      <c r="X739" s="181" t="s">
        <v>237</v>
      </c>
      <c r="Y739" s="116"/>
      <c r="Z739" s="185"/>
      <c r="AA739" s="592">
        <f>-S739-Z739</f>
        <v>0</v>
      </c>
      <c r="AB739" s="186"/>
      <c r="AC739" s="300">
        <v>42776</v>
      </c>
      <c r="AD739" s="297">
        <v>440000</v>
      </c>
      <c r="AE739" s="297">
        <f t="shared" si="234"/>
        <v>0</v>
      </c>
      <c r="AF739" s="9" t="s">
        <v>2217</v>
      </c>
      <c r="AG739" s="9" t="s">
        <v>1395</v>
      </c>
      <c r="AH739" s="300">
        <v>42747</v>
      </c>
      <c r="AI739" s="9" t="s">
        <v>1426</v>
      </c>
      <c r="AJ739" s="300">
        <v>42747</v>
      </c>
      <c r="AK739" s="73" t="str">
        <f t="shared" si="242"/>
        <v>PERTIWI AGRO SEJAHTERA, PTFEB</v>
      </c>
    </row>
    <row r="740" spans="1:37" s="114" customFormat="1" ht="12" hidden="1" customHeight="1">
      <c r="A740" s="53"/>
      <c r="B740" s="53" t="s">
        <v>195</v>
      </c>
      <c r="C740" s="9">
        <v>1</v>
      </c>
      <c r="D740" s="8" t="s">
        <v>108</v>
      </c>
      <c r="E740" s="10" t="s">
        <v>354</v>
      </c>
      <c r="F740" s="356"/>
      <c r="G740" s="10"/>
      <c r="H740" s="10" t="s">
        <v>2016</v>
      </c>
      <c r="I740" s="10" t="s">
        <v>2017</v>
      </c>
      <c r="J740" s="658">
        <v>0</v>
      </c>
      <c r="K740" s="118">
        <v>22000000</v>
      </c>
      <c r="L740" s="118">
        <f t="shared" si="263"/>
        <v>2200000</v>
      </c>
      <c r="M740" s="658">
        <v>0</v>
      </c>
      <c r="N740" s="189">
        <f t="shared" si="245"/>
        <v>24200000</v>
      </c>
      <c r="O740" s="197" t="s">
        <v>239</v>
      </c>
      <c r="P740" s="197" t="s">
        <v>42</v>
      </c>
      <c r="Q740" s="175"/>
      <c r="R740" s="175"/>
      <c r="S740" s="116">
        <v>0</v>
      </c>
      <c r="T740" s="116">
        <f t="shared" si="281"/>
        <v>-440000</v>
      </c>
      <c r="U740" s="116">
        <v>23760000</v>
      </c>
      <c r="V740" s="210">
        <f t="shared" si="264"/>
        <v>0</v>
      </c>
      <c r="W740" s="115">
        <f t="shared" si="243"/>
        <v>0</v>
      </c>
      <c r="X740" s="181" t="s">
        <v>237</v>
      </c>
      <c r="Y740" s="116"/>
      <c r="Z740" s="185"/>
      <c r="AA740" s="592"/>
      <c r="AB740" s="186"/>
      <c r="AC740" s="300">
        <v>42802</v>
      </c>
      <c r="AD740" s="297">
        <v>440000</v>
      </c>
      <c r="AE740" s="297">
        <f t="shared" si="234"/>
        <v>0</v>
      </c>
      <c r="AF740" s="9" t="s">
        <v>2374</v>
      </c>
      <c r="AG740" s="9" t="s">
        <v>1395</v>
      </c>
      <c r="AH740" s="300">
        <v>42769</v>
      </c>
      <c r="AI740" s="9" t="s">
        <v>2035</v>
      </c>
      <c r="AJ740" s="300">
        <v>42772</v>
      </c>
      <c r="AK740" s="73" t="str">
        <f t="shared" si="242"/>
        <v>PERTIWI AGRO SEJAHTERA, PTMAR</v>
      </c>
    </row>
    <row r="741" spans="1:37" s="114" customFormat="1" ht="12" hidden="1" customHeight="1">
      <c r="A741" s="53"/>
      <c r="B741" s="53" t="s">
        <v>239</v>
      </c>
      <c r="C741" s="9">
        <v>1</v>
      </c>
      <c r="D741" s="8" t="s">
        <v>108</v>
      </c>
      <c r="E741" s="10" t="s">
        <v>354</v>
      </c>
      <c r="F741" s="356"/>
      <c r="G741" s="10"/>
      <c r="H741" s="10" t="s">
        <v>2137</v>
      </c>
      <c r="I741" s="10" t="s">
        <v>2138</v>
      </c>
      <c r="J741" s="658">
        <v>0</v>
      </c>
      <c r="K741" s="118">
        <v>22000000</v>
      </c>
      <c r="L741" s="118">
        <f t="shared" si="263"/>
        <v>2200000</v>
      </c>
      <c r="M741" s="658">
        <v>0</v>
      </c>
      <c r="N741" s="189">
        <f t="shared" si="245"/>
        <v>24200000</v>
      </c>
      <c r="O741" s="197" t="s">
        <v>240</v>
      </c>
      <c r="P741" s="197" t="s">
        <v>65</v>
      </c>
      <c r="Q741" s="175"/>
      <c r="R741" s="175"/>
      <c r="S741" s="116">
        <v>0</v>
      </c>
      <c r="T741" s="116">
        <f t="shared" si="281"/>
        <v>-440000</v>
      </c>
      <c r="U741" s="116">
        <v>23760000</v>
      </c>
      <c r="V741" s="210">
        <f t="shared" si="264"/>
        <v>0</v>
      </c>
      <c r="W741" s="115">
        <f t="shared" si="243"/>
        <v>0</v>
      </c>
      <c r="X741" s="181" t="s">
        <v>237</v>
      </c>
      <c r="Y741" s="116"/>
      <c r="Z741" s="185"/>
      <c r="AA741" s="592"/>
      <c r="AB741" s="186"/>
      <c r="AC741" s="300">
        <v>42837</v>
      </c>
      <c r="AD741" s="297">
        <v>440000</v>
      </c>
      <c r="AE741" s="297">
        <f t="shared" si="234"/>
        <v>0</v>
      </c>
      <c r="AF741" s="9" t="s">
        <v>2886</v>
      </c>
      <c r="AG741" s="9" t="s">
        <v>1395</v>
      </c>
      <c r="AH741" s="300">
        <v>42796</v>
      </c>
      <c r="AI741" s="9" t="s">
        <v>1426</v>
      </c>
      <c r="AJ741" s="300">
        <v>42796</v>
      </c>
      <c r="AK741" s="73" t="str">
        <f t="shared" si="242"/>
        <v>PERTIWI AGRO SEJAHTERA, PTAPR</v>
      </c>
    </row>
    <row r="742" spans="1:37" s="114" customFormat="1" ht="12" hidden="1" customHeight="1">
      <c r="A742" s="53"/>
      <c r="B742" s="53" t="s">
        <v>240</v>
      </c>
      <c r="C742" s="9">
        <v>3</v>
      </c>
      <c r="D742" s="8" t="s">
        <v>108</v>
      </c>
      <c r="E742" s="10" t="s">
        <v>354</v>
      </c>
      <c r="F742" s="356"/>
      <c r="G742" s="10"/>
      <c r="H742" s="10" t="s">
        <v>2281</v>
      </c>
      <c r="I742" s="10" t="s">
        <v>2282</v>
      </c>
      <c r="J742" s="658">
        <v>0</v>
      </c>
      <c r="K742" s="118">
        <v>22000000</v>
      </c>
      <c r="L742" s="118">
        <f t="shared" si="263"/>
        <v>2200000</v>
      </c>
      <c r="M742" s="658">
        <v>0</v>
      </c>
      <c r="N742" s="189">
        <f t="shared" si="245"/>
        <v>24200000</v>
      </c>
      <c r="O742" s="197" t="s">
        <v>240</v>
      </c>
      <c r="P742" s="197" t="s">
        <v>18</v>
      </c>
      <c r="Q742" s="175"/>
      <c r="R742" s="175"/>
      <c r="S742" s="116">
        <v>0</v>
      </c>
      <c r="T742" s="116">
        <f t="shared" si="281"/>
        <v>-440000</v>
      </c>
      <c r="U742" s="116">
        <v>23760000</v>
      </c>
      <c r="V742" s="210">
        <f t="shared" si="264"/>
        <v>0</v>
      </c>
      <c r="W742" s="115">
        <f t="shared" si="243"/>
        <v>0</v>
      </c>
      <c r="X742" s="181" t="s">
        <v>237</v>
      </c>
      <c r="Y742" s="116"/>
      <c r="Z742" s="185"/>
      <c r="AA742" s="592"/>
      <c r="AB742" s="186"/>
      <c r="AC742" s="300">
        <v>42850</v>
      </c>
      <c r="AD742" s="297">
        <v>440000</v>
      </c>
      <c r="AE742" s="297">
        <f t="shared" si="234"/>
        <v>0</v>
      </c>
      <c r="AF742" s="9" t="s">
        <v>2887</v>
      </c>
      <c r="AG742" s="9" t="s">
        <v>1395</v>
      </c>
      <c r="AH742" s="300">
        <v>42829</v>
      </c>
      <c r="AI742" s="9" t="s">
        <v>1426</v>
      </c>
      <c r="AJ742" s="300">
        <v>42829</v>
      </c>
      <c r="AK742" s="73" t="str">
        <f t="shared" si="242"/>
        <v>PERTIWI AGRO SEJAHTERA, PTAPR</v>
      </c>
    </row>
    <row r="743" spans="1:37" s="114" customFormat="1" ht="12" hidden="1" customHeight="1">
      <c r="A743" s="53"/>
      <c r="B743" s="53" t="s">
        <v>58</v>
      </c>
      <c r="C743" s="9">
        <v>2</v>
      </c>
      <c r="D743" s="8" t="s">
        <v>108</v>
      </c>
      <c r="E743" s="10" t="s">
        <v>354</v>
      </c>
      <c r="F743" s="356"/>
      <c r="G743" s="10"/>
      <c r="H743" s="10" t="s">
        <v>2488</v>
      </c>
      <c r="I743" s="10" t="s">
        <v>2489</v>
      </c>
      <c r="J743" s="658">
        <v>0</v>
      </c>
      <c r="K743" s="118">
        <v>19066666.670000002</v>
      </c>
      <c r="L743" s="118">
        <f t="shared" si="263"/>
        <v>1906666.6670000004</v>
      </c>
      <c r="M743" s="658">
        <v>0</v>
      </c>
      <c r="N743" s="189">
        <f t="shared" si="245"/>
        <v>20973333.337000001</v>
      </c>
      <c r="O743" s="197" t="s">
        <v>241</v>
      </c>
      <c r="P743" s="197" t="s">
        <v>19</v>
      </c>
      <c r="Q743" s="175"/>
      <c r="R743" s="175"/>
      <c r="S743" s="116">
        <v>0</v>
      </c>
      <c r="T743" s="116">
        <f t="shared" si="281"/>
        <v>-381333.33340000006</v>
      </c>
      <c r="U743" s="116">
        <v>20592000</v>
      </c>
      <c r="V743" s="210">
        <f t="shared" si="264"/>
        <v>0</v>
      </c>
      <c r="W743" s="115">
        <f t="shared" si="243"/>
        <v>3.600001335144043E-3</v>
      </c>
      <c r="X743" s="181" t="s">
        <v>237</v>
      </c>
      <c r="Y743" s="116"/>
      <c r="Z743" s="185"/>
      <c r="AA743" s="592"/>
      <c r="AB743" s="186"/>
      <c r="AC743" s="300">
        <v>42895</v>
      </c>
      <c r="AD743" s="297">
        <v>381333</v>
      </c>
      <c r="AE743" s="297">
        <f t="shared" si="234"/>
        <v>0.33340000006137416</v>
      </c>
      <c r="AF743" s="9" t="s">
        <v>3039</v>
      </c>
      <c r="AG743" s="9" t="s">
        <v>1395</v>
      </c>
      <c r="AH743" s="300">
        <v>42860</v>
      </c>
      <c r="AI743" s="9" t="s">
        <v>2515</v>
      </c>
      <c r="AJ743" s="300">
        <v>42860</v>
      </c>
      <c r="AK743" s="73" t="str">
        <f t="shared" si="242"/>
        <v>PERTIWI AGRO SEJAHTERA, PTJUN</v>
      </c>
    </row>
    <row r="744" spans="1:37" s="114" customFormat="1" ht="12" hidden="1" customHeight="1">
      <c r="A744" s="53"/>
      <c r="B744" s="53" t="s">
        <v>241</v>
      </c>
      <c r="C744" s="9">
        <v>2</v>
      </c>
      <c r="D744" s="8" t="s">
        <v>108</v>
      </c>
      <c r="E744" s="10" t="s">
        <v>354</v>
      </c>
      <c r="F744" s="356"/>
      <c r="G744" s="10"/>
      <c r="H744" s="10" t="s">
        <v>2621</v>
      </c>
      <c r="I744" s="10" t="s">
        <v>2659</v>
      </c>
      <c r="J744" s="658">
        <v>0</v>
      </c>
      <c r="K744" s="118">
        <v>22000000</v>
      </c>
      <c r="L744" s="118">
        <f t="shared" si="263"/>
        <v>2200000</v>
      </c>
      <c r="M744" s="658">
        <v>0</v>
      </c>
      <c r="N744" s="189">
        <f t="shared" si="245"/>
        <v>24200000</v>
      </c>
      <c r="O744" s="197" t="s">
        <v>243</v>
      </c>
      <c r="P744" s="197" t="s">
        <v>39</v>
      </c>
      <c r="Q744" s="175"/>
      <c r="R744" s="175"/>
      <c r="S744" s="116">
        <v>0</v>
      </c>
      <c r="T744" s="116">
        <f t="shared" ref="T744:T745" si="282">-K744*2%</f>
        <v>-440000</v>
      </c>
      <c r="U744" s="116">
        <v>23760000</v>
      </c>
      <c r="V744" s="210">
        <f t="shared" si="264"/>
        <v>0</v>
      </c>
      <c r="W744" s="115">
        <f t="shared" si="243"/>
        <v>0</v>
      </c>
      <c r="X744" s="181" t="s">
        <v>237</v>
      </c>
      <c r="Y744" s="116"/>
      <c r="Z744" s="185"/>
      <c r="AA744" s="592"/>
      <c r="AB744" s="186"/>
      <c r="AC744" s="9"/>
      <c r="AD744" s="297"/>
      <c r="AE744" s="297">
        <f t="shared" ref="AE744:AE857" si="283">-T744-AD744</f>
        <v>440000</v>
      </c>
      <c r="AF744" s="9"/>
      <c r="AG744" s="9" t="s">
        <v>1395</v>
      </c>
      <c r="AH744" s="300">
        <v>42892</v>
      </c>
      <c r="AI744" s="9" t="s">
        <v>1426</v>
      </c>
      <c r="AJ744" s="300">
        <v>42892</v>
      </c>
      <c r="AK744" s="73" t="str">
        <f t="shared" si="242"/>
        <v>PERTIWI AGRO SEJAHTERA, PTAGS</v>
      </c>
    </row>
    <row r="745" spans="1:37" s="114" customFormat="1" ht="12" hidden="1" customHeight="1">
      <c r="A745" s="53"/>
      <c r="B745" s="53" t="s">
        <v>242</v>
      </c>
      <c r="C745" s="9">
        <v>3</v>
      </c>
      <c r="D745" s="8" t="s">
        <v>108</v>
      </c>
      <c r="E745" s="10" t="s">
        <v>354</v>
      </c>
      <c r="F745" s="356" t="s">
        <v>3046</v>
      </c>
      <c r="G745" s="10" t="s">
        <v>60</v>
      </c>
      <c r="H745" s="10" t="s">
        <v>2762</v>
      </c>
      <c r="I745" s="10" t="s">
        <v>2815</v>
      </c>
      <c r="J745" s="658">
        <v>0</v>
      </c>
      <c r="K745" s="118">
        <v>22000000</v>
      </c>
      <c r="L745" s="118">
        <f t="shared" ref="L745:L750" si="284">K745*10%</f>
        <v>2200000</v>
      </c>
      <c r="M745" s="658">
        <v>0</v>
      </c>
      <c r="N745" s="189">
        <f>K745+L745</f>
        <v>24200000</v>
      </c>
      <c r="O745" s="197" t="s">
        <v>243</v>
      </c>
      <c r="P745" s="197" t="s">
        <v>39</v>
      </c>
      <c r="Q745" s="175"/>
      <c r="R745" s="175"/>
      <c r="S745" s="116">
        <v>0</v>
      </c>
      <c r="T745" s="116">
        <f t="shared" si="282"/>
        <v>-440000</v>
      </c>
      <c r="U745" s="116">
        <v>23760000</v>
      </c>
      <c r="V745" s="210">
        <f t="shared" si="264"/>
        <v>0</v>
      </c>
      <c r="W745" s="115">
        <f t="shared" si="243"/>
        <v>0</v>
      </c>
      <c r="X745" s="181" t="s">
        <v>237</v>
      </c>
      <c r="Y745" s="116"/>
      <c r="Z745" s="185"/>
      <c r="AA745" s="592"/>
      <c r="AB745" s="186"/>
      <c r="AC745" s="9"/>
      <c r="AD745" s="297"/>
      <c r="AE745" s="297">
        <f t="shared" si="283"/>
        <v>440000</v>
      </c>
      <c r="AF745" s="9"/>
      <c r="AG745" s="9" t="s">
        <v>1395</v>
      </c>
      <c r="AH745" s="300">
        <v>42922</v>
      </c>
      <c r="AI745" s="9" t="s">
        <v>2832</v>
      </c>
      <c r="AJ745" s="300">
        <v>42922</v>
      </c>
      <c r="AK745" s="73" t="str">
        <f t="shared" si="242"/>
        <v>PERTIWI AGRO SEJAHTERA, PTAGS</v>
      </c>
    </row>
    <row r="746" spans="1:37" s="114" customFormat="1" ht="12" hidden="1" customHeight="1">
      <c r="A746" s="53"/>
      <c r="B746" s="53" t="s">
        <v>243</v>
      </c>
      <c r="C746" s="9">
        <v>1</v>
      </c>
      <c r="D746" s="8" t="s">
        <v>108</v>
      </c>
      <c r="E746" s="10" t="s">
        <v>354</v>
      </c>
      <c r="F746" s="356" t="s">
        <v>3111</v>
      </c>
      <c r="G746" s="10" t="s">
        <v>559</v>
      </c>
      <c r="H746" s="10" t="s">
        <v>2928</v>
      </c>
      <c r="I746" s="10" t="s">
        <v>2966</v>
      </c>
      <c r="J746" s="764">
        <v>22000000</v>
      </c>
      <c r="K746" s="118">
        <v>22000000</v>
      </c>
      <c r="L746" s="189">
        <f t="shared" si="284"/>
        <v>2200000</v>
      </c>
      <c r="M746" s="658"/>
      <c r="N746" s="189">
        <f>SUBTOTAL(9,K746:L746)</f>
        <v>24200000</v>
      </c>
      <c r="O746" s="197" t="s">
        <v>244</v>
      </c>
      <c r="P746" s="197" t="s">
        <v>34</v>
      </c>
      <c r="Q746" s="175"/>
      <c r="R746" s="175"/>
      <c r="S746" s="116">
        <v>0</v>
      </c>
      <c r="T746" s="116">
        <f t="shared" ref="T746:T747" si="285">-K746*2%</f>
        <v>-440000</v>
      </c>
      <c r="U746" s="116">
        <v>23760000</v>
      </c>
      <c r="V746" s="210">
        <f t="shared" ref="V746" si="286">M746+Q746-R746</f>
        <v>0</v>
      </c>
      <c r="W746" s="115">
        <f t="shared" ref="W746:W747" si="287">N746+S746+T746-U746</f>
        <v>0</v>
      </c>
      <c r="X746" s="181" t="s">
        <v>237</v>
      </c>
      <c r="Y746" s="116"/>
      <c r="Z746" s="185"/>
      <c r="AA746" s="592"/>
      <c r="AB746" s="186"/>
      <c r="AC746" s="9"/>
      <c r="AD746" s="297"/>
      <c r="AE746" s="297"/>
      <c r="AF746" s="9"/>
      <c r="AG746" s="9"/>
      <c r="AH746" s="300"/>
      <c r="AI746" s="9"/>
      <c r="AJ746" s="300"/>
      <c r="AK746" s="73" t="str">
        <f t="shared" si="242"/>
        <v>PERTIWI AGRO SEJAHTERA, PTSEP</v>
      </c>
    </row>
    <row r="747" spans="1:37" s="114" customFormat="1" ht="12" hidden="1" customHeight="1">
      <c r="A747" s="53"/>
      <c r="B747" s="1220" t="s">
        <v>244</v>
      </c>
      <c r="C747" s="1221">
        <v>4</v>
      </c>
      <c r="D747" s="1222" t="s">
        <v>108</v>
      </c>
      <c r="E747" s="1223" t="s">
        <v>354</v>
      </c>
      <c r="F747" s="1505" t="s">
        <v>3111</v>
      </c>
      <c r="G747" s="1223" t="s">
        <v>602</v>
      </c>
      <c r="H747" s="1223" t="s">
        <v>3112</v>
      </c>
      <c r="I747" s="1223" t="s">
        <v>3113</v>
      </c>
      <c r="J747" s="1237"/>
      <c r="K747" s="1212">
        <v>22000000</v>
      </c>
      <c r="L747" s="1212">
        <f t="shared" si="284"/>
        <v>2200000</v>
      </c>
      <c r="M747" s="1237">
        <v>0</v>
      </c>
      <c r="N747" s="1225">
        <f>K747+L747</f>
        <v>24200000</v>
      </c>
      <c r="O747" s="197" t="s">
        <v>245</v>
      </c>
      <c r="P747" s="197" t="s">
        <v>65</v>
      </c>
      <c r="Q747" s="175"/>
      <c r="R747" s="175"/>
      <c r="S747" s="116">
        <v>0</v>
      </c>
      <c r="T747" s="116">
        <f t="shared" si="285"/>
        <v>-440000</v>
      </c>
      <c r="U747" s="116">
        <v>23760000</v>
      </c>
      <c r="V747" s="210">
        <f t="shared" si="264"/>
        <v>0</v>
      </c>
      <c r="W747" s="115">
        <f t="shared" si="287"/>
        <v>0</v>
      </c>
      <c r="X747" s="181"/>
      <c r="Y747" s="116"/>
      <c r="Z747" s="185"/>
      <c r="AA747" s="592"/>
      <c r="AB747" s="186"/>
      <c r="AC747" s="9"/>
      <c r="AD747" s="297"/>
      <c r="AE747" s="297"/>
      <c r="AF747" s="9"/>
      <c r="AG747" s="9" t="s">
        <v>1395</v>
      </c>
      <c r="AH747" s="300">
        <v>42949</v>
      </c>
      <c r="AI747" s="9" t="s">
        <v>2832</v>
      </c>
      <c r="AJ747" s="300">
        <v>42949</v>
      </c>
      <c r="AK747" s="73" t="str">
        <f t="shared" si="242"/>
        <v>PERTIWI AGRO SEJAHTERA, PTOKT</v>
      </c>
    </row>
    <row r="748" spans="1:37" s="114" customFormat="1" ht="12" hidden="1" customHeight="1">
      <c r="A748" s="53"/>
      <c r="B748" s="1220" t="s">
        <v>245</v>
      </c>
      <c r="C748" s="1221">
        <v>3</v>
      </c>
      <c r="D748" s="1222" t="s">
        <v>108</v>
      </c>
      <c r="E748" s="1223" t="s">
        <v>354</v>
      </c>
      <c r="F748" s="1505" t="s">
        <v>3111</v>
      </c>
      <c r="G748" s="1223" t="s">
        <v>641</v>
      </c>
      <c r="H748" s="1223" t="s">
        <v>3328</v>
      </c>
      <c r="I748" s="1223" t="s">
        <v>3329</v>
      </c>
      <c r="J748" s="1237"/>
      <c r="K748" s="1212">
        <v>22000000</v>
      </c>
      <c r="L748" s="1212">
        <f t="shared" si="284"/>
        <v>2200000</v>
      </c>
      <c r="M748" s="1237">
        <v>0</v>
      </c>
      <c r="N748" s="1225">
        <f>K748+L748</f>
        <v>24200000</v>
      </c>
      <c r="O748" s="1202" t="s">
        <v>238</v>
      </c>
      <c r="P748" s="1202" t="s">
        <v>114</v>
      </c>
      <c r="Q748" s="175"/>
      <c r="R748" s="175"/>
      <c r="S748" s="116">
        <v>0</v>
      </c>
      <c r="T748" s="116">
        <f t="shared" ref="T748" si="288">-K748*2%</f>
        <v>-440000</v>
      </c>
      <c r="U748" s="116">
        <v>23760000</v>
      </c>
      <c r="V748" s="210"/>
      <c r="W748" s="115"/>
      <c r="X748" s="181"/>
      <c r="Y748" s="116"/>
      <c r="Z748" s="185"/>
      <c r="AA748" s="592"/>
      <c r="AB748" s="186"/>
      <c r="AC748" s="9"/>
      <c r="AD748" s="297"/>
      <c r="AE748" s="297"/>
      <c r="AF748" s="9"/>
      <c r="AG748" s="9"/>
      <c r="AH748" s="300"/>
      <c r="AI748" s="9"/>
      <c r="AJ748" s="300"/>
      <c r="AK748" s="73" t="str">
        <f t="shared" si="242"/>
        <v>PERTIWI AGRO SEJAHTERA, PTNOV</v>
      </c>
    </row>
    <row r="749" spans="1:37" s="114" customFormat="1" ht="12" hidden="1" customHeight="1">
      <c r="A749" s="1220"/>
      <c r="B749" s="1220" t="s">
        <v>238</v>
      </c>
      <c r="C749" s="1221">
        <v>1</v>
      </c>
      <c r="D749" s="1222" t="s">
        <v>108</v>
      </c>
      <c r="E749" s="1223" t="s">
        <v>354</v>
      </c>
      <c r="F749" s="1505" t="s">
        <v>3111</v>
      </c>
      <c r="G749" s="1223" t="s">
        <v>1616</v>
      </c>
      <c r="H749" s="1223" t="s">
        <v>3501</v>
      </c>
      <c r="I749" s="1223" t="s">
        <v>3502</v>
      </c>
      <c r="J749" s="1237"/>
      <c r="K749" s="1212">
        <v>22000000</v>
      </c>
      <c r="L749" s="1212">
        <f t="shared" si="284"/>
        <v>2200000</v>
      </c>
      <c r="M749" s="1237">
        <v>0</v>
      </c>
      <c r="N749" s="1225">
        <f>K749+L749</f>
        <v>24200000</v>
      </c>
      <c r="O749" s="1202" t="s">
        <v>140</v>
      </c>
      <c r="P749" s="1202" t="s">
        <v>37</v>
      </c>
      <c r="Q749" s="175"/>
      <c r="R749" s="175"/>
      <c r="S749" s="116">
        <v>0</v>
      </c>
      <c r="T749" s="116">
        <f t="shared" ref="T749" si="289">-K749*2%</f>
        <v>-440000</v>
      </c>
      <c r="U749" s="116">
        <v>23760000</v>
      </c>
      <c r="V749" s="210"/>
      <c r="W749" s="115"/>
      <c r="X749" s="181"/>
      <c r="Y749" s="116"/>
      <c r="Z749" s="185"/>
      <c r="AA749" s="592"/>
      <c r="AB749" s="186"/>
      <c r="AC749" s="9"/>
      <c r="AD749" s="297"/>
      <c r="AE749" s="297"/>
      <c r="AF749" s="9"/>
      <c r="AG749" s="9"/>
      <c r="AH749" s="300"/>
      <c r="AI749" s="9"/>
      <c r="AJ749" s="300"/>
      <c r="AK749" s="73" t="str">
        <f t="shared" si="242"/>
        <v>PERTIWI AGRO SEJAHTERA, PTDES</v>
      </c>
    </row>
    <row r="750" spans="1:37" s="114" customFormat="1" ht="12" hidden="1" customHeight="1">
      <c r="A750" s="53"/>
      <c r="B750" s="758" t="s">
        <v>140</v>
      </c>
      <c r="C750" s="759">
        <v>4</v>
      </c>
      <c r="D750" s="760" t="s">
        <v>108</v>
      </c>
      <c r="E750" s="761" t="s">
        <v>354</v>
      </c>
      <c r="F750" s="1506" t="s">
        <v>3111</v>
      </c>
      <c r="G750" s="761" t="s">
        <v>1617</v>
      </c>
      <c r="H750" s="761" t="s">
        <v>3632</v>
      </c>
      <c r="I750" s="761" t="s">
        <v>3633</v>
      </c>
      <c r="J750" s="658"/>
      <c r="K750" s="764">
        <v>22000000</v>
      </c>
      <c r="L750" s="764">
        <f t="shared" si="284"/>
        <v>2200000</v>
      </c>
      <c r="M750" s="658">
        <v>0</v>
      </c>
      <c r="N750" s="763">
        <f>K750+L750</f>
        <v>24200000</v>
      </c>
      <c r="O750" s="1202"/>
      <c r="P750" s="1202"/>
      <c r="Q750" s="175"/>
      <c r="R750" s="175"/>
      <c r="S750" s="116"/>
      <c r="T750" s="116"/>
      <c r="U750" s="116"/>
      <c r="V750" s="210"/>
      <c r="W750" s="115"/>
      <c r="X750" s="181"/>
      <c r="Y750" s="116"/>
      <c r="Z750" s="185"/>
      <c r="AA750" s="592"/>
      <c r="AB750" s="186"/>
      <c r="AC750" s="9"/>
      <c r="AD750" s="297"/>
      <c r="AE750" s="297"/>
      <c r="AF750" s="9"/>
      <c r="AG750" s="9"/>
      <c r="AH750" s="300"/>
      <c r="AI750" s="9"/>
      <c r="AJ750" s="300"/>
      <c r="AK750" s="73"/>
    </row>
    <row r="751" spans="1:37" s="114" customFormat="1" ht="12" hidden="1" customHeight="1">
      <c r="A751" s="53"/>
      <c r="B751" s="53" t="s">
        <v>194</v>
      </c>
      <c r="C751" s="9">
        <v>16</v>
      </c>
      <c r="D751" s="8" t="s">
        <v>606</v>
      </c>
      <c r="E751" s="10" t="s">
        <v>118</v>
      </c>
      <c r="F751" s="356"/>
      <c r="G751" s="10"/>
      <c r="H751" s="10" t="s">
        <v>1894</v>
      </c>
      <c r="I751" s="10" t="s">
        <v>14</v>
      </c>
      <c r="J751" s="658">
        <v>0</v>
      </c>
      <c r="K751" s="118">
        <f>3618700+3600000</f>
        <v>7218700</v>
      </c>
      <c r="L751" s="118">
        <v>0</v>
      </c>
      <c r="M751" s="658">
        <v>0</v>
      </c>
      <c r="N751" s="189">
        <f t="shared" si="245"/>
        <v>7218700</v>
      </c>
      <c r="O751" s="197" t="s">
        <v>195</v>
      </c>
      <c r="P751" s="197" t="s">
        <v>87</v>
      </c>
      <c r="Q751" s="175"/>
      <c r="R751" s="175"/>
      <c r="S751" s="116">
        <v>0</v>
      </c>
      <c r="T751" s="116">
        <v>0</v>
      </c>
      <c r="U751" s="116">
        <v>7218700</v>
      </c>
      <c r="V751" s="210">
        <f t="shared" si="264"/>
        <v>0</v>
      </c>
      <c r="W751" s="115">
        <f t="shared" si="243"/>
        <v>0</v>
      </c>
      <c r="X751" s="181" t="s">
        <v>237</v>
      </c>
      <c r="Y751" s="116"/>
      <c r="Z751" s="185"/>
      <c r="AA751" s="592">
        <f>-S751-Z751</f>
        <v>0</v>
      </c>
      <c r="AB751" s="186"/>
      <c r="AC751" s="9"/>
      <c r="AD751" s="297"/>
      <c r="AE751" s="297">
        <f t="shared" si="283"/>
        <v>0</v>
      </c>
      <c r="AF751" s="9"/>
      <c r="AG751" s="9" t="s">
        <v>1395</v>
      </c>
      <c r="AH751" s="300">
        <v>42754</v>
      </c>
      <c r="AI751" s="9" t="s">
        <v>1895</v>
      </c>
      <c r="AJ751" s="300">
        <v>42754</v>
      </c>
      <c r="AK751" s="73" t="str">
        <f t="shared" si="242"/>
        <v>PERTIWI LENGGARA AGROMAS, PTFEB</v>
      </c>
    </row>
    <row r="752" spans="1:37" s="114" customFormat="1" ht="12" hidden="1" customHeight="1">
      <c r="A752" s="53"/>
      <c r="B752" s="53" t="s">
        <v>195</v>
      </c>
      <c r="C752" s="9">
        <v>6</v>
      </c>
      <c r="D752" s="8" t="s">
        <v>606</v>
      </c>
      <c r="E752" s="10" t="s">
        <v>354</v>
      </c>
      <c r="F752" s="356"/>
      <c r="G752" s="10"/>
      <c r="H752" s="10" t="s">
        <v>2057</v>
      </c>
      <c r="I752" s="10" t="s">
        <v>2058</v>
      </c>
      <c r="J752" s="658">
        <v>0</v>
      </c>
      <c r="K752" s="818" t="s">
        <v>2196</v>
      </c>
      <c r="L752" s="118">
        <v>0</v>
      </c>
      <c r="M752" s="658">
        <v>0</v>
      </c>
      <c r="N752" s="189">
        <v>0</v>
      </c>
      <c r="O752" s="197"/>
      <c r="P752" s="197"/>
      <c r="Q752" s="175"/>
      <c r="R752" s="175"/>
      <c r="S752" s="116">
        <v>0</v>
      </c>
      <c r="T752" s="116"/>
      <c r="U752" s="116"/>
      <c r="V752" s="210">
        <f t="shared" si="264"/>
        <v>0</v>
      </c>
      <c r="W752" s="115">
        <f t="shared" si="243"/>
        <v>0</v>
      </c>
      <c r="X752" s="181"/>
      <c r="Y752" s="116"/>
      <c r="Z752" s="185"/>
      <c r="AA752" s="592"/>
      <c r="AB752" s="186"/>
      <c r="AC752" s="9"/>
      <c r="AD752" s="297"/>
      <c r="AE752" s="297">
        <f t="shared" si="283"/>
        <v>0</v>
      </c>
      <c r="AF752" s="9"/>
      <c r="AG752" s="9" t="s">
        <v>1395</v>
      </c>
      <c r="AH752" s="300">
        <v>42775</v>
      </c>
      <c r="AI752" s="9" t="s">
        <v>2060</v>
      </c>
      <c r="AJ752" s="300">
        <v>42775</v>
      </c>
      <c r="AK752" s="73" t="str">
        <f t="shared" si="242"/>
        <v>PERTIWI LENGGARA AGROMAS, PT</v>
      </c>
    </row>
    <row r="753" spans="1:37" s="1306" customFormat="1" ht="12" hidden="1" customHeight="1">
      <c r="A753" s="1299"/>
      <c r="B753" s="1220" t="s">
        <v>194</v>
      </c>
      <c r="C753" s="1221">
        <v>13</v>
      </c>
      <c r="D753" s="1222" t="s">
        <v>136</v>
      </c>
      <c r="E753" s="1223" t="s">
        <v>354</v>
      </c>
      <c r="F753" s="1505"/>
      <c r="G753" s="1223"/>
      <c r="H753" s="1223" t="s">
        <v>1886</v>
      </c>
      <c r="I753" s="1223" t="s">
        <v>1874</v>
      </c>
      <c r="J753" s="658">
        <v>0</v>
      </c>
      <c r="K753" s="1212">
        <v>49500000</v>
      </c>
      <c r="L753" s="1212">
        <f>K753*10%</f>
        <v>4950000</v>
      </c>
      <c r="M753" s="658">
        <v>0</v>
      </c>
      <c r="N753" s="1225">
        <f>K753+L753</f>
        <v>54450000</v>
      </c>
      <c r="O753" s="1307" t="s">
        <v>195</v>
      </c>
      <c r="P753" s="1307" t="s">
        <v>106</v>
      </c>
      <c r="Q753" s="1308"/>
      <c r="R753" s="1300"/>
      <c r="S753" s="1187">
        <v>0</v>
      </c>
      <c r="T753" s="1187">
        <f t="shared" ref="T753:T765" si="290">-K753*2%</f>
        <v>-990000</v>
      </c>
      <c r="U753" s="1187">
        <v>53460000</v>
      </c>
      <c r="V753" s="1193">
        <f t="shared" si="264"/>
        <v>0</v>
      </c>
      <c r="W753" s="481">
        <f t="shared" si="243"/>
        <v>0</v>
      </c>
      <c r="X753" s="1301" t="s">
        <v>237</v>
      </c>
      <c r="Y753" s="1187"/>
      <c r="Z753" s="1302"/>
      <c r="AA753" s="1303">
        <f>-S753-Z753</f>
        <v>0</v>
      </c>
      <c r="AB753" s="1304"/>
      <c r="AC753" s="893">
        <v>42766</v>
      </c>
      <c r="AD753" s="1065">
        <v>990000</v>
      </c>
      <c r="AE753" s="1065">
        <f t="shared" si="283"/>
        <v>0</v>
      </c>
      <c r="AF753" s="892" t="s">
        <v>2580</v>
      </c>
      <c r="AG753" s="892" t="s">
        <v>1395</v>
      </c>
      <c r="AH753" s="893">
        <v>42751</v>
      </c>
      <c r="AI753" s="892" t="s">
        <v>560</v>
      </c>
      <c r="AJ753" s="893">
        <v>42752</v>
      </c>
      <c r="AK753" s="1305" t="str">
        <f t="shared" si="242"/>
        <v>PETROSEA, PTFEB</v>
      </c>
    </row>
    <row r="754" spans="1:37" s="1306" customFormat="1" ht="12" hidden="1" customHeight="1">
      <c r="A754" s="1299"/>
      <c r="B754" s="1220" t="s">
        <v>194</v>
      </c>
      <c r="C754" s="1221">
        <v>13</v>
      </c>
      <c r="D754" s="1222" t="s">
        <v>136</v>
      </c>
      <c r="E754" s="1223" t="s">
        <v>354</v>
      </c>
      <c r="F754" s="1505"/>
      <c r="G754" s="1223"/>
      <c r="H754" s="1223" t="s">
        <v>1887</v>
      </c>
      <c r="I754" s="1223" t="s">
        <v>1875</v>
      </c>
      <c r="J754" s="658">
        <v>0</v>
      </c>
      <c r="K754" s="1212">
        <v>49500000</v>
      </c>
      <c r="L754" s="1212">
        <f>K754*10%</f>
        <v>4950000</v>
      </c>
      <c r="M754" s="658">
        <v>0</v>
      </c>
      <c r="N754" s="1225">
        <f>K754+L754</f>
        <v>54450000</v>
      </c>
      <c r="O754" s="1307" t="s">
        <v>195</v>
      </c>
      <c r="P754" s="1307" t="s">
        <v>106</v>
      </c>
      <c r="Q754" s="1308"/>
      <c r="R754" s="1300"/>
      <c r="S754" s="1187">
        <v>0</v>
      </c>
      <c r="T754" s="1187">
        <f t="shared" si="290"/>
        <v>-990000</v>
      </c>
      <c r="U754" s="1187">
        <v>53460000</v>
      </c>
      <c r="V754" s="1193">
        <f t="shared" si="264"/>
        <v>0</v>
      </c>
      <c r="W754" s="481">
        <f t="shared" si="243"/>
        <v>0</v>
      </c>
      <c r="X754" s="1301" t="s">
        <v>237</v>
      </c>
      <c r="Y754" s="1187"/>
      <c r="Z754" s="1302"/>
      <c r="AA754" s="1303">
        <f>-S754-Z754</f>
        <v>0</v>
      </c>
      <c r="AB754" s="1304"/>
      <c r="AC754" s="893">
        <v>42766</v>
      </c>
      <c r="AD754" s="1065">
        <v>990000</v>
      </c>
      <c r="AE754" s="1065">
        <f t="shared" si="283"/>
        <v>0</v>
      </c>
      <c r="AF754" s="892" t="s">
        <v>2580</v>
      </c>
      <c r="AG754" s="892" t="s">
        <v>1395</v>
      </c>
      <c r="AH754" s="893">
        <v>42751</v>
      </c>
      <c r="AI754" s="892" t="s">
        <v>560</v>
      </c>
      <c r="AJ754" s="893">
        <v>42752</v>
      </c>
      <c r="AK754" s="1305" t="str">
        <f t="shared" si="242"/>
        <v>PETROSEA, PTFEB</v>
      </c>
    </row>
    <row r="755" spans="1:37" s="1306" customFormat="1" ht="12" hidden="1" customHeight="1">
      <c r="A755" s="1299"/>
      <c r="B755" s="1220" t="s">
        <v>194</v>
      </c>
      <c r="C755" s="1221">
        <v>13</v>
      </c>
      <c r="D755" s="1222" t="s">
        <v>136</v>
      </c>
      <c r="E755" s="1223" t="s">
        <v>354</v>
      </c>
      <c r="F755" s="1505"/>
      <c r="G755" s="1223"/>
      <c r="H755" s="1223" t="s">
        <v>1888</v>
      </c>
      <c r="I755" s="1223" t="s">
        <v>1889</v>
      </c>
      <c r="J755" s="658">
        <v>0</v>
      </c>
      <c r="K755" s="1212">
        <v>27000000</v>
      </c>
      <c r="L755" s="1212">
        <f>K755*10%</f>
        <v>2700000</v>
      </c>
      <c r="M755" s="658">
        <v>0</v>
      </c>
      <c r="N755" s="1225">
        <f>K755+L755</f>
        <v>29700000</v>
      </c>
      <c r="O755" s="1307" t="s">
        <v>195</v>
      </c>
      <c r="P755" s="1307" t="s">
        <v>106</v>
      </c>
      <c r="Q755" s="1308"/>
      <c r="R755" s="1300"/>
      <c r="S755" s="1187">
        <v>0</v>
      </c>
      <c r="T755" s="1187">
        <f t="shared" si="290"/>
        <v>-540000</v>
      </c>
      <c r="U755" s="1187">
        <v>29160000</v>
      </c>
      <c r="V755" s="1193">
        <f t="shared" si="264"/>
        <v>0</v>
      </c>
      <c r="W755" s="481">
        <f t="shared" si="243"/>
        <v>0</v>
      </c>
      <c r="X755" s="1301" t="s">
        <v>237</v>
      </c>
      <c r="Y755" s="1187"/>
      <c r="Z755" s="1302"/>
      <c r="AA755" s="1303">
        <f>-S755-Z755</f>
        <v>0</v>
      </c>
      <c r="AB755" s="1304"/>
      <c r="AC755" s="893">
        <v>42766</v>
      </c>
      <c r="AD755" s="1065">
        <v>540000</v>
      </c>
      <c r="AE755" s="1065">
        <f t="shared" si="283"/>
        <v>0</v>
      </c>
      <c r="AF755" s="892" t="s">
        <v>2580</v>
      </c>
      <c r="AG755" s="892" t="s">
        <v>1395</v>
      </c>
      <c r="AH755" s="893">
        <v>42751</v>
      </c>
      <c r="AI755" s="892" t="s">
        <v>560</v>
      </c>
      <c r="AJ755" s="893">
        <v>42752</v>
      </c>
      <c r="AK755" s="1305" t="str">
        <f t="shared" si="242"/>
        <v>PETROSEA, PTFEB</v>
      </c>
    </row>
    <row r="756" spans="1:37" s="1306" customFormat="1" ht="12" hidden="1" customHeight="1">
      <c r="A756" s="1299"/>
      <c r="B756" s="1220" t="s">
        <v>195</v>
      </c>
      <c r="C756" s="1221">
        <v>1</v>
      </c>
      <c r="D756" s="1222" t="s">
        <v>136</v>
      </c>
      <c r="E756" s="1223" t="s">
        <v>354</v>
      </c>
      <c r="F756" s="1505"/>
      <c r="G756" s="1223"/>
      <c r="H756" s="1223" t="s">
        <v>2051</v>
      </c>
      <c r="I756" s="1223" t="s">
        <v>2052</v>
      </c>
      <c r="J756" s="658">
        <v>0</v>
      </c>
      <c r="K756" s="1212">
        <v>27000000</v>
      </c>
      <c r="L756" s="1212">
        <f>K756*10%</f>
        <v>2700000</v>
      </c>
      <c r="M756" s="658">
        <v>0</v>
      </c>
      <c r="N756" s="1225">
        <f>K756+L756</f>
        <v>29700000</v>
      </c>
      <c r="O756" s="1307" t="s">
        <v>239</v>
      </c>
      <c r="P756" s="1307" t="s">
        <v>103</v>
      </c>
      <c r="Q756" s="1308"/>
      <c r="R756" s="1300"/>
      <c r="S756" s="1187">
        <v>0</v>
      </c>
      <c r="T756" s="1187">
        <f t="shared" si="290"/>
        <v>-540000</v>
      </c>
      <c r="U756" s="1187">
        <v>29160000</v>
      </c>
      <c r="V756" s="1193">
        <f t="shared" si="264"/>
        <v>0</v>
      </c>
      <c r="W756" s="481">
        <f t="shared" si="243"/>
        <v>0</v>
      </c>
      <c r="X756" s="1301" t="s">
        <v>237</v>
      </c>
      <c r="Y756" s="1187"/>
      <c r="Z756" s="1302"/>
      <c r="AA756" s="1303"/>
      <c r="AB756" s="1304"/>
      <c r="AC756" s="893">
        <v>42794</v>
      </c>
      <c r="AD756" s="1065">
        <v>540000</v>
      </c>
      <c r="AE756" s="1065">
        <f t="shared" si="283"/>
        <v>0</v>
      </c>
      <c r="AF756" s="892" t="s">
        <v>2581</v>
      </c>
      <c r="AG756" s="892" t="s">
        <v>1395</v>
      </c>
      <c r="AH756" s="893">
        <v>42775</v>
      </c>
      <c r="AI756" s="892" t="s">
        <v>560</v>
      </c>
      <c r="AJ756" s="893">
        <v>42775</v>
      </c>
      <c r="AK756" s="1305" t="str">
        <f t="shared" si="242"/>
        <v>PETROSEA, PTMAR</v>
      </c>
    </row>
    <row r="757" spans="1:37" s="1306" customFormat="1" ht="12" hidden="1" customHeight="1">
      <c r="A757" s="1299"/>
      <c r="B757" s="1220" t="s">
        <v>195</v>
      </c>
      <c r="C757" s="1221">
        <v>1</v>
      </c>
      <c r="D757" s="1222" t="s">
        <v>136</v>
      </c>
      <c r="E757" s="1223" t="s">
        <v>354</v>
      </c>
      <c r="F757" s="1505"/>
      <c r="G757" s="1223"/>
      <c r="H757" s="1223" t="s">
        <v>2053</v>
      </c>
      <c r="I757" s="1223" t="s">
        <v>2054</v>
      </c>
      <c r="J757" s="658">
        <v>0</v>
      </c>
      <c r="K757" s="1212">
        <v>49500000</v>
      </c>
      <c r="L757" s="1212">
        <f t="shared" ref="L757:L768" si="291">K757*10%</f>
        <v>4950000</v>
      </c>
      <c r="M757" s="658">
        <v>0</v>
      </c>
      <c r="N757" s="1225">
        <f t="shared" ref="N757:N768" si="292">K757+L757</f>
        <v>54450000</v>
      </c>
      <c r="O757" s="1307" t="s">
        <v>239</v>
      </c>
      <c r="P757" s="1307" t="s">
        <v>103</v>
      </c>
      <c r="Q757" s="1308"/>
      <c r="R757" s="1300"/>
      <c r="S757" s="1187">
        <v>0</v>
      </c>
      <c r="T757" s="1187">
        <f t="shared" si="290"/>
        <v>-990000</v>
      </c>
      <c r="U757" s="1187">
        <v>53460000</v>
      </c>
      <c r="V757" s="1193">
        <f t="shared" si="264"/>
        <v>0</v>
      </c>
      <c r="W757" s="481">
        <f t="shared" si="243"/>
        <v>0</v>
      </c>
      <c r="X757" s="1301" t="s">
        <v>237</v>
      </c>
      <c r="Y757" s="1187"/>
      <c r="Z757" s="1302"/>
      <c r="AA757" s="1303"/>
      <c r="AB757" s="1304"/>
      <c r="AC757" s="893">
        <v>42794</v>
      </c>
      <c r="AD757" s="1065">
        <v>990000</v>
      </c>
      <c r="AE757" s="1065">
        <f t="shared" si="283"/>
        <v>0</v>
      </c>
      <c r="AF757" s="892" t="s">
        <v>2581</v>
      </c>
      <c r="AG757" s="892" t="s">
        <v>1395</v>
      </c>
      <c r="AH757" s="893">
        <v>42775</v>
      </c>
      <c r="AI757" s="892" t="s">
        <v>560</v>
      </c>
      <c r="AJ757" s="893">
        <v>42775</v>
      </c>
      <c r="AK757" s="1305" t="str">
        <f t="shared" si="242"/>
        <v>PETROSEA, PTMAR</v>
      </c>
    </row>
    <row r="758" spans="1:37" s="1306" customFormat="1" ht="12" hidden="1" customHeight="1">
      <c r="A758" s="1299"/>
      <c r="B758" s="1220" t="s">
        <v>195</v>
      </c>
      <c r="C758" s="1221">
        <v>6</v>
      </c>
      <c r="D758" s="1222" t="s">
        <v>136</v>
      </c>
      <c r="E758" s="1223" t="s">
        <v>354</v>
      </c>
      <c r="F758" s="1505"/>
      <c r="G758" s="1223"/>
      <c r="H758" s="1223" t="s">
        <v>2055</v>
      </c>
      <c r="I758" s="1223" t="s">
        <v>2056</v>
      </c>
      <c r="J758" s="658">
        <v>0</v>
      </c>
      <c r="K758" s="1212">
        <v>49500000</v>
      </c>
      <c r="L758" s="1212">
        <f t="shared" si="291"/>
        <v>4950000</v>
      </c>
      <c r="M758" s="658">
        <v>0</v>
      </c>
      <c r="N758" s="1225">
        <f t="shared" si="292"/>
        <v>54450000</v>
      </c>
      <c r="O758" s="1307" t="s">
        <v>239</v>
      </c>
      <c r="P758" s="1307" t="s">
        <v>103</v>
      </c>
      <c r="Q758" s="1308"/>
      <c r="R758" s="1300"/>
      <c r="S758" s="1187">
        <v>0</v>
      </c>
      <c r="T758" s="1187">
        <f t="shared" si="290"/>
        <v>-990000</v>
      </c>
      <c r="U758" s="1187">
        <v>53460000</v>
      </c>
      <c r="V758" s="1193">
        <f t="shared" si="264"/>
        <v>0</v>
      </c>
      <c r="W758" s="481">
        <f t="shared" si="243"/>
        <v>0</v>
      </c>
      <c r="X758" s="1301" t="s">
        <v>237</v>
      </c>
      <c r="Y758" s="1187"/>
      <c r="Z758" s="1302"/>
      <c r="AA758" s="1303"/>
      <c r="AB758" s="1304"/>
      <c r="AC758" s="893">
        <v>42794</v>
      </c>
      <c r="AD758" s="1065">
        <v>990000</v>
      </c>
      <c r="AE758" s="1065">
        <f t="shared" si="283"/>
        <v>0</v>
      </c>
      <c r="AF758" s="892" t="s">
        <v>2581</v>
      </c>
      <c r="AG758" s="892" t="s">
        <v>1395</v>
      </c>
      <c r="AH758" s="893">
        <v>42775</v>
      </c>
      <c r="AI758" s="892" t="s">
        <v>560</v>
      </c>
      <c r="AJ758" s="893">
        <v>42775</v>
      </c>
      <c r="AK758" s="1305" t="str">
        <f t="shared" ref="AK758:AK857" si="293">CONCATENATE(D758,O758)</f>
        <v>PETROSEA, PTMAR</v>
      </c>
    </row>
    <row r="759" spans="1:37" s="114" customFormat="1" ht="12" hidden="1" customHeight="1">
      <c r="A759" s="1299"/>
      <c r="B759" s="1220" t="s">
        <v>239</v>
      </c>
      <c r="C759" s="1221">
        <v>6</v>
      </c>
      <c r="D759" s="1222" t="s">
        <v>136</v>
      </c>
      <c r="E759" s="1223" t="s">
        <v>354</v>
      </c>
      <c r="F759" s="1505"/>
      <c r="G759" s="1223"/>
      <c r="H759" s="1223" t="s">
        <v>2184</v>
      </c>
      <c r="I759" s="1223" t="s">
        <v>2187</v>
      </c>
      <c r="J759" s="658">
        <v>0</v>
      </c>
      <c r="K759" s="1212">
        <v>27000000</v>
      </c>
      <c r="L759" s="1212">
        <f t="shared" si="291"/>
        <v>2700000</v>
      </c>
      <c r="M759" s="658">
        <v>0</v>
      </c>
      <c r="N759" s="1225">
        <f t="shared" si="292"/>
        <v>29700000</v>
      </c>
      <c r="O759" s="1307" t="s">
        <v>240</v>
      </c>
      <c r="P759" s="1307" t="s">
        <v>37</v>
      </c>
      <c r="Q759" s="175"/>
      <c r="R759" s="175"/>
      <c r="S759" s="116">
        <v>0</v>
      </c>
      <c r="T759" s="116">
        <f t="shared" si="290"/>
        <v>-540000</v>
      </c>
      <c r="U759" s="116">
        <v>29160000</v>
      </c>
      <c r="V759" s="210">
        <f t="shared" si="264"/>
        <v>0</v>
      </c>
      <c r="W759" s="115">
        <f t="shared" ref="W759:W857" si="294">N759+S759+T759-U759</f>
        <v>0</v>
      </c>
      <c r="X759" s="181" t="s">
        <v>237</v>
      </c>
      <c r="Y759" s="116"/>
      <c r="Z759" s="185"/>
      <c r="AA759" s="592"/>
      <c r="AB759" s="186"/>
      <c r="AC759" s="300">
        <v>42825</v>
      </c>
      <c r="AD759" s="297">
        <v>540000</v>
      </c>
      <c r="AE759" s="297">
        <f t="shared" si="283"/>
        <v>0</v>
      </c>
      <c r="AF759" s="9" t="s">
        <v>2582</v>
      </c>
      <c r="AG759" s="9" t="s">
        <v>1395</v>
      </c>
      <c r="AH759" s="300">
        <v>42801</v>
      </c>
      <c r="AI759" s="9" t="s">
        <v>560</v>
      </c>
      <c r="AJ759" s="300">
        <v>42801</v>
      </c>
      <c r="AK759" s="73" t="str">
        <f t="shared" si="293"/>
        <v>PETROSEA, PTAPR</v>
      </c>
    </row>
    <row r="760" spans="1:37" s="114" customFormat="1" ht="12" hidden="1" customHeight="1">
      <c r="A760" s="1299"/>
      <c r="B760" s="1220" t="s">
        <v>239</v>
      </c>
      <c r="C760" s="1221">
        <v>6</v>
      </c>
      <c r="D760" s="1222" t="s">
        <v>136</v>
      </c>
      <c r="E760" s="1223" t="s">
        <v>354</v>
      </c>
      <c r="F760" s="1505"/>
      <c r="G760" s="1223"/>
      <c r="H760" s="1223" t="s">
        <v>2185</v>
      </c>
      <c r="I760" s="1223" t="s">
        <v>2188</v>
      </c>
      <c r="J760" s="658">
        <v>0</v>
      </c>
      <c r="K760" s="1212">
        <v>49500000</v>
      </c>
      <c r="L760" s="1212">
        <f t="shared" si="291"/>
        <v>4950000</v>
      </c>
      <c r="M760" s="658">
        <v>0</v>
      </c>
      <c r="N760" s="1225">
        <f t="shared" si="292"/>
        <v>54450000</v>
      </c>
      <c r="O760" s="1307" t="s">
        <v>240</v>
      </c>
      <c r="P760" s="1307" t="s">
        <v>37</v>
      </c>
      <c r="Q760" s="175"/>
      <c r="R760" s="175"/>
      <c r="S760" s="116">
        <v>0</v>
      </c>
      <c r="T760" s="116">
        <f t="shared" si="290"/>
        <v>-990000</v>
      </c>
      <c r="U760" s="116">
        <v>53460000</v>
      </c>
      <c r="V760" s="210">
        <f t="shared" si="264"/>
        <v>0</v>
      </c>
      <c r="W760" s="115">
        <f t="shared" si="294"/>
        <v>0</v>
      </c>
      <c r="X760" s="181" t="s">
        <v>237</v>
      </c>
      <c r="Y760" s="116"/>
      <c r="Z760" s="185"/>
      <c r="AA760" s="592"/>
      <c r="AB760" s="186"/>
      <c r="AC760" s="300">
        <v>42825</v>
      </c>
      <c r="AD760" s="297">
        <v>990000</v>
      </c>
      <c r="AE760" s="297">
        <f t="shared" si="283"/>
        <v>0</v>
      </c>
      <c r="AF760" s="9" t="s">
        <v>2582</v>
      </c>
      <c r="AG760" s="9" t="s">
        <v>1395</v>
      </c>
      <c r="AH760" s="300">
        <v>42801</v>
      </c>
      <c r="AI760" s="9" t="s">
        <v>560</v>
      </c>
      <c r="AJ760" s="300">
        <v>42801</v>
      </c>
      <c r="AK760" s="73" t="str">
        <f t="shared" si="293"/>
        <v>PETROSEA, PTAPR</v>
      </c>
    </row>
    <row r="761" spans="1:37" s="114" customFormat="1" ht="12" hidden="1" customHeight="1">
      <c r="A761" s="1299"/>
      <c r="B761" s="1220" t="s">
        <v>239</v>
      </c>
      <c r="C761" s="1221">
        <v>6</v>
      </c>
      <c r="D761" s="1222" t="s">
        <v>136</v>
      </c>
      <c r="E761" s="1223" t="s">
        <v>354</v>
      </c>
      <c r="F761" s="1505"/>
      <c r="G761" s="1223"/>
      <c r="H761" s="1223" t="s">
        <v>2186</v>
      </c>
      <c r="I761" s="1223" t="s">
        <v>2189</v>
      </c>
      <c r="J761" s="658">
        <v>0</v>
      </c>
      <c r="K761" s="1212">
        <v>49500000</v>
      </c>
      <c r="L761" s="1212">
        <f t="shared" si="291"/>
        <v>4950000</v>
      </c>
      <c r="M761" s="658">
        <v>0</v>
      </c>
      <c r="N761" s="1225">
        <f t="shared" si="292"/>
        <v>54450000</v>
      </c>
      <c r="O761" s="1307" t="s">
        <v>240</v>
      </c>
      <c r="P761" s="1307" t="s">
        <v>37</v>
      </c>
      <c r="Q761" s="175"/>
      <c r="R761" s="175"/>
      <c r="S761" s="116">
        <v>0</v>
      </c>
      <c r="T761" s="116">
        <f t="shared" si="290"/>
        <v>-990000</v>
      </c>
      <c r="U761" s="116">
        <v>53460000</v>
      </c>
      <c r="V761" s="210">
        <f t="shared" si="264"/>
        <v>0</v>
      </c>
      <c r="W761" s="115">
        <f t="shared" si="294"/>
        <v>0</v>
      </c>
      <c r="X761" s="181" t="s">
        <v>237</v>
      </c>
      <c r="Y761" s="116"/>
      <c r="Z761" s="185"/>
      <c r="AA761" s="592"/>
      <c r="AB761" s="186"/>
      <c r="AC761" s="300">
        <v>42825</v>
      </c>
      <c r="AD761" s="297">
        <v>990000</v>
      </c>
      <c r="AE761" s="297">
        <f t="shared" si="283"/>
        <v>0</v>
      </c>
      <c r="AF761" s="9" t="s">
        <v>2582</v>
      </c>
      <c r="AG761" s="9" t="s">
        <v>1395</v>
      </c>
      <c r="AH761" s="300">
        <v>42801</v>
      </c>
      <c r="AI761" s="9" t="s">
        <v>560</v>
      </c>
      <c r="AJ761" s="300">
        <v>42801</v>
      </c>
      <c r="AK761" s="73" t="str">
        <f t="shared" si="293"/>
        <v>PETROSEA, PTAPR</v>
      </c>
    </row>
    <row r="762" spans="1:37" s="114" customFormat="1" ht="12" hidden="1" customHeight="1">
      <c r="A762" s="1299"/>
      <c r="B762" s="1220" t="s">
        <v>239</v>
      </c>
      <c r="C762" s="1221">
        <v>30</v>
      </c>
      <c r="D762" s="1222" t="s">
        <v>136</v>
      </c>
      <c r="E762" s="1223" t="s">
        <v>144</v>
      </c>
      <c r="F762" s="1505"/>
      <c r="G762" s="1223"/>
      <c r="H762" s="1223" t="s">
        <v>2318</v>
      </c>
      <c r="I762" s="1223" t="s">
        <v>2319</v>
      </c>
      <c r="J762" s="658">
        <v>0</v>
      </c>
      <c r="K762" s="1212">
        <v>20000000</v>
      </c>
      <c r="L762" s="1212">
        <f t="shared" si="291"/>
        <v>2000000</v>
      </c>
      <c r="M762" s="658">
        <v>0</v>
      </c>
      <c r="N762" s="1225">
        <f t="shared" si="292"/>
        <v>22000000</v>
      </c>
      <c r="O762" s="1307" t="s">
        <v>58</v>
      </c>
      <c r="P762" s="1307" t="s">
        <v>99</v>
      </c>
      <c r="Q762" s="175"/>
      <c r="R762" s="175"/>
      <c r="S762" s="116">
        <v>0</v>
      </c>
      <c r="T762" s="116">
        <f t="shared" si="290"/>
        <v>-400000</v>
      </c>
      <c r="U762" s="116">
        <v>21600000</v>
      </c>
      <c r="V762" s="210">
        <f t="shared" si="264"/>
        <v>0</v>
      </c>
      <c r="W762" s="115">
        <f t="shared" si="294"/>
        <v>0</v>
      </c>
      <c r="X762" s="181" t="s">
        <v>237</v>
      </c>
      <c r="Y762" s="116"/>
      <c r="Z762" s="185"/>
      <c r="AA762" s="592"/>
      <c r="AB762" s="186"/>
      <c r="AC762" s="9"/>
      <c r="AD762" s="297"/>
      <c r="AE762" s="297">
        <f t="shared" si="283"/>
        <v>400000</v>
      </c>
      <c r="AF762" s="9"/>
      <c r="AG762" s="9" t="s">
        <v>1395</v>
      </c>
      <c r="AH762" s="300">
        <v>42835</v>
      </c>
      <c r="AI762" s="9" t="s">
        <v>560</v>
      </c>
      <c r="AJ762" s="300">
        <v>42835</v>
      </c>
      <c r="AK762" s="73" t="str">
        <f t="shared" si="293"/>
        <v>PETROSEA, PTMEI</v>
      </c>
    </row>
    <row r="763" spans="1:37" s="114" customFormat="1" ht="12" hidden="1" customHeight="1">
      <c r="A763" s="1299"/>
      <c r="B763" s="1220" t="s">
        <v>240</v>
      </c>
      <c r="C763" s="1221">
        <v>6</v>
      </c>
      <c r="D763" s="1222" t="s">
        <v>136</v>
      </c>
      <c r="E763" s="1223" t="s">
        <v>354</v>
      </c>
      <c r="F763" s="1505"/>
      <c r="G763" s="1223"/>
      <c r="H763" s="1223" t="s">
        <v>2320</v>
      </c>
      <c r="I763" s="1223" t="s">
        <v>2321</v>
      </c>
      <c r="J763" s="658">
        <v>0</v>
      </c>
      <c r="K763" s="1212">
        <v>9000000</v>
      </c>
      <c r="L763" s="1212">
        <f t="shared" si="291"/>
        <v>900000</v>
      </c>
      <c r="M763" s="658">
        <v>0</v>
      </c>
      <c r="N763" s="1225">
        <f t="shared" si="292"/>
        <v>9900000</v>
      </c>
      <c r="O763" s="1307" t="s">
        <v>58</v>
      </c>
      <c r="P763" s="1307" t="s">
        <v>99</v>
      </c>
      <c r="Q763" s="175"/>
      <c r="R763" s="175"/>
      <c r="S763" s="116">
        <v>0</v>
      </c>
      <c r="T763" s="116">
        <f t="shared" si="290"/>
        <v>-180000</v>
      </c>
      <c r="U763" s="116">
        <v>9720000</v>
      </c>
      <c r="V763" s="210">
        <f t="shared" si="264"/>
        <v>0</v>
      </c>
      <c r="W763" s="115">
        <f t="shared" si="294"/>
        <v>0</v>
      </c>
      <c r="X763" s="181" t="s">
        <v>237</v>
      </c>
      <c r="Y763" s="116"/>
      <c r="Z763" s="185"/>
      <c r="AA763" s="592"/>
      <c r="AB763" s="186"/>
      <c r="AC763" s="9"/>
      <c r="AD763" s="297"/>
      <c r="AE763" s="297">
        <f t="shared" si="283"/>
        <v>180000</v>
      </c>
      <c r="AF763" s="9"/>
      <c r="AG763" s="9" t="s">
        <v>1395</v>
      </c>
      <c r="AH763" s="300">
        <v>42835</v>
      </c>
      <c r="AI763" s="9" t="s">
        <v>560</v>
      </c>
      <c r="AJ763" s="300">
        <v>42835</v>
      </c>
      <c r="AK763" s="73" t="str">
        <f t="shared" si="293"/>
        <v>PETROSEA, PTMEI</v>
      </c>
    </row>
    <row r="764" spans="1:37" s="114" customFormat="1" ht="12" hidden="1" customHeight="1">
      <c r="A764" s="1299"/>
      <c r="B764" s="1220" t="s">
        <v>240</v>
      </c>
      <c r="C764" s="1221">
        <v>6</v>
      </c>
      <c r="D764" s="1222" t="s">
        <v>136</v>
      </c>
      <c r="E764" s="1223" t="s">
        <v>354</v>
      </c>
      <c r="F764" s="1505"/>
      <c r="G764" s="1223"/>
      <c r="H764" s="1223" t="s">
        <v>2322</v>
      </c>
      <c r="I764" s="1223" t="s">
        <v>2323</v>
      </c>
      <c r="J764" s="658">
        <v>0</v>
      </c>
      <c r="K764" s="1212">
        <v>49500000</v>
      </c>
      <c r="L764" s="1212">
        <f t="shared" si="291"/>
        <v>4950000</v>
      </c>
      <c r="M764" s="658">
        <v>0</v>
      </c>
      <c r="N764" s="1225">
        <f t="shared" si="292"/>
        <v>54450000</v>
      </c>
      <c r="O764" s="1307" t="s">
        <v>58</v>
      </c>
      <c r="P764" s="1307" t="s">
        <v>99</v>
      </c>
      <c r="Q764" s="175"/>
      <c r="R764" s="175"/>
      <c r="S764" s="116">
        <v>0</v>
      </c>
      <c r="T764" s="116">
        <f t="shared" si="290"/>
        <v>-990000</v>
      </c>
      <c r="U764" s="116">
        <v>53460000</v>
      </c>
      <c r="V764" s="210">
        <f t="shared" si="264"/>
        <v>0</v>
      </c>
      <c r="W764" s="115">
        <f t="shared" si="294"/>
        <v>0</v>
      </c>
      <c r="X764" s="181" t="s">
        <v>237</v>
      </c>
      <c r="Y764" s="116"/>
      <c r="Z764" s="185"/>
      <c r="AA764" s="592"/>
      <c r="AB764" s="186"/>
      <c r="AC764" s="9"/>
      <c r="AD764" s="297"/>
      <c r="AE764" s="297">
        <f t="shared" si="283"/>
        <v>990000</v>
      </c>
      <c r="AF764" s="9"/>
      <c r="AG764" s="9" t="s">
        <v>1395</v>
      </c>
      <c r="AH764" s="300">
        <v>42835</v>
      </c>
      <c r="AI764" s="9" t="s">
        <v>560</v>
      </c>
      <c r="AJ764" s="300">
        <v>42835</v>
      </c>
      <c r="AK764" s="73" t="str">
        <f t="shared" si="293"/>
        <v>PETROSEA, PTMEI</v>
      </c>
    </row>
    <row r="765" spans="1:37" s="114" customFormat="1" ht="12" hidden="1" customHeight="1">
      <c r="A765" s="1299"/>
      <c r="B765" s="1220" t="s">
        <v>240</v>
      </c>
      <c r="C765" s="1221">
        <v>6</v>
      </c>
      <c r="D765" s="1222" t="s">
        <v>136</v>
      </c>
      <c r="E765" s="1223" t="s">
        <v>354</v>
      </c>
      <c r="F765" s="1505"/>
      <c r="G765" s="1223"/>
      <c r="H765" s="1223" t="s">
        <v>2325</v>
      </c>
      <c r="I765" s="1223" t="s">
        <v>2324</v>
      </c>
      <c r="J765" s="658">
        <v>0</v>
      </c>
      <c r="K765" s="1212">
        <v>49500000</v>
      </c>
      <c r="L765" s="1212">
        <f t="shared" si="291"/>
        <v>4950000</v>
      </c>
      <c r="M765" s="658">
        <v>0</v>
      </c>
      <c r="N765" s="1225">
        <f t="shared" si="292"/>
        <v>54450000</v>
      </c>
      <c r="O765" s="1307" t="s">
        <v>58</v>
      </c>
      <c r="P765" s="1307" t="s">
        <v>99</v>
      </c>
      <c r="Q765" s="175"/>
      <c r="R765" s="175"/>
      <c r="S765" s="116">
        <v>0</v>
      </c>
      <c r="T765" s="116">
        <f t="shared" si="290"/>
        <v>-990000</v>
      </c>
      <c r="U765" s="116">
        <v>53460000</v>
      </c>
      <c r="V765" s="210">
        <f t="shared" si="264"/>
        <v>0</v>
      </c>
      <c r="W765" s="115">
        <f t="shared" si="294"/>
        <v>0</v>
      </c>
      <c r="X765" s="181" t="s">
        <v>237</v>
      </c>
      <c r="Y765" s="116"/>
      <c r="Z765" s="185"/>
      <c r="AA765" s="592"/>
      <c r="AB765" s="186"/>
      <c r="AC765" s="9"/>
      <c r="AD765" s="297"/>
      <c r="AE765" s="297">
        <f t="shared" si="283"/>
        <v>990000</v>
      </c>
      <c r="AF765" s="9"/>
      <c r="AG765" s="9" t="s">
        <v>1395</v>
      </c>
      <c r="AH765" s="300">
        <v>42835</v>
      </c>
      <c r="AI765" s="9" t="s">
        <v>560</v>
      </c>
      <c r="AJ765" s="300">
        <v>42835</v>
      </c>
      <c r="AK765" s="73" t="str">
        <f t="shared" si="293"/>
        <v>PETROSEA, PTMEI</v>
      </c>
    </row>
    <row r="766" spans="1:37" s="114" customFormat="1" ht="12" hidden="1" customHeight="1">
      <c r="A766" s="1299"/>
      <c r="B766" s="1220" t="s">
        <v>58</v>
      </c>
      <c r="C766" s="1221">
        <v>2</v>
      </c>
      <c r="D766" s="1222" t="s">
        <v>136</v>
      </c>
      <c r="E766" s="1223" t="s">
        <v>354</v>
      </c>
      <c r="F766" s="1505"/>
      <c r="G766" s="1223"/>
      <c r="H766" s="1223" t="s">
        <v>2516</v>
      </c>
      <c r="I766" s="1223" t="s">
        <v>2517</v>
      </c>
      <c r="J766" s="658">
        <v>0</v>
      </c>
      <c r="K766" s="1212">
        <v>49500000</v>
      </c>
      <c r="L766" s="1212">
        <f t="shared" si="291"/>
        <v>4950000</v>
      </c>
      <c r="M766" s="658">
        <v>0</v>
      </c>
      <c r="N766" s="1225">
        <f>K766+L766</f>
        <v>54450000</v>
      </c>
      <c r="O766" s="1307" t="s">
        <v>241</v>
      </c>
      <c r="P766" s="1307" t="s">
        <v>65</v>
      </c>
      <c r="Q766" s="175"/>
      <c r="R766" s="175"/>
      <c r="S766" s="116">
        <v>0</v>
      </c>
      <c r="T766" s="116">
        <f>-K766*2%</f>
        <v>-990000</v>
      </c>
      <c r="U766" s="116">
        <v>53460000</v>
      </c>
      <c r="V766" s="210">
        <f t="shared" si="264"/>
        <v>0</v>
      </c>
      <c r="W766" s="115">
        <f t="shared" si="294"/>
        <v>0</v>
      </c>
      <c r="X766" s="181" t="s">
        <v>237</v>
      </c>
      <c r="Y766" s="116"/>
      <c r="Z766" s="185"/>
      <c r="AA766" s="592"/>
      <c r="AB766" s="186"/>
      <c r="AC766" s="9"/>
      <c r="AD766" s="297"/>
      <c r="AE766" s="297">
        <f t="shared" si="283"/>
        <v>990000</v>
      </c>
      <c r="AF766" s="9"/>
      <c r="AG766" s="9" t="s">
        <v>1395</v>
      </c>
      <c r="AH766" s="300">
        <v>42865</v>
      </c>
      <c r="AI766" s="9" t="s">
        <v>560</v>
      </c>
      <c r="AJ766" s="300">
        <v>42865</v>
      </c>
      <c r="AK766" s="73" t="str">
        <f t="shared" si="293"/>
        <v>PETROSEA, PTJUN</v>
      </c>
    </row>
    <row r="767" spans="1:37" s="114" customFormat="1" ht="12" hidden="1" customHeight="1">
      <c r="A767" s="1299"/>
      <c r="B767" s="1220" t="s">
        <v>58</v>
      </c>
      <c r="C767" s="1221">
        <v>2</v>
      </c>
      <c r="D767" s="1222" t="s">
        <v>136</v>
      </c>
      <c r="E767" s="1223" t="s">
        <v>354</v>
      </c>
      <c r="F767" s="1505"/>
      <c r="G767" s="1223"/>
      <c r="H767" s="1223" t="s">
        <v>2518</v>
      </c>
      <c r="I767" s="1223" t="s">
        <v>2519</v>
      </c>
      <c r="J767" s="658">
        <v>0</v>
      </c>
      <c r="K767" s="1212">
        <v>41250000</v>
      </c>
      <c r="L767" s="1212">
        <f t="shared" si="291"/>
        <v>4125000</v>
      </c>
      <c r="M767" s="658">
        <v>0</v>
      </c>
      <c r="N767" s="1225">
        <f t="shared" si="292"/>
        <v>45375000</v>
      </c>
      <c r="O767" s="1307" t="s">
        <v>241</v>
      </c>
      <c r="P767" s="1307" t="s">
        <v>65</v>
      </c>
      <c r="Q767" s="175"/>
      <c r="R767" s="175"/>
      <c r="S767" s="116">
        <v>0</v>
      </c>
      <c r="T767" s="116">
        <f>-K767*2%</f>
        <v>-825000</v>
      </c>
      <c r="U767" s="116">
        <v>44550000</v>
      </c>
      <c r="V767" s="210">
        <f t="shared" si="264"/>
        <v>0</v>
      </c>
      <c r="W767" s="115">
        <f t="shared" si="294"/>
        <v>0</v>
      </c>
      <c r="X767" s="181" t="s">
        <v>237</v>
      </c>
      <c r="Y767" s="116"/>
      <c r="Z767" s="185"/>
      <c r="AA767" s="592"/>
      <c r="AB767" s="186"/>
      <c r="AC767" s="9"/>
      <c r="AD767" s="297"/>
      <c r="AE767" s="297">
        <f t="shared" si="283"/>
        <v>825000</v>
      </c>
      <c r="AF767" s="9"/>
      <c r="AG767" s="9" t="s">
        <v>1395</v>
      </c>
      <c r="AH767" s="300">
        <v>42865</v>
      </c>
      <c r="AI767" s="9" t="s">
        <v>560</v>
      </c>
      <c r="AJ767" s="300">
        <v>42865</v>
      </c>
      <c r="AK767" s="73" t="str">
        <f t="shared" si="293"/>
        <v>PETROSEA, PTJUN</v>
      </c>
    </row>
    <row r="768" spans="1:37" s="114" customFormat="1" ht="12" hidden="1" customHeight="1">
      <c r="A768" s="1220"/>
      <c r="B768" s="1220" t="s">
        <v>241</v>
      </c>
      <c r="C768" s="1221">
        <v>2</v>
      </c>
      <c r="D768" s="1222" t="s">
        <v>136</v>
      </c>
      <c r="E768" s="1223" t="s">
        <v>354</v>
      </c>
      <c r="F768" s="1505"/>
      <c r="G768" s="1223"/>
      <c r="H768" s="1223" t="s">
        <v>2627</v>
      </c>
      <c r="I768" s="1223" t="s">
        <v>2677</v>
      </c>
      <c r="J768" s="658">
        <v>0</v>
      </c>
      <c r="K768" s="1212">
        <v>49500000</v>
      </c>
      <c r="L768" s="1212">
        <f t="shared" si="291"/>
        <v>4950000</v>
      </c>
      <c r="M768" s="658">
        <v>0</v>
      </c>
      <c r="N768" s="1225">
        <f t="shared" si="292"/>
        <v>54450000</v>
      </c>
      <c r="O768" s="1307" t="s">
        <v>242</v>
      </c>
      <c r="P768" s="1307" t="s">
        <v>105</v>
      </c>
      <c r="Q768" s="175"/>
      <c r="R768" s="175"/>
      <c r="S768" s="116">
        <v>0</v>
      </c>
      <c r="T768" s="116">
        <f>-K768*2%</f>
        <v>-990000</v>
      </c>
      <c r="U768" s="116">
        <v>53460000</v>
      </c>
      <c r="V768" s="210">
        <f t="shared" si="264"/>
        <v>0</v>
      </c>
      <c r="W768" s="115">
        <f t="shared" si="294"/>
        <v>0</v>
      </c>
      <c r="X768" s="181" t="s">
        <v>237</v>
      </c>
      <c r="Y768" s="116"/>
      <c r="Z768" s="185"/>
      <c r="AA768" s="592"/>
      <c r="AB768" s="186"/>
      <c r="AC768" s="9"/>
      <c r="AD768" s="297"/>
      <c r="AE768" s="297">
        <f t="shared" si="283"/>
        <v>990000</v>
      </c>
      <c r="AF768" s="9"/>
      <c r="AG768" s="9" t="s">
        <v>1395</v>
      </c>
      <c r="AH768" s="300">
        <v>42893</v>
      </c>
      <c r="AI768" s="9" t="s">
        <v>560</v>
      </c>
      <c r="AJ768" s="300">
        <v>42893</v>
      </c>
      <c r="AK768" s="73" t="str">
        <f t="shared" si="293"/>
        <v>PETROSEA, PTJUL</v>
      </c>
    </row>
    <row r="769" spans="1:37" s="114" customFormat="1" ht="12" hidden="1" customHeight="1">
      <c r="A769" s="1220"/>
      <c r="B769" s="1220" t="s">
        <v>241</v>
      </c>
      <c r="C769" s="1221">
        <v>2</v>
      </c>
      <c r="D769" s="1222" t="s">
        <v>136</v>
      </c>
      <c r="E769" s="1223" t="s">
        <v>354</v>
      </c>
      <c r="F769" s="1505"/>
      <c r="G769" s="1223"/>
      <c r="H769" s="1223" t="s">
        <v>2628</v>
      </c>
      <c r="I769" s="1223" t="s">
        <v>2678</v>
      </c>
      <c r="J769" s="658">
        <v>0</v>
      </c>
      <c r="K769" s="1212">
        <v>49500000</v>
      </c>
      <c r="L769" s="1212">
        <f>K769*10%</f>
        <v>4950000</v>
      </c>
      <c r="M769" s="658">
        <v>0</v>
      </c>
      <c r="N769" s="1225">
        <f>K769+L769</f>
        <v>54450000</v>
      </c>
      <c r="O769" s="1307" t="s">
        <v>242</v>
      </c>
      <c r="P769" s="1307" t="s">
        <v>105</v>
      </c>
      <c r="Q769" s="175"/>
      <c r="R769" s="175"/>
      <c r="S769" s="116">
        <v>0</v>
      </c>
      <c r="T769" s="116">
        <f>-K769*2%</f>
        <v>-990000</v>
      </c>
      <c r="U769" s="116">
        <v>53460000</v>
      </c>
      <c r="V769" s="210">
        <f t="shared" si="264"/>
        <v>0</v>
      </c>
      <c r="W769" s="115">
        <f t="shared" si="294"/>
        <v>0</v>
      </c>
      <c r="X769" s="181" t="s">
        <v>237</v>
      </c>
      <c r="Y769" s="116"/>
      <c r="Z769" s="185"/>
      <c r="AA769" s="592"/>
      <c r="AB769" s="186"/>
      <c r="AC769" s="9"/>
      <c r="AD769" s="297"/>
      <c r="AE769" s="297">
        <f t="shared" si="283"/>
        <v>990000</v>
      </c>
      <c r="AF769" s="9"/>
      <c r="AG769" s="9" t="s">
        <v>1395</v>
      </c>
      <c r="AH769" s="300">
        <v>42893</v>
      </c>
      <c r="AI769" s="9" t="s">
        <v>560</v>
      </c>
      <c r="AJ769" s="300">
        <v>42893</v>
      </c>
      <c r="AK769" s="73" t="str">
        <f t="shared" si="293"/>
        <v>PETROSEA, PTJUL</v>
      </c>
    </row>
    <row r="770" spans="1:37" s="114" customFormat="1" ht="12" hidden="1" customHeight="1">
      <c r="A770" s="1220"/>
      <c r="B770" s="1220" t="s">
        <v>242</v>
      </c>
      <c r="C770" s="1221">
        <v>12</v>
      </c>
      <c r="D770" s="1222" t="s">
        <v>136</v>
      </c>
      <c r="E770" s="1223" t="s">
        <v>354</v>
      </c>
      <c r="F770" s="1505" t="s">
        <v>3086</v>
      </c>
      <c r="G770" s="1223" t="s">
        <v>59</v>
      </c>
      <c r="H770" s="1223" t="s">
        <v>2849</v>
      </c>
      <c r="I770" s="1223" t="s">
        <v>2851</v>
      </c>
      <c r="J770" s="658">
        <v>0</v>
      </c>
      <c r="K770" s="1212">
        <v>49500000</v>
      </c>
      <c r="L770" s="1212">
        <f>K770*10%</f>
        <v>4950000</v>
      </c>
      <c r="M770" s="658">
        <v>0</v>
      </c>
      <c r="N770" s="1225">
        <f>K770+L770</f>
        <v>54450000</v>
      </c>
      <c r="O770" s="1307" t="s">
        <v>243</v>
      </c>
      <c r="P770" s="1307" t="s">
        <v>88</v>
      </c>
      <c r="Q770" s="175"/>
      <c r="R770" s="175"/>
      <c r="S770" s="116">
        <v>0</v>
      </c>
      <c r="T770" s="116">
        <f t="shared" ref="T770:T771" si="295">-K770*2%</f>
        <v>-990000</v>
      </c>
      <c r="U770" s="116">
        <v>53460000</v>
      </c>
      <c r="V770" s="210">
        <f t="shared" si="264"/>
        <v>0</v>
      </c>
      <c r="W770" s="115">
        <f t="shared" si="294"/>
        <v>0</v>
      </c>
      <c r="X770" s="181" t="s">
        <v>237</v>
      </c>
      <c r="Y770" s="116"/>
      <c r="Z770" s="185"/>
      <c r="AA770" s="592"/>
      <c r="AB770" s="186"/>
      <c r="AC770" s="9"/>
      <c r="AD770" s="297"/>
      <c r="AE770" s="297">
        <f t="shared" si="283"/>
        <v>990000</v>
      </c>
      <c r="AF770" s="9"/>
      <c r="AG770" s="9" t="s">
        <v>1395</v>
      </c>
      <c r="AH770" s="300">
        <v>42928</v>
      </c>
      <c r="AI770" s="9" t="s">
        <v>560</v>
      </c>
      <c r="AJ770" s="300">
        <v>42928</v>
      </c>
      <c r="AK770" s="73" t="str">
        <f t="shared" si="293"/>
        <v>PETROSEA, PTAGS</v>
      </c>
    </row>
    <row r="771" spans="1:37" s="114" customFormat="1" ht="12" hidden="1" customHeight="1">
      <c r="A771" s="1220"/>
      <c r="B771" s="1220" t="s">
        <v>242</v>
      </c>
      <c r="C771" s="1221">
        <v>12</v>
      </c>
      <c r="D771" s="1222" t="s">
        <v>136</v>
      </c>
      <c r="E771" s="1223" t="s">
        <v>354</v>
      </c>
      <c r="F771" s="1505" t="s">
        <v>3087</v>
      </c>
      <c r="G771" s="1223" t="s">
        <v>59</v>
      </c>
      <c r="H771" s="1223" t="s">
        <v>2850</v>
      </c>
      <c r="I771" s="1223" t="s">
        <v>2852</v>
      </c>
      <c r="J771" s="658">
        <v>0</v>
      </c>
      <c r="K771" s="1212">
        <v>49500000</v>
      </c>
      <c r="L771" s="1212">
        <f>K771*10%</f>
        <v>4950000</v>
      </c>
      <c r="M771" s="658">
        <v>0</v>
      </c>
      <c r="N771" s="1225">
        <f>K771+L771</f>
        <v>54450000</v>
      </c>
      <c r="O771" s="1307" t="s">
        <v>243</v>
      </c>
      <c r="P771" s="1307" t="s">
        <v>88</v>
      </c>
      <c r="Q771" s="175"/>
      <c r="R771" s="175"/>
      <c r="S771" s="116">
        <v>0</v>
      </c>
      <c r="T771" s="116">
        <f t="shared" si="295"/>
        <v>-990000</v>
      </c>
      <c r="U771" s="116">
        <v>53460000</v>
      </c>
      <c r="V771" s="210">
        <f t="shared" si="264"/>
        <v>0</v>
      </c>
      <c r="W771" s="115">
        <f t="shared" si="294"/>
        <v>0</v>
      </c>
      <c r="X771" s="181" t="s">
        <v>237</v>
      </c>
      <c r="Y771" s="116"/>
      <c r="Z771" s="185"/>
      <c r="AA771" s="592"/>
      <c r="AB771" s="186"/>
      <c r="AC771" s="9"/>
      <c r="AD771" s="297"/>
      <c r="AE771" s="297">
        <f t="shared" si="283"/>
        <v>990000</v>
      </c>
      <c r="AF771" s="9"/>
      <c r="AG771" s="9" t="s">
        <v>1395</v>
      </c>
      <c r="AH771" s="300">
        <v>42928</v>
      </c>
      <c r="AI771" s="9" t="s">
        <v>560</v>
      </c>
      <c r="AJ771" s="300">
        <v>42928</v>
      </c>
      <c r="AK771" s="73" t="str">
        <f t="shared" si="293"/>
        <v>PETROSEA, PTAGS</v>
      </c>
    </row>
    <row r="772" spans="1:37" s="114" customFormat="1" ht="12" hidden="1" customHeight="1">
      <c r="A772" s="1220"/>
      <c r="B772" s="1220" t="s">
        <v>243</v>
      </c>
      <c r="C772" s="1221">
        <v>1</v>
      </c>
      <c r="D772" s="1222" t="s">
        <v>136</v>
      </c>
      <c r="E772" s="1223" t="s">
        <v>354</v>
      </c>
      <c r="F772" s="1505" t="s">
        <v>3091</v>
      </c>
      <c r="G772" s="1223" t="s">
        <v>60</v>
      </c>
      <c r="H772" s="1223" t="s">
        <v>2986</v>
      </c>
      <c r="I772" s="1223" t="s">
        <v>3010</v>
      </c>
      <c r="J772" s="658"/>
      <c r="K772" s="1212">
        <v>49500000</v>
      </c>
      <c r="L772" s="1212">
        <f t="shared" ref="L772:L780" si="296">K772*10%</f>
        <v>4950000</v>
      </c>
      <c r="M772" s="658">
        <v>1</v>
      </c>
      <c r="N772" s="1225">
        <f t="shared" ref="N772:N780" si="297">K772+L772</f>
        <v>54450000</v>
      </c>
      <c r="O772" s="1307" t="s">
        <v>244</v>
      </c>
      <c r="P772" s="1307" t="s">
        <v>114</v>
      </c>
      <c r="Q772" s="175"/>
      <c r="R772" s="175"/>
      <c r="S772" s="116">
        <v>0</v>
      </c>
      <c r="T772" s="116">
        <f t="shared" ref="T772:T786" si="298">-K772*2%</f>
        <v>-990000</v>
      </c>
      <c r="U772" s="116">
        <v>53460000</v>
      </c>
      <c r="V772" s="210"/>
      <c r="W772" s="115"/>
      <c r="X772" s="181"/>
      <c r="Y772" s="116"/>
      <c r="Z772" s="185"/>
      <c r="AA772" s="592"/>
      <c r="AB772" s="186"/>
      <c r="AC772" s="9"/>
      <c r="AD772" s="297"/>
      <c r="AE772" s="297"/>
      <c r="AF772" s="9"/>
      <c r="AG772" s="9"/>
      <c r="AH772" s="300"/>
      <c r="AI772" s="9"/>
      <c r="AJ772" s="300"/>
      <c r="AK772" s="73" t="str">
        <f t="shared" si="293"/>
        <v>PETROSEA, PTSEP</v>
      </c>
    </row>
    <row r="773" spans="1:37" s="114" customFormat="1" ht="11.25" hidden="1" customHeight="1">
      <c r="A773" s="1220"/>
      <c r="B773" s="1220" t="s">
        <v>243</v>
      </c>
      <c r="C773" s="1221">
        <v>1</v>
      </c>
      <c r="D773" s="1222" t="s">
        <v>136</v>
      </c>
      <c r="E773" s="1223" t="s">
        <v>354</v>
      </c>
      <c r="F773" s="1505" t="s">
        <v>3092</v>
      </c>
      <c r="G773" s="1223" t="s">
        <v>60</v>
      </c>
      <c r="H773" s="1223" t="s">
        <v>2987</v>
      </c>
      <c r="I773" s="1223" t="s">
        <v>3011</v>
      </c>
      <c r="J773" s="658"/>
      <c r="K773" s="1212">
        <v>49500000</v>
      </c>
      <c r="L773" s="1212">
        <f t="shared" si="296"/>
        <v>4950000</v>
      </c>
      <c r="M773" s="658">
        <v>2</v>
      </c>
      <c r="N773" s="1225">
        <f t="shared" si="297"/>
        <v>54450000</v>
      </c>
      <c r="O773" s="1307" t="s">
        <v>244</v>
      </c>
      <c r="P773" s="1307" t="s">
        <v>114</v>
      </c>
      <c r="Q773" s="175"/>
      <c r="R773" s="175"/>
      <c r="S773" s="116">
        <v>0</v>
      </c>
      <c r="T773" s="116">
        <f t="shared" si="298"/>
        <v>-990000</v>
      </c>
      <c r="U773" s="116">
        <v>53460000</v>
      </c>
      <c r="V773" s="210"/>
      <c r="W773" s="115"/>
      <c r="X773" s="181"/>
      <c r="Y773" s="116"/>
      <c r="Z773" s="185"/>
      <c r="AA773" s="592"/>
      <c r="AB773" s="186"/>
      <c r="AC773" s="9"/>
      <c r="AD773" s="297"/>
      <c r="AE773" s="297"/>
      <c r="AF773" s="9"/>
      <c r="AG773" s="9"/>
      <c r="AH773" s="300"/>
      <c r="AI773" s="9"/>
      <c r="AJ773" s="300"/>
      <c r="AK773" s="73"/>
    </row>
    <row r="774" spans="1:37" s="1211" customFormat="1" ht="12" hidden="1" customHeight="1">
      <c r="A774" s="758"/>
      <c r="B774" s="1220" t="s">
        <v>243</v>
      </c>
      <c r="C774" s="1221">
        <v>1</v>
      </c>
      <c r="D774" s="1222" t="s">
        <v>136</v>
      </c>
      <c r="E774" s="1223" t="s">
        <v>355</v>
      </c>
      <c r="F774" s="1505" t="s">
        <v>3088</v>
      </c>
      <c r="G774" s="1223" t="s">
        <v>3265</v>
      </c>
      <c r="H774" s="1223" t="s">
        <v>2988</v>
      </c>
      <c r="I774" s="1223" t="s">
        <v>3089</v>
      </c>
      <c r="J774" s="1237"/>
      <c r="K774" s="1212">
        <f>25000000+28050000</f>
        <v>53050000</v>
      </c>
      <c r="L774" s="1212">
        <f t="shared" si="296"/>
        <v>5305000</v>
      </c>
      <c r="M774" s="658">
        <v>3</v>
      </c>
      <c r="N774" s="1225">
        <f t="shared" si="297"/>
        <v>58355000</v>
      </c>
      <c r="O774" s="1307" t="s">
        <v>245</v>
      </c>
      <c r="P774" s="1307" t="s">
        <v>103</v>
      </c>
      <c r="Q774" s="175"/>
      <c r="R774" s="175"/>
      <c r="S774" s="116">
        <v>0</v>
      </c>
      <c r="T774" s="116">
        <f t="shared" si="298"/>
        <v>-1061000</v>
      </c>
      <c r="U774" s="762">
        <v>57294000</v>
      </c>
      <c r="V774" s="210"/>
      <c r="W774" s="1203"/>
      <c r="X774" s="1204"/>
      <c r="Y774" s="762"/>
      <c r="Z774" s="1205"/>
      <c r="AA774" s="1206"/>
      <c r="AB774" s="1207"/>
      <c r="AC774" s="759"/>
      <c r="AD774" s="1208"/>
      <c r="AE774" s="1208"/>
      <c r="AF774" s="759"/>
      <c r="AG774" s="759"/>
      <c r="AH774" s="1209"/>
      <c r="AI774" s="759"/>
      <c r="AJ774" s="1209"/>
      <c r="AK774" s="1210"/>
    </row>
    <row r="775" spans="1:37" s="1211" customFormat="1" ht="12" hidden="1" customHeight="1">
      <c r="A775" s="758"/>
      <c r="B775" s="1220" t="s">
        <v>243</v>
      </c>
      <c r="C775" s="1221">
        <v>1</v>
      </c>
      <c r="D775" s="1222" t="s">
        <v>136</v>
      </c>
      <c r="E775" s="1223" t="s">
        <v>364</v>
      </c>
      <c r="F775" s="1505" t="s">
        <v>3090</v>
      </c>
      <c r="G775" s="1223" t="s">
        <v>3265</v>
      </c>
      <c r="H775" s="1223" t="s">
        <v>2989</v>
      </c>
      <c r="I775" s="1223" t="s">
        <v>3261</v>
      </c>
      <c r="J775" s="1237"/>
      <c r="K775" s="1212">
        <v>25500000</v>
      </c>
      <c r="L775" s="1212">
        <f t="shared" si="296"/>
        <v>2550000</v>
      </c>
      <c r="M775" s="658">
        <v>4</v>
      </c>
      <c r="N775" s="1225">
        <f t="shared" si="297"/>
        <v>28050000</v>
      </c>
      <c r="O775" s="1307" t="s">
        <v>245</v>
      </c>
      <c r="P775" s="1307" t="s">
        <v>103</v>
      </c>
      <c r="Q775" s="175"/>
      <c r="R775" s="175"/>
      <c r="S775" s="116">
        <v>0</v>
      </c>
      <c r="T775" s="116">
        <f t="shared" si="298"/>
        <v>-510000</v>
      </c>
      <c r="U775" s="762">
        <v>27540000</v>
      </c>
      <c r="V775" s="210"/>
      <c r="W775" s="1203"/>
      <c r="X775" s="1204"/>
      <c r="Y775" s="762"/>
      <c r="Z775" s="1205"/>
      <c r="AA775" s="1206"/>
      <c r="AB775" s="1207"/>
      <c r="AC775" s="759"/>
      <c r="AD775" s="1208"/>
      <c r="AE775" s="1208"/>
      <c r="AF775" s="759"/>
      <c r="AG775" s="759"/>
      <c r="AH775" s="1209"/>
      <c r="AI775" s="759"/>
      <c r="AJ775" s="1209"/>
      <c r="AK775" s="1210"/>
    </row>
    <row r="776" spans="1:37" s="1211" customFormat="1" ht="12" hidden="1" customHeight="1">
      <c r="A776" s="758"/>
      <c r="B776" s="1220" t="s">
        <v>244</v>
      </c>
      <c r="C776" s="1221">
        <v>4</v>
      </c>
      <c r="D776" s="1222" t="s">
        <v>136</v>
      </c>
      <c r="E776" s="1223" t="s">
        <v>354</v>
      </c>
      <c r="F776" s="1505" t="s">
        <v>3262</v>
      </c>
      <c r="G776" s="1223" t="s">
        <v>3518</v>
      </c>
      <c r="H776" s="1223" t="s">
        <v>3267</v>
      </c>
      <c r="I776" s="1223" t="s">
        <v>3268</v>
      </c>
      <c r="J776" s="1237"/>
      <c r="K776" s="1212">
        <v>87000000</v>
      </c>
      <c r="L776" s="1212">
        <f t="shared" si="296"/>
        <v>8700000</v>
      </c>
      <c r="M776" s="658"/>
      <c r="N776" s="1225">
        <f t="shared" si="297"/>
        <v>95700000</v>
      </c>
      <c r="O776" s="1307" t="s">
        <v>245</v>
      </c>
      <c r="P776" s="1307" t="s">
        <v>103</v>
      </c>
      <c r="Q776" s="175"/>
      <c r="R776" s="175"/>
      <c r="S776" s="116">
        <v>0</v>
      </c>
      <c r="T776" s="116">
        <f t="shared" si="298"/>
        <v>-1740000</v>
      </c>
      <c r="U776" s="762">
        <v>93960000</v>
      </c>
      <c r="V776" s="210"/>
      <c r="W776" s="1203"/>
      <c r="X776" s="1204"/>
      <c r="Y776" s="762"/>
      <c r="Z776" s="1205"/>
      <c r="AA776" s="1206"/>
      <c r="AB776" s="1207"/>
      <c r="AC776" s="759"/>
      <c r="AD776" s="1208"/>
      <c r="AE776" s="1208"/>
      <c r="AF776" s="759"/>
      <c r="AG776" s="759"/>
      <c r="AH776" s="1209"/>
      <c r="AI776" s="759"/>
      <c r="AJ776" s="1209"/>
      <c r="AK776" s="1210"/>
    </row>
    <row r="777" spans="1:37" s="1211" customFormat="1" ht="12" hidden="1" customHeight="1">
      <c r="A777" s="758"/>
      <c r="B777" s="1220" t="s">
        <v>244</v>
      </c>
      <c r="C777" s="1221">
        <v>4</v>
      </c>
      <c r="D777" s="1222" t="s">
        <v>136</v>
      </c>
      <c r="E777" s="1223" t="s">
        <v>354</v>
      </c>
      <c r="F777" s="1505" t="s">
        <v>3269</v>
      </c>
      <c r="G777" s="1223" t="s">
        <v>3266</v>
      </c>
      <c r="H777" s="1223" t="s">
        <v>3270</v>
      </c>
      <c r="I777" s="1223" t="s">
        <v>3271</v>
      </c>
      <c r="J777" s="1237"/>
      <c r="K777" s="1212">
        <v>49500000</v>
      </c>
      <c r="L777" s="1212">
        <f t="shared" si="296"/>
        <v>4950000</v>
      </c>
      <c r="M777" s="658"/>
      <c r="N777" s="1225">
        <f t="shared" si="297"/>
        <v>54450000</v>
      </c>
      <c r="O777" s="1307" t="s">
        <v>245</v>
      </c>
      <c r="P777" s="1307" t="s">
        <v>103</v>
      </c>
      <c r="Q777" s="175"/>
      <c r="R777" s="175"/>
      <c r="S777" s="116">
        <v>0</v>
      </c>
      <c r="T777" s="116">
        <f t="shared" si="298"/>
        <v>-990000</v>
      </c>
      <c r="U777" s="762">
        <v>53460000</v>
      </c>
      <c r="V777" s="210"/>
      <c r="W777" s="1203"/>
      <c r="X777" s="1204"/>
      <c r="Y777" s="762"/>
      <c r="Z777" s="1205"/>
      <c r="AA777" s="1206"/>
      <c r="AB777" s="1207"/>
      <c r="AC777" s="759"/>
      <c r="AD777" s="1208"/>
      <c r="AE777" s="1208"/>
      <c r="AF777" s="759"/>
      <c r="AG777" s="759"/>
      <c r="AH777" s="1209"/>
      <c r="AI777" s="759"/>
      <c r="AJ777" s="1209"/>
      <c r="AK777" s="1210"/>
    </row>
    <row r="778" spans="1:37" s="1211" customFormat="1" ht="12" hidden="1" customHeight="1">
      <c r="A778" s="758"/>
      <c r="B778" s="1220" t="s">
        <v>244</v>
      </c>
      <c r="C778" s="1221">
        <v>4</v>
      </c>
      <c r="D778" s="1222" t="s">
        <v>136</v>
      </c>
      <c r="E778" s="1223" t="s">
        <v>354</v>
      </c>
      <c r="F778" s="1505" t="s">
        <v>3086</v>
      </c>
      <c r="G778" s="1223" t="s">
        <v>559</v>
      </c>
      <c r="H778" s="1223" t="s">
        <v>3272</v>
      </c>
      <c r="I778" s="1223" t="s">
        <v>3273</v>
      </c>
      <c r="J778" s="1237"/>
      <c r="K778" s="1212">
        <v>49500000</v>
      </c>
      <c r="L778" s="1212">
        <f t="shared" si="296"/>
        <v>4950000</v>
      </c>
      <c r="M778" s="658"/>
      <c r="N778" s="1225">
        <f t="shared" si="297"/>
        <v>54450000</v>
      </c>
      <c r="O778" s="1307" t="s">
        <v>245</v>
      </c>
      <c r="P778" s="1307" t="s">
        <v>103</v>
      </c>
      <c r="Q778" s="175"/>
      <c r="R778" s="175"/>
      <c r="S778" s="116">
        <v>0</v>
      </c>
      <c r="T778" s="116">
        <f t="shared" si="298"/>
        <v>-990000</v>
      </c>
      <c r="U778" s="762">
        <v>53460000</v>
      </c>
      <c r="V778" s="210"/>
      <c r="W778" s="1203"/>
      <c r="X778" s="1204"/>
      <c r="Y778" s="762"/>
      <c r="Z778" s="1205"/>
      <c r="AA778" s="1206"/>
      <c r="AB778" s="1207"/>
      <c r="AC778" s="759"/>
      <c r="AD778" s="1208"/>
      <c r="AE778" s="1208"/>
      <c r="AF778" s="759"/>
      <c r="AG778" s="759"/>
      <c r="AH778" s="1209"/>
      <c r="AI778" s="759"/>
      <c r="AJ778" s="1209"/>
      <c r="AK778" s="1210"/>
    </row>
    <row r="779" spans="1:37" s="1211" customFormat="1" ht="12" hidden="1" customHeight="1">
      <c r="A779" s="758"/>
      <c r="B779" s="1220" t="s">
        <v>244</v>
      </c>
      <c r="C779" s="1221">
        <v>4</v>
      </c>
      <c r="D779" s="1222" t="s">
        <v>136</v>
      </c>
      <c r="E779" s="1223" t="s">
        <v>354</v>
      </c>
      <c r="F779" s="1505" t="s">
        <v>3087</v>
      </c>
      <c r="G779" s="1223" t="s">
        <v>559</v>
      </c>
      <c r="H779" s="1223" t="s">
        <v>3274</v>
      </c>
      <c r="I779" s="1223" t="s">
        <v>3275</v>
      </c>
      <c r="J779" s="1237"/>
      <c r="K779" s="1212">
        <v>49500000</v>
      </c>
      <c r="L779" s="1212">
        <f t="shared" si="296"/>
        <v>4950000</v>
      </c>
      <c r="M779" s="658"/>
      <c r="N779" s="1225">
        <f t="shared" si="297"/>
        <v>54450000</v>
      </c>
      <c r="O779" s="1307" t="s">
        <v>245</v>
      </c>
      <c r="P779" s="1307" t="s">
        <v>103</v>
      </c>
      <c r="Q779" s="175"/>
      <c r="R779" s="175"/>
      <c r="S779" s="116">
        <v>0</v>
      </c>
      <c r="T779" s="116">
        <f t="shared" si="298"/>
        <v>-990000</v>
      </c>
      <c r="U779" s="762">
        <v>53460000</v>
      </c>
      <c r="V779" s="210"/>
      <c r="W779" s="1203"/>
      <c r="X779" s="1204"/>
      <c r="Y779" s="762"/>
      <c r="Z779" s="1205"/>
      <c r="AA779" s="1206"/>
      <c r="AB779" s="1207"/>
      <c r="AC779" s="759"/>
      <c r="AD779" s="1208"/>
      <c r="AE779" s="1208"/>
      <c r="AF779" s="759"/>
      <c r="AG779" s="759"/>
      <c r="AH779" s="1209"/>
      <c r="AI779" s="759"/>
      <c r="AJ779" s="1209"/>
      <c r="AK779" s="1210"/>
    </row>
    <row r="780" spans="1:37" s="1211" customFormat="1" ht="12" hidden="1" customHeight="1">
      <c r="A780" s="758"/>
      <c r="B780" s="1220" t="s">
        <v>244</v>
      </c>
      <c r="C780" s="1221">
        <v>4</v>
      </c>
      <c r="D780" s="1222" t="s">
        <v>136</v>
      </c>
      <c r="E780" s="1223" t="s">
        <v>3279</v>
      </c>
      <c r="F780" s="1505" t="s">
        <v>3432</v>
      </c>
      <c r="G780" s="1223" t="s">
        <v>3276</v>
      </c>
      <c r="H780" s="1223" t="s">
        <v>3277</v>
      </c>
      <c r="I780" s="1223" t="s">
        <v>3278</v>
      </c>
      <c r="J780" s="1237"/>
      <c r="K780" s="1212">
        <v>28100000</v>
      </c>
      <c r="L780" s="1212">
        <f t="shared" si="296"/>
        <v>2810000</v>
      </c>
      <c r="M780" s="658"/>
      <c r="N780" s="1225">
        <f t="shared" si="297"/>
        <v>30910000</v>
      </c>
      <c r="O780" s="1307" t="s">
        <v>245</v>
      </c>
      <c r="P780" s="1307" t="s">
        <v>103</v>
      </c>
      <c r="Q780" s="175"/>
      <c r="R780" s="175"/>
      <c r="S780" s="116">
        <v>0</v>
      </c>
      <c r="T780" s="116">
        <f t="shared" si="298"/>
        <v>-562000</v>
      </c>
      <c r="U780" s="762">
        <v>30348000</v>
      </c>
      <c r="V780" s="210"/>
      <c r="W780" s="1203"/>
      <c r="X780" s="1204"/>
      <c r="Y780" s="762"/>
      <c r="Z780" s="1205"/>
      <c r="AA780" s="1206"/>
      <c r="AB780" s="1207"/>
      <c r="AC780" s="759"/>
      <c r="AD780" s="1208"/>
      <c r="AE780" s="1208"/>
      <c r="AF780" s="759"/>
      <c r="AG780" s="759"/>
      <c r="AH780" s="1209"/>
      <c r="AI780" s="759"/>
      <c r="AJ780" s="1209"/>
      <c r="AK780" s="1210"/>
    </row>
    <row r="781" spans="1:37" s="1211" customFormat="1" ht="12" hidden="1" customHeight="1">
      <c r="A781" s="758"/>
      <c r="B781" s="758" t="s">
        <v>245</v>
      </c>
      <c r="C781" s="759">
        <v>3</v>
      </c>
      <c r="D781" s="760" t="s">
        <v>136</v>
      </c>
      <c r="E781" s="761" t="s">
        <v>354</v>
      </c>
      <c r="F781" s="1506" t="s">
        <v>3453</v>
      </c>
      <c r="G781" s="761" t="s">
        <v>602</v>
      </c>
      <c r="H781" s="761" t="s">
        <v>3438</v>
      </c>
      <c r="I781" s="761" t="s">
        <v>3439</v>
      </c>
      <c r="J781" s="1054"/>
      <c r="K781" s="764">
        <v>87000000</v>
      </c>
      <c r="L781" s="764">
        <f t="shared" ref="L781:L782" si="299">K781*10%</f>
        <v>8700000</v>
      </c>
      <c r="M781" s="658"/>
      <c r="N781" s="763">
        <f t="shared" ref="N781:N782" si="300">K781+L781</f>
        <v>95700000</v>
      </c>
      <c r="O781" s="1202"/>
      <c r="P781" s="1202"/>
      <c r="Q781" s="175"/>
      <c r="R781" s="175"/>
      <c r="S781" s="762"/>
      <c r="T781" s="116">
        <f t="shared" si="298"/>
        <v>-1740000</v>
      </c>
      <c r="U781" s="762">
        <v>93960000</v>
      </c>
      <c r="V781" s="210"/>
      <c r="W781" s="1203"/>
      <c r="X781" s="1204"/>
      <c r="Y781" s="762"/>
      <c r="Z781" s="1205"/>
      <c r="AA781" s="1206"/>
      <c r="AB781" s="1207"/>
      <c r="AC781" s="759"/>
      <c r="AD781" s="1208"/>
      <c r="AE781" s="1208"/>
      <c r="AF781" s="759"/>
      <c r="AG781" s="759"/>
      <c r="AH781" s="1209"/>
      <c r="AI781" s="759"/>
      <c r="AJ781" s="1209"/>
      <c r="AK781" s="1210"/>
    </row>
    <row r="782" spans="1:37" s="1211" customFormat="1" ht="12" hidden="1" customHeight="1">
      <c r="A782" s="1220"/>
      <c r="B782" s="1220" t="s">
        <v>245</v>
      </c>
      <c r="C782" s="1221">
        <v>3</v>
      </c>
      <c r="D782" s="1222" t="s">
        <v>136</v>
      </c>
      <c r="E782" s="1223" t="s">
        <v>354</v>
      </c>
      <c r="F782" s="1505" t="s">
        <v>3269</v>
      </c>
      <c r="G782" s="1223" t="s">
        <v>602</v>
      </c>
      <c r="H782" s="1223" t="s">
        <v>3442</v>
      </c>
      <c r="I782" s="1223" t="s">
        <v>3443</v>
      </c>
      <c r="J782" s="1237"/>
      <c r="K782" s="1212">
        <v>46000000</v>
      </c>
      <c r="L782" s="1212">
        <f t="shared" si="299"/>
        <v>4600000</v>
      </c>
      <c r="M782" s="1237"/>
      <c r="N782" s="1225">
        <f t="shared" si="300"/>
        <v>50600000</v>
      </c>
      <c r="O782" s="1202" t="s">
        <v>140</v>
      </c>
      <c r="P782" s="1202" t="s">
        <v>88</v>
      </c>
      <c r="Q782" s="175"/>
      <c r="R782" s="175"/>
      <c r="S782" s="116">
        <v>0</v>
      </c>
      <c r="T782" s="116">
        <f t="shared" si="298"/>
        <v>-920000</v>
      </c>
      <c r="U782" s="762">
        <v>49680000</v>
      </c>
      <c r="V782" s="210"/>
      <c r="W782" s="1203"/>
      <c r="X782" s="1204"/>
      <c r="Y782" s="762"/>
      <c r="Z782" s="1205"/>
      <c r="AA782" s="1206"/>
      <c r="AB782" s="1207"/>
      <c r="AC782" s="759"/>
      <c r="AD782" s="1208"/>
      <c r="AE782" s="1208"/>
      <c r="AF782" s="759"/>
      <c r="AG782" s="759"/>
      <c r="AH782" s="1209"/>
      <c r="AI782" s="759"/>
      <c r="AJ782" s="1209"/>
      <c r="AK782" s="1210"/>
    </row>
    <row r="783" spans="1:37" s="1211" customFormat="1" ht="12" hidden="1" customHeight="1">
      <c r="A783" s="1220"/>
      <c r="B783" s="1220" t="s">
        <v>245</v>
      </c>
      <c r="C783" s="1221">
        <v>3</v>
      </c>
      <c r="D783" s="1222" t="s">
        <v>136</v>
      </c>
      <c r="E783" s="1223" t="s">
        <v>354</v>
      </c>
      <c r="F783" s="1505" t="s">
        <v>3086</v>
      </c>
      <c r="G783" s="1223" t="s">
        <v>602</v>
      </c>
      <c r="H783" s="1223" t="s">
        <v>3428</v>
      </c>
      <c r="I783" s="1223" t="s">
        <v>3429</v>
      </c>
      <c r="J783" s="1237"/>
      <c r="K783" s="1212">
        <v>49500000</v>
      </c>
      <c r="L783" s="1212">
        <f t="shared" ref="L783" si="301">K783*10%</f>
        <v>4950000</v>
      </c>
      <c r="M783" s="1237"/>
      <c r="N783" s="1225">
        <f t="shared" ref="N783" si="302">K783+L783</f>
        <v>54450000</v>
      </c>
      <c r="O783" s="1202" t="s">
        <v>140</v>
      </c>
      <c r="P783" s="1202" t="s">
        <v>88</v>
      </c>
      <c r="Q783" s="175"/>
      <c r="R783" s="175"/>
      <c r="S783" s="116">
        <v>0</v>
      </c>
      <c r="T783" s="116">
        <f t="shared" si="298"/>
        <v>-990000</v>
      </c>
      <c r="U783" s="762">
        <v>53460000</v>
      </c>
      <c r="V783" s="210"/>
      <c r="W783" s="1203"/>
      <c r="X783" s="1204"/>
      <c r="Y783" s="762"/>
      <c r="Z783" s="1205"/>
      <c r="AA783" s="1206"/>
      <c r="AB783" s="1207"/>
      <c r="AC783" s="759"/>
      <c r="AD783" s="1208"/>
      <c r="AE783" s="1208"/>
      <c r="AF783" s="759"/>
      <c r="AG783" s="759"/>
      <c r="AH783" s="1209"/>
      <c r="AI783" s="759"/>
      <c r="AJ783" s="1209"/>
      <c r="AK783" s="1210"/>
    </row>
    <row r="784" spans="1:37" s="1211" customFormat="1" ht="12" hidden="1" customHeight="1">
      <c r="A784" s="1220"/>
      <c r="B784" s="1220" t="s">
        <v>245</v>
      </c>
      <c r="C784" s="1221">
        <v>3</v>
      </c>
      <c r="D784" s="1222" t="s">
        <v>136</v>
      </c>
      <c r="E784" s="1223" t="s">
        <v>354</v>
      </c>
      <c r="F784" s="1505" t="s">
        <v>3087</v>
      </c>
      <c r="G784" s="1223" t="s">
        <v>602</v>
      </c>
      <c r="H784" s="1223" t="s">
        <v>3430</v>
      </c>
      <c r="I784" s="1223" t="s">
        <v>3431</v>
      </c>
      <c r="J784" s="1237"/>
      <c r="K784" s="1212">
        <v>49500000</v>
      </c>
      <c r="L784" s="1212">
        <f t="shared" ref="L784:L793" si="303">K784*10%</f>
        <v>4950000</v>
      </c>
      <c r="M784" s="1237"/>
      <c r="N784" s="1225">
        <f t="shared" ref="N784:N793" si="304">K784+L784</f>
        <v>54450000</v>
      </c>
      <c r="O784" s="1202" t="s">
        <v>140</v>
      </c>
      <c r="P784" s="1202" t="s">
        <v>88</v>
      </c>
      <c r="Q784" s="175"/>
      <c r="R784" s="175"/>
      <c r="S784" s="116">
        <v>0</v>
      </c>
      <c r="T784" s="116">
        <f t="shared" si="298"/>
        <v>-990000</v>
      </c>
      <c r="U784" s="762">
        <v>53460000</v>
      </c>
      <c r="V784" s="210"/>
      <c r="W784" s="1203"/>
      <c r="X784" s="1204"/>
      <c r="Y784" s="762"/>
      <c r="Z784" s="1205"/>
      <c r="AA784" s="1206"/>
      <c r="AB784" s="1207"/>
      <c r="AC784" s="759"/>
      <c r="AD784" s="1208"/>
      <c r="AE784" s="1208"/>
      <c r="AF784" s="759"/>
      <c r="AG784" s="759"/>
      <c r="AH784" s="1209"/>
      <c r="AI784" s="759"/>
      <c r="AJ784" s="1209"/>
      <c r="AK784" s="1210"/>
    </row>
    <row r="785" spans="1:37" s="1211" customFormat="1" ht="12" hidden="1" customHeight="1">
      <c r="A785" s="1220"/>
      <c r="B785" s="1220" t="s">
        <v>245</v>
      </c>
      <c r="C785" s="1221">
        <v>3</v>
      </c>
      <c r="D785" s="1222" t="s">
        <v>136</v>
      </c>
      <c r="E785" s="1223"/>
      <c r="F785" s="1505" t="s">
        <v>3432</v>
      </c>
      <c r="G785" s="1223" t="s">
        <v>602</v>
      </c>
      <c r="H785" s="1223" t="s">
        <v>3440</v>
      </c>
      <c r="I785" s="1223" t="s">
        <v>3441</v>
      </c>
      <c r="J785" s="1237"/>
      <c r="K785" s="1212">
        <v>51500000</v>
      </c>
      <c r="L785" s="1212">
        <f t="shared" si="303"/>
        <v>5150000</v>
      </c>
      <c r="M785" s="1237"/>
      <c r="N785" s="1225">
        <f t="shared" si="304"/>
        <v>56650000</v>
      </c>
      <c r="O785" s="1202" t="s">
        <v>140</v>
      </c>
      <c r="P785" s="1202" t="s">
        <v>88</v>
      </c>
      <c r="Q785" s="175"/>
      <c r="R785" s="175"/>
      <c r="S785" s="116">
        <v>0</v>
      </c>
      <c r="T785" s="116">
        <f t="shared" si="298"/>
        <v>-1030000</v>
      </c>
      <c r="U785" s="762">
        <v>55620000</v>
      </c>
      <c r="V785" s="210"/>
      <c r="W785" s="1203"/>
      <c r="X785" s="1204"/>
      <c r="Y785" s="762"/>
      <c r="Z785" s="1205"/>
      <c r="AA785" s="1206"/>
      <c r="AB785" s="1207"/>
      <c r="AC785" s="759"/>
      <c r="AD785" s="1208"/>
      <c r="AE785" s="1208"/>
      <c r="AF785" s="759"/>
      <c r="AG785" s="759"/>
      <c r="AH785" s="1209"/>
      <c r="AI785" s="759"/>
      <c r="AJ785" s="1209"/>
      <c r="AK785" s="1210"/>
    </row>
    <row r="786" spans="1:37" s="1211" customFormat="1" ht="12" hidden="1" customHeight="1">
      <c r="A786" s="1220"/>
      <c r="B786" s="1220" t="s">
        <v>245</v>
      </c>
      <c r="C786" s="1221">
        <v>26</v>
      </c>
      <c r="D786" s="1222" t="s">
        <v>136</v>
      </c>
      <c r="E786" s="1223" t="s">
        <v>354</v>
      </c>
      <c r="F786" s="1505" t="s">
        <v>3474</v>
      </c>
      <c r="G786" s="1223" t="s">
        <v>3475</v>
      </c>
      <c r="H786" s="1223" t="s">
        <v>3476</v>
      </c>
      <c r="I786" s="1223" t="s">
        <v>3477</v>
      </c>
      <c r="J786" s="1237"/>
      <c r="K786" s="1212">
        <v>20700000</v>
      </c>
      <c r="L786" s="1212">
        <f t="shared" si="303"/>
        <v>2070000</v>
      </c>
      <c r="M786" s="1237"/>
      <c r="N786" s="1225">
        <f t="shared" si="304"/>
        <v>22770000</v>
      </c>
      <c r="O786" s="1202" t="s">
        <v>140</v>
      </c>
      <c r="P786" s="1202" t="s">
        <v>88</v>
      </c>
      <c r="Q786" s="175"/>
      <c r="R786" s="175"/>
      <c r="S786" s="116">
        <v>0</v>
      </c>
      <c r="T786" s="116">
        <f t="shared" si="298"/>
        <v>-414000</v>
      </c>
      <c r="U786" s="762">
        <v>22356000</v>
      </c>
      <c r="V786" s="210"/>
      <c r="W786" s="1203"/>
      <c r="X786" s="1204"/>
      <c r="Y786" s="762"/>
      <c r="Z786" s="1205"/>
      <c r="AA786" s="1206"/>
      <c r="AB786" s="1207"/>
      <c r="AC786" s="759"/>
      <c r="AD786" s="1208"/>
      <c r="AE786" s="1208"/>
      <c r="AF786" s="759"/>
      <c r="AG786" s="759"/>
      <c r="AH786" s="1209"/>
      <c r="AI786" s="759"/>
      <c r="AJ786" s="1209"/>
      <c r="AK786" s="1210"/>
    </row>
    <row r="787" spans="1:37" s="1211" customFormat="1" ht="12" hidden="1" customHeight="1">
      <c r="A787" s="758"/>
      <c r="B787" s="758" t="s">
        <v>238</v>
      </c>
      <c r="C787" s="759">
        <v>1</v>
      </c>
      <c r="D787" s="760" t="s">
        <v>136</v>
      </c>
      <c r="E787" s="761" t="s">
        <v>354</v>
      </c>
      <c r="F787" s="1506" t="s">
        <v>3508</v>
      </c>
      <c r="G787" s="761" t="s">
        <v>3509</v>
      </c>
      <c r="H787" s="761" t="s">
        <v>3510</v>
      </c>
      <c r="I787" s="761" t="s">
        <v>3511</v>
      </c>
      <c r="J787" s="1054"/>
      <c r="K787" s="764">
        <v>49500000</v>
      </c>
      <c r="L787" s="764">
        <f t="shared" si="303"/>
        <v>4950000</v>
      </c>
      <c r="M787" s="658"/>
      <c r="N787" s="763">
        <f t="shared" si="304"/>
        <v>54450000</v>
      </c>
      <c r="O787" s="1202"/>
      <c r="P787" s="1202"/>
      <c r="Q787" s="175"/>
      <c r="R787" s="175"/>
      <c r="S787" s="762"/>
      <c r="T787" s="762"/>
      <c r="U787" s="762"/>
      <c r="V787" s="210"/>
      <c r="W787" s="1203"/>
      <c r="X787" s="1204"/>
      <c r="Y787" s="762"/>
      <c r="Z787" s="1205"/>
      <c r="AA787" s="1206"/>
      <c r="AB787" s="1207"/>
      <c r="AC787" s="759"/>
      <c r="AD787" s="1208"/>
      <c r="AE787" s="1208"/>
      <c r="AF787" s="759"/>
      <c r="AG787" s="759"/>
      <c r="AH787" s="1209"/>
      <c r="AI787" s="759"/>
      <c r="AJ787" s="1209"/>
      <c r="AK787" s="1210"/>
    </row>
    <row r="788" spans="1:37" s="1211" customFormat="1" ht="12" hidden="1" customHeight="1">
      <c r="A788" s="758"/>
      <c r="B788" s="758" t="s">
        <v>238</v>
      </c>
      <c r="C788" s="759">
        <v>1</v>
      </c>
      <c r="D788" s="760" t="s">
        <v>136</v>
      </c>
      <c r="E788" s="761" t="s">
        <v>354</v>
      </c>
      <c r="F788" s="1506" t="s">
        <v>3086</v>
      </c>
      <c r="G788" s="761" t="s">
        <v>641</v>
      </c>
      <c r="H788" s="761" t="s">
        <v>3512</v>
      </c>
      <c r="I788" s="761" t="s">
        <v>3513</v>
      </c>
      <c r="J788" s="1054"/>
      <c r="K788" s="764">
        <v>49500000</v>
      </c>
      <c r="L788" s="764">
        <f t="shared" si="303"/>
        <v>4950000</v>
      </c>
      <c r="M788" s="658"/>
      <c r="N788" s="763">
        <f t="shared" si="304"/>
        <v>54450000</v>
      </c>
      <c r="O788" s="1202"/>
      <c r="P788" s="1202"/>
      <c r="Q788" s="175"/>
      <c r="R788" s="175"/>
      <c r="S788" s="762"/>
      <c r="T788" s="762"/>
      <c r="U788" s="762"/>
      <c r="V788" s="210"/>
      <c r="W788" s="1203"/>
      <c r="X788" s="1204"/>
      <c r="Y788" s="762"/>
      <c r="Z788" s="1205"/>
      <c r="AA788" s="1206"/>
      <c r="AB788" s="1207"/>
      <c r="AC788" s="759"/>
      <c r="AD788" s="1208"/>
      <c r="AE788" s="1208"/>
      <c r="AF788" s="759"/>
      <c r="AG788" s="759"/>
      <c r="AH788" s="1209"/>
      <c r="AI788" s="759"/>
      <c r="AJ788" s="1209"/>
      <c r="AK788" s="1210"/>
    </row>
    <row r="789" spans="1:37" s="1211" customFormat="1" ht="12" hidden="1" customHeight="1">
      <c r="A789" s="758"/>
      <c r="B789" s="758" t="s">
        <v>238</v>
      </c>
      <c r="C789" s="759">
        <v>1</v>
      </c>
      <c r="D789" s="760" t="s">
        <v>136</v>
      </c>
      <c r="E789" s="761" t="s">
        <v>354</v>
      </c>
      <c r="F789" s="1506" t="s">
        <v>3087</v>
      </c>
      <c r="G789" s="761" t="s">
        <v>641</v>
      </c>
      <c r="H789" s="761" t="s">
        <v>3514</v>
      </c>
      <c r="I789" s="761" t="s">
        <v>3515</v>
      </c>
      <c r="J789" s="1054"/>
      <c r="K789" s="764">
        <v>49500000</v>
      </c>
      <c r="L789" s="764">
        <f t="shared" si="303"/>
        <v>4950000</v>
      </c>
      <c r="M789" s="658"/>
      <c r="N789" s="763">
        <f t="shared" si="304"/>
        <v>54450000</v>
      </c>
      <c r="O789" s="1202"/>
      <c r="P789" s="1202"/>
      <c r="Q789" s="175"/>
      <c r="R789" s="175"/>
      <c r="S789" s="762"/>
      <c r="T789" s="762"/>
      <c r="U789" s="762"/>
      <c r="V789" s="210"/>
      <c r="W789" s="1203"/>
      <c r="X789" s="1204"/>
      <c r="Y789" s="762"/>
      <c r="Z789" s="1205"/>
      <c r="AA789" s="1206"/>
      <c r="AB789" s="1207"/>
      <c r="AC789" s="759"/>
      <c r="AD789" s="1208"/>
      <c r="AE789" s="1208"/>
      <c r="AF789" s="759"/>
      <c r="AG789" s="759"/>
      <c r="AH789" s="1209"/>
      <c r="AI789" s="759"/>
      <c r="AJ789" s="1209"/>
      <c r="AK789" s="1210"/>
    </row>
    <row r="790" spans="1:37" s="1211" customFormat="1" ht="12" hidden="1" customHeight="1">
      <c r="A790" s="758"/>
      <c r="B790" s="758" t="s">
        <v>238</v>
      </c>
      <c r="C790" s="759">
        <v>1</v>
      </c>
      <c r="D790" s="760" t="s">
        <v>136</v>
      </c>
      <c r="E790" s="761" t="s">
        <v>3279</v>
      </c>
      <c r="F790" s="1506" t="s">
        <v>3432</v>
      </c>
      <c r="G790" s="761" t="s">
        <v>3509</v>
      </c>
      <c r="H790" s="761" t="s">
        <v>3516</v>
      </c>
      <c r="I790" s="761" t="s">
        <v>3517</v>
      </c>
      <c r="J790" s="1054"/>
      <c r="K790" s="764">
        <v>51500000</v>
      </c>
      <c r="L790" s="764">
        <f t="shared" si="303"/>
        <v>5150000</v>
      </c>
      <c r="M790" s="658"/>
      <c r="N790" s="763">
        <f t="shared" si="304"/>
        <v>56650000</v>
      </c>
      <c r="O790" s="1202"/>
      <c r="P790" s="1202"/>
      <c r="Q790" s="175"/>
      <c r="R790" s="175"/>
      <c r="S790" s="762"/>
      <c r="T790" s="762"/>
      <c r="U790" s="762"/>
      <c r="V790" s="210"/>
      <c r="W790" s="1203"/>
      <c r="X790" s="1204"/>
      <c r="Y790" s="762"/>
      <c r="Z790" s="1205"/>
      <c r="AA790" s="1206"/>
      <c r="AB790" s="1207"/>
      <c r="AC790" s="759"/>
      <c r="AD790" s="1208"/>
      <c r="AE790" s="1208"/>
      <c r="AF790" s="759"/>
      <c r="AG790" s="759"/>
      <c r="AH790" s="1209"/>
      <c r="AI790" s="759"/>
      <c r="AJ790" s="1209"/>
      <c r="AK790" s="1210"/>
    </row>
    <row r="791" spans="1:37" s="1211" customFormat="1" ht="12" hidden="1" customHeight="1">
      <c r="A791" s="758"/>
      <c r="B791" s="758" t="s">
        <v>238</v>
      </c>
      <c r="C791" s="759">
        <v>21</v>
      </c>
      <c r="D791" s="760" t="s">
        <v>136</v>
      </c>
      <c r="E791" s="761" t="s">
        <v>354</v>
      </c>
      <c r="F791" s="1506" t="s">
        <v>3769</v>
      </c>
      <c r="G791" s="761" t="s">
        <v>3509</v>
      </c>
      <c r="H791" s="761" t="s">
        <v>3766</v>
      </c>
      <c r="I791" s="761" t="s">
        <v>3767</v>
      </c>
      <c r="J791" s="1054"/>
      <c r="K791" s="764">
        <v>133000000</v>
      </c>
      <c r="L791" s="764">
        <f t="shared" si="303"/>
        <v>13300000</v>
      </c>
      <c r="M791" s="658"/>
      <c r="N791" s="763">
        <f t="shared" si="304"/>
        <v>146300000</v>
      </c>
      <c r="O791" s="1202"/>
      <c r="P791" s="1202"/>
      <c r="Q791" s="175"/>
      <c r="R791" s="175"/>
      <c r="S791" s="762"/>
      <c r="T791" s="762"/>
      <c r="U791" s="762"/>
      <c r="V791" s="210"/>
      <c r="W791" s="1203"/>
      <c r="X791" s="1204"/>
      <c r="Y791" s="762"/>
      <c r="Z791" s="1205"/>
      <c r="AA791" s="1206"/>
      <c r="AB791" s="1207"/>
      <c r="AC791" s="759"/>
      <c r="AD791" s="1208"/>
      <c r="AE791" s="1208"/>
      <c r="AF791" s="759"/>
      <c r="AG791" s="759"/>
      <c r="AH791" s="1209"/>
      <c r="AI791" s="759"/>
      <c r="AJ791" s="1209"/>
      <c r="AK791" s="1210"/>
    </row>
    <row r="792" spans="1:37" s="1211" customFormat="1" ht="12" hidden="1" customHeight="1">
      <c r="A792" s="758"/>
      <c r="B792" s="758" t="s">
        <v>140</v>
      </c>
      <c r="C792" s="759">
        <v>11</v>
      </c>
      <c r="D792" s="760" t="s">
        <v>136</v>
      </c>
      <c r="E792" s="761" t="s">
        <v>3279</v>
      </c>
      <c r="F792" s="1506" t="s">
        <v>3768</v>
      </c>
      <c r="G792" s="761" t="s">
        <v>1616</v>
      </c>
      <c r="H792" s="761" t="s">
        <v>3770</v>
      </c>
      <c r="I792" s="761" t="s">
        <v>3771</v>
      </c>
      <c r="J792" s="1054"/>
      <c r="K792" s="764">
        <v>67500000</v>
      </c>
      <c r="L792" s="764">
        <f t="shared" si="303"/>
        <v>6750000</v>
      </c>
      <c r="M792" s="658"/>
      <c r="N792" s="763">
        <f t="shared" si="304"/>
        <v>74250000</v>
      </c>
      <c r="O792" s="1202"/>
      <c r="P792" s="1202"/>
      <c r="Q792" s="175"/>
      <c r="R792" s="175"/>
      <c r="S792" s="762"/>
      <c r="T792" s="762"/>
      <c r="U792" s="762"/>
      <c r="V792" s="210"/>
      <c r="W792" s="1203"/>
      <c r="X792" s="1204"/>
      <c r="Y792" s="762"/>
      <c r="Z792" s="1205"/>
      <c r="AA792" s="1206"/>
      <c r="AB792" s="1207"/>
      <c r="AC792" s="759"/>
      <c r="AD792" s="1208"/>
      <c r="AE792" s="1208"/>
      <c r="AF792" s="759"/>
      <c r="AG792" s="759"/>
      <c r="AH792" s="1209"/>
      <c r="AI792" s="759"/>
      <c r="AJ792" s="1209"/>
      <c r="AK792" s="1210"/>
    </row>
    <row r="793" spans="1:37" s="1211" customFormat="1" ht="12" hidden="1" customHeight="1">
      <c r="A793" s="758"/>
      <c r="B793" s="758" t="s">
        <v>140</v>
      </c>
      <c r="C793" s="759">
        <v>11</v>
      </c>
      <c r="D793" s="760" t="s">
        <v>136</v>
      </c>
      <c r="E793" s="761" t="s">
        <v>354</v>
      </c>
      <c r="F793" s="1506" t="s">
        <v>3508</v>
      </c>
      <c r="G793" s="761" t="s">
        <v>1616</v>
      </c>
      <c r="H793" s="761" t="s">
        <v>3772</v>
      </c>
      <c r="I793" s="761" t="s">
        <v>3773</v>
      </c>
      <c r="J793" s="1054"/>
      <c r="K793" s="764">
        <v>49500000</v>
      </c>
      <c r="L793" s="764">
        <f t="shared" si="303"/>
        <v>4950000</v>
      </c>
      <c r="M793" s="658"/>
      <c r="N793" s="763">
        <f t="shared" si="304"/>
        <v>54450000</v>
      </c>
      <c r="O793" s="1202"/>
      <c r="P793" s="1202"/>
      <c r="Q793" s="175"/>
      <c r="R793" s="175"/>
      <c r="S793" s="762"/>
      <c r="T793" s="762"/>
      <c r="U793" s="762"/>
      <c r="V793" s="210"/>
      <c r="W793" s="1203"/>
      <c r="X793" s="1204"/>
      <c r="Y793" s="762"/>
      <c r="Z793" s="1205"/>
      <c r="AA793" s="1206"/>
      <c r="AB793" s="1207"/>
      <c r="AC793" s="759"/>
      <c r="AD793" s="1208"/>
      <c r="AE793" s="1208"/>
      <c r="AF793" s="759"/>
      <c r="AG793" s="759"/>
      <c r="AH793" s="1209"/>
      <c r="AI793" s="759"/>
      <c r="AJ793" s="1209"/>
      <c r="AK793" s="1210"/>
    </row>
    <row r="794" spans="1:37" s="1211" customFormat="1" ht="12" hidden="1" customHeight="1">
      <c r="A794" s="758"/>
      <c r="B794" s="758" t="s">
        <v>140</v>
      </c>
      <c r="C794" s="759">
        <v>11</v>
      </c>
      <c r="D794" s="760" t="s">
        <v>136</v>
      </c>
      <c r="E794" s="761" t="s">
        <v>354</v>
      </c>
      <c r="F794" s="1506" t="s">
        <v>3086</v>
      </c>
      <c r="G794" s="761" t="s">
        <v>1616</v>
      </c>
      <c r="H794" s="761" t="s">
        <v>3774</v>
      </c>
      <c r="I794" s="761" t="s">
        <v>3775</v>
      </c>
      <c r="J794" s="1054"/>
      <c r="K794" s="764">
        <v>49500000</v>
      </c>
      <c r="L794" s="764">
        <f t="shared" ref="L794:L797" si="305">K794*10%</f>
        <v>4950000</v>
      </c>
      <c r="M794" s="658"/>
      <c r="N794" s="763">
        <f t="shared" ref="N794:N797" si="306">K794+L794</f>
        <v>54450000</v>
      </c>
      <c r="O794" s="1202"/>
      <c r="P794" s="1202"/>
      <c r="Q794" s="175"/>
      <c r="R794" s="175"/>
      <c r="S794" s="762"/>
      <c r="T794" s="762"/>
      <c r="U794" s="762"/>
      <c r="V794" s="210"/>
      <c r="W794" s="1203"/>
      <c r="X794" s="1204"/>
      <c r="Y794" s="762"/>
      <c r="Z794" s="1205"/>
      <c r="AA794" s="1206"/>
      <c r="AB794" s="1207"/>
      <c r="AC794" s="759"/>
      <c r="AD794" s="1208"/>
      <c r="AE794" s="1208"/>
      <c r="AF794" s="759"/>
      <c r="AG794" s="759"/>
      <c r="AH794" s="1209"/>
      <c r="AI794" s="759"/>
      <c r="AJ794" s="1209"/>
      <c r="AK794" s="1210"/>
    </row>
    <row r="795" spans="1:37" s="1211" customFormat="1" ht="12" hidden="1" customHeight="1">
      <c r="A795" s="758"/>
      <c r="B795" s="758" t="s">
        <v>140</v>
      </c>
      <c r="C795" s="759">
        <v>11</v>
      </c>
      <c r="D795" s="760" t="s">
        <v>136</v>
      </c>
      <c r="E795" s="761" t="s">
        <v>354</v>
      </c>
      <c r="F795" s="1506" t="s">
        <v>3087</v>
      </c>
      <c r="G795" s="761" t="s">
        <v>1616</v>
      </c>
      <c r="H795" s="761" t="s">
        <v>3776</v>
      </c>
      <c r="I795" s="761" t="s">
        <v>3777</v>
      </c>
      <c r="J795" s="1054"/>
      <c r="K795" s="764">
        <v>49500000</v>
      </c>
      <c r="L795" s="764">
        <f t="shared" si="305"/>
        <v>4950000</v>
      </c>
      <c r="M795" s="658"/>
      <c r="N795" s="763">
        <f t="shared" si="306"/>
        <v>54450000</v>
      </c>
      <c r="O795" s="1202"/>
      <c r="P795" s="1202"/>
      <c r="Q795" s="175"/>
      <c r="R795" s="175"/>
      <c r="S795" s="762"/>
      <c r="T795" s="762"/>
      <c r="U795" s="762"/>
      <c r="V795" s="210"/>
      <c r="W795" s="1203"/>
      <c r="X795" s="1204"/>
      <c r="Y795" s="762"/>
      <c r="Z795" s="1205"/>
      <c r="AA795" s="1206"/>
      <c r="AB795" s="1207"/>
      <c r="AC795" s="759"/>
      <c r="AD795" s="1208"/>
      <c r="AE795" s="1208"/>
      <c r="AF795" s="759"/>
      <c r="AG795" s="759"/>
      <c r="AH795" s="1209"/>
      <c r="AI795" s="759"/>
      <c r="AJ795" s="1209"/>
      <c r="AK795" s="1210"/>
    </row>
    <row r="796" spans="1:37" s="1211" customFormat="1" ht="12" hidden="1" customHeight="1">
      <c r="A796" s="758"/>
      <c r="B796" s="758" t="s">
        <v>140</v>
      </c>
      <c r="C796" s="759">
        <v>11</v>
      </c>
      <c r="D796" s="760" t="s">
        <v>136</v>
      </c>
      <c r="E796" s="761" t="s">
        <v>354</v>
      </c>
      <c r="F796" s="1506" t="s">
        <v>3778</v>
      </c>
      <c r="G796" s="761" t="s">
        <v>1616</v>
      </c>
      <c r="H796" s="761" t="s">
        <v>3779</v>
      </c>
      <c r="I796" s="761" t="s">
        <v>3780</v>
      </c>
      <c r="J796" s="1054"/>
      <c r="K796" s="764">
        <v>172000000</v>
      </c>
      <c r="L796" s="764">
        <f t="shared" si="305"/>
        <v>17200000</v>
      </c>
      <c r="M796" s="658"/>
      <c r="N796" s="763">
        <f t="shared" si="306"/>
        <v>189200000</v>
      </c>
      <c r="O796" s="1202"/>
      <c r="P796" s="1202"/>
      <c r="Q796" s="175"/>
      <c r="R796" s="175"/>
      <c r="S796" s="762"/>
      <c r="T796" s="762"/>
      <c r="U796" s="762"/>
      <c r="V796" s="210"/>
      <c r="W796" s="1203"/>
      <c r="X796" s="1204"/>
      <c r="Y796" s="762"/>
      <c r="Z796" s="1205"/>
      <c r="AA796" s="1206"/>
      <c r="AB796" s="1207"/>
      <c r="AC796" s="759"/>
      <c r="AD796" s="1208"/>
      <c r="AE796" s="1208"/>
      <c r="AF796" s="759"/>
      <c r="AG796" s="759"/>
      <c r="AH796" s="1209"/>
      <c r="AI796" s="759"/>
      <c r="AJ796" s="1209"/>
      <c r="AK796" s="1210"/>
    </row>
    <row r="797" spans="1:37" s="1211" customFormat="1" ht="12" hidden="1" customHeight="1">
      <c r="A797" s="758"/>
      <c r="B797" s="758" t="s">
        <v>140</v>
      </c>
      <c r="C797" s="759">
        <v>11</v>
      </c>
      <c r="D797" s="760" t="s">
        <v>136</v>
      </c>
      <c r="E797" s="761" t="s">
        <v>354</v>
      </c>
      <c r="F797" s="1506" t="s">
        <v>3781</v>
      </c>
      <c r="G797" s="761">
        <v>43049</v>
      </c>
      <c r="H797" s="761" t="s">
        <v>3782</v>
      </c>
      <c r="I797" s="761" t="s">
        <v>3783</v>
      </c>
      <c r="J797" s="1054"/>
      <c r="K797" s="764">
        <v>7500000</v>
      </c>
      <c r="L797" s="764">
        <f t="shared" si="305"/>
        <v>750000</v>
      </c>
      <c r="M797" s="658"/>
      <c r="N797" s="763">
        <f t="shared" si="306"/>
        <v>8250000</v>
      </c>
      <c r="O797" s="1202"/>
      <c r="P797" s="1202"/>
      <c r="Q797" s="175"/>
      <c r="R797" s="175"/>
      <c r="S797" s="762"/>
      <c r="T797" s="762"/>
      <c r="U797" s="762"/>
      <c r="V797" s="210"/>
      <c r="W797" s="1203"/>
      <c r="X797" s="1204"/>
      <c r="Y797" s="762"/>
      <c r="Z797" s="1205"/>
      <c r="AA797" s="1206"/>
      <c r="AB797" s="1207"/>
      <c r="AC797" s="759"/>
      <c r="AD797" s="1208"/>
      <c r="AE797" s="1208"/>
      <c r="AF797" s="759"/>
      <c r="AG797" s="759"/>
      <c r="AH797" s="1209"/>
      <c r="AI797" s="759"/>
      <c r="AJ797" s="1209"/>
      <c r="AK797" s="1210"/>
    </row>
    <row r="798" spans="1:37" s="114" customFormat="1" ht="12" hidden="1" customHeight="1">
      <c r="A798" s="53"/>
      <c r="B798" s="53" t="s">
        <v>194</v>
      </c>
      <c r="C798" s="9">
        <v>9</v>
      </c>
      <c r="D798" s="8" t="s">
        <v>764</v>
      </c>
      <c r="E798" s="10" t="s">
        <v>364</v>
      </c>
      <c r="F798" s="356"/>
      <c r="G798" s="10"/>
      <c r="H798" s="10" t="s">
        <v>1834</v>
      </c>
      <c r="I798" s="10" t="s">
        <v>1835</v>
      </c>
      <c r="J798" s="658">
        <v>0</v>
      </c>
      <c r="K798" s="118">
        <v>23000000</v>
      </c>
      <c r="L798" s="118">
        <f t="shared" ref="L798:L842" si="307">K798*10%</f>
        <v>2300000</v>
      </c>
      <c r="M798" s="658">
        <v>0</v>
      </c>
      <c r="N798" s="189">
        <f t="shared" ref="N798:N861" si="308">K798+L798</f>
        <v>25300000</v>
      </c>
      <c r="O798" s="197" t="s">
        <v>195</v>
      </c>
      <c r="P798" s="197" t="s">
        <v>31</v>
      </c>
      <c r="Q798" s="175"/>
      <c r="R798" s="175"/>
      <c r="S798" s="116">
        <v>0</v>
      </c>
      <c r="T798" s="116">
        <f t="shared" ref="T798:T805" si="309">-K798*2%</f>
        <v>-460000</v>
      </c>
      <c r="U798" s="116">
        <v>24840000</v>
      </c>
      <c r="V798" s="210">
        <f t="shared" si="264"/>
        <v>0</v>
      </c>
      <c r="W798" s="115">
        <f t="shared" si="294"/>
        <v>0</v>
      </c>
      <c r="X798" s="181" t="s">
        <v>2071</v>
      </c>
      <c r="Y798" s="116"/>
      <c r="Z798" s="185"/>
      <c r="AA798" s="592">
        <f>-S798-Z798</f>
        <v>0</v>
      </c>
      <c r="AB798" s="186"/>
      <c r="AC798" s="300">
        <v>42794</v>
      </c>
      <c r="AD798" s="297">
        <v>460000</v>
      </c>
      <c r="AE798" s="297">
        <f t="shared" si="283"/>
        <v>0</v>
      </c>
      <c r="AF798" s="9" t="s">
        <v>2573</v>
      </c>
      <c r="AG798" s="9" t="s">
        <v>1395</v>
      </c>
      <c r="AH798" s="300">
        <v>42747</v>
      </c>
      <c r="AI798" s="9" t="s">
        <v>1425</v>
      </c>
      <c r="AJ798" s="300">
        <v>42748</v>
      </c>
      <c r="AK798" s="73" t="str">
        <f t="shared" si="293"/>
        <v>PUNCAK KEEMASAN LUMBUNG DUNIA, PTFEB</v>
      </c>
    </row>
    <row r="799" spans="1:37" s="114" customFormat="1" ht="12" hidden="1" customHeight="1">
      <c r="A799" s="53"/>
      <c r="B799" s="53" t="s">
        <v>195</v>
      </c>
      <c r="C799" s="9">
        <v>6</v>
      </c>
      <c r="D799" s="8" t="s">
        <v>764</v>
      </c>
      <c r="E799" s="10" t="s">
        <v>364</v>
      </c>
      <c r="F799" s="356"/>
      <c r="G799" s="10"/>
      <c r="H799" s="10" t="s">
        <v>2046</v>
      </c>
      <c r="I799" s="10" t="s">
        <v>2047</v>
      </c>
      <c r="J799" s="658">
        <v>0</v>
      </c>
      <c r="K799" s="118">
        <v>23000000</v>
      </c>
      <c r="L799" s="118">
        <f t="shared" si="307"/>
        <v>2300000</v>
      </c>
      <c r="M799" s="658">
        <v>0</v>
      </c>
      <c r="N799" s="189">
        <f t="shared" si="308"/>
        <v>25300000</v>
      </c>
      <c r="O799" s="197" t="s">
        <v>239</v>
      </c>
      <c r="P799" s="197" t="s">
        <v>88</v>
      </c>
      <c r="Q799" s="175"/>
      <c r="R799" s="175"/>
      <c r="S799" s="116">
        <v>0</v>
      </c>
      <c r="T799" s="116">
        <f t="shared" si="309"/>
        <v>-460000</v>
      </c>
      <c r="U799" s="116">
        <v>24840000</v>
      </c>
      <c r="V799" s="210">
        <f t="shared" si="264"/>
        <v>0</v>
      </c>
      <c r="W799" s="115">
        <f t="shared" si="294"/>
        <v>0</v>
      </c>
      <c r="X799" s="181" t="s">
        <v>2071</v>
      </c>
      <c r="Y799" s="116"/>
      <c r="Z799" s="185"/>
      <c r="AA799" s="592"/>
      <c r="AB799" s="186"/>
      <c r="AC799" s="300">
        <v>42794</v>
      </c>
      <c r="AD799" s="297">
        <v>460000</v>
      </c>
      <c r="AE799" s="297">
        <f t="shared" si="283"/>
        <v>0</v>
      </c>
      <c r="AF799" s="9" t="s">
        <v>2573</v>
      </c>
      <c r="AG799" s="9" t="s">
        <v>2061</v>
      </c>
      <c r="AH799" s="300">
        <v>42775</v>
      </c>
      <c r="AI799" s="9" t="s">
        <v>2063</v>
      </c>
      <c r="AJ799" s="300">
        <v>42779</v>
      </c>
      <c r="AK799" s="73" t="str">
        <f t="shared" si="293"/>
        <v>PUNCAK KEEMASAN LUMBUNG DUNIA, PTMAR</v>
      </c>
    </row>
    <row r="800" spans="1:37" s="114" customFormat="1" ht="12" hidden="1" customHeight="1">
      <c r="A800" s="53"/>
      <c r="B800" s="53" t="s">
        <v>240</v>
      </c>
      <c r="C800" s="9">
        <v>3</v>
      </c>
      <c r="D800" s="8" t="s">
        <v>764</v>
      </c>
      <c r="E800" s="10" t="s">
        <v>364</v>
      </c>
      <c r="F800" s="356"/>
      <c r="G800" s="10"/>
      <c r="H800" s="10" t="s">
        <v>2253</v>
      </c>
      <c r="I800" s="10" t="s">
        <v>2254</v>
      </c>
      <c r="J800" s="658">
        <v>0</v>
      </c>
      <c r="K800" s="118">
        <v>23000000</v>
      </c>
      <c r="L800" s="118">
        <f t="shared" si="307"/>
        <v>2300000</v>
      </c>
      <c r="M800" s="658">
        <v>0</v>
      </c>
      <c r="N800" s="189">
        <f t="shared" si="308"/>
        <v>25300000</v>
      </c>
      <c r="O800" s="197" t="s">
        <v>240</v>
      </c>
      <c r="P800" s="197" t="s">
        <v>106</v>
      </c>
      <c r="Q800" s="175"/>
      <c r="R800" s="175"/>
      <c r="S800" s="116">
        <v>0</v>
      </c>
      <c r="T800" s="116">
        <f t="shared" si="309"/>
        <v>-460000</v>
      </c>
      <c r="U800" s="116">
        <v>24840000</v>
      </c>
      <c r="V800" s="210">
        <f t="shared" si="264"/>
        <v>0</v>
      </c>
      <c r="W800" s="115">
        <f t="shared" si="294"/>
        <v>0</v>
      </c>
      <c r="X800" s="181" t="s">
        <v>2071</v>
      </c>
      <c r="Y800" s="116"/>
      <c r="Z800" s="185"/>
      <c r="AA800" s="592"/>
      <c r="AB800" s="186"/>
      <c r="AC800" s="300">
        <v>42794</v>
      </c>
      <c r="AD800" s="297">
        <v>460000</v>
      </c>
      <c r="AE800" s="297">
        <f t="shared" si="283"/>
        <v>0</v>
      </c>
      <c r="AF800" s="9" t="s">
        <v>2573</v>
      </c>
      <c r="AG800" s="9" t="s">
        <v>1395</v>
      </c>
      <c r="AH800" s="300">
        <v>42831</v>
      </c>
      <c r="AI800" s="9" t="s">
        <v>2333</v>
      </c>
      <c r="AJ800" s="300">
        <v>42831</v>
      </c>
      <c r="AK800" s="73" t="str">
        <f t="shared" si="293"/>
        <v>PUNCAK KEEMASAN LUMBUNG DUNIA, PTAPR</v>
      </c>
    </row>
    <row r="801" spans="1:37" s="114" customFormat="1" ht="12" hidden="1" customHeight="1">
      <c r="A801" s="53"/>
      <c r="B801" s="53" t="s">
        <v>58</v>
      </c>
      <c r="C801" s="9">
        <v>2</v>
      </c>
      <c r="D801" s="8" t="s">
        <v>764</v>
      </c>
      <c r="E801" s="10" t="s">
        <v>364</v>
      </c>
      <c r="F801" s="356"/>
      <c r="G801" s="10"/>
      <c r="H801" s="10" t="s">
        <v>2435</v>
      </c>
      <c r="I801" s="10" t="s">
        <v>2436</v>
      </c>
      <c r="J801" s="658">
        <v>0</v>
      </c>
      <c r="K801" s="118">
        <v>23000000</v>
      </c>
      <c r="L801" s="118">
        <f t="shared" si="307"/>
        <v>2300000</v>
      </c>
      <c r="M801" s="658">
        <v>0</v>
      </c>
      <c r="N801" s="189">
        <f t="shared" si="308"/>
        <v>25300000</v>
      </c>
      <c r="O801" s="197" t="s">
        <v>58</v>
      </c>
      <c r="P801" s="197" t="s">
        <v>103</v>
      </c>
      <c r="Q801" s="175"/>
      <c r="R801" s="175"/>
      <c r="S801" s="116">
        <v>0</v>
      </c>
      <c r="T801" s="116">
        <f t="shared" si="309"/>
        <v>-460000</v>
      </c>
      <c r="U801" s="116">
        <v>24840000</v>
      </c>
      <c r="V801" s="210">
        <f t="shared" si="264"/>
        <v>0</v>
      </c>
      <c r="W801" s="115">
        <f t="shared" si="294"/>
        <v>0</v>
      </c>
      <c r="X801" s="181" t="s">
        <v>2071</v>
      </c>
      <c r="Y801" s="116"/>
      <c r="Z801" s="185"/>
      <c r="AA801" s="592"/>
      <c r="AB801" s="186"/>
      <c r="AC801" s="300">
        <v>42824</v>
      </c>
      <c r="AD801" s="297">
        <v>460000</v>
      </c>
      <c r="AE801" s="297">
        <f t="shared" si="283"/>
        <v>0</v>
      </c>
      <c r="AF801" s="9" t="s">
        <v>2574</v>
      </c>
      <c r="AG801" s="892"/>
      <c r="AH801" s="893"/>
      <c r="AI801" s="892"/>
      <c r="AJ801" s="893"/>
      <c r="AK801" s="73" t="str">
        <f t="shared" si="293"/>
        <v>PUNCAK KEEMASAN LUMBUNG DUNIA, PTMEI</v>
      </c>
    </row>
    <row r="802" spans="1:37" s="114" customFormat="1" ht="12" hidden="1" customHeight="1">
      <c r="A802" s="53"/>
      <c r="B802" s="53" t="s">
        <v>241</v>
      </c>
      <c r="C802" s="9">
        <v>2</v>
      </c>
      <c r="D802" s="8" t="s">
        <v>764</v>
      </c>
      <c r="E802" s="10" t="s">
        <v>364</v>
      </c>
      <c r="F802" s="356"/>
      <c r="G802" s="10"/>
      <c r="H802" s="10" t="s">
        <v>2611</v>
      </c>
      <c r="I802" s="10" t="s">
        <v>2694</v>
      </c>
      <c r="J802" s="658">
        <v>0</v>
      </c>
      <c r="K802" s="118">
        <v>23000000</v>
      </c>
      <c r="L802" s="118">
        <f t="shared" si="307"/>
        <v>2300000</v>
      </c>
      <c r="M802" s="658">
        <v>0</v>
      </c>
      <c r="N802" s="189">
        <f t="shared" si="308"/>
        <v>25300000</v>
      </c>
      <c r="O802" s="197" t="s">
        <v>241</v>
      </c>
      <c r="P802" s="197" t="s">
        <v>34</v>
      </c>
      <c r="Q802" s="175"/>
      <c r="R802" s="175"/>
      <c r="S802" s="116">
        <v>0</v>
      </c>
      <c r="T802" s="116">
        <f t="shared" si="309"/>
        <v>-460000</v>
      </c>
      <c r="U802" s="116">
        <v>24840000</v>
      </c>
      <c r="V802" s="210">
        <f t="shared" si="264"/>
        <v>0</v>
      </c>
      <c r="W802" s="115">
        <f t="shared" si="294"/>
        <v>0</v>
      </c>
      <c r="X802" s="181" t="s">
        <v>2071</v>
      </c>
      <c r="Y802" s="116"/>
      <c r="Z802" s="185"/>
      <c r="AA802" s="592"/>
      <c r="AB802" s="186"/>
      <c r="AC802" s="300">
        <v>42886</v>
      </c>
      <c r="AD802" s="297">
        <v>460000</v>
      </c>
      <c r="AE802" s="297">
        <f t="shared" si="283"/>
        <v>0</v>
      </c>
      <c r="AF802" s="9" t="s">
        <v>3021</v>
      </c>
      <c r="AG802" s="9" t="s">
        <v>1395</v>
      </c>
      <c r="AH802" s="300">
        <v>42892</v>
      </c>
      <c r="AI802" s="9" t="s">
        <v>2333</v>
      </c>
      <c r="AJ802" s="300" t="s">
        <v>2715</v>
      </c>
      <c r="AK802" s="73" t="str">
        <f t="shared" si="293"/>
        <v>PUNCAK KEEMASAN LUMBUNG DUNIA, PTJUN</v>
      </c>
    </row>
    <row r="803" spans="1:37" s="114" customFormat="1" ht="12" hidden="1" customHeight="1">
      <c r="A803" s="53"/>
      <c r="B803" s="53" t="s">
        <v>242</v>
      </c>
      <c r="C803" s="9">
        <v>3</v>
      </c>
      <c r="D803" s="8" t="s">
        <v>764</v>
      </c>
      <c r="E803" s="10" t="s">
        <v>364</v>
      </c>
      <c r="F803" s="356" t="s">
        <v>3064</v>
      </c>
      <c r="G803" s="10" t="s">
        <v>3065</v>
      </c>
      <c r="H803" s="10" t="s">
        <v>2774</v>
      </c>
      <c r="I803" s="10" t="s">
        <v>2792</v>
      </c>
      <c r="J803" s="658">
        <v>0</v>
      </c>
      <c r="K803" s="118">
        <v>23000000</v>
      </c>
      <c r="L803" s="118">
        <f>K803*10%</f>
        <v>2300000</v>
      </c>
      <c r="M803" s="658">
        <v>0</v>
      </c>
      <c r="N803" s="189">
        <f>K803+L803</f>
        <v>25300000</v>
      </c>
      <c r="O803" s="197" t="s">
        <v>242</v>
      </c>
      <c r="P803" s="197" t="s">
        <v>115</v>
      </c>
      <c r="Q803" s="175"/>
      <c r="R803" s="175"/>
      <c r="S803" s="116">
        <v>0</v>
      </c>
      <c r="T803" s="116">
        <f t="shared" si="309"/>
        <v>-460000</v>
      </c>
      <c r="U803" s="116">
        <v>24840000</v>
      </c>
      <c r="V803" s="210">
        <f t="shared" ref="V803:V857" si="310">M803+Q803-R803</f>
        <v>0</v>
      </c>
      <c r="W803" s="115">
        <f t="shared" si="294"/>
        <v>0</v>
      </c>
      <c r="X803" s="181" t="s">
        <v>2071</v>
      </c>
      <c r="Y803" s="116"/>
      <c r="Z803" s="185"/>
      <c r="AA803" s="592"/>
      <c r="AB803" s="186"/>
      <c r="AC803" s="300"/>
      <c r="AD803" s="297"/>
      <c r="AE803" s="297">
        <f t="shared" si="283"/>
        <v>460000</v>
      </c>
      <c r="AF803" s="9"/>
      <c r="AG803" s="9" t="s">
        <v>1395</v>
      </c>
      <c r="AH803" s="300">
        <v>42922</v>
      </c>
      <c r="AI803" s="9" t="s">
        <v>2831</v>
      </c>
      <c r="AJ803" s="300">
        <v>42922</v>
      </c>
      <c r="AK803" s="73" t="str">
        <f t="shared" si="293"/>
        <v>PUNCAK KEEMASAN LUMBUNG DUNIA, PTJUL</v>
      </c>
    </row>
    <row r="804" spans="1:37" s="114" customFormat="1" ht="12" hidden="1" customHeight="1">
      <c r="A804" s="53"/>
      <c r="B804" s="53" t="s">
        <v>243</v>
      </c>
      <c r="C804" s="9">
        <v>1</v>
      </c>
      <c r="D804" s="8" t="s">
        <v>764</v>
      </c>
      <c r="E804" s="10" t="s">
        <v>364</v>
      </c>
      <c r="F804" s="356"/>
      <c r="G804" s="10"/>
      <c r="H804" s="10" t="s">
        <v>2908</v>
      </c>
      <c r="I804" s="10" t="s">
        <v>2952</v>
      </c>
      <c r="J804" s="658"/>
      <c r="K804" s="118">
        <v>23000000</v>
      </c>
      <c r="L804" s="118">
        <f>K804*10%</f>
        <v>2300000</v>
      </c>
      <c r="M804" s="658"/>
      <c r="N804" s="189">
        <f>K804+L804</f>
        <v>25300000</v>
      </c>
      <c r="O804" s="197" t="s">
        <v>243</v>
      </c>
      <c r="P804" s="197" t="s">
        <v>99</v>
      </c>
      <c r="Q804" s="175"/>
      <c r="R804" s="175"/>
      <c r="S804" s="116">
        <v>0</v>
      </c>
      <c r="T804" s="116">
        <f t="shared" si="309"/>
        <v>-460000</v>
      </c>
      <c r="U804" s="116">
        <v>24840000</v>
      </c>
      <c r="V804" s="210">
        <f t="shared" si="310"/>
        <v>0</v>
      </c>
      <c r="W804" s="115">
        <f t="shared" si="294"/>
        <v>0</v>
      </c>
      <c r="X804" s="181" t="s">
        <v>2071</v>
      </c>
      <c r="Y804" s="116"/>
      <c r="Z804" s="185"/>
      <c r="AA804" s="592"/>
      <c r="AB804" s="186"/>
      <c r="AC804" s="300"/>
      <c r="AD804" s="297"/>
      <c r="AE804" s="297">
        <f t="shared" si="283"/>
        <v>460000</v>
      </c>
      <c r="AF804" s="9"/>
      <c r="AG804" s="9" t="s">
        <v>1395</v>
      </c>
      <c r="AH804" s="300">
        <v>42949</v>
      </c>
      <c r="AI804" s="9" t="s">
        <v>2831</v>
      </c>
      <c r="AJ804" s="300">
        <v>42950</v>
      </c>
      <c r="AK804" s="73" t="str">
        <f t="shared" si="293"/>
        <v>PUNCAK KEEMASAN LUMBUNG DUNIA, PTAGS</v>
      </c>
    </row>
    <row r="805" spans="1:37" s="114" customFormat="1" ht="12" hidden="1" customHeight="1">
      <c r="A805" s="53"/>
      <c r="B805" s="53" t="s">
        <v>243</v>
      </c>
      <c r="C805" s="9">
        <v>28</v>
      </c>
      <c r="D805" s="8" t="s">
        <v>764</v>
      </c>
      <c r="E805" s="10"/>
      <c r="F805" s="356"/>
      <c r="G805" s="10"/>
      <c r="H805" s="10" t="s">
        <v>3041</v>
      </c>
      <c r="I805" s="10" t="s">
        <v>3042</v>
      </c>
      <c r="J805" s="658"/>
      <c r="K805" s="118">
        <v>35000000</v>
      </c>
      <c r="L805" s="118">
        <f>K805*10%</f>
        <v>3500000</v>
      </c>
      <c r="M805" s="658"/>
      <c r="N805" s="189">
        <f>K805+L805</f>
        <v>38500000</v>
      </c>
      <c r="O805" s="197" t="s">
        <v>244</v>
      </c>
      <c r="P805" s="197" t="s">
        <v>116</v>
      </c>
      <c r="Q805" s="175"/>
      <c r="R805" s="175"/>
      <c r="S805" s="116">
        <v>0</v>
      </c>
      <c r="T805" s="116">
        <f t="shared" si="309"/>
        <v>-700000</v>
      </c>
      <c r="U805" s="116">
        <v>37800000</v>
      </c>
      <c r="V805" s="210"/>
      <c r="W805" s="115">
        <f t="shared" si="294"/>
        <v>0</v>
      </c>
      <c r="X805" s="181" t="s">
        <v>2071</v>
      </c>
      <c r="Y805" s="116"/>
      <c r="Z805" s="185"/>
      <c r="AA805" s="592"/>
      <c r="AB805" s="186"/>
      <c r="AC805" s="300"/>
      <c r="AD805" s="297"/>
      <c r="AE805" s="297">
        <f t="shared" si="283"/>
        <v>700000</v>
      </c>
      <c r="AF805" s="9"/>
      <c r="AG805" s="9"/>
      <c r="AH805" s="300"/>
      <c r="AI805" s="9"/>
      <c r="AJ805" s="300"/>
      <c r="AK805" s="73" t="str">
        <f t="shared" si="293"/>
        <v>PUNCAK KEEMASAN LUMBUNG DUNIA, PTSEP</v>
      </c>
    </row>
    <row r="806" spans="1:37" s="114" customFormat="1" ht="12" hidden="1" customHeight="1">
      <c r="A806" s="53"/>
      <c r="B806" s="758" t="s">
        <v>245</v>
      </c>
      <c r="C806" s="759">
        <v>13</v>
      </c>
      <c r="D806" s="760" t="s">
        <v>764</v>
      </c>
      <c r="E806" s="761" t="s">
        <v>357</v>
      </c>
      <c r="F806" s="1506" t="s">
        <v>3435</v>
      </c>
      <c r="G806" s="761" t="s">
        <v>3436</v>
      </c>
      <c r="H806" s="761" t="s">
        <v>3437</v>
      </c>
      <c r="I806" s="1197" t="s">
        <v>14</v>
      </c>
      <c r="J806" s="1054"/>
      <c r="K806" s="764">
        <v>2427044</v>
      </c>
      <c r="L806" s="764">
        <v>0</v>
      </c>
      <c r="M806" s="1054"/>
      <c r="N806" s="763">
        <f>K806+L806</f>
        <v>2427044</v>
      </c>
      <c r="O806" s="1202"/>
      <c r="P806" s="1202"/>
      <c r="Q806" s="175"/>
      <c r="R806" s="175"/>
      <c r="S806" s="116"/>
      <c r="T806" s="116"/>
      <c r="U806" s="116"/>
      <c r="V806" s="210"/>
      <c r="W806" s="115"/>
      <c r="X806" s="181"/>
      <c r="Y806" s="116"/>
      <c r="Z806" s="185"/>
      <c r="AA806" s="592"/>
      <c r="AB806" s="186"/>
      <c r="AC806" s="300"/>
      <c r="AD806" s="297"/>
      <c r="AE806" s="297">
        <f t="shared" si="283"/>
        <v>0</v>
      </c>
      <c r="AF806" s="9"/>
      <c r="AG806" s="9"/>
      <c r="AH806" s="300"/>
      <c r="AI806" s="9"/>
      <c r="AJ806" s="300"/>
      <c r="AK806" s="73"/>
    </row>
    <row r="807" spans="1:37" s="114" customFormat="1" ht="12" hidden="1" customHeight="1">
      <c r="A807" s="53"/>
      <c r="B807" s="53" t="s">
        <v>194</v>
      </c>
      <c r="C807" s="9">
        <v>9</v>
      </c>
      <c r="D807" s="8" t="s">
        <v>445</v>
      </c>
      <c r="E807" s="10" t="s">
        <v>357</v>
      </c>
      <c r="F807" s="356"/>
      <c r="G807" s="10"/>
      <c r="H807" s="10" t="s">
        <v>1836</v>
      </c>
      <c r="I807" s="10" t="s">
        <v>1837</v>
      </c>
      <c r="J807" s="658">
        <v>0</v>
      </c>
      <c r="K807" s="118">
        <v>10000000</v>
      </c>
      <c r="L807" s="118">
        <f t="shared" si="307"/>
        <v>1000000</v>
      </c>
      <c r="M807" s="658">
        <v>0</v>
      </c>
      <c r="N807" s="189">
        <f t="shared" si="308"/>
        <v>11000000</v>
      </c>
      <c r="O807" s="197" t="s">
        <v>195</v>
      </c>
      <c r="P807" s="197" t="s">
        <v>106</v>
      </c>
      <c r="Q807" s="175"/>
      <c r="R807" s="175"/>
      <c r="S807" s="116">
        <v>0</v>
      </c>
      <c r="T807" s="116">
        <v>0</v>
      </c>
      <c r="U807" s="116">
        <v>11000000</v>
      </c>
      <c r="V807" s="210">
        <f t="shared" si="310"/>
        <v>0</v>
      </c>
      <c r="W807" s="115">
        <f t="shared" si="294"/>
        <v>0</v>
      </c>
      <c r="X807" s="181" t="s">
        <v>237</v>
      </c>
      <c r="Y807" s="116"/>
      <c r="Z807" s="185"/>
      <c r="AA807" s="592">
        <f>-S807-Z807</f>
        <v>0</v>
      </c>
      <c r="AB807" s="186"/>
      <c r="AC807" s="9"/>
      <c r="AD807" s="297"/>
      <c r="AE807" s="297">
        <f t="shared" si="283"/>
        <v>0</v>
      </c>
      <c r="AF807" s="9"/>
      <c r="AG807" s="9" t="s">
        <v>1395</v>
      </c>
      <c r="AH807" s="300">
        <v>42747</v>
      </c>
      <c r="AI807" s="9" t="s">
        <v>1891</v>
      </c>
      <c r="AJ807" s="300">
        <v>42748</v>
      </c>
      <c r="AK807" s="73" t="str">
        <f t="shared" si="293"/>
        <v>RIUNG MITRA LESTARI, PTFEB</v>
      </c>
    </row>
    <row r="808" spans="1:37" s="114" customFormat="1" ht="12" hidden="1" customHeight="1">
      <c r="A808" s="53"/>
      <c r="B808" s="53" t="s">
        <v>195</v>
      </c>
      <c r="C808" s="9">
        <v>1</v>
      </c>
      <c r="D808" s="8" t="s">
        <v>445</v>
      </c>
      <c r="E808" s="10" t="s">
        <v>357</v>
      </c>
      <c r="F808" s="356"/>
      <c r="G808" s="10"/>
      <c r="H808" s="10" t="s">
        <v>1954</v>
      </c>
      <c r="I808" s="10" t="s">
        <v>1955</v>
      </c>
      <c r="J808" s="658">
        <v>0</v>
      </c>
      <c r="K808" s="118">
        <v>10000000</v>
      </c>
      <c r="L808" s="118">
        <f t="shared" si="307"/>
        <v>1000000</v>
      </c>
      <c r="M808" s="658">
        <v>0</v>
      </c>
      <c r="N808" s="189">
        <f t="shared" si="308"/>
        <v>11000000</v>
      </c>
      <c r="O808" s="197" t="s">
        <v>240</v>
      </c>
      <c r="P808" s="197" t="s">
        <v>106</v>
      </c>
      <c r="Q808" s="175"/>
      <c r="R808" s="175"/>
      <c r="S808" s="116">
        <v>0</v>
      </c>
      <c r="T808" s="116">
        <v>0</v>
      </c>
      <c r="U808" s="116">
        <v>11000000</v>
      </c>
      <c r="V808" s="210">
        <f t="shared" si="310"/>
        <v>0</v>
      </c>
      <c r="W808" s="115">
        <f t="shared" si="294"/>
        <v>0</v>
      </c>
      <c r="X808" s="181" t="s">
        <v>237</v>
      </c>
      <c r="Y808" s="116"/>
      <c r="Z808" s="185"/>
      <c r="AA808" s="592"/>
      <c r="AB808" s="186"/>
      <c r="AC808" s="9"/>
      <c r="AD808" s="297"/>
      <c r="AE808" s="297">
        <f t="shared" si="283"/>
        <v>0</v>
      </c>
      <c r="AF808" s="9"/>
      <c r="AG808" s="9" t="s">
        <v>1395</v>
      </c>
      <c r="AH808" s="300">
        <v>42769</v>
      </c>
      <c r="AI808" s="9" t="s">
        <v>2028</v>
      </c>
      <c r="AJ808" s="300">
        <v>42769</v>
      </c>
      <c r="AK808" s="73" t="str">
        <f t="shared" si="293"/>
        <v>RIUNG MITRA LESTARI, PTAPR</v>
      </c>
    </row>
    <row r="809" spans="1:37" s="114" customFormat="1" ht="12" hidden="1" customHeight="1">
      <c r="A809" s="53"/>
      <c r="B809" s="53" t="s">
        <v>239</v>
      </c>
      <c r="C809" s="9">
        <v>1</v>
      </c>
      <c r="D809" s="8" t="s">
        <v>445</v>
      </c>
      <c r="E809" s="10" t="s">
        <v>357</v>
      </c>
      <c r="F809" s="356"/>
      <c r="G809" s="10"/>
      <c r="H809" s="10" t="s">
        <v>2115</v>
      </c>
      <c r="I809" s="10" t="s">
        <v>2116</v>
      </c>
      <c r="J809" s="658">
        <v>0</v>
      </c>
      <c r="K809" s="118">
        <v>10000000</v>
      </c>
      <c r="L809" s="118">
        <f t="shared" si="307"/>
        <v>1000000</v>
      </c>
      <c r="M809" s="658">
        <v>0</v>
      </c>
      <c r="N809" s="189">
        <f t="shared" si="308"/>
        <v>11000000</v>
      </c>
      <c r="O809" s="197" t="s">
        <v>240</v>
      </c>
      <c r="P809" s="197" t="s">
        <v>106</v>
      </c>
      <c r="Q809" s="175"/>
      <c r="R809" s="175"/>
      <c r="S809" s="116">
        <v>0</v>
      </c>
      <c r="T809" s="116">
        <v>0</v>
      </c>
      <c r="U809" s="116">
        <v>11000000</v>
      </c>
      <c r="V809" s="210">
        <f t="shared" si="310"/>
        <v>0</v>
      </c>
      <c r="W809" s="115">
        <f t="shared" si="294"/>
        <v>0</v>
      </c>
      <c r="X809" s="181" t="s">
        <v>237</v>
      </c>
      <c r="Y809" s="116"/>
      <c r="Z809" s="185"/>
      <c r="AA809" s="592"/>
      <c r="AB809" s="186"/>
      <c r="AC809" s="9"/>
      <c r="AD809" s="297"/>
      <c r="AE809" s="297">
        <f t="shared" si="283"/>
        <v>0</v>
      </c>
      <c r="AF809" s="9"/>
      <c r="AG809" s="9" t="s">
        <v>1395</v>
      </c>
      <c r="AH809" s="300">
        <v>42796</v>
      </c>
      <c r="AI809" s="9" t="s">
        <v>1429</v>
      </c>
      <c r="AJ809" s="300">
        <v>42797</v>
      </c>
      <c r="AK809" s="73" t="str">
        <f t="shared" si="293"/>
        <v>RIUNG MITRA LESTARI, PTAPR</v>
      </c>
    </row>
    <row r="810" spans="1:37" s="114" customFormat="1" ht="12" hidden="1" customHeight="1">
      <c r="A810" s="53"/>
      <c r="B810" s="53" t="s">
        <v>240</v>
      </c>
      <c r="C810" s="9">
        <v>3</v>
      </c>
      <c r="D810" s="8" t="s">
        <v>445</v>
      </c>
      <c r="E810" s="10" t="s">
        <v>357</v>
      </c>
      <c r="F810" s="356"/>
      <c r="G810" s="10"/>
      <c r="H810" s="10" t="s">
        <v>2249</v>
      </c>
      <c r="I810" s="10" t="s">
        <v>2250</v>
      </c>
      <c r="J810" s="658">
        <v>0</v>
      </c>
      <c r="K810" s="118">
        <v>10000000</v>
      </c>
      <c r="L810" s="118">
        <f t="shared" si="307"/>
        <v>1000000</v>
      </c>
      <c r="M810" s="658">
        <v>0</v>
      </c>
      <c r="N810" s="189">
        <f t="shared" si="308"/>
        <v>11000000</v>
      </c>
      <c r="O810" s="197" t="s">
        <v>241</v>
      </c>
      <c r="P810" s="197" t="s">
        <v>34</v>
      </c>
      <c r="Q810" s="175"/>
      <c r="R810" s="175"/>
      <c r="S810" s="116">
        <v>0</v>
      </c>
      <c r="T810" s="116">
        <v>0</v>
      </c>
      <c r="U810" s="116">
        <v>11000000</v>
      </c>
      <c r="V810" s="210">
        <f t="shared" si="310"/>
        <v>0</v>
      </c>
      <c r="W810" s="115">
        <f t="shared" si="294"/>
        <v>0</v>
      </c>
      <c r="X810" s="181" t="s">
        <v>237</v>
      </c>
      <c r="Y810" s="116"/>
      <c r="Z810" s="185"/>
      <c r="AA810" s="592"/>
      <c r="AB810" s="186"/>
      <c r="AC810" s="9"/>
      <c r="AD810" s="297"/>
      <c r="AE810" s="297">
        <f t="shared" si="283"/>
        <v>0</v>
      </c>
      <c r="AF810" s="9"/>
      <c r="AG810" s="9" t="s">
        <v>1395</v>
      </c>
      <c r="AH810" s="300">
        <v>42831</v>
      </c>
      <c r="AI810" s="9" t="s">
        <v>2334</v>
      </c>
      <c r="AJ810" s="300">
        <v>42831</v>
      </c>
      <c r="AK810" s="73" t="str">
        <f t="shared" si="293"/>
        <v>RIUNG MITRA LESTARI, PTJUN</v>
      </c>
    </row>
    <row r="811" spans="1:37" s="114" customFormat="1" ht="12" hidden="1" customHeight="1">
      <c r="A811" s="53"/>
      <c r="B811" s="53" t="s">
        <v>58</v>
      </c>
      <c r="C811" s="9">
        <v>2</v>
      </c>
      <c r="D811" s="8" t="s">
        <v>445</v>
      </c>
      <c r="E811" s="10" t="s">
        <v>357</v>
      </c>
      <c r="F811" s="356"/>
      <c r="G811" s="10"/>
      <c r="H811" s="10" t="s">
        <v>2437</v>
      </c>
      <c r="I811" s="10" t="s">
        <v>2438</v>
      </c>
      <c r="J811" s="658">
        <v>0</v>
      </c>
      <c r="K811" s="118">
        <v>10000000</v>
      </c>
      <c r="L811" s="118">
        <f t="shared" si="307"/>
        <v>1000000</v>
      </c>
      <c r="M811" s="658">
        <v>0</v>
      </c>
      <c r="N811" s="189">
        <f t="shared" si="308"/>
        <v>11000000</v>
      </c>
      <c r="O811" s="197" t="s">
        <v>241</v>
      </c>
      <c r="P811" s="197" t="s">
        <v>34</v>
      </c>
      <c r="Q811" s="175"/>
      <c r="R811" s="175"/>
      <c r="S811" s="116">
        <v>0</v>
      </c>
      <c r="T811" s="116">
        <v>0</v>
      </c>
      <c r="U811" s="116">
        <v>11000000</v>
      </c>
      <c r="V811" s="210">
        <f t="shared" si="310"/>
        <v>0</v>
      </c>
      <c r="W811" s="115">
        <f t="shared" si="294"/>
        <v>0</v>
      </c>
      <c r="X811" s="181" t="s">
        <v>237</v>
      </c>
      <c r="Y811" s="116"/>
      <c r="Z811" s="185"/>
      <c r="AA811" s="592"/>
      <c r="AB811" s="186"/>
      <c r="AC811" s="9"/>
      <c r="AD811" s="297"/>
      <c r="AE811" s="297">
        <f t="shared" si="283"/>
        <v>0</v>
      </c>
      <c r="AF811" s="9"/>
      <c r="AG811" s="9" t="s">
        <v>1395</v>
      </c>
      <c r="AH811" s="300">
        <v>42859</v>
      </c>
      <c r="AI811" s="9" t="s">
        <v>2513</v>
      </c>
      <c r="AJ811" s="300">
        <v>42859</v>
      </c>
      <c r="AK811" s="73" t="str">
        <f t="shared" si="293"/>
        <v>RIUNG MITRA LESTARI, PTJUN</v>
      </c>
    </row>
    <row r="812" spans="1:37" s="114" customFormat="1" ht="12" hidden="1" customHeight="1">
      <c r="A812" s="53"/>
      <c r="B812" s="53" t="s">
        <v>241</v>
      </c>
      <c r="C812" s="9">
        <v>2</v>
      </c>
      <c r="D812" s="8" t="s">
        <v>445</v>
      </c>
      <c r="E812" s="10" t="s">
        <v>357</v>
      </c>
      <c r="F812" s="356"/>
      <c r="G812" s="10"/>
      <c r="H812" s="10" t="s">
        <v>2609</v>
      </c>
      <c r="I812" s="10" t="s">
        <v>2650</v>
      </c>
      <c r="J812" s="658">
        <v>0</v>
      </c>
      <c r="K812" s="118">
        <v>6333333.3300000001</v>
      </c>
      <c r="L812" s="118">
        <f t="shared" si="307"/>
        <v>633333.3330000001</v>
      </c>
      <c r="M812" s="658">
        <v>0</v>
      </c>
      <c r="N812" s="189">
        <f t="shared" si="308"/>
        <v>6966666.6630000006</v>
      </c>
      <c r="O812" s="197" t="s">
        <v>242</v>
      </c>
      <c r="P812" s="197" t="s">
        <v>34</v>
      </c>
      <c r="Q812" s="175"/>
      <c r="R812" s="175"/>
      <c r="S812" s="116">
        <v>0</v>
      </c>
      <c r="T812" s="116">
        <v>0</v>
      </c>
      <c r="U812" s="116">
        <v>6966667</v>
      </c>
      <c r="V812" s="210">
        <f t="shared" si="310"/>
        <v>0</v>
      </c>
      <c r="W812" s="115">
        <f t="shared" si="294"/>
        <v>-0.33699999935925007</v>
      </c>
      <c r="X812" s="181" t="s">
        <v>237</v>
      </c>
      <c r="Y812" s="116"/>
      <c r="Z812" s="185"/>
      <c r="AA812" s="592"/>
      <c r="AB812" s="186"/>
      <c r="AC812" s="9"/>
      <c r="AD812" s="297"/>
      <c r="AE812" s="297">
        <f t="shared" si="283"/>
        <v>0</v>
      </c>
      <c r="AF812" s="9"/>
      <c r="AG812" s="9" t="s">
        <v>1395</v>
      </c>
      <c r="AH812" s="300">
        <v>42891</v>
      </c>
      <c r="AI812" s="9" t="s">
        <v>2513</v>
      </c>
      <c r="AJ812" s="300">
        <v>42891</v>
      </c>
      <c r="AK812" s="73" t="str">
        <f t="shared" si="293"/>
        <v>RIUNG MITRA LESTARI, PTJUL</v>
      </c>
    </row>
    <row r="813" spans="1:37" s="114" customFormat="1" ht="12" hidden="1" customHeight="1">
      <c r="A813" s="53"/>
      <c r="B813" s="53" t="s">
        <v>242</v>
      </c>
      <c r="C813" s="9">
        <v>3</v>
      </c>
      <c r="D813" s="8" t="s">
        <v>445</v>
      </c>
      <c r="E813" s="10" t="s">
        <v>357</v>
      </c>
      <c r="F813" s="356" t="s">
        <v>3044</v>
      </c>
      <c r="G813" s="10" t="s">
        <v>59</v>
      </c>
      <c r="H813" s="10" t="s">
        <v>2771</v>
      </c>
      <c r="I813" s="10" t="s">
        <v>2789</v>
      </c>
      <c r="J813" s="658">
        <v>0</v>
      </c>
      <c r="K813" s="118">
        <v>10000000</v>
      </c>
      <c r="L813" s="118">
        <f t="shared" si="307"/>
        <v>1000000</v>
      </c>
      <c r="M813" s="658">
        <v>0</v>
      </c>
      <c r="N813" s="189">
        <f t="shared" si="308"/>
        <v>11000000</v>
      </c>
      <c r="O813" s="197" t="s">
        <v>242</v>
      </c>
      <c r="P813" s="197" t="s">
        <v>34</v>
      </c>
      <c r="Q813" s="175"/>
      <c r="R813" s="175"/>
      <c r="S813" s="116">
        <v>0</v>
      </c>
      <c r="T813" s="116">
        <v>0</v>
      </c>
      <c r="U813" s="116">
        <v>11000000</v>
      </c>
      <c r="V813" s="210">
        <f t="shared" si="310"/>
        <v>0</v>
      </c>
      <c r="W813" s="115">
        <f t="shared" si="294"/>
        <v>0</v>
      </c>
      <c r="X813" s="181" t="s">
        <v>237</v>
      </c>
      <c r="Y813" s="116"/>
      <c r="Z813" s="185"/>
      <c r="AA813" s="592"/>
      <c r="AB813" s="186"/>
      <c r="AC813" s="9"/>
      <c r="AD813" s="297"/>
      <c r="AE813" s="297">
        <f t="shared" si="283"/>
        <v>0</v>
      </c>
      <c r="AF813" s="9"/>
      <c r="AG813" s="9" t="s">
        <v>1395</v>
      </c>
      <c r="AH813" s="300">
        <v>42926</v>
      </c>
      <c r="AI813" s="9" t="s">
        <v>2853</v>
      </c>
      <c r="AJ813" s="300">
        <v>42926</v>
      </c>
      <c r="AK813" s="73" t="str">
        <f t="shared" si="293"/>
        <v>RIUNG MITRA LESTARI, PTJUL</v>
      </c>
    </row>
    <row r="814" spans="1:37" s="114" customFormat="1" ht="12" hidden="1" customHeight="1">
      <c r="A814" s="53"/>
      <c r="B814" s="53" t="s">
        <v>243</v>
      </c>
      <c r="C814" s="9">
        <v>1</v>
      </c>
      <c r="D814" s="8" t="s">
        <v>445</v>
      </c>
      <c r="E814" s="10" t="s">
        <v>357</v>
      </c>
      <c r="F814" s="356"/>
      <c r="G814" s="10"/>
      <c r="H814" s="10" t="s">
        <v>2919</v>
      </c>
      <c r="I814" s="10" t="s">
        <v>2947</v>
      </c>
      <c r="J814" s="764">
        <v>10000000</v>
      </c>
      <c r="K814" s="118">
        <v>1000000</v>
      </c>
      <c r="L814" s="189">
        <v>11000000</v>
      </c>
      <c r="M814" s="197" t="s">
        <v>243</v>
      </c>
      <c r="N814" s="189">
        <v>11000000</v>
      </c>
      <c r="O814" s="197" t="s">
        <v>243</v>
      </c>
      <c r="P814" s="197" t="s">
        <v>39</v>
      </c>
      <c r="Q814" s="116"/>
      <c r="R814" s="116"/>
      <c r="S814" s="116">
        <v>0</v>
      </c>
      <c r="T814" s="116"/>
      <c r="U814" s="116"/>
      <c r="V814" s="210"/>
      <c r="W814" s="115"/>
      <c r="X814" s="181"/>
      <c r="Y814" s="116"/>
      <c r="Z814" s="185"/>
      <c r="AA814" s="592"/>
      <c r="AB814" s="186"/>
      <c r="AC814" s="9"/>
      <c r="AD814" s="297"/>
      <c r="AE814" s="297"/>
      <c r="AF814" s="9"/>
      <c r="AG814" s="9"/>
      <c r="AH814" s="300"/>
      <c r="AI814" s="9"/>
      <c r="AJ814" s="300"/>
      <c r="AK814" s="73"/>
    </row>
    <row r="815" spans="1:37" s="114" customFormat="1" ht="12" hidden="1" customHeight="1">
      <c r="A815" s="53"/>
      <c r="B815" s="1220" t="s">
        <v>244</v>
      </c>
      <c r="C815" s="1221">
        <v>4</v>
      </c>
      <c r="D815" s="1222" t="s">
        <v>445</v>
      </c>
      <c r="E815" s="1223" t="s">
        <v>357</v>
      </c>
      <c r="F815" s="1505" t="s">
        <v>3395</v>
      </c>
      <c r="G815" s="1223" t="s">
        <v>559</v>
      </c>
      <c r="H815" s="1223" t="s">
        <v>3116</v>
      </c>
      <c r="I815" s="1223" t="s">
        <v>2947</v>
      </c>
      <c r="J815" s="1237"/>
      <c r="K815" s="1212">
        <v>10000000</v>
      </c>
      <c r="L815" s="1212">
        <f t="shared" si="307"/>
        <v>1000000</v>
      </c>
      <c r="M815" s="1237"/>
      <c r="N815" s="1225">
        <f t="shared" si="308"/>
        <v>11000000</v>
      </c>
      <c r="O815" s="1202" t="s">
        <v>238</v>
      </c>
      <c r="P815" s="1202" t="s">
        <v>106</v>
      </c>
      <c r="Q815" s="175"/>
      <c r="R815" s="175"/>
      <c r="S815" s="116">
        <v>0</v>
      </c>
      <c r="T815" s="116">
        <v>0</v>
      </c>
      <c r="U815" s="116">
        <v>11000000</v>
      </c>
      <c r="V815" s="210">
        <f t="shared" si="310"/>
        <v>0</v>
      </c>
      <c r="W815" s="115">
        <f t="shared" si="294"/>
        <v>0</v>
      </c>
      <c r="X815" s="181" t="s">
        <v>237</v>
      </c>
      <c r="Y815" s="116"/>
      <c r="Z815" s="185"/>
      <c r="AA815" s="592"/>
      <c r="AB815" s="186"/>
      <c r="AC815" s="9"/>
      <c r="AD815" s="297"/>
      <c r="AE815" s="297"/>
      <c r="AF815" s="9"/>
      <c r="AG815" s="9" t="s">
        <v>1395</v>
      </c>
      <c r="AH815" s="300">
        <v>42949</v>
      </c>
      <c r="AI815" s="9" t="s">
        <v>3000</v>
      </c>
      <c r="AJ815" s="300">
        <v>42951</v>
      </c>
      <c r="AK815" s="73" t="str">
        <f t="shared" si="293"/>
        <v>RIUNG MITRA LESTARI, PTNOV</v>
      </c>
    </row>
    <row r="816" spans="1:37" s="114" customFormat="1" ht="12" hidden="1" customHeight="1">
      <c r="A816" s="53"/>
      <c r="B816" s="758" t="s">
        <v>245</v>
      </c>
      <c r="C816" s="759">
        <v>3</v>
      </c>
      <c r="D816" s="760" t="s">
        <v>445</v>
      </c>
      <c r="E816" s="761" t="s">
        <v>357</v>
      </c>
      <c r="F816" s="1506" t="s">
        <v>3395</v>
      </c>
      <c r="G816" s="761" t="s">
        <v>602</v>
      </c>
      <c r="H816" s="761" t="s">
        <v>3396</v>
      </c>
      <c r="I816" s="761" t="s">
        <v>3525</v>
      </c>
      <c r="J816" s="1054"/>
      <c r="K816" s="764">
        <v>10000000</v>
      </c>
      <c r="L816" s="764">
        <v>1000000</v>
      </c>
      <c r="M816" s="763">
        <v>11000000</v>
      </c>
      <c r="N816" s="763">
        <f t="shared" si="308"/>
        <v>11000000</v>
      </c>
      <c r="O816" s="1202"/>
      <c r="P816" s="1202"/>
      <c r="Q816" s="175"/>
      <c r="R816" s="175"/>
      <c r="S816" s="116"/>
      <c r="T816" s="116"/>
      <c r="U816" s="116"/>
      <c r="V816" s="210"/>
      <c r="W816" s="115"/>
      <c r="X816" s="181"/>
      <c r="Y816" s="116"/>
      <c r="Z816" s="185"/>
      <c r="AA816" s="592"/>
      <c r="AB816" s="186"/>
      <c r="AC816" s="9"/>
      <c r="AD816" s="297"/>
      <c r="AE816" s="297"/>
      <c r="AF816" s="9"/>
      <c r="AG816" s="9"/>
      <c r="AH816" s="300"/>
      <c r="AI816" s="9"/>
      <c r="AJ816" s="300"/>
      <c r="AK816" s="73"/>
    </row>
    <row r="817" spans="1:37" s="114" customFormat="1" ht="12" hidden="1" customHeight="1">
      <c r="A817" s="53"/>
      <c r="B817" s="758" t="s">
        <v>238</v>
      </c>
      <c r="C817" s="759">
        <v>7</v>
      </c>
      <c r="D817" s="760" t="s">
        <v>445</v>
      </c>
      <c r="E817" s="761" t="s">
        <v>357</v>
      </c>
      <c r="F817" s="1506" t="s">
        <v>3395</v>
      </c>
      <c r="G817" s="761" t="s">
        <v>641</v>
      </c>
      <c r="H817" s="761" t="s">
        <v>3524</v>
      </c>
      <c r="I817" s="761" t="s">
        <v>3526</v>
      </c>
      <c r="J817" s="1054"/>
      <c r="K817" s="764">
        <v>10000000</v>
      </c>
      <c r="L817" s="764">
        <v>1000000</v>
      </c>
      <c r="M817" s="763">
        <v>11000000</v>
      </c>
      <c r="N817" s="763">
        <f t="shared" ref="N817" si="311">K817+L817</f>
        <v>11000000</v>
      </c>
      <c r="O817" s="1202"/>
      <c r="P817" s="1202"/>
      <c r="Q817" s="175"/>
      <c r="R817" s="175"/>
      <c r="S817" s="116"/>
      <c r="T817" s="116"/>
      <c r="U817" s="116"/>
      <c r="V817" s="210"/>
      <c r="W817" s="115"/>
      <c r="X817" s="181"/>
      <c r="Y817" s="116"/>
      <c r="Z817" s="185"/>
      <c r="AA817" s="592"/>
      <c r="AB817" s="186"/>
      <c r="AC817" s="9"/>
      <c r="AD817" s="297"/>
      <c r="AE817" s="297"/>
      <c r="AF817" s="9"/>
      <c r="AG817" s="9"/>
      <c r="AH817" s="300"/>
      <c r="AI817" s="9"/>
      <c r="AJ817" s="300"/>
      <c r="AK817" s="73"/>
    </row>
    <row r="818" spans="1:37" s="114" customFormat="1" ht="12" hidden="1" customHeight="1">
      <c r="A818" s="53"/>
      <c r="B818" s="758" t="s">
        <v>140</v>
      </c>
      <c r="C818" s="759">
        <v>6</v>
      </c>
      <c r="D818" s="760" t="s">
        <v>445</v>
      </c>
      <c r="E818" s="761" t="s">
        <v>357</v>
      </c>
      <c r="F818" s="1506" t="s">
        <v>3395</v>
      </c>
      <c r="G818" s="761" t="s">
        <v>1616</v>
      </c>
      <c r="H818" s="761" t="s">
        <v>3691</v>
      </c>
      <c r="I818" s="761" t="s">
        <v>3692</v>
      </c>
      <c r="J818" s="1054"/>
      <c r="K818" s="764">
        <v>10000000</v>
      </c>
      <c r="L818" s="764">
        <v>1000000</v>
      </c>
      <c r="M818" s="763">
        <v>11000000</v>
      </c>
      <c r="N818" s="763">
        <f t="shared" ref="N818" si="312">K818+L818</f>
        <v>11000000</v>
      </c>
      <c r="O818" s="1202"/>
      <c r="P818" s="1202"/>
      <c r="Q818" s="175"/>
      <c r="R818" s="175"/>
      <c r="S818" s="116"/>
      <c r="T818" s="116"/>
      <c r="U818" s="116"/>
      <c r="V818" s="210"/>
      <c r="W818" s="115"/>
      <c r="X818" s="181"/>
      <c r="Y818" s="116"/>
      <c r="Z818" s="185"/>
      <c r="AA818" s="592"/>
      <c r="AB818" s="186"/>
      <c r="AC818" s="9"/>
      <c r="AD818" s="297"/>
      <c r="AE818" s="297"/>
      <c r="AF818" s="9"/>
      <c r="AG818" s="9"/>
      <c r="AH818" s="300"/>
      <c r="AI818" s="9"/>
      <c r="AJ818" s="300"/>
      <c r="AK818" s="73"/>
    </row>
    <row r="819" spans="1:37" s="114" customFormat="1" ht="12" hidden="1" customHeight="1">
      <c r="A819" s="53"/>
      <c r="B819" s="53" t="s">
        <v>194</v>
      </c>
      <c r="C819" s="9">
        <v>12</v>
      </c>
      <c r="D819" s="8" t="s">
        <v>1623</v>
      </c>
      <c r="E819" s="10" t="s">
        <v>144</v>
      </c>
      <c r="F819" s="356"/>
      <c r="G819" s="10"/>
      <c r="H819" s="10" t="s">
        <v>1860</v>
      </c>
      <c r="I819" s="10" t="s">
        <v>1862</v>
      </c>
      <c r="J819" s="658">
        <v>0</v>
      </c>
      <c r="K819" s="118">
        <v>60000000</v>
      </c>
      <c r="L819" s="118">
        <f t="shared" si="307"/>
        <v>6000000</v>
      </c>
      <c r="M819" s="658">
        <v>0</v>
      </c>
      <c r="N819" s="189">
        <f t="shared" si="308"/>
        <v>66000000</v>
      </c>
      <c r="O819" s="197" t="s">
        <v>194</v>
      </c>
      <c r="P819" s="197" t="s">
        <v>97</v>
      </c>
      <c r="Q819" s="175"/>
      <c r="R819" s="175"/>
      <c r="S819" s="116">
        <v>0</v>
      </c>
      <c r="T819" s="116">
        <f t="shared" ref="T819:T825" si="313">-K819*2%</f>
        <v>-1200000</v>
      </c>
      <c r="U819" s="116">
        <v>64800000</v>
      </c>
      <c r="V819" s="210">
        <f t="shared" si="310"/>
        <v>0</v>
      </c>
      <c r="W819" s="115">
        <f t="shared" si="294"/>
        <v>0</v>
      </c>
      <c r="X819" s="181" t="s">
        <v>237</v>
      </c>
      <c r="Y819" s="116"/>
      <c r="Z819" s="185"/>
      <c r="AA819" s="592">
        <f>-S819-Z819</f>
        <v>0</v>
      </c>
      <c r="AB819" s="186"/>
      <c r="AC819" s="9"/>
      <c r="AD819" s="297"/>
      <c r="AE819" s="297">
        <f t="shared" si="283"/>
        <v>1200000</v>
      </c>
      <c r="AF819" s="9"/>
      <c r="AG819" s="9" t="s">
        <v>1395</v>
      </c>
      <c r="AH819" s="300">
        <v>42748</v>
      </c>
      <c r="AI819" s="9" t="s">
        <v>1880</v>
      </c>
      <c r="AJ819" s="300">
        <v>42748</v>
      </c>
      <c r="AK819" s="73" t="str">
        <f t="shared" si="293"/>
        <v>ROKA LANE ASIA, PTJAN</v>
      </c>
    </row>
    <row r="820" spans="1:37" s="114" customFormat="1" ht="12" hidden="1" customHeight="1">
      <c r="A820" s="53"/>
      <c r="B820" s="53" t="s">
        <v>195</v>
      </c>
      <c r="C820" s="9">
        <v>8</v>
      </c>
      <c r="D820" s="8" t="s">
        <v>1623</v>
      </c>
      <c r="E820" s="10" t="s">
        <v>364</v>
      </c>
      <c r="F820" s="356"/>
      <c r="G820" s="10"/>
      <c r="H820" s="10" t="s">
        <v>1861</v>
      </c>
      <c r="I820" s="10" t="s">
        <v>1863</v>
      </c>
      <c r="J820" s="658">
        <v>0</v>
      </c>
      <c r="K820" s="118">
        <v>22000000</v>
      </c>
      <c r="L820" s="118">
        <f t="shared" si="307"/>
        <v>2200000</v>
      </c>
      <c r="M820" s="658">
        <v>0</v>
      </c>
      <c r="N820" s="189">
        <f t="shared" si="308"/>
        <v>24200000</v>
      </c>
      <c r="O820" s="197" t="s">
        <v>239</v>
      </c>
      <c r="P820" s="197" t="s">
        <v>102</v>
      </c>
      <c r="Q820" s="175"/>
      <c r="R820" s="175"/>
      <c r="S820" s="116">
        <v>0</v>
      </c>
      <c r="T820" s="116">
        <f t="shared" si="313"/>
        <v>-440000</v>
      </c>
      <c r="U820" s="116">
        <v>23760000</v>
      </c>
      <c r="V820" s="210">
        <f t="shared" si="310"/>
        <v>0</v>
      </c>
      <c r="W820" s="115">
        <f t="shared" si="294"/>
        <v>0</v>
      </c>
      <c r="X820" s="181" t="s">
        <v>237</v>
      </c>
      <c r="Y820" s="116"/>
      <c r="Z820" s="185"/>
      <c r="AA820" s="592">
        <f>-S820-Z820</f>
        <v>0</v>
      </c>
      <c r="AB820" s="186"/>
      <c r="AC820" s="9"/>
      <c r="AD820" s="297"/>
      <c r="AE820" s="297">
        <f t="shared" si="283"/>
        <v>440000</v>
      </c>
      <c r="AF820" s="9"/>
      <c r="AG820" s="9" t="s">
        <v>1395</v>
      </c>
      <c r="AH820" s="300">
        <v>42748</v>
      </c>
      <c r="AI820" s="9" t="s">
        <v>1880</v>
      </c>
      <c r="AJ820" s="300">
        <v>42748</v>
      </c>
      <c r="AK820" s="73" t="str">
        <f t="shared" si="293"/>
        <v>ROKA LANE ASIA, PTMAR</v>
      </c>
    </row>
    <row r="821" spans="1:37" s="114" customFormat="1" ht="12" hidden="1" customHeight="1">
      <c r="A821" s="53"/>
      <c r="B821" s="53" t="s">
        <v>195</v>
      </c>
      <c r="C821" s="9">
        <v>8</v>
      </c>
      <c r="D821" s="8" t="s">
        <v>1623</v>
      </c>
      <c r="E821" s="10" t="s">
        <v>364</v>
      </c>
      <c r="F821" s="356"/>
      <c r="G821" s="10"/>
      <c r="H821" s="10" t="s">
        <v>1956</v>
      </c>
      <c r="I821" s="10" t="s">
        <v>1957</v>
      </c>
      <c r="J821" s="658">
        <v>0</v>
      </c>
      <c r="K821" s="118">
        <v>22000000</v>
      </c>
      <c r="L821" s="118">
        <f t="shared" si="307"/>
        <v>2200000</v>
      </c>
      <c r="M821" s="658">
        <v>0</v>
      </c>
      <c r="N821" s="189">
        <f t="shared" si="308"/>
        <v>24200000</v>
      </c>
      <c r="O821" s="197" t="s">
        <v>239</v>
      </c>
      <c r="P821" s="197" t="s">
        <v>102</v>
      </c>
      <c r="Q821" s="175"/>
      <c r="R821" s="175"/>
      <c r="S821" s="116">
        <v>0</v>
      </c>
      <c r="T821" s="116">
        <f t="shared" si="313"/>
        <v>-440000</v>
      </c>
      <c r="U821" s="116">
        <v>23760000</v>
      </c>
      <c r="V821" s="210">
        <f t="shared" si="310"/>
        <v>0</v>
      </c>
      <c r="W821" s="115">
        <f t="shared" si="294"/>
        <v>0</v>
      </c>
      <c r="X821" s="181" t="s">
        <v>237</v>
      </c>
      <c r="Y821" s="116"/>
      <c r="Z821" s="185"/>
      <c r="AA821" s="592"/>
      <c r="AB821" s="186"/>
      <c r="AC821" s="9"/>
      <c r="AD821" s="297"/>
      <c r="AE821" s="297">
        <f t="shared" si="283"/>
        <v>440000</v>
      </c>
      <c r="AF821" s="9"/>
      <c r="AG821" s="9" t="s">
        <v>1395</v>
      </c>
      <c r="AH821" s="300">
        <v>42769</v>
      </c>
      <c r="AI821" s="9" t="s">
        <v>2037</v>
      </c>
      <c r="AJ821" s="300">
        <v>42772</v>
      </c>
      <c r="AK821" s="73" t="str">
        <f t="shared" si="293"/>
        <v>ROKA LANE ASIA, PTMAR</v>
      </c>
    </row>
    <row r="822" spans="1:37" s="114" customFormat="1" ht="12.75" hidden="1" customHeight="1">
      <c r="A822" s="53"/>
      <c r="B822" s="53" t="s">
        <v>239</v>
      </c>
      <c r="C822" s="9">
        <v>1</v>
      </c>
      <c r="D822" s="8" t="s">
        <v>1623</v>
      </c>
      <c r="E822" s="10" t="s">
        <v>364</v>
      </c>
      <c r="F822" s="356"/>
      <c r="G822" s="10"/>
      <c r="H822" s="10" t="s">
        <v>2113</v>
      </c>
      <c r="I822" s="10" t="s">
        <v>2114</v>
      </c>
      <c r="J822" s="658">
        <v>0</v>
      </c>
      <c r="K822" s="118">
        <v>22000000</v>
      </c>
      <c r="L822" s="118">
        <f t="shared" si="307"/>
        <v>2200000</v>
      </c>
      <c r="M822" s="658">
        <v>0</v>
      </c>
      <c r="N822" s="189">
        <f t="shared" si="308"/>
        <v>24200000</v>
      </c>
      <c r="O822" s="197" t="s">
        <v>58</v>
      </c>
      <c r="P822" s="197" t="s">
        <v>19</v>
      </c>
      <c r="Q822" s="175"/>
      <c r="R822" s="175"/>
      <c r="S822" s="116">
        <v>0</v>
      </c>
      <c r="T822" s="116">
        <f t="shared" si="313"/>
        <v>-440000</v>
      </c>
      <c r="U822" s="116">
        <v>23760000</v>
      </c>
      <c r="V822" s="210">
        <f t="shared" si="310"/>
        <v>0</v>
      </c>
      <c r="W822" s="115">
        <f t="shared" si="294"/>
        <v>0</v>
      </c>
      <c r="X822" s="181" t="s">
        <v>237</v>
      </c>
      <c r="Y822" s="116"/>
      <c r="Z822" s="185"/>
      <c r="AA822" s="592"/>
      <c r="AB822" s="186"/>
      <c r="AC822" s="9"/>
      <c r="AD822" s="297"/>
      <c r="AE822" s="297">
        <f t="shared" si="283"/>
        <v>440000</v>
      </c>
      <c r="AF822" s="9"/>
      <c r="AG822" s="9" t="s">
        <v>1395</v>
      </c>
      <c r="AH822" s="300">
        <v>42796</v>
      </c>
      <c r="AI822" s="9" t="s">
        <v>2037</v>
      </c>
      <c r="AJ822" s="300">
        <v>42797</v>
      </c>
      <c r="AK822" s="73" t="str">
        <f t="shared" si="293"/>
        <v>ROKA LANE ASIA, PTMEI</v>
      </c>
    </row>
    <row r="823" spans="1:37" s="114" customFormat="1" ht="12" hidden="1" customHeight="1">
      <c r="A823" s="53"/>
      <c r="B823" s="53" t="s">
        <v>240</v>
      </c>
      <c r="C823" s="9">
        <v>3</v>
      </c>
      <c r="D823" s="8" t="s">
        <v>1623</v>
      </c>
      <c r="E823" s="10" t="s">
        <v>364</v>
      </c>
      <c r="F823" s="356"/>
      <c r="G823" s="10"/>
      <c r="H823" s="10" t="s">
        <v>2251</v>
      </c>
      <c r="I823" s="10" t="s">
        <v>2252</v>
      </c>
      <c r="J823" s="658">
        <v>0</v>
      </c>
      <c r="K823" s="118">
        <v>22000000</v>
      </c>
      <c r="L823" s="118">
        <f t="shared" si="307"/>
        <v>2200000</v>
      </c>
      <c r="M823" s="658">
        <v>0</v>
      </c>
      <c r="N823" s="189">
        <f t="shared" si="308"/>
        <v>24200000</v>
      </c>
      <c r="O823" s="197" t="s">
        <v>241</v>
      </c>
      <c r="P823" s="197" t="s">
        <v>26</v>
      </c>
      <c r="Q823" s="175"/>
      <c r="R823" s="175"/>
      <c r="S823" s="116">
        <v>0</v>
      </c>
      <c r="T823" s="116">
        <f t="shared" si="313"/>
        <v>-440000</v>
      </c>
      <c r="U823" s="116">
        <v>23760000</v>
      </c>
      <c r="V823" s="210">
        <f t="shared" si="310"/>
        <v>0</v>
      </c>
      <c r="W823" s="115">
        <f t="shared" si="294"/>
        <v>0</v>
      </c>
      <c r="X823" s="181" t="s">
        <v>237</v>
      </c>
      <c r="Y823" s="116"/>
      <c r="Z823" s="185"/>
      <c r="AA823" s="592"/>
      <c r="AB823" s="186"/>
      <c r="AC823" s="9"/>
      <c r="AD823" s="297"/>
      <c r="AE823" s="297">
        <f t="shared" si="283"/>
        <v>440000</v>
      </c>
      <c r="AF823" s="9"/>
      <c r="AG823" s="9" t="s">
        <v>1395</v>
      </c>
      <c r="AH823" s="300">
        <v>42829</v>
      </c>
      <c r="AI823" s="9" t="s">
        <v>1880</v>
      </c>
      <c r="AJ823" s="300">
        <v>42829</v>
      </c>
      <c r="AK823" s="73" t="str">
        <f t="shared" si="293"/>
        <v>ROKA LANE ASIA, PTJUN</v>
      </c>
    </row>
    <row r="824" spans="1:37" s="114" customFormat="1" ht="12" hidden="1" customHeight="1">
      <c r="A824" s="53"/>
      <c r="B824" s="53" t="s">
        <v>58</v>
      </c>
      <c r="C824" s="9">
        <v>2</v>
      </c>
      <c r="D824" s="8" t="s">
        <v>1623</v>
      </c>
      <c r="E824" s="10" t="s">
        <v>364</v>
      </c>
      <c r="F824" s="356"/>
      <c r="G824" s="10"/>
      <c r="H824" s="10" t="s">
        <v>2439</v>
      </c>
      <c r="I824" s="10" t="s">
        <v>2440</v>
      </c>
      <c r="J824" s="658">
        <v>0</v>
      </c>
      <c r="K824" s="118">
        <v>22000000</v>
      </c>
      <c r="L824" s="118">
        <f t="shared" si="307"/>
        <v>2200000</v>
      </c>
      <c r="M824" s="658">
        <v>0</v>
      </c>
      <c r="N824" s="189">
        <f t="shared" si="308"/>
        <v>24200000</v>
      </c>
      <c r="O824" s="197" t="s">
        <v>242</v>
      </c>
      <c r="P824" s="197" t="s">
        <v>38</v>
      </c>
      <c r="Q824" s="175"/>
      <c r="R824" s="175"/>
      <c r="S824" s="116">
        <v>0</v>
      </c>
      <c r="T824" s="116">
        <f t="shared" si="313"/>
        <v>-440000</v>
      </c>
      <c r="U824" s="116">
        <v>23760000</v>
      </c>
      <c r="V824" s="210">
        <f t="shared" si="310"/>
        <v>0</v>
      </c>
      <c r="W824" s="115">
        <f t="shared" si="294"/>
        <v>0</v>
      </c>
      <c r="X824" s="181" t="s">
        <v>237</v>
      </c>
      <c r="Y824" s="116"/>
      <c r="Z824" s="185"/>
      <c r="AA824" s="592"/>
      <c r="AB824" s="186"/>
      <c r="AC824" s="9"/>
      <c r="AD824" s="297"/>
      <c r="AE824" s="297">
        <f t="shared" si="283"/>
        <v>440000</v>
      </c>
      <c r="AF824" s="9"/>
      <c r="AG824" s="9" t="s">
        <v>1395</v>
      </c>
      <c r="AH824" s="300">
        <v>42860</v>
      </c>
      <c r="AI824" s="9" t="s">
        <v>2037</v>
      </c>
      <c r="AJ824" s="300">
        <v>42860</v>
      </c>
      <c r="AK824" s="73" t="str">
        <f t="shared" si="293"/>
        <v>ROKA LANE ASIA, PTJUL</v>
      </c>
    </row>
    <row r="825" spans="1:37" s="114" customFormat="1" ht="12" hidden="1" customHeight="1">
      <c r="A825" s="53"/>
      <c r="B825" s="53" t="s">
        <v>241</v>
      </c>
      <c r="C825" s="9">
        <v>2</v>
      </c>
      <c r="D825" s="8" t="s">
        <v>1623</v>
      </c>
      <c r="E825" s="10" t="s">
        <v>364</v>
      </c>
      <c r="F825" s="356"/>
      <c r="G825" s="10"/>
      <c r="H825" s="10" t="s">
        <v>2610</v>
      </c>
      <c r="I825" s="10" t="s">
        <v>2649</v>
      </c>
      <c r="J825" s="658">
        <v>0</v>
      </c>
      <c r="K825" s="118">
        <v>11733333.33</v>
      </c>
      <c r="L825" s="118">
        <f t="shared" si="307"/>
        <v>1173333.3330000001</v>
      </c>
      <c r="M825" s="658">
        <v>0</v>
      </c>
      <c r="N825" s="189">
        <f t="shared" si="308"/>
        <v>12906666.663000001</v>
      </c>
      <c r="O825" s="197" t="s">
        <v>243</v>
      </c>
      <c r="P825" s="197" t="s">
        <v>97</v>
      </c>
      <c r="Q825" s="175"/>
      <c r="R825" s="175"/>
      <c r="S825" s="116">
        <v>0</v>
      </c>
      <c r="T825" s="116">
        <f t="shared" si="313"/>
        <v>-234666.6666</v>
      </c>
      <c r="U825" s="116">
        <v>12672000</v>
      </c>
      <c r="V825" s="210">
        <f t="shared" si="310"/>
        <v>0</v>
      </c>
      <c r="W825" s="115">
        <f t="shared" si="294"/>
        <v>-3.5999994724988937E-3</v>
      </c>
      <c r="X825" s="181" t="s">
        <v>237</v>
      </c>
      <c r="Y825" s="116"/>
      <c r="Z825" s="185"/>
      <c r="AA825" s="592"/>
      <c r="AB825" s="186"/>
      <c r="AC825" s="9"/>
      <c r="AD825" s="297"/>
      <c r="AE825" s="297">
        <f t="shared" si="283"/>
        <v>234666.6666</v>
      </c>
      <c r="AF825" s="9"/>
      <c r="AG825" s="9" t="s">
        <v>1395</v>
      </c>
      <c r="AH825" s="300">
        <v>42892</v>
      </c>
      <c r="AI825" s="9" t="s">
        <v>2683</v>
      </c>
      <c r="AJ825" s="300">
        <v>42892</v>
      </c>
      <c r="AK825" s="73" t="str">
        <f t="shared" si="293"/>
        <v>ROKA LANE ASIA, PTAGS</v>
      </c>
    </row>
    <row r="826" spans="1:37" s="114" customFormat="1" ht="12" hidden="1" customHeight="1">
      <c r="A826" s="53"/>
      <c r="B826" s="758" t="s">
        <v>242</v>
      </c>
      <c r="C826" s="759">
        <v>3</v>
      </c>
      <c r="D826" s="760" t="s">
        <v>1623</v>
      </c>
      <c r="E826" s="761" t="s">
        <v>364</v>
      </c>
      <c r="F826" s="1506" t="s">
        <v>3045</v>
      </c>
      <c r="G826" s="761" t="s">
        <v>59</v>
      </c>
      <c r="H826" s="761" t="s">
        <v>2775</v>
      </c>
      <c r="I826" s="761" t="s">
        <v>2793</v>
      </c>
      <c r="J826" s="658">
        <v>0</v>
      </c>
      <c r="K826" s="764">
        <v>22000000</v>
      </c>
      <c r="L826" s="764">
        <f>K826*10%</f>
        <v>2200000</v>
      </c>
      <c r="M826" s="658">
        <v>0</v>
      </c>
      <c r="N826" s="763">
        <f>K826+L826</f>
        <v>24200000</v>
      </c>
      <c r="O826" s="1202"/>
      <c r="P826" s="1202"/>
      <c r="Q826" s="175"/>
      <c r="R826" s="175"/>
      <c r="S826" s="116">
        <v>0</v>
      </c>
      <c r="T826" s="116"/>
      <c r="U826" s="116"/>
      <c r="V826" s="210">
        <f t="shared" si="310"/>
        <v>0</v>
      </c>
      <c r="W826" s="115">
        <f t="shared" si="294"/>
        <v>24200000</v>
      </c>
      <c r="X826" s="181"/>
      <c r="Y826" s="116"/>
      <c r="Z826" s="185"/>
      <c r="AA826" s="592"/>
      <c r="AB826" s="186"/>
      <c r="AC826" s="9"/>
      <c r="AD826" s="297"/>
      <c r="AE826" s="297">
        <f t="shared" si="283"/>
        <v>0</v>
      </c>
      <c r="AF826" s="9"/>
      <c r="AG826" s="9" t="s">
        <v>1395</v>
      </c>
      <c r="AH826" s="300">
        <v>42923</v>
      </c>
      <c r="AI826" s="9" t="s">
        <v>2037</v>
      </c>
      <c r="AJ826" s="300">
        <v>42923</v>
      </c>
      <c r="AK826" s="73" t="str">
        <f t="shared" si="293"/>
        <v>ROKA LANE ASIA, PT</v>
      </c>
    </row>
    <row r="827" spans="1:37" s="114" customFormat="1" ht="12" hidden="1" customHeight="1">
      <c r="A827" s="53"/>
      <c r="B827" s="1220" t="s">
        <v>245</v>
      </c>
      <c r="C827" s="1221">
        <v>3</v>
      </c>
      <c r="D827" s="1222" t="s">
        <v>3391</v>
      </c>
      <c r="E827" s="1223" t="s">
        <v>62</v>
      </c>
      <c r="F827" s="1505" t="s">
        <v>3392</v>
      </c>
      <c r="G827" s="1223" t="s">
        <v>602</v>
      </c>
      <c r="H827" s="1223" t="s">
        <v>3393</v>
      </c>
      <c r="I827" s="1223" t="s">
        <v>3394</v>
      </c>
      <c r="J827" s="1237"/>
      <c r="K827" s="1212">
        <v>15000000</v>
      </c>
      <c r="L827" s="1212">
        <f>K827*10%</f>
        <v>1500000</v>
      </c>
      <c r="M827" s="658"/>
      <c r="N827" s="1225">
        <f>K827+L827</f>
        <v>16500000</v>
      </c>
      <c r="O827" s="1307" t="s">
        <v>245</v>
      </c>
      <c r="P827" s="1307" t="s">
        <v>99</v>
      </c>
      <c r="Q827" s="175"/>
      <c r="R827" s="175"/>
      <c r="S827" s="116"/>
      <c r="T827" s="116"/>
      <c r="U827" s="116"/>
      <c r="V827" s="210"/>
      <c r="W827" s="115"/>
      <c r="X827" s="181"/>
      <c r="Y827" s="116"/>
      <c r="Z827" s="185"/>
      <c r="AA827" s="592"/>
      <c r="AB827" s="186"/>
      <c r="AC827" s="9"/>
      <c r="AD827" s="297"/>
      <c r="AE827" s="297"/>
      <c r="AF827" s="9"/>
      <c r="AG827" s="9"/>
      <c r="AH827" s="300"/>
      <c r="AI827" s="9"/>
      <c r="AJ827" s="300"/>
      <c r="AK827" s="73" t="str">
        <f t="shared" si="293"/>
        <v>RTI INFOKOM, PTOKT</v>
      </c>
    </row>
    <row r="828" spans="1:37" s="114" customFormat="1" ht="12" hidden="1" customHeight="1">
      <c r="A828" s="53"/>
      <c r="B828" s="53" t="s">
        <v>241</v>
      </c>
      <c r="C828" s="9">
        <v>7</v>
      </c>
      <c r="D828" s="8" t="s">
        <v>2686</v>
      </c>
      <c r="E828" s="10" t="s">
        <v>433</v>
      </c>
      <c r="F828" s="356"/>
      <c r="G828" s="10"/>
      <c r="H828" s="10" t="s">
        <v>2687</v>
      </c>
      <c r="I828" s="10" t="s">
        <v>2689</v>
      </c>
      <c r="J828" s="658">
        <v>0</v>
      </c>
      <c r="K828" s="118">
        <v>12000000</v>
      </c>
      <c r="L828" s="118">
        <f t="shared" si="307"/>
        <v>1200000</v>
      </c>
      <c r="M828" s="658">
        <v>0</v>
      </c>
      <c r="N828" s="189">
        <f t="shared" si="308"/>
        <v>13200000</v>
      </c>
      <c r="O828" s="197" t="s">
        <v>243</v>
      </c>
      <c r="P828" s="197" t="s">
        <v>103</v>
      </c>
      <c r="Q828" s="175"/>
      <c r="R828" s="175"/>
      <c r="S828" s="116">
        <v>0</v>
      </c>
      <c r="T828" s="116"/>
      <c r="U828" s="116"/>
      <c r="V828" s="210">
        <f t="shared" si="310"/>
        <v>0</v>
      </c>
      <c r="W828" s="115">
        <f t="shared" si="294"/>
        <v>13200000</v>
      </c>
      <c r="X828" s="181"/>
      <c r="Y828" s="116"/>
      <c r="Z828" s="185"/>
      <c r="AA828" s="592"/>
      <c r="AB828" s="186"/>
      <c r="AC828" s="9"/>
      <c r="AD828" s="297"/>
      <c r="AE828" s="297">
        <f t="shared" si="283"/>
        <v>0</v>
      </c>
      <c r="AF828" s="9"/>
      <c r="AG828" s="9" t="s">
        <v>1395</v>
      </c>
      <c r="AH828" s="300">
        <v>42898</v>
      </c>
      <c r="AI828" s="9" t="s">
        <v>1427</v>
      </c>
      <c r="AJ828" s="300">
        <v>42898</v>
      </c>
      <c r="AK828" s="73" t="str">
        <f t="shared" si="293"/>
        <v>SELARAS INTI SEMESTA, PTAGS</v>
      </c>
    </row>
    <row r="829" spans="1:37" s="114" customFormat="1" ht="12" hidden="1" customHeight="1">
      <c r="A829" s="53"/>
      <c r="B829" s="53" t="s">
        <v>241</v>
      </c>
      <c r="C829" s="9">
        <v>7</v>
      </c>
      <c r="D829" s="8" t="s">
        <v>2686</v>
      </c>
      <c r="E829" s="10" t="s">
        <v>118</v>
      </c>
      <c r="F829" s="356"/>
      <c r="G829" s="10"/>
      <c r="H829" s="10" t="s">
        <v>2688</v>
      </c>
      <c r="I829" s="10" t="s">
        <v>14</v>
      </c>
      <c r="J829" s="658">
        <v>0</v>
      </c>
      <c r="K829" s="118">
        <v>4033220</v>
      </c>
      <c r="L829" s="118">
        <v>0</v>
      </c>
      <c r="M829" s="658">
        <v>0</v>
      </c>
      <c r="N829" s="189">
        <f t="shared" si="308"/>
        <v>4033220</v>
      </c>
      <c r="O829" s="197" t="s">
        <v>242</v>
      </c>
      <c r="P829" s="197" t="s">
        <v>114</v>
      </c>
      <c r="Q829" s="175"/>
      <c r="R829" s="175"/>
      <c r="S829" s="116">
        <v>0</v>
      </c>
      <c r="T829" s="116">
        <v>0</v>
      </c>
      <c r="U829" s="116">
        <v>4033220</v>
      </c>
      <c r="V829" s="210">
        <f t="shared" si="310"/>
        <v>0</v>
      </c>
      <c r="W829" s="115">
        <f t="shared" si="294"/>
        <v>0</v>
      </c>
      <c r="X829" s="181" t="s">
        <v>237</v>
      </c>
      <c r="Y829" s="116"/>
      <c r="Z829" s="185"/>
      <c r="AA829" s="592"/>
      <c r="AB829" s="186"/>
      <c r="AC829" s="9"/>
      <c r="AD829" s="297"/>
      <c r="AE829" s="297">
        <f t="shared" si="283"/>
        <v>0</v>
      </c>
      <c r="AF829" s="9"/>
      <c r="AG829" s="9" t="s">
        <v>1395</v>
      </c>
      <c r="AH829" s="300">
        <v>42898</v>
      </c>
      <c r="AI829" s="9" t="s">
        <v>1427</v>
      </c>
      <c r="AJ829" s="300">
        <v>42898</v>
      </c>
      <c r="AK829" s="73" t="str">
        <f t="shared" si="293"/>
        <v>SELARAS INTI SEMESTA, PTJUL</v>
      </c>
    </row>
    <row r="830" spans="1:37" s="114" customFormat="1" ht="12" hidden="1" customHeight="1">
      <c r="A830" s="53"/>
      <c r="B830" s="53" t="s">
        <v>242</v>
      </c>
      <c r="C830" s="9">
        <v>3</v>
      </c>
      <c r="D830" s="8" t="s">
        <v>2686</v>
      </c>
      <c r="E830" s="10" t="s">
        <v>354</v>
      </c>
      <c r="F830" s="356" t="s">
        <v>3049</v>
      </c>
      <c r="G830" s="10" t="s">
        <v>59</v>
      </c>
      <c r="H830" s="10" t="s">
        <v>2777</v>
      </c>
      <c r="I830" s="10" t="s">
        <v>2795</v>
      </c>
      <c r="J830" s="658">
        <v>0</v>
      </c>
      <c r="K830" s="118">
        <v>12000000</v>
      </c>
      <c r="L830" s="118">
        <f t="shared" ref="L830:L836" si="314">K830*10%</f>
        <v>1200000</v>
      </c>
      <c r="M830" s="658">
        <v>0</v>
      </c>
      <c r="N830" s="189">
        <f t="shared" ref="N830:N836" si="315">K830+L830</f>
        <v>13200000</v>
      </c>
      <c r="O830" s="197" t="s">
        <v>244</v>
      </c>
      <c r="P830" s="197" t="s">
        <v>97</v>
      </c>
      <c r="Q830" s="175"/>
      <c r="R830" s="175"/>
      <c r="S830" s="116">
        <v>0</v>
      </c>
      <c r="T830" s="116">
        <f t="shared" ref="T830:T831" si="316">-K830*2%</f>
        <v>-240000</v>
      </c>
      <c r="U830" s="116">
        <v>12960000</v>
      </c>
      <c r="V830" s="210">
        <f t="shared" si="310"/>
        <v>0</v>
      </c>
      <c r="W830" s="115">
        <f t="shared" si="294"/>
        <v>0</v>
      </c>
      <c r="X830" s="181" t="s">
        <v>237</v>
      </c>
      <c r="Y830" s="116"/>
      <c r="Z830" s="185"/>
      <c r="AA830" s="592"/>
      <c r="AB830" s="186"/>
      <c r="AC830" s="9"/>
      <c r="AD830" s="297"/>
      <c r="AE830" s="297">
        <f t="shared" si="283"/>
        <v>240000</v>
      </c>
      <c r="AF830" s="9"/>
      <c r="AG830" s="9" t="s">
        <v>1395</v>
      </c>
      <c r="AH830" s="300">
        <v>42923</v>
      </c>
      <c r="AI830" s="9" t="s">
        <v>1427</v>
      </c>
      <c r="AJ830" s="300">
        <v>42923</v>
      </c>
      <c r="AK830" s="73" t="str">
        <f t="shared" si="293"/>
        <v>SELARAS INTI SEMESTA, PTSEP</v>
      </c>
    </row>
    <row r="831" spans="1:37" s="114" customFormat="1" ht="12" hidden="1" customHeight="1">
      <c r="A831" s="53"/>
      <c r="B831" s="1220" t="s">
        <v>243</v>
      </c>
      <c r="C831" s="1221">
        <v>1</v>
      </c>
      <c r="D831" s="1222" t="s">
        <v>2686</v>
      </c>
      <c r="E831" s="1223" t="s">
        <v>354</v>
      </c>
      <c r="F831" s="1505" t="s">
        <v>3049</v>
      </c>
      <c r="G831" s="1223" t="s">
        <v>60</v>
      </c>
      <c r="H831" s="1223" t="s">
        <v>2912</v>
      </c>
      <c r="I831" s="1223" t="s">
        <v>2950</v>
      </c>
      <c r="J831" s="1237"/>
      <c r="K831" s="1212">
        <v>12000000</v>
      </c>
      <c r="L831" s="1212">
        <f t="shared" si="314"/>
        <v>1200000</v>
      </c>
      <c r="M831" s="1237"/>
      <c r="N831" s="1225">
        <f t="shared" si="315"/>
        <v>13200000</v>
      </c>
      <c r="O831" s="197" t="s">
        <v>245</v>
      </c>
      <c r="P831" s="197" t="s">
        <v>113</v>
      </c>
      <c r="Q831" s="175"/>
      <c r="R831" s="175"/>
      <c r="S831" s="116"/>
      <c r="T831" s="116">
        <f t="shared" si="316"/>
        <v>-240000</v>
      </c>
      <c r="U831" s="116">
        <v>12960000</v>
      </c>
      <c r="V831" s="210">
        <f t="shared" si="310"/>
        <v>0</v>
      </c>
      <c r="W831" s="115"/>
      <c r="X831" s="181"/>
      <c r="Y831" s="116"/>
      <c r="Z831" s="185"/>
      <c r="AA831" s="592"/>
      <c r="AB831" s="186"/>
      <c r="AC831" s="9"/>
      <c r="AD831" s="297"/>
      <c r="AE831" s="297"/>
      <c r="AF831" s="9"/>
      <c r="AG831" s="9" t="s">
        <v>1395</v>
      </c>
      <c r="AH831" s="300">
        <v>42949</v>
      </c>
      <c r="AI831" s="9" t="s">
        <v>1427</v>
      </c>
      <c r="AJ831" s="300">
        <v>42949</v>
      </c>
      <c r="AK831" s="73" t="str">
        <f t="shared" si="293"/>
        <v>SELARAS INTI SEMESTA, PTOKT</v>
      </c>
    </row>
    <row r="832" spans="1:37" s="114" customFormat="1" ht="12" hidden="1" customHeight="1">
      <c r="A832" s="53"/>
      <c r="B832" s="758" t="s">
        <v>244</v>
      </c>
      <c r="C832" s="759">
        <v>7</v>
      </c>
      <c r="D832" s="760" t="s">
        <v>2686</v>
      </c>
      <c r="E832" s="761" t="s">
        <v>354</v>
      </c>
      <c r="F832" s="1506" t="s">
        <v>3049</v>
      </c>
      <c r="G832" s="761" t="s">
        <v>559</v>
      </c>
      <c r="H832" s="761" t="s">
        <v>3205</v>
      </c>
      <c r="I832" s="759" t="s">
        <v>3206</v>
      </c>
      <c r="J832" s="658"/>
      <c r="K832" s="764">
        <v>12000000</v>
      </c>
      <c r="L832" s="764">
        <f t="shared" si="314"/>
        <v>1200000</v>
      </c>
      <c r="M832" s="658"/>
      <c r="N832" s="763">
        <f t="shared" si="315"/>
        <v>13200000</v>
      </c>
      <c r="O832" s="1202"/>
      <c r="P832" s="1202"/>
      <c r="Q832" s="175"/>
      <c r="R832" s="175"/>
      <c r="S832" s="116"/>
      <c r="T832" s="116"/>
      <c r="U832" s="116"/>
      <c r="V832" s="210"/>
      <c r="W832" s="115"/>
      <c r="X832" s="181"/>
      <c r="Y832" s="116"/>
      <c r="Z832" s="185"/>
      <c r="AA832" s="592"/>
      <c r="AB832" s="186"/>
      <c r="AC832" s="9"/>
      <c r="AD832" s="297"/>
      <c r="AE832" s="297"/>
      <c r="AF832" s="9"/>
      <c r="AG832" s="9"/>
      <c r="AH832" s="300"/>
      <c r="AI832" s="9"/>
      <c r="AJ832" s="300"/>
      <c r="AK832" s="73"/>
    </row>
    <row r="833" spans="1:37" s="114" customFormat="1" ht="12" hidden="1" customHeight="1">
      <c r="A833" s="53"/>
      <c r="B833" s="758" t="s">
        <v>245</v>
      </c>
      <c r="C833" s="759">
        <v>10</v>
      </c>
      <c r="D833" s="760" t="s">
        <v>2686</v>
      </c>
      <c r="E833" s="761" t="s">
        <v>354</v>
      </c>
      <c r="F833" s="1506" t="s">
        <v>3049</v>
      </c>
      <c r="G833" s="761" t="s">
        <v>602</v>
      </c>
      <c r="H833" s="761" t="s">
        <v>3422</v>
      </c>
      <c r="I833" s="759" t="s">
        <v>3423</v>
      </c>
      <c r="J833" s="658"/>
      <c r="K833" s="764">
        <v>12000000</v>
      </c>
      <c r="L833" s="764">
        <f t="shared" si="314"/>
        <v>1200000</v>
      </c>
      <c r="M833" s="658"/>
      <c r="N833" s="763">
        <f t="shared" si="315"/>
        <v>13200000</v>
      </c>
      <c r="O833" s="1202"/>
      <c r="P833" s="1202"/>
      <c r="Q833" s="175"/>
      <c r="R833" s="175"/>
      <c r="S833" s="116"/>
      <c r="T833" s="116"/>
      <c r="U833" s="116"/>
      <c r="V833" s="210"/>
      <c r="W833" s="115"/>
      <c r="X833" s="181"/>
      <c r="Y833" s="116"/>
      <c r="Z833" s="185"/>
      <c r="AA833" s="592"/>
      <c r="AB833" s="186"/>
      <c r="AC833" s="9"/>
      <c r="AD833" s="297"/>
      <c r="AE833" s="297"/>
      <c r="AF833" s="9"/>
      <c r="AG833" s="9"/>
      <c r="AH833" s="300"/>
      <c r="AI833" s="9"/>
      <c r="AJ833" s="300"/>
      <c r="AK833" s="73"/>
    </row>
    <row r="834" spans="1:37" s="114" customFormat="1" ht="12" hidden="1" customHeight="1">
      <c r="A834" s="53"/>
      <c r="B834" s="758" t="s">
        <v>238</v>
      </c>
      <c r="C834" s="759">
        <v>2</v>
      </c>
      <c r="D834" s="760" t="s">
        <v>2686</v>
      </c>
      <c r="E834" s="761" t="s">
        <v>354</v>
      </c>
      <c r="F834" s="1506" t="s">
        <v>3049</v>
      </c>
      <c r="G834" s="761" t="s">
        <v>641</v>
      </c>
      <c r="H834" s="761" t="s">
        <v>3519</v>
      </c>
      <c r="I834" s="759" t="s">
        <v>3520</v>
      </c>
      <c r="J834" s="658"/>
      <c r="K834" s="764">
        <v>12000000</v>
      </c>
      <c r="L834" s="764">
        <f t="shared" si="314"/>
        <v>1200000</v>
      </c>
      <c r="M834" s="658"/>
      <c r="N834" s="763">
        <f t="shared" si="315"/>
        <v>13200000</v>
      </c>
      <c r="O834" s="1202"/>
      <c r="P834" s="1202"/>
      <c r="Q834" s="175"/>
      <c r="R834" s="175"/>
      <c r="S834" s="116"/>
      <c r="T834" s="116"/>
      <c r="U834" s="116"/>
      <c r="V834" s="210"/>
      <c r="W834" s="115"/>
      <c r="X834" s="181"/>
      <c r="Y834" s="116"/>
      <c r="Z834" s="185"/>
      <c r="AA834" s="592"/>
      <c r="AB834" s="186"/>
      <c r="AC834" s="9"/>
      <c r="AD834" s="297"/>
      <c r="AE834" s="297"/>
      <c r="AF834" s="9"/>
      <c r="AG834" s="9"/>
      <c r="AH834" s="300"/>
      <c r="AI834" s="9"/>
      <c r="AJ834" s="300"/>
      <c r="AK834" s="73"/>
    </row>
    <row r="835" spans="1:37" s="114" customFormat="1" ht="12" hidden="1" customHeight="1">
      <c r="A835" s="53"/>
      <c r="B835" s="758" t="s">
        <v>140</v>
      </c>
      <c r="C835" s="759">
        <v>11</v>
      </c>
      <c r="D835" s="760" t="s">
        <v>2686</v>
      </c>
      <c r="E835" s="761" t="s">
        <v>354</v>
      </c>
      <c r="F835" s="1506" t="s">
        <v>3049</v>
      </c>
      <c r="G835" s="761" t="s">
        <v>1616</v>
      </c>
      <c r="H835" s="761" t="s">
        <v>3710</v>
      </c>
      <c r="I835" s="759" t="s">
        <v>3711</v>
      </c>
      <c r="J835" s="658"/>
      <c r="K835" s="764">
        <v>12000000</v>
      </c>
      <c r="L835" s="764">
        <f t="shared" ref="L835" si="317">K835*10%</f>
        <v>1200000</v>
      </c>
      <c r="M835" s="658"/>
      <c r="N835" s="763">
        <f t="shared" ref="N835" si="318">K835+L835</f>
        <v>13200000</v>
      </c>
      <c r="O835" s="1202"/>
      <c r="P835" s="1202"/>
      <c r="Q835" s="175"/>
      <c r="R835" s="175"/>
      <c r="S835" s="116"/>
      <c r="T835" s="116"/>
      <c r="U835" s="116"/>
      <c r="V835" s="210"/>
      <c r="W835" s="115"/>
      <c r="X835" s="181"/>
      <c r="Y835" s="116"/>
      <c r="Z835" s="185"/>
      <c r="AA835" s="592"/>
      <c r="AB835" s="186"/>
      <c r="AC835" s="9"/>
      <c r="AD835" s="297"/>
      <c r="AE835" s="297"/>
      <c r="AF835" s="9"/>
      <c r="AG835" s="9"/>
      <c r="AH835" s="300"/>
      <c r="AI835" s="9"/>
      <c r="AJ835" s="300"/>
      <c r="AK835" s="73"/>
    </row>
    <row r="836" spans="1:37" s="114" customFormat="1" ht="12" hidden="1" customHeight="1">
      <c r="A836" s="53"/>
      <c r="B836" s="758" t="s">
        <v>238</v>
      </c>
      <c r="C836" s="759">
        <v>7</v>
      </c>
      <c r="D836" s="760" t="s">
        <v>3579</v>
      </c>
      <c r="E836" s="761" t="s">
        <v>62</v>
      </c>
      <c r="F836" s="1506" t="s">
        <v>3545</v>
      </c>
      <c r="G836" s="761" t="s">
        <v>3547</v>
      </c>
      <c r="H836" s="761" t="s">
        <v>3546</v>
      </c>
      <c r="I836" s="759" t="s">
        <v>3548</v>
      </c>
      <c r="J836" s="658"/>
      <c r="K836" s="764">
        <v>109000000</v>
      </c>
      <c r="L836" s="764">
        <f t="shared" si="314"/>
        <v>10900000</v>
      </c>
      <c r="M836" s="658"/>
      <c r="N836" s="763">
        <f t="shared" si="315"/>
        <v>119900000</v>
      </c>
      <c r="O836" s="1202"/>
      <c r="P836" s="1202"/>
      <c r="Q836" s="175"/>
      <c r="R836" s="175"/>
      <c r="S836" s="116"/>
      <c r="T836" s="116"/>
      <c r="U836" s="116"/>
      <c r="V836" s="210"/>
      <c r="W836" s="115"/>
      <c r="X836" s="181"/>
      <c r="Y836" s="116"/>
      <c r="Z836" s="185"/>
      <c r="AA836" s="592"/>
      <c r="AB836" s="186"/>
      <c r="AC836" s="9"/>
      <c r="AD836" s="297"/>
      <c r="AE836" s="297"/>
      <c r="AF836" s="9"/>
      <c r="AG836" s="9"/>
      <c r="AH836" s="300"/>
      <c r="AI836" s="9"/>
      <c r="AJ836" s="300"/>
      <c r="AK836" s="73"/>
    </row>
    <row r="837" spans="1:37" s="114" customFormat="1" ht="12" hidden="1" customHeight="1">
      <c r="A837" s="53"/>
      <c r="B837" s="53" t="s">
        <v>194</v>
      </c>
      <c r="C837" s="9">
        <v>9</v>
      </c>
      <c r="D837" s="8" t="s">
        <v>412</v>
      </c>
      <c r="E837" s="10" t="s">
        <v>354</v>
      </c>
      <c r="F837" s="356"/>
      <c r="G837" s="10"/>
      <c r="H837" s="10" t="s">
        <v>1838</v>
      </c>
      <c r="I837" s="10" t="s">
        <v>1839</v>
      </c>
      <c r="J837" s="658">
        <v>0</v>
      </c>
      <c r="K837" s="118">
        <v>22000000</v>
      </c>
      <c r="L837" s="118">
        <f t="shared" si="307"/>
        <v>2200000</v>
      </c>
      <c r="M837" s="658">
        <v>0</v>
      </c>
      <c r="N837" s="189">
        <f t="shared" si="308"/>
        <v>24200000</v>
      </c>
      <c r="O837" s="197" t="s">
        <v>195</v>
      </c>
      <c r="P837" s="197" t="s">
        <v>104</v>
      </c>
      <c r="Q837" s="175"/>
      <c r="R837" s="175"/>
      <c r="S837" s="116">
        <v>0</v>
      </c>
      <c r="T837" s="116">
        <f t="shared" ref="T837" si="319">-K837*2%</f>
        <v>-440000</v>
      </c>
      <c r="U837" s="116">
        <v>23760000</v>
      </c>
      <c r="V837" s="210">
        <f t="shared" si="310"/>
        <v>0</v>
      </c>
      <c r="W837" s="115">
        <f t="shared" si="294"/>
        <v>0</v>
      </c>
      <c r="X837" s="181" t="s">
        <v>237</v>
      </c>
      <c r="Y837" s="116"/>
      <c r="Z837" s="185"/>
      <c r="AA837" s="592">
        <f>-S837-Z837</f>
        <v>0</v>
      </c>
      <c r="AB837" s="186"/>
      <c r="AC837" s="300">
        <v>42776</v>
      </c>
      <c r="AD837" s="297">
        <v>440000</v>
      </c>
      <c r="AE837" s="297">
        <f t="shared" si="283"/>
        <v>0</v>
      </c>
      <c r="AF837" s="9" t="s">
        <v>2216</v>
      </c>
      <c r="AG837" s="9" t="s">
        <v>1395</v>
      </c>
      <c r="AH837" s="300">
        <v>42746</v>
      </c>
      <c r="AI837" s="9" t="s">
        <v>1426</v>
      </c>
      <c r="AJ837" s="300">
        <v>42747</v>
      </c>
      <c r="AK837" s="73" t="str">
        <f t="shared" si="293"/>
        <v>TEBAR TANDAN TENERA, PTFEB</v>
      </c>
    </row>
    <row r="838" spans="1:37" s="114" customFormat="1" ht="12" hidden="1" customHeight="1">
      <c r="A838" s="53"/>
      <c r="B838" s="53" t="s">
        <v>195</v>
      </c>
      <c r="C838" s="9">
        <v>1</v>
      </c>
      <c r="D838" s="8" t="s">
        <v>412</v>
      </c>
      <c r="E838" s="10" t="s">
        <v>354</v>
      </c>
      <c r="F838" s="356"/>
      <c r="G838" s="10"/>
      <c r="H838" s="10" t="s">
        <v>2018</v>
      </c>
      <c r="I838" s="10" t="s">
        <v>2019</v>
      </c>
      <c r="J838" s="658">
        <v>0</v>
      </c>
      <c r="K838" s="118">
        <v>22000000</v>
      </c>
      <c r="L838" s="118">
        <f t="shared" si="307"/>
        <v>2200000</v>
      </c>
      <c r="M838" s="658">
        <v>0</v>
      </c>
      <c r="N838" s="189">
        <f t="shared" si="308"/>
        <v>24200000</v>
      </c>
      <c r="O838" s="197" t="s">
        <v>239</v>
      </c>
      <c r="P838" s="197" t="s">
        <v>42</v>
      </c>
      <c r="Q838" s="175"/>
      <c r="R838" s="175"/>
      <c r="S838" s="116">
        <v>0</v>
      </c>
      <c r="T838" s="116">
        <f t="shared" ref="T838:T843" si="320">-K838*2%</f>
        <v>-440000</v>
      </c>
      <c r="U838" s="116">
        <v>23760000</v>
      </c>
      <c r="V838" s="210">
        <f t="shared" si="310"/>
        <v>0</v>
      </c>
      <c r="W838" s="115">
        <f t="shared" si="294"/>
        <v>0</v>
      </c>
      <c r="X838" s="181" t="s">
        <v>237</v>
      </c>
      <c r="Y838" s="116"/>
      <c r="Z838" s="185"/>
      <c r="AA838" s="592"/>
      <c r="AB838" s="186"/>
      <c r="AC838" s="300">
        <v>42802</v>
      </c>
      <c r="AD838" s="297">
        <v>440000</v>
      </c>
      <c r="AE838" s="297">
        <f t="shared" si="283"/>
        <v>0</v>
      </c>
      <c r="AF838" s="9" t="s">
        <v>2388</v>
      </c>
      <c r="AG838" s="9" t="s">
        <v>1395</v>
      </c>
      <c r="AH838" s="300">
        <v>42769</v>
      </c>
      <c r="AI838" s="9" t="s">
        <v>2035</v>
      </c>
      <c r="AJ838" s="300">
        <v>42772</v>
      </c>
      <c r="AK838" s="73" t="str">
        <f t="shared" si="293"/>
        <v>TEBAR TANDAN TENERA, PTMAR</v>
      </c>
    </row>
    <row r="839" spans="1:37" s="114" customFormat="1" ht="12" hidden="1" customHeight="1">
      <c r="A839" s="53"/>
      <c r="B839" s="53" t="s">
        <v>239</v>
      </c>
      <c r="C839" s="9">
        <v>1</v>
      </c>
      <c r="D839" s="8" t="s">
        <v>412</v>
      </c>
      <c r="E839" s="10" t="s">
        <v>354</v>
      </c>
      <c r="F839" s="356"/>
      <c r="G839" s="10"/>
      <c r="H839" s="10" t="s">
        <v>2139</v>
      </c>
      <c r="I839" s="10" t="s">
        <v>2140</v>
      </c>
      <c r="J839" s="658">
        <v>0</v>
      </c>
      <c r="K839" s="118">
        <v>22000000</v>
      </c>
      <c r="L839" s="118">
        <f t="shared" si="307"/>
        <v>2200000</v>
      </c>
      <c r="M839" s="658">
        <v>0</v>
      </c>
      <c r="N839" s="189">
        <f t="shared" si="308"/>
        <v>24200000</v>
      </c>
      <c r="O839" s="197" t="s">
        <v>240</v>
      </c>
      <c r="P839" s="197" t="s">
        <v>65</v>
      </c>
      <c r="Q839" s="175"/>
      <c r="R839" s="175"/>
      <c r="S839" s="116">
        <v>0</v>
      </c>
      <c r="T839" s="116">
        <f t="shared" si="320"/>
        <v>-440000</v>
      </c>
      <c r="U839" s="116">
        <v>23760000</v>
      </c>
      <c r="V839" s="210">
        <f t="shared" si="310"/>
        <v>0</v>
      </c>
      <c r="W839" s="115">
        <f t="shared" si="294"/>
        <v>0</v>
      </c>
      <c r="X839" s="181" t="s">
        <v>237</v>
      </c>
      <c r="Y839" s="116"/>
      <c r="Z839" s="185"/>
      <c r="AA839" s="592"/>
      <c r="AB839" s="186"/>
      <c r="AC839" s="300">
        <v>42837</v>
      </c>
      <c r="AD839" s="297">
        <v>440000</v>
      </c>
      <c r="AE839" s="297">
        <f t="shared" si="283"/>
        <v>0</v>
      </c>
      <c r="AF839" s="9" t="s">
        <v>2888</v>
      </c>
      <c r="AG839" s="9" t="s">
        <v>1395</v>
      </c>
      <c r="AH839" s="300">
        <v>42796</v>
      </c>
      <c r="AI839" s="9" t="s">
        <v>1426</v>
      </c>
      <c r="AJ839" s="300">
        <v>42796</v>
      </c>
      <c r="AK839" s="73" t="str">
        <f t="shared" si="293"/>
        <v>TEBAR TANDAN TENERA, PTAPR</v>
      </c>
    </row>
    <row r="840" spans="1:37" s="114" customFormat="1" ht="12" hidden="1" customHeight="1">
      <c r="A840" s="53"/>
      <c r="B840" s="53" t="s">
        <v>240</v>
      </c>
      <c r="C840" s="9">
        <v>3</v>
      </c>
      <c r="D840" s="8" t="s">
        <v>412</v>
      </c>
      <c r="E840" s="10" t="s">
        <v>354</v>
      </c>
      <c r="F840" s="356"/>
      <c r="G840" s="10"/>
      <c r="H840" s="10" t="s">
        <v>2283</v>
      </c>
      <c r="I840" s="10" t="s">
        <v>2284</v>
      </c>
      <c r="J840" s="658">
        <v>0</v>
      </c>
      <c r="K840" s="118">
        <v>22000000</v>
      </c>
      <c r="L840" s="118">
        <f t="shared" si="307"/>
        <v>2200000</v>
      </c>
      <c r="M840" s="658">
        <v>0</v>
      </c>
      <c r="N840" s="189">
        <f t="shared" si="308"/>
        <v>24200000</v>
      </c>
      <c r="O840" s="197" t="s">
        <v>58</v>
      </c>
      <c r="P840" s="197" t="s">
        <v>65</v>
      </c>
      <c r="Q840" s="175"/>
      <c r="R840" s="175"/>
      <c r="S840" s="116">
        <v>0</v>
      </c>
      <c r="T840" s="116">
        <f t="shared" si="320"/>
        <v>-440000</v>
      </c>
      <c r="U840" s="116">
        <v>23760000</v>
      </c>
      <c r="V840" s="210">
        <f t="shared" si="310"/>
        <v>0</v>
      </c>
      <c r="W840" s="115">
        <f t="shared" si="294"/>
        <v>0</v>
      </c>
      <c r="X840" s="181" t="s">
        <v>237</v>
      </c>
      <c r="Y840" s="116"/>
      <c r="Z840" s="185"/>
      <c r="AA840" s="592"/>
      <c r="AB840" s="186"/>
      <c r="AC840" s="300">
        <v>42865</v>
      </c>
      <c r="AD840" s="297">
        <v>440000</v>
      </c>
      <c r="AE840" s="297">
        <f t="shared" si="283"/>
        <v>0</v>
      </c>
      <c r="AF840" s="9" t="s">
        <v>2893</v>
      </c>
      <c r="AG840" s="9" t="s">
        <v>1395</v>
      </c>
      <c r="AH840" s="300">
        <v>42829</v>
      </c>
      <c r="AI840" s="9" t="s">
        <v>1426</v>
      </c>
      <c r="AJ840" s="300">
        <v>42829</v>
      </c>
      <c r="AK840" s="73" t="str">
        <f t="shared" si="293"/>
        <v>TEBAR TANDAN TENERA, PTMEI</v>
      </c>
    </row>
    <row r="841" spans="1:37" s="114" customFormat="1" ht="12" hidden="1" customHeight="1">
      <c r="A841" s="53"/>
      <c r="B841" s="53" t="s">
        <v>58</v>
      </c>
      <c r="C841" s="9">
        <v>2</v>
      </c>
      <c r="D841" s="8" t="s">
        <v>412</v>
      </c>
      <c r="E841" s="10" t="s">
        <v>354</v>
      </c>
      <c r="F841" s="356"/>
      <c r="G841" s="10"/>
      <c r="H841" s="10" t="s">
        <v>2486</v>
      </c>
      <c r="I841" s="10" t="s">
        <v>2487</v>
      </c>
      <c r="J841" s="658">
        <v>0</v>
      </c>
      <c r="K841" s="118">
        <v>733333.33</v>
      </c>
      <c r="L841" s="118">
        <f t="shared" si="307"/>
        <v>73333.332999999999</v>
      </c>
      <c r="M841" s="658">
        <v>0</v>
      </c>
      <c r="N841" s="189">
        <f t="shared" si="308"/>
        <v>806666.66299999994</v>
      </c>
      <c r="O841" s="197" t="s">
        <v>241</v>
      </c>
      <c r="P841" s="197" t="s">
        <v>19</v>
      </c>
      <c r="Q841" s="175"/>
      <c r="R841" s="175"/>
      <c r="S841" s="116">
        <v>0</v>
      </c>
      <c r="T841" s="116">
        <f t="shared" si="320"/>
        <v>-14666.666599999999</v>
      </c>
      <c r="U841" s="116">
        <v>792000</v>
      </c>
      <c r="V841" s="210">
        <f t="shared" si="310"/>
        <v>0</v>
      </c>
      <c r="W841" s="115">
        <f t="shared" si="294"/>
        <v>-3.6000000545755029E-3</v>
      </c>
      <c r="X841" s="181" t="s">
        <v>237</v>
      </c>
      <c r="Y841" s="116"/>
      <c r="Z841" s="185"/>
      <c r="AA841" s="592"/>
      <c r="AB841" s="186"/>
      <c r="AC841" s="300">
        <v>42895</v>
      </c>
      <c r="AD841" s="297">
        <v>14666</v>
      </c>
      <c r="AE841" s="297">
        <f t="shared" si="283"/>
        <v>0.66659999999865249</v>
      </c>
      <c r="AF841" s="9" t="s">
        <v>3040</v>
      </c>
      <c r="AG841" s="9" t="s">
        <v>1395</v>
      </c>
      <c r="AH841" s="300">
        <v>42860</v>
      </c>
      <c r="AI841" s="9" t="s">
        <v>2515</v>
      </c>
      <c r="AJ841" s="300">
        <v>42860</v>
      </c>
      <c r="AK841" s="73" t="str">
        <f t="shared" si="293"/>
        <v>TEBAR TANDAN TENERA, PTJUN</v>
      </c>
    </row>
    <row r="842" spans="1:37" s="114" customFormat="1" ht="12" hidden="1" customHeight="1">
      <c r="A842" s="53"/>
      <c r="B842" s="53" t="s">
        <v>241</v>
      </c>
      <c r="C842" s="9">
        <v>2</v>
      </c>
      <c r="D842" s="8" t="s">
        <v>412</v>
      </c>
      <c r="E842" s="10" t="s">
        <v>354</v>
      </c>
      <c r="F842" s="356"/>
      <c r="G842" s="10"/>
      <c r="H842" s="10" t="s">
        <v>2622</v>
      </c>
      <c r="I842" s="10" t="s">
        <v>2658</v>
      </c>
      <c r="J842" s="658">
        <v>0</v>
      </c>
      <c r="K842" s="118">
        <v>22000000</v>
      </c>
      <c r="L842" s="118">
        <f t="shared" si="307"/>
        <v>2200000</v>
      </c>
      <c r="M842" s="658">
        <v>0</v>
      </c>
      <c r="N842" s="189">
        <f t="shared" si="308"/>
        <v>24200000</v>
      </c>
      <c r="O842" s="197" t="s">
        <v>242</v>
      </c>
      <c r="P842" s="197" t="s">
        <v>34</v>
      </c>
      <c r="Q842" s="175"/>
      <c r="R842" s="175"/>
      <c r="S842" s="116">
        <v>0</v>
      </c>
      <c r="T842" s="116">
        <f t="shared" si="320"/>
        <v>-440000</v>
      </c>
      <c r="U842" s="116">
        <v>23760000</v>
      </c>
      <c r="V842" s="210">
        <f t="shared" si="310"/>
        <v>0</v>
      </c>
      <c r="W842" s="115">
        <f t="shared" si="294"/>
        <v>0</v>
      </c>
      <c r="X842" s="181" t="s">
        <v>237</v>
      </c>
      <c r="Y842" s="116"/>
      <c r="Z842" s="185"/>
      <c r="AA842" s="592"/>
      <c r="AB842" s="186"/>
      <c r="AC842" s="9"/>
      <c r="AD842" s="297"/>
      <c r="AE842" s="297">
        <f t="shared" si="283"/>
        <v>440000</v>
      </c>
      <c r="AF842" s="9"/>
      <c r="AG842" s="9" t="s">
        <v>1395</v>
      </c>
      <c r="AH842" s="300">
        <v>42892</v>
      </c>
      <c r="AI842" s="9" t="s">
        <v>1426</v>
      </c>
      <c r="AJ842" s="300">
        <v>42892</v>
      </c>
      <c r="AK842" s="73" t="str">
        <f t="shared" si="293"/>
        <v>TEBAR TANDAN TENERA, PTJUL</v>
      </c>
    </row>
    <row r="843" spans="1:37" s="114" customFormat="1" ht="12" hidden="1" customHeight="1">
      <c r="A843" s="53"/>
      <c r="B843" s="53" t="s">
        <v>242</v>
      </c>
      <c r="C843" s="9">
        <v>3</v>
      </c>
      <c r="D843" s="8" t="s">
        <v>412</v>
      </c>
      <c r="E843" s="10" t="s">
        <v>354</v>
      </c>
      <c r="F843" s="356" t="s">
        <v>3066</v>
      </c>
      <c r="G843" s="10" t="s">
        <v>59</v>
      </c>
      <c r="H843" s="10" t="s">
        <v>2763</v>
      </c>
      <c r="I843" s="10" t="s">
        <v>2816</v>
      </c>
      <c r="J843" s="658">
        <v>0</v>
      </c>
      <c r="K843" s="118">
        <v>22000000</v>
      </c>
      <c r="L843" s="118">
        <f t="shared" ref="L843:L849" si="321">K843*10%</f>
        <v>2200000</v>
      </c>
      <c r="M843" s="658">
        <v>0</v>
      </c>
      <c r="N843" s="189">
        <f t="shared" ref="N843:N849" si="322">K843+L843</f>
        <v>24200000</v>
      </c>
      <c r="O843" s="197" t="s">
        <v>243</v>
      </c>
      <c r="P843" s="197" t="s">
        <v>31</v>
      </c>
      <c r="Q843" s="175"/>
      <c r="R843" s="175"/>
      <c r="S843" s="116">
        <v>0</v>
      </c>
      <c r="T843" s="116">
        <f t="shared" si="320"/>
        <v>-440000</v>
      </c>
      <c r="U843" s="116">
        <v>23760000</v>
      </c>
      <c r="V843" s="210">
        <f t="shared" si="310"/>
        <v>0</v>
      </c>
      <c r="W843" s="115">
        <f t="shared" si="294"/>
        <v>0</v>
      </c>
      <c r="X843" s="181" t="s">
        <v>237</v>
      </c>
      <c r="Y843" s="116"/>
      <c r="Z843" s="185"/>
      <c r="AA843" s="592"/>
      <c r="AB843" s="186"/>
      <c r="AC843" s="9"/>
      <c r="AD843" s="297"/>
      <c r="AE843" s="297">
        <f t="shared" si="283"/>
        <v>440000</v>
      </c>
      <c r="AF843" s="9"/>
      <c r="AG843" s="9" t="s">
        <v>1395</v>
      </c>
      <c r="AH843" s="300">
        <v>42922</v>
      </c>
      <c r="AI843" s="9" t="s">
        <v>2832</v>
      </c>
      <c r="AJ843" s="300">
        <v>42922</v>
      </c>
      <c r="AK843" s="73" t="str">
        <f t="shared" si="293"/>
        <v>TEBAR TANDAN TENERA, PTAGS</v>
      </c>
    </row>
    <row r="844" spans="1:37" s="114" customFormat="1" ht="12" hidden="1" customHeight="1">
      <c r="A844" s="53"/>
      <c r="B844" s="53" t="s">
        <v>243</v>
      </c>
      <c r="C844" s="9">
        <v>1</v>
      </c>
      <c r="D844" s="8" t="s">
        <v>412</v>
      </c>
      <c r="E844" s="10" t="s">
        <v>354</v>
      </c>
      <c r="F844" s="356" t="s">
        <v>3119</v>
      </c>
      <c r="G844" s="10" t="s">
        <v>60</v>
      </c>
      <c r="H844" s="10" t="s">
        <v>2929</v>
      </c>
      <c r="I844" s="10" t="s">
        <v>2967</v>
      </c>
      <c r="J844" s="658"/>
      <c r="K844" s="118">
        <v>22000000</v>
      </c>
      <c r="L844" s="118">
        <f t="shared" si="321"/>
        <v>2200000</v>
      </c>
      <c r="M844" s="658"/>
      <c r="N844" s="189">
        <f t="shared" si="322"/>
        <v>24200000</v>
      </c>
      <c r="O844" s="197" t="s">
        <v>244</v>
      </c>
      <c r="P844" s="197" t="s">
        <v>37</v>
      </c>
      <c r="Q844" s="175"/>
      <c r="R844" s="175"/>
      <c r="S844" s="116">
        <v>0</v>
      </c>
      <c r="T844" s="116">
        <f t="shared" ref="T844:T846" si="323">-K844*2%</f>
        <v>-440000</v>
      </c>
      <c r="U844" s="116">
        <v>23760000</v>
      </c>
      <c r="V844" s="210">
        <f t="shared" si="310"/>
        <v>0</v>
      </c>
      <c r="W844" s="115"/>
      <c r="X844" s="181"/>
      <c r="Y844" s="116"/>
      <c r="Z844" s="185"/>
      <c r="AA844" s="592"/>
      <c r="AB844" s="186"/>
      <c r="AC844" s="9"/>
      <c r="AD844" s="297"/>
      <c r="AE844" s="297"/>
      <c r="AF844" s="9"/>
      <c r="AG844" s="9" t="s">
        <v>1395</v>
      </c>
      <c r="AH844" s="300">
        <v>42949</v>
      </c>
      <c r="AI844" s="9" t="s">
        <v>2832</v>
      </c>
      <c r="AJ844" s="300">
        <v>42949</v>
      </c>
      <c r="AK844" s="73" t="str">
        <f t="shared" si="293"/>
        <v>TEBAR TANDAN TENERA, PTSEP</v>
      </c>
    </row>
    <row r="845" spans="1:37" s="114" customFormat="1" ht="12" hidden="1" customHeight="1">
      <c r="A845" s="53"/>
      <c r="B845" s="1220" t="s">
        <v>244</v>
      </c>
      <c r="C845" s="1221">
        <v>4</v>
      </c>
      <c r="D845" s="1222" t="s">
        <v>412</v>
      </c>
      <c r="E845" s="1223" t="s">
        <v>354</v>
      </c>
      <c r="F845" s="1505" t="s">
        <v>3119</v>
      </c>
      <c r="G845" s="1223" t="s">
        <v>559</v>
      </c>
      <c r="H845" s="1223" t="s">
        <v>3120</v>
      </c>
      <c r="I845" s="1223" t="s">
        <v>3121</v>
      </c>
      <c r="J845" s="1237"/>
      <c r="K845" s="1212">
        <v>22000000</v>
      </c>
      <c r="L845" s="1212">
        <f t="shared" si="321"/>
        <v>2200000</v>
      </c>
      <c r="M845" s="1237"/>
      <c r="N845" s="1225">
        <f t="shared" si="322"/>
        <v>24200000</v>
      </c>
      <c r="O845" s="197" t="s">
        <v>245</v>
      </c>
      <c r="P845" s="197" t="s">
        <v>37</v>
      </c>
      <c r="Q845" s="175"/>
      <c r="R845" s="175"/>
      <c r="S845" s="116">
        <v>0</v>
      </c>
      <c r="T845" s="116">
        <f t="shared" si="323"/>
        <v>-440000</v>
      </c>
      <c r="U845" s="116">
        <v>23760000</v>
      </c>
      <c r="V845" s="210"/>
      <c r="W845" s="115"/>
      <c r="X845" s="181"/>
      <c r="Y845" s="116"/>
      <c r="Z845" s="185"/>
      <c r="AA845" s="592"/>
      <c r="AB845" s="186"/>
      <c r="AC845" s="9"/>
      <c r="AD845" s="297"/>
      <c r="AE845" s="297"/>
      <c r="AF845" s="9"/>
      <c r="AG845" s="9"/>
      <c r="AH845" s="300"/>
      <c r="AI845" s="9"/>
      <c r="AJ845" s="300"/>
      <c r="AK845" s="73" t="str">
        <f t="shared" si="293"/>
        <v>TEBAR TANDAN TENERA, PTOKT</v>
      </c>
    </row>
    <row r="846" spans="1:37" s="114" customFormat="1" ht="12" hidden="1" customHeight="1">
      <c r="A846" s="53"/>
      <c r="B846" s="1220" t="s">
        <v>245</v>
      </c>
      <c r="C846" s="1221">
        <v>3</v>
      </c>
      <c r="D846" s="1222" t="s">
        <v>412</v>
      </c>
      <c r="E846" s="1223" t="s">
        <v>354</v>
      </c>
      <c r="F846" s="1505" t="s">
        <v>3119</v>
      </c>
      <c r="G846" s="1223" t="s">
        <v>602</v>
      </c>
      <c r="H846" s="1223" t="s">
        <v>3330</v>
      </c>
      <c r="I846" s="1223" t="s">
        <v>3331</v>
      </c>
      <c r="J846" s="1237"/>
      <c r="K846" s="1212">
        <v>22000000</v>
      </c>
      <c r="L846" s="1212">
        <f t="shared" si="321"/>
        <v>2200000</v>
      </c>
      <c r="M846" s="1237"/>
      <c r="N846" s="1225">
        <f t="shared" si="322"/>
        <v>24200000</v>
      </c>
      <c r="O846" s="1202" t="s">
        <v>238</v>
      </c>
      <c r="P846" s="1202" t="s">
        <v>114</v>
      </c>
      <c r="Q846" s="175"/>
      <c r="R846" s="175"/>
      <c r="S846" s="116">
        <v>0</v>
      </c>
      <c r="T846" s="116">
        <f t="shared" si="323"/>
        <v>-440000</v>
      </c>
      <c r="U846" s="116">
        <v>23760000</v>
      </c>
      <c r="V846" s="210"/>
      <c r="W846" s="115"/>
      <c r="X846" s="181"/>
      <c r="Y846" s="116"/>
      <c r="Z846" s="185"/>
      <c r="AA846" s="592"/>
      <c r="AB846" s="186"/>
      <c r="AC846" s="9"/>
      <c r="AD846" s="297"/>
      <c r="AE846" s="297"/>
      <c r="AF846" s="9"/>
      <c r="AG846" s="9"/>
      <c r="AH846" s="300"/>
      <c r="AI846" s="9"/>
      <c r="AJ846" s="300"/>
      <c r="AK846" s="73" t="str">
        <f t="shared" si="293"/>
        <v>TEBAR TANDAN TENERA, PTNOV</v>
      </c>
    </row>
    <row r="847" spans="1:37" s="114" customFormat="1" ht="12" hidden="1" customHeight="1">
      <c r="A847" s="53"/>
      <c r="B847" s="1220" t="s">
        <v>238</v>
      </c>
      <c r="C847" s="1221">
        <v>1</v>
      </c>
      <c r="D847" s="1222" t="s">
        <v>412</v>
      </c>
      <c r="E847" s="1223" t="s">
        <v>354</v>
      </c>
      <c r="F847" s="1505" t="s">
        <v>3119</v>
      </c>
      <c r="G847" s="1223" t="s">
        <v>641</v>
      </c>
      <c r="H847" s="1223" t="s">
        <v>3497</v>
      </c>
      <c r="I847" s="1223" t="s">
        <v>3498</v>
      </c>
      <c r="J847" s="1237"/>
      <c r="K847" s="1212">
        <v>22000000</v>
      </c>
      <c r="L847" s="1212">
        <f t="shared" si="321"/>
        <v>2200000</v>
      </c>
      <c r="M847" s="1237"/>
      <c r="N847" s="1225">
        <f t="shared" si="322"/>
        <v>24200000</v>
      </c>
      <c r="O847" s="1202" t="s">
        <v>140</v>
      </c>
      <c r="P847" s="1202" t="s">
        <v>37</v>
      </c>
      <c r="Q847" s="175"/>
      <c r="R847" s="175"/>
      <c r="S847" s="116">
        <v>0</v>
      </c>
      <c r="T847" s="116">
        <f t="shared" ref="T847" si="324">-K847*2%</f>
        <v>-440000</v>
      </c>
      <c r="U847" s="116">
        <v>23760000</v>
      </c>
      <c r="V847" s="210"/>
      <c r="W847" s="115"/>
      <c r="X847" s="181"/>
      <c r="Y847" s="116"/>
      <c r="Z847" s="185"/>
      <c r="AA847" s="592"/>
      <c r="AB847" s="186"/>
      <c r="AC847" s="9"/>
      <c r="AD847" s="297"/>
      <c r="AE847" s="297"/>
      <c r="AF847" s="9"/>
      <c r="AG847" s="9"/>
      <c r="AH847" s="300"/>
      <c r="AI847" s="9"/>
      <c r="AJ847" s="300"/>
      <c r="AK847" s="73" t="str">
        <f t="shared" si="293"/>
        <v>TEBAR TANDAN TENERA, PTDES</v>
      </c>
    </row>
    <row r="848" spans="1:37" s="114" customFormat="1" ht="12" hidden="1" customHeight="1">
      <c r="A848" s="53"/>
      <c r="B848" s="758" t="s">
        <v>140</v>
      </c>
      <c r="C848" s="759">
        <v>4</v>
      </c>
      <c r="D848" s="760" t="s">
        <v>412</v>
      </c>
      <c r="E848" s="761" t="s">
        <v>354</v>
      </c>
      <c r="F848" s="1506" t="s">
        <v>3119</v>
      </c>
      <c r="G848" s="761" t="s">
        <v>1616</v>
      </c>
      <c r="H848" s="761" t="s">
        <v>3640</v>
      </c>
      <c r="I848" s="761" t="s">
        <v>3641</v>
      </c>
      <c r="J848" s="658"/>
      <c r="K848" s="764">
        <v>22000000</v>
      </c>
      <c r="L848" s="764">
        <f t="shared" si="321"/>
        <v>2200000</v>
      </c>
      <c r="M848" s="658"/>
      <c r="N848" s="763">
        <f t="shared" si="322"/>
        <v>24200000</v>
      </c>
      <c r="O848" s="1202"/>
      <c r="P848" s="1202"/>
      <c r="Q848" s="175"/>
      <c r="R848" s="175"/>
      <c r="S848" s="116"/>
      <c r="T848" s="116"/>
      <c r="U848" s="116"/>
      <c r="V848" s="210"/>
      <c r="W848" s="115"/>
      <c r="X848" s="181"/>
      <c r="Y848" s="116"/>
      <c r="Z848" s="185"/>
      <c r="AA848" s="592"/>
      <c r="AB848" s="186"/>
      <c r="AC848" s="9"/>
      <c r="AD848" s="297"/>
      <c r="AE848" s="297"/>
      <c r="AF848" s="9"/>
      <c r="AG848" s="9"/>
      <c r="AH848" s="300"/>
      <c r="AI848" s="9"/>
      <c r="AJ848" s="300"/>
      <c r="AK848" s="73"/>
    </row>
    <row r="849" spans="1:37" s="114" customFormat="1" ht="12" hidden="1" customHeight="1">
      <c r="A849" s="53"/>
      <c r="B849" s="758" t="s">
        <v>140</v>
      </c>
      <c r="C849" s="759">
        <v>28</v>
      </c>
      <c r="D849" s="760" t="s">
        <v>3754</v>
      </c>
      <c r="E849" s="761"/>
      <c r="F849" s="1506" t="s">
        <v>3755</v>
      </c>
      <c r="G849" s="1197" t="s">
        <v>14</v>
      </c>
      <c r="H849" s="761" t="s">
        <v>3756</v>
      </c>
      <c r="I849" s="761" t="s">
        <v>3784</v>
      </c>
      <c r="J849" s="658"/>
      <c r="K849" s="764">
        <v>34347025</v>
      </c>
      <c r="L849" s="764">
        <f t="shared" si="321"/>
        <v>3434702.5</v>
      </c>
      <c r="M849" s="658"/>
      <c r="N849" s="763">
        <f t="shared" si="322"/>
        <v>37781727.5</v>
      </c>
      <c r="O849" s="1202"/>
      <c r="P849" s="1202"/>
      <c r="Q849" s="175"/>
      <c r="R849" s="175"/>
      <c r="S849" s="116"/>
      <c r="T849" s="116"/>
      <c r="U849" s="116"/>
      <c r="V849" s="210"/>
      <c r="W849" s="115"/>
      <c r="X849" s="181"/>
      <c r="Y849" s="116"/>
      <c r="Z849" s="185"/>
      <c r="AA849" s="592"/>
      <c r="AB849" s="186"/>
      <c r="AC849" s="9"/>
      <c r="AD849" s="297"/>
      <c r="AE849" s="297"/>
      <c r="AF849" s="9"/>
      <c r="AG849" s="9"/>
      <c r="AH849" s="300"/>
      <c r="AI849" s="9"/>
      <c r="AJ849" s="300"/>
      <c r="AK849" s="73"/>
    </row>
    <row r="850" spans="1:37" s="114" customFormat="1" ht="12" hidden="1" customHeight="1">
      <c r="A850" s="53"/>
      <c r="B850" s="53" t="s">
        <v>194</v>
      </c>
      <c r="C850" s="9">
        <v>9</v>
      </c>
      <c r="D850" s="8" t="s">
        <v>47</v>
      </c>
      <c r="E850" s="9" t="s">
        <v>378</v>
      </c>
      <c r="F850" s="8"/>
      <c r="G850" s="9"/>
      <c r="H850" s="10" t="s">
        <v>1766</v>
      </c>
      <c r="I850" s="9" t="s">
        <v>14</v>
      </c>
      <c r="J850" s="658">
        <v>0</v>
      </c>
      <c r="K850" s="118">
        <v>107000000</v>
      </c>
      <c r="L850" s="116">
        <v>0</v>
      </c>
      <c r="M850" s="658">
        <v>0</v>
      </c>
      <c r="N850" s="189">
        <f t="shared" si="308"/>
        <v>107000000</v>
      </c>
      <c r="O850" s="197" t="s">
        <v>195</v>
      </c>
      <c r="P850" s="197" t="s">
        <v>99</v>
      </c>
      <c r="Q850" s="175"/>
      <c r="R850" s="175"/>
      <c r="S850" s="116">
        <v>0</v>
      </c>
      <c r="T850" s="116">
        <v>0</v>
      </c>
      <c r="U850" s="1187">
        <v>100000000</v>
      </c>
      <c r="V850" s="210">
        <f t="shared" si="310"/>
        <v>0</v>
      </c>
      <c r="W850" s="115">
        <f t="shared" si="294"/>
        <v>7000000</v>
      </c>
      <c r="X850" s="181" t="s">
        <v>237</v>
      </c>
      <c r="Y850" s="116"/>
      <c r="Z850" s="185"/>
      <c r="AA850" s="592">
        <f>-S850-Z850</f>
        <v>0</v>
      </c>
      <c r="AB850" s="186"/>
      <c r="AC850" s="9"/>
      <c r="AD850" s="297"/>
      <c r="AE850" s="297">
        <f t="shared" si="283"/>
        <v>0</v>
      </c>
      <c r="AF850" s="9"/>
      <c r="AG850" s="9" t="s">
        <v>1395</v>
      </c>
      <c r="AH850" s="300">
        <v>42746</v>
      </c>
      <c r="AI850" s="9" t="s">
        <v>1879</v>
      </c>
      <c r="AJ850" s="300">
        <v>42748</v>
      </c>
      <c r="AK850" s="73" t="str">
        <f t="shared" si="293"/>
        <v>TRILOGI MEDIA SINEMA, PTFEB</v>
      </c>
    </row>
    <row r="851" spans="1:37" s="114" customFormat="1" ht="12" hidden="1" customHeight="1">
      <c r="A851" s="9"/>
      <c r="B851" s="9" t="s">
        <v>195</v>
      </c>
      <c r="C851" s="9">
        <v>1</v>
      </c>
      <c r="D851" s="8" t="s">
        <v>47</v>
      </c>
      <c r="E851" s="9" t="s">
        <v>378</v>
      </c>
      <c r="F851" s="8"/>
      <c r="G851" s="9"/>
      <c r="H851" s="10" t="s">
        <v>2000</v>
      </c>
      <c r="I851" s="9" t="s">
        <v>14</v>
      </c>
      <c r="J851" s="658">
        <v>0</v>
      </c>
      <c r="K851" s="118">
        <v>107000000</v>
      </c>
      <c r="L851" s="116">
        <v>0</v>
      </c>
      <c r="M851" s="658">
        <v>0</v>
      </c>
      <c r="N851" s="189">
        <f t="shared" si="308"/>
        <v>107000000</v>
      </c>
      <c r="O851" s="197" t="s">
        <v>239</v>
      </c>
      <c r="P851" s="197" t="s">
        <v>93</v>
      </c>
      <c r="Q851" s="175"/>
      <c r="R851" s="175"/>
      <c r="S851" s="116">
        <v>0</v>
      </c>
      <c r="T851" s="116">
        <v>0</v>
      </c>
      <c r="U851" s="1187">
        <v>85000000</v>
      </c>
      <c r="V851" s="210">
        <f t="shared" si="310"/>
        <v>0</v>
      </c>
      <c r="W851" s="115">
        <f t="shared" si="294"/>
        <v>22000000</v>
      </c>
      <c r="X851" s="181" t="s">
        <v>237</v>
      </c>
      <c r="Y851" s="116"/>
      <c r="Z851" s="185"/>
      <c r="AA851" s="592"/>
      <c r="AB851" s="186"/>
      <c r="AC851" s="9"/>
      <c r="AD851" s="297"/>
      <c r="AE851" s="297">
        <f t="shared" si="283"/>
        <v>0</v>
      </c>
      <c r="AF851" s="9"/>
      <c r="AG851" s="9" t="s">
        <v>1395</v>
      </c>
      <c r="AH851" s="300">
        <v>42775</v>
      </c>
      <c r="AI851" s="9" t="s">
        <v>1879</v>
      </c>
      <c r="AJ851" s="300">
        <v>42775</v>
      </c>
      <c r="AK851" s="73" t="str">
        <f t="shared" si="293"/>
        <v>TRILOGI MEDIA SINEMA, PTMAR</v>
      </c>
    </row>
    <row r="852" spans="1:37" s="114" customFormat="1" ht="12" hidden="1" customHeight="1">
      <c r="A852" s="9"/>
      <c r="B852" s="9" t="s">
        <v>14</v>
      </c>
      <c r="C852" s="9" t="s">
        <v>14</v>
      </c>
      <c r="D852" s="8" t="s">
        <v>47</v>
      </c>
      <c r="E852" s="9" t="s">
        <v>14</v>
      </c>
      <c r="F852" s="8"/>
      <c r="G852" s="9"/>
      <c r="H852" s="10" t="s">
        <v>14</v>
      </c>
      <c r="I852" s="9" t="s">
        <v>14</v>
      </c>
      <c r="J852" s="658">
        <v>0</v>
      </c>
      <c r="K852" s="118">
        <v>0</v>
      </c>
      <c r="L852" s="116">
        <v>0</v>
      </c>
      <c r="M852" s="658">
        <v>0</v>
      </c>
      <c r="N852" s="189">
        <v>0</v>
      </c>
      <c r="O852" s="197" t="s">
        <v>240</v>
      </c>
      <c r="P852" s="197" t="s">
        <v>94</v>
      </c>
      <c r="Q852" s="175"/>
      <c r="R852" s="175"/>
      <c r="S852" s="116">
        <v>0</v>
      </c>
      <c r="T852" s="116">
        <v>0</v>
      </c>
      <c r="U852" s="1187">
        <v>22000000</v>
      </c>
      <c r="V852" s="210">
        <f t="shared" si="310"/>
        <v>0</v>
      </c>
      <c r="W852" s="115">
        <f t="shared" si="294"/>
        <v>-22000000</v>
      </c>
      <c r="X852" s="181" t="s">
        <v>294</v>
      </c>
      <c r="Y852" s="116"/>
      <c r="Z852" s="185"/>
      <c r="AA852" s="592"/>
      <c r="AB852" s="186"/>
      <c r="AC852" s="9"/>
      <c r="AD852" s="297"/>
      <c r="AE852" s="297">
        <f t="shared" si="283"/>
        <v>0</v>
      </c>
      <c r="AF852" s="9"/>
      <c r="AG852" s="9" t="s">
        <v>14</v>
      </c>
      <c r="AH852" s="300" t="s">
        <v>14</v>
      </c>
      <c r="AI852" s="9" t="s">
        <v>14</v>
      </c>
      <c r="AJ852" s="300" t="s">
        <v>14</v>
      </c>
      <c r="AK852" s="73" t="str">
        <f t="shared" si="293"/>
        <v>TRILOGI MEDIA SINEMA, PTAPR</v>
      </c>
    </row>
    <row r="853" spans="1:37" s="114" customFormat="1" ht="12" hidden="1" customHeight="1">
      <c r="A853" s="9"/>
      <c r="B853" s="9" t="s">
        <v>239</v>
      </c>
      <c r="C853" s="9">
        <v>1</v>
      </c>
      <c r="D853" s="8" t="s">
        <v>47</v>
      </c>
      <c r="E853" s="9" t="s">
        <v>378</v>
      </c>
      <c r="F853" s="8"/>
      <c r="G853" s="9"/>
      <c r="H853" s="10" t="s">
        <v>2086</v>
      </c>
      <c r="I853" s="9" t="s">
        <v>14</v>
      </c>
      <c r="J853" s="658">
        <v>0</v>
      </c>
      <c r="K853" s="118">
        <v>107000000</v>
      </c>
      <c r="L853" s="116">
        <v>0</v>
      </c>
      <c r="M853" s="658">
        <v>0</v>
      </c>
      <c r="N853" s="189">
        <f t="shared" si="308"/>
        <v>107000000</v>
      </c>
      <c r="O853" s="197"/>
      <c r="P853" s="197"/>
      <c r="Q853" s="175"/>
      <c r="R853" s="175"/>
      <c r="S853" s="116">
        <v>0</v>
      </c>
      <c r="T853" s="116">
        <v>0</v>
      </c>
      <c r="U853" s="116"/>
      <c r="V853" s="210">
        <f t="shared" si="310"/>
        <v>0</v>
      </c>
      <c r="W853" s="115">
        <f t="shared" si="294"/>
        <v>107000000</v>
      </c>
      <c r="X853" s="181"/>
      <c r="Y853" s="116"/>
      <c r="Z853" s="185"/>
      <c r="AA853" s="592"/>
      <c r="AB853" s="186"/>
      <c r="AC853" s="9"/>
      <c r="AD853" s="297"/>
      <c r="AE853" s="297">
        <f t="shared" si="283"/>
        <v>0</v>
      </c>
      <c r="AF853" s="9"/>
      <c r="AG853" s="9" t="s">
        <v>1395</v>
      </c>
      <c r="AH853" s="300">
        <v>42795</v>
      </c>
      <c r="AI853" s="9" t="s">
        <v>1879</v>
      </c>
      <c r="AJ853" s="300">
        <v>42797</v>
      </c>
      <c r="AK853" s="73" t="str">
        <f t="shared" si="293"/>
        <v>TRILOGI MEDIA SINEMA, PT</v>
      </c>
    </row>
    <row r="854" spans="1:37" s="114" customFormat="1" ht="12" hidden="1" customHeight="1">
      <c r="A854" s="9"/>
      <c r="B854" s="9" t="s">
        <v>240</v>
      </c>
      <c r="C854" s="9">
        <v>3</v>
      </c>
      <c r="D854" s="8" t="s">
        <v>47</v>
      </c>
      <c r="E854" s="9" t="s">
        <v>378</v>
      </c>
      <c r="F854" s="8"/>
      <c r="G854" s="9"/>
      <c r="H854" s="10" t="s">
        <v>2229</v>
      </c>
      <c r="I854" s="9" t="s">
        <v>14</v>
      </c>
      <c r="J854" s="658">
        <v>0</v>
      </c>
      <c r="K854" s="118">
        <v>107000000</v>
      </c>
      <c r="L854" s="116">
        <v>0</v>
      </c>
      <c r="M854" s="658">
        <v>0</v>
      </c>
      <c r="N854" s="189">
        <f t="shared" si="308"/>
        <v>107000000</v>
      </c>
      <c r="O854" s="197"/>
      <c r="P854" s="197"/>
      <c r="Q854" s="175"/>
      <c r="R854" s="175"/>
      <c r="S854" s="116">
        <v>0</v>
      </c>
      <c r="T854" s="116">
        <v>0</v>
      </c>
      <c r="U854" s="116"/>
      <c r="V854" s="210">
        <f t="shared" si="310"/>
        <v>0</v>
      </c>
      <c r="W854" s="115">
        <f t="shared" si="294"/>
        <v>107000000</v>
      </c>
      <c r="X854" s="181"/>
      <c r="Y854" s="116"/>
      <c r="Z854" s="185"/>
      <c r="AA854" s="592"/>
      <c r="AB854" s="186"/>
      <c r="AC854" s="9"/>
      <c r="AD854" s="297"/>
      <c r="AE854" s="297">
        <f t="shared" si="283"/>
        <v>0</v>
      </c>
      <c r="AF854" s="9"/>
      <c r="AG854" s="9" t="s">
        <v>1395</v>
      </c>
      <c r="AH854" s="300">
        <v>42831</v>
      </c>
      <c r="AI854" s="9" t="s">
        <v>1879</v>
      </c>
      <c r="AJ854" s="300">
        <v>42831</v>
      </c>
      <c r="AK854" s="73" t="str">
        <f t="shared" si="293"/>
        <v>TRILOGI MEDIA SINEMA, PT</v>
      </c>
    </row>
    <row r="855" spans="1:37" s="114" customFormat="1" ht="12" hidden="1" customHeight="1">
      <c r="A855" s="9"/>
      <c r="B855" s="9" t="s">
        <v>58</v>
      </c>
      <c r="C855" s="9">
        <v>2</v>
      </c>
      <c r="D855" s="8" t="s">
        <v>47</v>
      </c>
      <c r="E855" s="9" t="s">
        <v>378</v>
      </c>
      <c r="F855" s="8"/>
      <c r="G855" s="9"/>
      <c r="H855" s="10" t="s">
        <v>2441</v>
      </c>
      <c r="I855" s="9" t="s">
        <v>14</v>
      </c>
      <c r="J855" s="658">
        <v>0</v>
      </c>
      <c r="K855" s="118">
        <v>107000000</v>
      </c>
      <c r="L855" s="116">
        <v>0</v>
      </c>
      <c r="M855" s="658">
        <v>0</v>
      </c>
      <c r="N855" s="189">
        <f t="shared" si="308"/>
        <v>107000000</v>
      </c>
      <c r="O855" s="197"/>
      <c r="P855" s="197"/>
      <c r="Q855" s="175"/>
      <c r="R855" s="175"/>
      <c r="S855" s="116">
        <v>0</v>
      </c>
      <c r="T855" s="116"/>
      <c r="U855" s="116"/>
      <c r="V855" s="210">
        <f t="shared" si="310"/>
        <v>0</v>
      </c>
      <c r="W855" s="115">
        <f t="shared" si="294"/>
        <v>107000000</v>
      </c>
      <c r="X855" s="181"/>
      <c r="Y855" s="116"/>
      <c r="Z855" s="185"/>
      <c r="AA855" s="592"/>
      <c r="AB855" s="186"/>
      <c r="AC855" s="9"/>
      <c r="AD855" s="297"/>
      <c r="AE855" s="297">
        <f t="shared" si="283"/>
        <v>0</v>
      </c>
      <c r="AF855" s="9"/>
      <c r="AG855" s="9" t="s">
        <v>1395</v>
      </c>
      <c r="AH855" s="300">
        <v>42860</v>
      </c>
      <c r="AI855" s="9" t="s">
        <v>1879</v>
      </c>
      <c r="AJ855" s="300">
        <v>42860</v>
      </c>
      <c r="AK855" s="73" t="str">
        <f t="shared" si="293"/>
        <v>TRILOGI MEDIA SINEMA, PT</v>
      </c>
    </row>
    <row r="856" spans="1:37" s="114" customFormat="1" ht="12" hidden="1" customHeight="1">
      <c r="A856" s="9"/>
      <c r="B856" s="9" t="s">
        <v>240</v>
      </c>
      <c r="C856" s="9">
        <v>5</v>
      </c>
      <c r="D856" s="8" t="s">
        <v>98</v>
      </c>
      <c r="E856" s="9" t="s">
        <v>62</v>
      </c>
      <c r="F856" s="8"/>
      <c r="G856" s="9"/>
      <c r="H856" s="10" t="s">
        <v>2361</v>
      </c>
      <c r="I856" s="9" t="s">
        <v>2363</v>
      </c>
      <c r="J856" s="658">
        <v>0</v>
      </c>
      <c r="K856" s="118">
        <v>172179496</v>
      </c>
      <c r="L856" s="118">
        <f>K856*10%</f>
        <v>17217949.600000001</v>
      </c>
      <c r="M856" s="658">
        <v>0</v>
      </c>
      <c r="N856" s="189">
        <f t="shared" si="308"/>
        <v>189397445.59999999</v>
      </c>
      <c r="O856" s="197" t="s">
        <v>241</v>
      </c>
      <c r="P856" s="197" t="s">
        <v>42</v>
      </c>
      <c r="Q856" s="175"/>
      <c r="R856" s="175"/>
      <c r="S856" s="116">
        <v>0</v>
      </c>
      <c r="T856" s="116">
        <f>-K856*3%</f>
        <v>-5165384.88</v>
      </c>
      <c r="U856" s="116">
        <v>184232061</v>
      </c>
      <c r="V856" s="210">
        <f t="shared" si="310"/>
        <v>0</v>
      </c>
      <c r="W856" s="115">
        <f t="shared" si="294"/>
        <v>-0.2800000011920929</v>
      </c>
      <c r="X856" s="181" t="s">
        <v>294</v>
      </c>
      <c r="Y856" s="116"/>
      <c r="Z856" s="185"/>
      <c r="AA856" s="592"/>
      <c r="AB856" s="186"/>
      <c r="AC856" s="9"/>
      <c r="AD856" s="297"/>
      <c r="AE856" s="297">
        <f t="shared" si="283"/>
        <v>5165384.88</v>
      </c>
      <c r="AF856" s="9"/>
      <c r="AG856" s="9" t="s">
        <v>1395</v>
      </c>
      <c r="AH856" s="300">
        <v>42838</v>
      </c>
      <c r="AI856" s="9" t="s">
        <v>2365</v>
      </c>
      <c r="AJ856" s="300">
        <v>42838</v>
      </c>
      <c r="AK856" s="73" t="str">
        <f t="shared" si="293"/>
        <v>ZTE INDONESIA, PTJUN</v>
      </c>
    </row>
    <row r="857" spans="1:37" s="114" customFormat="1" ht="12" hidden="1" customHeight="1">
      <c r="A857" s="9"/>
      <c r="B857" s="9" t="s">
        <v>240</v>
      </c>
      <c r="C857" s="9">
        <v>5</v>
      </c>
      <c r="D857" s="8" t="s">
        <v>98</v>
      </c>
      <c r="E857" s="9" t="s">
        <v>62</v>
      </c>
      <c r="F857" s="8"/>
      <c r="G857" s="9"/>
      <c r="H857" s="10" t="s">
        <v>2362</v>
      </c>
      <c r="I857" s="9" t="s">
        <v>2364</v>
      </c>
      <c r="J857" s="658">
        <v>0</v>
      </c>
      <c r="K857" s="118">
        <v>236647738</v>
      </c>
      <c r="L857" s="118">
        <f>K857*10%</f>
        <v>23664773.800000001</v>
      </c>
      <c r="M857" s="658">
        <v>0</v>
      </c>
      <c r="N857" s="189">
        <f t="shared" si="308"/>
        <v>260312511.80000001</v>
      </c>
      <c r="O857" s="197" t="s">
        <v>241</v>
      </c>
      <c r="P857" s="197" t="s">
        <v>42</v>
      </c>
      <c r="Q857" s="175"/>
      <c r="R857" s="175"/>
      <c r="S857" s="116">
        <v>0</v>
      </c>
      <c r="T857" s="116">
        <f>-K857*3%</f>
        <v>-7099432.1399999997</v>
      </c>
      <c r="U857" s="116">
        <v>253213079</v>
      </c>
      <c r="V857" s="210">
        <f t="shared" si="310"/>
        <v>0</v>
      </c>
      <c r="W857" s="115">
        <f t="shared" si="294"/>
        <v>0.6600000262260437</v>
      </c>
      <c r="X857" s="181" t="s">
        <v>294</v>
      </c>
      <c r="Y857" s="116"/>
      <c r="Z857" s="185"/>
      <c r="AA857" s="592"/>
      <c r="AB857" s="186"/>
      <c r="AC857" s="9"/>
      <c r="AD857" s="297"/>
      <c r="AE857" s="297">
        <f t="shared" si="283"/>
        <v>7099432.1399999997</v>
      </c>
      <c r="AF857" s="9"/>
      <c r="AG857" s="9" t="s">
        <v>1395</v>
      </c>
      <c r="AH857" s="300">
        <v>42838</v>
      </c>
      <c r="AI857" s="9" t="s">
        <v>2365</v>
      </c>
      <c r="AJ857" s="300">
        <v>42838</v>
      </c>
      <c r="AK857" s="73" t="str">
        <f t="shared" si="293"/>
        <v>ZTE INDONESIA, PTJUN</v>
      </c>
    </row>
    <row r="858" spans="1:37" s="114" customFormat="1" ht="12" hidden="1" customHeight="1">
      <c r="A858" s="1249"/>
      <c r="B858" s="1265" t="s">
        <v>245</v>
      </c>
      <c r="C858" s="759">
        <v>24</v>
      </c>
      <c r="D858" s="760" t="s">
        <v>98</v>
      </c>
      <c r="E858" s="759" t="s">
        <v>62</v>
      </c>
      <c r="F858" s="1506" t="s">
        <v>3620</v>
      </c>
      <c r="G858" s="761"/>
      <c r="H858" s="761" t="s">
        <v>3457</v>
      </c>
      <c r="I858" s="761" t="s">
        <v>3458</v>
      </c>
      <c r="J858" s="762"/>
      <c r="K858" s="763">
        <v>287963214</v>
      </c>
      <c r="L858" s="764">
        <f t="shared" ref="L858:L861" si="325">K858*10%</f>
        <v>28796321.400000002</v>
      </c>
      <c r="M858" s="1228"/>
      <c r="N858" s="1263">
        <f t="shared" si="308"/>
        <v>316759535.39999998</v>
      </c>
      <c r="O858" s="1255"/>
      <c r="P858" s="1255"/>
      <c r="Q858" s="1256"/>
      <c r="R858" s="1256"/>
      <c r="S858" s="1257"/>
      <c r="T858" s="116"/>
      <c r="U858" s="1257"/>
      <c r="V858" s="210"/>
      <c r="W858" s="115"/>
      <c r="X858" s="1258"/>
      <c r="Y858" s="1257"/>
      <c r="Z858" s="1259"/>
      <c r="AA858" s="592"/>
      <c r="AB858" s="186"/>
      <c r="AC858" s="9"/>
      <c r="AD858" s="297"/>
      <c r="AE858" s="297"/>
      <c r="AF858" s="9"/>
      <c r="AG858" s="1249"/>
      <c r="AH858" s="1260"/>
      <c r="AI858" s="1249"/>
      <c r="AJ858" s="1260"/>
      <c r="AK858" s="73"/>
    </row>
    <row r="859" spans="1:37" s="114" customFormat="1" ht="12" hidden="1" customHeight="1">
      <c r="A859" s="1249"/>
      <c r="B859" s="1265" t="s">
        <v>245</v>
      </c>
      <c r="C859" s="759">
        <v>24</v>
      </c>
      <c r="D859" s="760" t="s">
        <v>98</v>
      </c>
      <c r="E859" s="759" t="s">
        <v>62</v>
      </c>
      <c r="F859" s="1506" t="s">
        <v>3621</v>
      </c>
      <c r="G859" s="761"/>
      <c r="H859" s="761" t="s">
        <v>3459</v>
      </c>
      <c r="I859" s="761" t="s">
        <v>3578</v>
      </c>
      <c r="J859" s="762"/>
      <c r="K859" s="763">
        <v>225622362</v>
      </c>
      <c r="L859" s="764">
        <f t="shared" si="325"/>
        <v>22562236.200000003</v>
      </c>
      <c r="M859" s="1228"/>
      <c r="N859" s="1263">
        <f t="shared" si="308"/>
        <v>248184598.19999999</v>
      </c>
      <c r="O859" s="1255"/>
      <c r="P859" s="1255"/>
      <c r="Q859" s="1256"/>
      <c r="R859" s="1256"/>
      <c r="S859" s="1257"/>
      <c r="T859" s="116"/>
      <c r="U859" s="1257"/>
      <c r="V859" s="210"/>
      <c r="W859" s="115"/>
      <c r="X859" s="1258"/>
      <c r="Y859" s="1257"/>
      <c r="Z859" s="1259"/>
      <c r="AA859" s="592"/>
      <c r="AB859" s="186"/>
      <c r="AC859" s="9"/>
      <c r="AD859" s="297"/>
      <c r="AE859" s="297"/>
      <c r="AF859" s="9"/>
      <c r="AG859" s="1249"/>
      <c r="AH859" s="1260"/>
      <c r="AI859" s="1249"/>
      <c r="AJ859" s="1260"/>
      <c r="AK859" s="73"/>
    </row>
    <row r="860" spans="1:37" s="114" customFormat="1" ht="12" hidden="1" customHeight="1">
      <c r="A860" s="1249"/>
      <c r="B860" s="1265" t="s">
        <v>245</v>
      </c>
      <c r="C860" s="759">
        <v>24</v>
      </c>
      <c r="D860" s="760" t="s">
        <v>98</v>
      </c>
      <c r="E860" s="759" t="s">
        <v>62</v>
      </c>
      <c r="F860" s="1506" t="s">
        <v>3622</v>
      </c>
      <c r="G860" s="761"/>
      <c r="H860" s="761" t="s">
        <v>3460</v>
      </c>
      <c r="I860" s="761" t="s">
        <v>3461</v>
      </c>
      <c r="J860" s="762"/>
      <c r="K860" s="763">
        <v>159037720</v>
      </c>
      <c r="L860" s="764">
        <f t="shared" si="325"/>
        <v>15903772</v>
      </c>
      <c r="M860" s="1228"/>
      <c r="N860" s="1263">
        <f t="shared" si="308"/>
        <v>174941492</v>
      </c>
      <c r="O860" s="1255"/>
      <c r="P860" s="1255"/>
      <c r="Q860" s="1256"/>
      <c r="R860" s="1256"/>
      <c r="S860" s="1257"/>
      <c r="T860" s="116"/>
      <c r="U860" s="1257"/>
      <c r="V860" s="210"/>
      <c r="W860" s="115"/>
      <c r="X860" s="1258"/>
      <c r="Y860" s="1257"/>
      <c r="Z860" s="1259"/>
      <c r="AA860" s="592"/>
      <c r="AB860" s="186"/>
      <c r="AC860" s="9"/>
      <c r="AD860" s="297"/>
      <c r="AE860" s="297"/>
      <c r="AF860" s="9"/>
      <c r="AG860" s="1249"/>
      <c r="AH860" s="1260"/>
      <c r="AI860" s="1249"/>
      <c r="AJ860" s="1260"/>
      <c r="AK860" s="73"/>
    </row>
    <row r="861" spans="1:37" s="114" customFormat="1" ht="12" hidden="1" customHeight="1">
      <c r="A861" s="1249"/>
      <c r="B861" s="1265" t="s">
        <v>245</v>
      </c>
      <c r="C861" s="759">
        <v>24</v>
      </c>
      <c r="D861" s="760" t="s">
        <v>98</v>
      </c>
      <c r="E861" s="759" t="s">
        <v>62</v>
      </c>
      <c r="F861" s="1506" t="s">
        <v>3623</v>
      </c>
      <c r="G861" s="761"/>
      <c r="H861" s="761" t="s">
        <v>3462</v>
      </c>
      <c r="I861" s="761" t="s">
        <v>3463</v>
      </c>
      <c r="J861" s="762"/>
      <c r="K861" s="763">
        <v>17811672</v>
      </c>
      <c r="L861" s="764">
        <f t="shared" si="325"/>
        <v>1781167.2000000002</v>
      </c>
      <c r="M861" s="1228"/>
      <c r="N861" s="1263">
        <f t="shared" si="308"/>
        <v>19592839.199999999</v>
      </c>
      <c r="O861" s="1255"/>
      <c r="P861" s="1255"/>
      <c r="Q861" s="1256"/>
      <c r="R861" s="1256"/>
      <c r="S861" s="1257"/>
      <c r="T861" s="116"/>
      <c r="U861" s="1257"/>
      <c r="V861" s="210"/>
      <c r="W861" s="115"/>
      <c r="X861" s="1258"/>
      <c r="Y861" s="1257"/>
      <c r="Z861" s="1259"/>
      <c r="AA861" s="592"/>
      <c r="AB861" s="186"/>
      <c r="AC861" s="9"/>
      <c r="AD861" s="297"/>
      <c r="AE861" s="297"/>
      <c r="AF861" s="9"/>
      <c r="AG861" s="1249"/>
      <c r="AH861" s="1260"/>
      <c r="AI861" s="1249"/>
      <c r="AJ861" s="1260"/>
      <c r="AK861" s="73"/>
    </row>
    <row r="862" spans="1:37" s="114" customFormat="1" ht="12" hidden="1" customHeight="1">
      <c r="A862" s="1249"/>
      <c r="B862" s="1249"/>
      <c r="C862" s="1249"/>
      <c r="D862" s="1250"/>
      <c r="E862" s="1249"/>
      <c r="F862" s="1250"/>
      <c r="G862" s="1249"/>
      <c r="H862" s="1251"/>
      <c r="I862" s="1249"/>
      <c r="J862" s="1252"/>
      <c r="K862" s="1253"/>
      <c r="L862" s="1253"/>
      <c r="M862" s="1252"/>
      <c r="N862" s="1254"/>
      <c r="O862" s="1255"/>
      <c r="P862" s="1255"/>
      <c r="Q862" s="1256"/>
      <c r="R862" s="1256"/>
      <c r="S862" s="1257"/>
      <c r="T862" s="116"/>
      <c r="U862" s="1257"/>
      <c r="V862" s="210"/>
      <c r="W862" s="115"/>
      <c r="X862" s="1258"/>
      <c r="Y862" s="1257"/>
      <c r="Z862" s="1259"/>
      <c r="AA862" s="592"/>
      <c r="AB862" s="186"/>
      <c r="AC862" s="9"/>
      <c r="AD862" s="297"/>
      <c r="AE862" s="297"/>
      <c r="AF862" s="9"/>
      <c r="AG862" s="1249"/>
      <c r="AH862" s="1260"/>
      <c r="AI862" s="1249"/>
      <c r="AJ862" s="1260"/>
      <c r="AK862" s="73"/>
    </row>
    <row r="863" spans="1:37" s="40" customFormat="1" ht="12" hidden="1" customHeight="1" thickBot="1">
      <c r="A863" s="145"/>
      <c r="B863" s="145"/>
      <c r="C863" s="145"/>
      <c r="D863" s="146"/>
      <c r="E863" s="147"/>
      <c r="F863" s="1513"/>
      <c r="G863" s="147"/>
      <c r="H863" s="145"/>
      <c r="I863" s="147"/>
      <c r="J863" s="145"/>
      <c r="K863" s="148"/>
      <c r="L863" s="148"/>
      <c r="M863" s="147"/>
      <c r="N863" s="202"/>
      <c r="O863" s="199"/>
      <c r="P863" s="199"/>
      <c r="Q863" s="178"/>
      <c r="R863" s="178"/>
      <c r="S863" s="514"/>
      <c r="T863" s="116">
        <v>0</v>
      </c>
      <c r="U863" s="148"/>
      <c r="V863" s="210">
        <f t="shared" ref="V863" si="326">M863+Q863-R863</f>
        <v>0</v>
      </c>
      <c r="W863" s="115">
        <f>N863+S863+T863-U863</f>
        <v>0</v>
      </c>
      <c r="X863" s="515"/>
      <c r="Y863" s="148"/>
      <c r="Z863" s="187"/>
      <c r="AA863" s="592">
        <f>-S863-Z863</f>
        <v>0</v>
      </c>
      <c r="AB863" s="186"/>
      <c r="AC863" s="9"/>
      <c r="AD863" s="297"/>
      <c r="AE863" s="297">
        <f>-T863-AD863</f>
        <v>0</v>
      </c>
      <c r="AF863" s="9"/>
      <c r="AG863" s="100"/>
      <c r="AH863" s="396"/>
      <c r="AI863" s="100"/>
      <c r="AJ863" s="396"/>
      <c r="AK863" s="73" t="str">
        <f>CONCATENATE(D863,O863)</f>
        <v/>
      </c>
    </row>
    <row r="864" spans="1:37" ht="20.100000000000001" hidden="1" customHeight="1" thickTop="1" thickBot="1">
      <c r="A864" s="1545" t="s">
        <v>61</v>
      </c>
      <c r="B864" s="1545"/>
      <c r="C864" s="1545"/>
      <c r="D864" s="1545"/>
      <c r="E864" s="1545"/>
      <c r="F864" s="1545"/>
      <c r="G864" s="1545"/>
      <c r="H864" s="1545"/>
      <c r="I864" s="1545"/>
      <c r="J864" s="593">
        <f>SUM(J153:J863)</f>
        <v>143332700</v>
      </c>
      <c r="K864" s="594">
        <f>SUM(K153:K863)</f>
        <v>34901569145.378006</v>
      </c>
      <c r="L864" s="594">
        <f>SUM(L153:L863)</f>
        <v>3436370541.7707958</v>
      </c>
      <c r="M864" s="593">
        <f>SUM(M153:M863)</f>
        <v>46200010</v>
      </c>
      <c r="N864" s="594">
        <f>SUM(N153:N863)</f>
        <v>38336939687.139862</v>
      </c>
      <c r="O864" s="209"/>
      <c r="P864" s="209"/>
      <c r="Q864" s="817">
        <f>SUM(Q153:Q863)</f>
        <v>0</v>
      </c>
      <c r="R864" s="817">
        <f>SUM(R153:R863)</f>
        <v>0</v>
      </c>
      <c r="S864" s="594">
        <f>SUM(S153:S863)</f>
        <v>-14800000</v>
      </c>
      <c r="T864" s="594">
        <f>SUM(T186:T863)</f>
        <v>-283546773.70029998</v>
      </c>
      <c r="U864" s="594">
        <f>SUM(U153:U863)</f>
        <v>29482182377.649986</v>
      </c>
      <c r="V864" s="593">
        <f>SUM(V153:V863)</f>
        <v>0</v>
      </c>
      <c r="W864" s="602">
        <f>SUM(W153:W863)</f>
        <v>1370339770.3709402</v>
      </c>
      <c r="X864" s="209"/>
      <c r="Z864" s="594">
        <f>SUM(Z153:Z863)</f>
        <v>0</v>
      </c>
      <c r="AA864" s="602">
        <f>SUM(AA153:AA863)</f>
        <v>1850000</v>
      </c>
      <c r="AD864" s="594">
        <f>SUM(AD153:AD863)</f>
        <v>118023099</v>
      </c>
      <c r="AE864" s="602">
        <f>SUM(AE153:AE863)</f>
        <v>159930314.09985995</v>
      </c>
    </row>
    <row r="865" spans="1:36" ht="20.100000000000001" hidden="1" customHeight="1" thickTop="1" thickBot="1">
      <c r="A865" s="73"/>
      <c r="B865" s="73"/>
      <c r="C865" s="73"/>
      <c r="D865" s="73"/>
      <c r="E865" s="73"/>
      <c r="F865" s="1514"/>
      <c r="G865" s="73"/>
      <c r="H865" s="73"/>
      <c r="I865" s="73"/>
      <c r="J865" s="73"/>
      <c r="K865" s="1541">
        <f>SUM(K864:L864)</f>
        <v>38337939687.148804</v>
      </c>
      <c r="L865" s="1542"/>
      <c r="M865" s="599" t="s">
        <v>1684</v>
      </c>
      <c r="N865" s="594">
        <f>K865-N864</f>
        <v>1000000.0089416504</v>
      </c>
      <c r="O865" s="209"/>
      <c r="P865" s="209"/>
      <c r="Q865" s="1293">
        <f>R864-Q864</f>
        <v>0</v>
      </c>
      <c r="R865" s="1294"/>
      <c r="S865" s="1280">
        <f>U864-T864-S864</f>
        <v>29780529151.350285</v>
      </c>
      <c r="T865" s="1290"/>
      <c r="U865" s="1281"/>
      <c r="V865" s="601" t="s">
        <v>1687</v>
      </c>
      <c r="W865" s="594">
        <f>N864-S865-W864</f>
        <v>7186070765.4186373</v>
      </c>
      <c r="X865" s="206"/>
      <c r="Y865" s="33"/>
      <c r="Z865" s="1280">
        <f>SUM(Z864:AA864)</f>
        <v>1850000</v>
      </c>
      <c r="AA865" s="1281"/>
      <c r="AD865" s="1280">
        <f>SUM(AD864:AE864)</f>
        <v>277953413.09985995</v>
      </c>
      <c r="AE865" s="1281"/>
    </row>
    <row r="866" spans="1:36" ht="20.100000000000001" hidden="1" customHeight="1" thickTop="1">
      <c r="A866" s="33"/>
      <c r="B866" s="33"/>
      <c r="C866" s="33"/>
      <c r="E866" s="33"/>
      <c r="F866" s="1525"/>
      <c r="G866" s="33"/>
      <c r="H866" s="604"/>
      <c r="I866" s="33"/>
      <c r="J866" s="33"/>
      <c r="K866" s="1557" t="s">
        <v>1686</v>
      </c>
      <c r="L866" s="1558"/>
      <c r="M866" s="1559"/>
      <c r="N866" s="598"/>
      <c r="R866" s="603"/>
      <c r="S866" s="603"/>
      <c r="T866" s="603"/>
      <c r="U866" s="369"/>
      <c r="V866" s="443"/>
      <c r="W866" s="444"/>
      <c r="X866" s="474"/>
      <c r="Y866" s="33"/>
    </row>
    <row r="867" spans="1:36" ht="20.100000000000001" hidden="1" customHeight="1">
      <c r="H867" s="442"/>
      <c r="K867" s="1560" t="s">
        <v>1685</v>
      </c>
      <c r="L867" s="1561"/>
      <c r="M867" s="1562"/>
      <c r="N867" s="596">
        <v>-12483581</v>
      </c>
      <c r="R867" s="603"/>
      <c r="S867" s="603"/>
      <c r="T867" s="603"/>
      <c r="U867" s="603"/>
      <c r="V867" s="443"/>
      <c r="W867" s="444"/>
    </row>
    <row r="868" spans="1:36" ht="20.100000000000001" hidden="1" customHeight="1">
      <c r="A868" s="474"/>
      <c r="B868" s="474"/>
      <c r="C868" s="474"/>
      <c r="H868" s="442"/>
      <c r="K868" s="1563" t="s">
        <v>1619</v>
      </c>
      <c r="L868" s="1564"/>
      <c r="M868" s="1565"/>
      <c r="N868" s="597">
        <f>SUM(N865:N867)</f>
        <v>-11483580.99105835</v>
      </c>
      <c r="R868" s="603"/>
      <c r="S868" s="603"/>
      <c r="T868" s="603"/>
      <c r="U868" s="603"/>
      <c r="V868" s="443"/>
      <c r="W868" s="444"/>
      <c r="AG868" s="474"/>
      <c r="AH868" s="474"/>
      <c r="AI868" s="474"/>
      <c r="AJ868" s="474"/>
    </row>
    <row r="869" spans="1:36" ht="20.100000000000001" hidden="1" customHeight="1" thickBot="1">
      <c r="A869" s="474"/>
      <c r="B869" s="474"/>
      <c r="C869" s="474"/>
      <c r="H869" s="442"/>
      <c r="K869" s="622"/>
      <c r="L869" s="622"/>
      <c r="M869" s="623"/>
      <c r="N869" s="624"/>
      <c r="R869" s="603"/>
      <c r="S869" s="603"/>
      <c r="T869" s="603"/>
      <c r="U869" s="603"/>
      <c r="V869" s="443"/>
      <c r="W869" s="444"/>
      <c r="AG869" s="474"/>
      <c r="AH869" s="474"/>
      <c r="AI869" s="474"/>
      <c r="AJ869" s="474"/>
    </row>
    <row r="870" spans="1:36" ht="20.100000000000001" hidden="1" customHeight="1" thickBot="1">
      <c r="A870" s="1546" t="s">
        <v>1692</v>
      </c>
      <c r="B870" s="1547"/>
      <c r="C870" s="1547"/>
      <c r="D870" s="1547"/>
      <c r="E870" s="1547"/>
      <c r="F870" s="1547"/>
      <c r="G870" s="1547"/>
      <c r="H870" s="1547"/>
      <c r="I870" s="1548"/>
      <c r="J870" s="626">
        <f>SUM(J144,J864)</f>
        <v>143343719</v>
      </c>
      <c r="K870" s="627">
        <f>SUM(K144,K864)</f>
        <v>42186549145.64801</v>
      </c>
      <c r="L870" s="627">
        <f>SUM(L144,L864)</f>
        <v>3946432616.8977957</v>
      </c>
      <c r="M870" s="626">
        <f>SUM(M144,M864)</f>
        <v>46212059</v>
      </c>
      <c r="N870" s="627">
        <f>SUM(N144,N864)</f>
        <v>46121681762.536865</v>
      </c>
      <c r="O870" s="1291"/>
      <c r="P870" s="1292"/>
      <c r="Q870" s="626">
        <f t="shared" ref="Q870:W870" si="327">SUM(Q144,Q864)</f>
        <v>0</v>
      </c>
      <c r="R870" s="626">
        <f t="shared" si="327"/>
        <v>0</v>
      </c>
      <c r="S870" s="627">
        <f t="shared" si="327"/>
        <v>-17489528.5</v>
      </c>
      <c r="T870" s="627">
        <f t="shared" si="327"/>
        <v>-380724217.50569999</v>
      </c>
      <c r="U870" s="627">
        <f t="shared" si="327"/>
        <v>35521862918.649986</v>
      </c>
      <c r="V870" s="626">
        <f t="shared" si="327"/>
        <v>12049</v>
      </c>
      <c r="W870" s="627">
        <f t="shared" si="327"/>
        <v>3015534332.4625401</v>
      </c>
      <c r="X870" s="1291"/>
      <c r="Y870" s="1292"/>
      <c r="Z870" s="627">
        <f>SUM(Z144,Z864)</f>
        <v>0</v>
      </c>
      <c r="AA870" s="627">
        <f>SUM(AA144,AA864)</f>
        <v>2739528.5</v>
      </c>
      <c r="AB870" s="1291"/>
      <c r="AC870" s="1292"/>
      <c r="AD870" s="627">
        <f>SUM(AD144,AD864)</f>
        <v>166167254</v>
      </c>
      <c r="AE870" s="627">
        <f>SUM(AE144,AE864)</f>
        <v>199319639.46525997</v>
      </c>
      <c r="AG870" s="474"/>
      <c r="AH870" s="474"/>
      <c r="AI870" s="474"/>
      <c r="AJ870" s="474"/>
    </row>
    <row r="871" spans="1:36" ht="20.100000000000001" hidden="1" customHeight="1">
      <c r="A871" s="474"/>
      <c r="B871" s="474"/>
      <c r="C871" s="474"/>
      <c r="H871" s="442"/>
      <c r="K871" s="595"/>
      <c r="L871" s="595"/>
      <c r="M871" s="595"/>
      <c r="N871" s="625"/>
      <c r="R871" s="603"/>
      <c r="S871" s="603"/>
      <c r="T871" s="603"/>
      <c r="U871" s="603"/>
      <c r="V871" s="443"/>
      <c r="W871" s="444"/>
      <c r="AG871" s="474"/>
      <c r="AH871" s="474"/>
      <c r="AI871" s="474"/>
      <c r="AJ871" s="474"/>
    </row>
    <row r="872" spans="1:36" ht="12" hidden="1" customHeight="1">
      <c r="A872" s="474"/>
      <c r="B872" s="758" t="s">
        <v>244</v>
      </c>
      <c r="C872" s="759">
        <v>4</v>
      </c>
      <c r="D872" s="760" t="s">
        <v>2064</v>
      </c>
      <c r="E872" s="759" t="s">
        <v>354</v>
      </c>
      <c r="F872" s="1401" t="s">
        <v>3118</v>
      </c>
      <c r="G872" s="759" t="s">
        <v>559</v>
      </c>
      <c r="H872" s="761" t="s">
        <v>3122</v>
      </c>
      <c r="I872" s="759" t="s">
        <v>3123</v>
      </c>
      <c r="J872" s="118">
        <v>22000000</v>
      </c>
      <c r="K872" s="764">
        <v>22000000</v>
      </c>
      <c r="L872" s="764">
        <f>K872*10%</f>
        <v>2200000</v>
      </c>
      <c r="M872" s="595"/>
      <c r="N872" s="763">
        <f t="shared" ref="N872:N879" si="328">K872+L872</f>
        <v>24200000</v>
      </c>
      <c r="R872" s="603"/>
      <c r="S872" s="603"/>
      <c r="T872" s="603"/>
      <c r="U872" s="603"/>
      <c r="V872" s="443"/>
      <c r="W872" s="444"/>
      <c r="AG872" s="474"/>
      <c r="AH872" s="474"/>
      <c r="AI872" s="474"/>
      <c r="AJ872" s="474"/>
    </row>
    <row r="873" spans="1:36" ht="12" hidden="1" customHeight="1">
      <c r="A873" s="1213"/>
      <c r="B873" s="758" t="s">
        <v>244</v>
      </c>
      <c r="C873" s="759">
        <v>4</v>
      </c>
      <c r="D873" s="760" t="s">
        <v>412</v>
      </c>
      <c r="E873" s="761" t="s">
        <v>354</v>
      </c>
      <c r="F873" s="1506" t="s">
        <v>3119</v>
      </c>
      <c r="G873" s="761" t="s">
        <v>559</v>
      </c>
      <c r="H873" s="761" t="s">
        <v>3120</v>
      </c>
      <c r="I873" s="1217" t="s">
        <v>3121</v>
      </c>
      <c r="J873" s="1212">
        <v>22000000</v>
      </c>
      <c r="K873" s="764">
        <v>22000000</v>
      </c>
      <c r="L873" s="764">
        <f>K873*10%</f>
        <v>2200000</v>
      </c>
      <c r="M873" s="595"/>
      <c r="N873" s="763">
        <f t="shared" si="328"/>
        <v>24200000</v>
      </c>
      <c r="R873" s="603"/>
      <c r="S873" s="603"/>
      <c r="T873" s="603"/>
      <c r="U873" s="603"/>
      <c r="V873" s="443"/>
      <c r="W873" s="444"/>
      <c r="AG873" s="474"/>
      <c r="AH873" s="474"/>
      <c r="AI873" s="474"/>
      <c r="AJ873" s="474"/>
    </row>
    <row r="874" spans="1:36" ht="12" hidden="1" customHeight="1">
      <c r="A874" s="1213"/>
      <c r="B874" s="758" t="s">
        <v>244</v>
      </c>
      <c r="C874" s="759">
        <v>12</v>
      </c>
      <c r="D874" s="760" t="s">
        <v>96</v>
      </c>
      <c r="E874" s="761" t="s">
        <v>354</v>
      </c>
      <c r="F874" s="1506" t="s">
        <v>3070</v>
      </c>
      <c r="G874" s="761" t="s">
        <v>559</v>
      </c>
      <c r="H874" s="761" t="s">
        <v>3208</v>
      </c>
      <c r="I874" s="1218" t="s">
        <v>3209</v>
      </c>
      <c r="J874" s="1216"/>
      <c r="K874" s="762">
        <v>21000000</v>
      </c>
      <c r="L874" s="762">
        <v>2100000</v>
      </c>
      <c r="M874" s="763">
        <v>23100000</v>
      </c>
      <c r="N874" s="763">
        <f t="shared" si="328"/>
        <v>23100000</v>
      </c>
      <c r="R874" s="603"/>
      <c r="S874" s="603"/>
      <c r="T874" s="603"/>
      <c r="U874" s="603"/>
      <c r="V874" s="443"/>
      <c r="W874" s="444"/>
      <c r="AG874" s="474"/>
      <c r="AH874" s="474"/>
      <c r="AI874" s="474"/>
      <c r="AJ874" s="474"/>
    </row>
    <row r="875" spans="1:36" ht="12" hidden="1" customHeight="1">
      <c r="A875" s="1213"/>
      <c r="B875" s="758" t="s">
        <v>244</v>
      </c>
      <c r="C875" s="759">
        <v>12</v>
      </c>
      <c r="D875" s="760" t="s">
        <v>96</v>
      </c>
      <c r="E875" s="761" t="s">
        <v>354</v>
      </c>
      <c r="F875" s="1506" t="s">
        <v>3071</v>
      </c>
      <c r="G875" s="761" t="s">
        <v>559</v>
      </c>
      <c r="H875" s="761" t="s">
        <v>3210</v>
      </c>
      <c r="I875" s="1219" t="s">
        <v>3211</v>
      </c>
      <c r="J875" s="762">
        <v>21000000</v>
      </c>
      <c r="K875" s="762">
        <v>21000000</v>
      </c>
      <c r="L875" s="762">
        <v>2100000</v>
      </c>
      <c r="M875" s="763">
        <v>23100000</v>
      </c>
      <c r="N875" s="763">
        <f t="shared" si="328"/>
        <v>23100000</v>
      </c>
      <c r="R875" s="603"/>
      <c r="S875" s="603"/>
      <c r="T875" s="603"/>
      <c r="U875" s="603"/>
      <c r="V875" s="443"/>
      <c r="W875" s="444"/>
      <c r="AG875" s="474"/>
      <c r="AH875" s="474"/>
      <c r="AI875" s="474"/>
      <c r="AJ875" s="474"/>
    </row>
    <row r="876" spans="1:36" ht="12" hidden="1" customHeight="1">
      <c r="A876" s="1213"/>
      <c r="B876" s="758" t="s">
        <v>244</v>
      </c>
      <c r="C876" s="759">
        <v>12</v>
      </c>
      <c r="D876" s="760" t="s">
        <v>96</v>
      </c>
      <c r="E876" s="761" t="s">
        <v>354</v>
      </c>
      <c r="F876" s="1506" t="s">
        <v>3072</v>
      </c>
      <c r="G876" s="761" t="s">
        <v>559</v>
      </c>
      <c r="H876" s="761" t="s">
        <v>3212</v>
      </c>
      <c r="I876" s="1219" t="s">
        <v>3213</v>
      </c>
      <c r="J876" s="762">
        <v>21000000</v>
      </c>
      <c r="K876" s="762">
        <v>21000000</v>
      </c>
      <c r="L876" s="762">
        <v>2100000</v>
      </c>
      <c r="M876" s="763">
        <v>23100000</v>
      </c>
      <c r="N876" s="763">
        <f t="shared" si="328"/>
        <v>23100000</v>
      </c>
      <c r="R876" s="603"/>
      <c r="S876" s="603"/>
      <c r="T876" s="603"/>
      <c r="U876" s="603"/>
      <c r="V876" s="443"/>
      <c r="W876" s="444"/>
      <c r="AG876" s="474"/>
      <c r="AH876" s="474"/>
      <c r="AI876" s="474"/>
      <c r="AJ876" s="474"/>
    </row>
    <row r="877" spans="1:36" ht="12" hidden="1" customHeight="1">
      <c r="A877" s="1213"/>
      <c r="B877" s="758" t="s">
        <v>244</v>
      </c>
      <c r="C877" s="759">
        <v>12</v>
      </c>
      <c r="D877" s="760" t="s">
        <v>96</v>
      </c>
      <c r="E877" s="761" t="s">
        <v>354</v>
      </c>
      <c r="F877" s="1506" t="s">
        <v>3070</v>
      </c>
      <c r="G877" s="761" t="s">
        <v>559</v>
      </c>
      <c r="H877" s="761" t="s">
        <v>3208</v>
      </c>
      <c r="I877" s="761" t="s">
        <v>3209</v>
      </c>
      <c r="J877" s="1226"/>
      <c r="K877" s="762">
        <v>21000000</v>
      </c>
      <c r="L877" s="762">
        <v>2100000</v>
      </c>
      <c r="M877" s="1225">
        <v>23100000</v>
      </c>
      <c r="N877" s="763">
        <f t="shared" si="328"/>
        <v>23100000</v>
      </c>
      <c r="R877" s="603"/>
      <c r="S877" s="603"/>
      <c r="T877" s="603"/>
      <c r="U877" s="603"/>
      <c r="V877" s="443"/>
      <c r="W877" s="444"/>
      <c r="AG877" s="474"/>
      <c r="AH877" s="474"/>
      <c r="AI877" s="474"/>
      <c r="AJ877" s="474"/>
    </row>
    <row r="878" spans="1:36" ht="12" hidden="1" customHeight="1">
      <c r="A878" s="1213"/>
      <c r="B878" s="758" t="s">
        <v>244</v>
      </c>
      <c r="C878" s="759">
        <v>12</v>
      </c>
      <c r="D878" s="760" t="s">
        <v>96</v>
      </c>
      <c r="E878" s="761" t="s">
        <v>354</v>
      </c>
      <c r="F878" s="1506" t="s">
        <v>3071</v>
      </c>
      <c r="G878" s="761" t="s">
        <v>559</v>
      </c>
      <c r="H878" s="761" t="s">
        <v>3210</v>
      </c>
      <c r="I878" s="761" t="s">
        <v>3211</v>
      </c>
      <c r="J878" s="1226"/>
      <c r="K878" s="762">
        <v>21000000</v>
      </c>
      <c r="L878" s="762">
        <v>2100000</v>
      </c>
      <c r="M878" s="1225">
        <v>23100000</v>
      </c>
      <c r="N878" s="763">
        <f t="shared" si="328"/>
        <v>23100000</v>
      </c>
      <c r="R878" s="603"/>
      <c r="S878" s="603"/>
      <c r="T878" s="603"/>
      <c r="U878" s="603"/>
      <c r="V878" s="443"/>
      <c r="W878" s="444"/>
      <c r="AG878" s="474"/>
      <c r="AH878" s="474"/>
      <c r="AI878" s="474"/>
      <c r="AJ878" s="474"/>
    </row>
    <row r="879" spans="1:36" ht="12" hidden="1" customHeight="1">
      <c r="A879" s="1213"/>
      <c r="B879" s="758" t="s">
        <v>244</v>
      </c>
      <c r="C879" s="759">
        <v>12</v>
      </c>
      <c r="D879" s="760" t="s">
        <v>96</v>
      </c>
      <c r="E879" s="761" t="s">
        <v>354</v>
      </c>
      <c r="F879" s="1527" t="s">
        <v>3072</v>
      </c>
      <c r="G879" s="1217" t="s">
        <v>559</v>
      </c>
      <c r="H879" s="1217" t="s">
        <v>3212</v>
      </c>
      <c r="I879" s="1217" t="s">
        <v>3213</v>
      </c>
      <c r="J879" s="1226"/>
      <c r="K879" s="1229">
        <v>21000000</v>
      </c>
      <c r="L879" s="1229">
        <v>2100000</v>
      </c>
      <c r="M879" s="1225">
        <v>23100000</v>
      </c>
      <c r="N879" s="1230">
        <f t="shared" si="328"/>
        <v>23100000</v>
      </c>
      <c r="R879" s="603"/>
      <c r="S879" s="603"/>
      <c r="T879" s="603"/>
      <c r="U879" s="603"/>
      <c r="V879" s="443"/>
      <c r="W879" s="444"/>
      <c r="AG879" s="474"/>
      <c r="AH879" s="474"/>
      <c r="AI879" s="474"/>
      <c r="AJ879" s="474"/>
    </row>
    <row r="880" spans="1:36" ht="12" hidden="1" customHeight="1">
      <c r="A880" s="1213"/>
      <c r="B880" s="758" t="s">
        <v>244</v>
      </c>
      <c r="C880" s="759">
        <v>13</v>
      </c>
      <c r="D880" s="760" t="s">
        <v>121</v>
      </c>
      <c r="E880" s="761" t="s">
        <v>355</v>
      </c>
      <c r="F880" s="1519" t="s">
        <v>3233</v>
      </c>
      <c r="G880" s="1218" t="s">
        <v>60</v>
      </c>
      <c r="H880" s="953" t="s">
        <v>3231</v>
      </c>
      <c r="I880" s="953" t="s">
        <v>3232</v>
      </c>
      <c r="J880" s="1226"/>
      <c r="K880" s="1231">
        <v>18000000</v>
      </c>
      <c r="L880" s="1086">
        <f>K880*10%</f>
        <v>1800000</v>
      </c>
      <c r="M880" s="1228"/>
      <c r="N880" s="1087">
        <f>K880+L880</f>
        <v>19800000</v>
      </c>
      <c r="R880" s="603"/>
      <c r="S880" s="603"/>
      <c r="T880" s="603"/>
      <c r="U880" s="603"/>
      <c r="V880" s="443"/>
      <c r="W880" s="444"/>
      <c r="AG880" s="474"/>
      <c r="AH880" s="474"/>
      <c r="AI880" s="474"/>
      <c r="AJ880" s="474"/>
    </row>
    <row r="881" spans="1:36" ht="12" hidden="1" customHeight="1">
      <c r="A881" s="1213"/>
      <c r="B881" s="758" t="s">
        <v>244</v>
      </c>
      <c r="C881" s="759">
        <v>13</v>
      </c>
      <c r="D881" s="760" t="s">
        <v>121</v>
      </c>
      <c r="E881" s="761" t="s">
        <v>355</v>
      </c>
      <c r="F881" s="1528" t="s">
        <v>3234</v>
      </c>
      <c r="G881" s="1227" t="s">
        <v>559</v>
      </c>
      <c r="H881" s="953" t="s">
        <v>3235</v>
      </c>
      <c r="I881" s="953" t="s">
        <v>3236</v>
      </c>
      <c r="J881" s="1226"/>
      <c r="K881" s="1226">
        <v>39250000</v>
      </c>
      <c r="L881" s="1086">
        <f>K881*10%</f>
        <v>3925000</v>
      </c>
      <c r="M881" s="1228"/>
      <c r="N881" s="1087">
        <f>K881+L881</f>
        <v>43175000</v>
      </c>
      <c r="R881" s="603"/>
      <c r="S881" s="603"/>
      <c r="T881" s="603"/>
      <c r="U881" s="603"/>
      <c r="V881" s="443"/>
      <c r="W881" s="444"/>
      <c r="AG881" s="474"/>
      <c r="AH881" s="474"/>
      <c r="AI881" s="474"/>
      <c r="AJ881" s="474"/>
    </row>
    <row r="882" spans="1:36" ht="12" hidden="1" customHeight="1">
      <c r="A882" s="1213"/>
      <c r="B882" s="758" t="s">
        <v>244</v>
      </c>
      <c r="C882" s="759">
        <v>18</v>
      </c>
      <c r="D882" s="760" t="s">
        <v>40</v>
      </c>
      <c r="E882" s="761" t="s">
        <v>355</v>
      </c>
      <c r="F882" s="1527" t="s">
        <v>3238</v>
      </c>
      <c r="G882" s="761" t="s">
        <v>3239</v>
      </c>
      <c r="H882" s="953" t="s">
        <v>3240</v>
      </c>
      <c r="I882" s="1232" t="s">
        <v>14</v>
      </c>
      <c r="J882" s="1226"/>
      <c r="K882" s="762">
        <v>4230330</v>
      </c>
      <c r="L882" s="1233" t="s">
        <v>14</v>
      </c>
      <c r="M882" s="1228"/>
      <c r="N882" s="1087">
        <f>K882</f>
        <v>4230330</v>
      </c>
      <c r="O882" s="197"/>
      <c r="P882" s="197"/>
      <c r="R882" s="603"/>
      <c r="S882" s="603"/>
      <c r="T882" s="603"/>
      <c r="U882" s="603"/>
      <c r="V882" s="443"/>
      <c r="W882" s="444"/>
      <c r="AG882" s="474"/>
      <c r="AH882" s="474"/>
      <c r="AI882" s="474"/>
      <c r="AJ882" s="474"/>
    </row>
    <row r="883" spans="1:36" ht="12" hidden="1" customHeight="1">
      <c r="A883" s="1213"/>
      <c r="B883" s="758" t="s">
        <v>244</v>
      </c>
      <c r="C883" s="759">
        <v>18</v>
      </c>
      <c r="D883" s="760" t="s">
        <v>40</v>
      </c>
      <c r="E883" s="761" t="s">
        <v>355</v>
      </c>
      <c r="F883" s="1529" t="s">
        <v>3241</v>
      </c>
      <c r="G883" s="761" t="s">
        <v>3242</v>
      </c>
      <c r="H883" s="1234" t="s">
        <v>3243</v>
      </c>
      <c r="I883" s="1232" t="s">
        <v>14</v>
      </c>
      <c r="J883" s="1226"/>
      <c r="K883" s="762">
        <v>1722600</v>
      </c>
      <c r="L883" s="1233" t="s">
        <v>14</v>
      </c>
      <c r="M883" s="1228"/>
      <c r="N883" s="1087">
        <f>K883</f>
        <v>1722600</v>
      </c>
      <c r="O883" s="197"/>
      <c r="P883" s="197"/>
      <c r="R883" s="603"/>
      <c r="S883" s="603"/>
      <c r="T883" s="603"/>
      <c r="U883" s="603"/>
      <c r="V883" s="443"/>
      <c r="W883" s="444"/>
      <c r="AG883" s="474"/>
      <c r="AH883" s="474"/>
      <c r="AI883" s="474"/>
      <c r="AJ883" s="474"/>
    </row>
    <row r="884" spans="1:36" ht="12" hidden="1" customHeight="1">
      <c r="A884" s="1213"/>
      <c r="B884" s="758" t="s">
        <v>244</v>
      </c>
      <c r="C884" s="759">
        <v>18</v>
      </c>
      <c r="D884" s="760" t="s">
        <v>40</v>
      </c>
      <c r="E884" s="761" t="s">
        <v>3244</v>
      </c>
      <c r="F884" s="1527" t="s">
        <v>3245</v>
      </c>
      <c r="G884" s="761" t="s">
        <v>3246</v>
      </c>
      <c r="H884" s="761" t="s">
        <v>3247</v>
      </c>
      <c r="I884" s="1232" t="s">
        <v>14</v>
      </c>
      <c r="J884" s="1226"/>
      <c r="K884" s="762">
        <v>3008000</v>
      </c>
      <c r="L884" s="1233" t="s">
        <v>14</v>
      </c>
      <c r="M884" s="1228"/>
      <c r="N884" s="1087">
        <f>K884</f>
        <v>3008000</v>
      </c>
      <c r="O884" s="197"/>
      <c r="P884" s="197"/>
      <c r="R884" s="603"/>
      <c r="S884" s="603"/>
      <c r="T884" s="603"/>
      <c r="U884" s="603"/>
      <c r="V884" s="443"/>
      <c r="W884" s="444"/>
      <c r="AG884" s="474"/>
      <c r="AH884" s="474"/>
      <c r="AI884" s="474"/>
      <c r="AJ884" s="474"/>
    </row>
    <row r="885" spans="1:36" ht="12" hidden="1" customHeight="1">
      <c r="A885" s="1213"/>
      <c r="B885" s="758" t="s">
        <v>244</v>
      </c>
      <c r="C885" s="759">
        <v>18</v>
      </c>
      <c r="D885" s="760" t="s">
        <v>40</v>
      </c>
      <c r="E885" s="761" t="s">
        <v>355</v>
      </c>
      <c r="F885" s="1529" t="s">
        <v>3238</v>
      </c>
      <c r="G885" s="761" t="s">
        <v>3248</v>
      </c>
      <c r="H885" s="761" t="s">
        <v>3249</v>
      </c>
      <c r="I885" s="1232" t="s">
        <v>14</v>
      </c>
      <c r="J885" s="1226"/>
      <c r="K885" s="1086">
        <v>2499157</v>
      </c>
      <c r="L885" s="1233" t="s">
        <v>14</v>
      </c>
      <c r="M885" s="1228"/>
      <c r="N885" s="1087">
        <f>K885</f>
        <v>2499157</v>
      </c>
      <c r="O885" s="197"/>
      <c r="P885" s="197"/>
      <c r="R885" s="603"/>
      <c r="S885" s="603"/>
      <c r="T885" s="603"/>
      <c r="U885" s="603"/>
      <c r="V885" s="443"/>
      <c r="W885" s="444"/>
      <c r="AG885" s="474"/>
      <c r="AH885" s="474"/>
      <c r="AI885" s="474"/>
      <c r="AJ885" s="474"/>
    </row>
    <row r="886" spans="1:36" ht="12" hidden="1" customHeight="1">
      <c r="A886" s="1213"/>
      <c r="B886" s="758" t="s">
        <v>244</v>
      </c>
      <c r="C886" s="759">
        <v>18</v>
      </c>
      <c r="D886" s="760" t="s">
        <v>40</v>
      </c>
      <c r="E886" s="761"/>
      <c r="F886" s="1529" t="s">
        <v>3250</v>
      </c>
      <c r="G886" s="761" t="s">
        <v>3251</v>
      </c>
      <c r="H886" s="761" t="s">
        <v>3252</v>
      </c>
      <c r="I886" s="1232" t="s">
        <v>14</v>
      </c>
      <c r="J886" s="1226"/>
      <c r="K886" s="1086">
        <v>1950000</v>
      </c>
      <c r="L886" s="1233" t="s">
        <v>14</v>
      </c>
      <c r="M886" s="1228"/>
      <c r="N886" s="1087">
        <f>K886</f>
        <v>1950000</v>
      </c>
      <c r="O886" s="197"/>
      <c r="P886" s="197"/>
      <c r="R886" s="603"/>
      <c r="S886" s="603"/>
      <c r="T886" s="603"/>
      <c r="U886" s="603"/>
      <c r="V886" s="443"/>
      <c r="W886" s="444"/>
      <c r="AG886" s="474"/>
      <c r="AH886" s="474"/>
      <c r="AI886" s="474"/>
      <c r="AJ886" s="474"/>
    </row>
    <row r="887" spans="1:36" ht="12" hidden="1" customHeight="1">
      <c r="A887" s="1213"/>
      <c r="B887" s="758" t="s">
        <v>244</v>
      </c>
      <c r="C887" s="759">
        <v>13</v>
      </c>
      <c r="D887" s="760" t="s">
        <v>133</v>
      </c>
      <c r="E887" s="759" t="s">
        <v>364</v>
      </c>
      <c r="F887" s="1401" t="s">
        <v>3062</v>
      </c>
      <c r="G887" s="759" t="s">
        <v>602</v>
      </c>
      <c r="H887" s="761" t="s">
        <v>3196</v>
      </c>
      <c r="I887" s="759" t="s">
        <v>3237</v>
      </c>
      <c r="J887" s="1226"/>
      <c r="K887" s="1226">
        <v>27235965.5</v>
      </c>
      <c r="L887" s="764">
        <f>K887*10%</f>
        <v>2723596.5500000003</v>
      </c>
      <c r="M887" s="1228"/>
      <c r="N887" s="763">
        <f>K887+L887</f>
        <v>29959562.050000001</v>
      </c>
      <c r="O887" s="197"/>
      <c r="P887" s="197"/>
      <c r="R887" s="603"/>
      <c r="S887" s="603"/>
      <c r="T887" s="603"/>
      <c r="U887" s="603"/>
      <c r="V887" s="443"/>
      <c r="W887" s="444"/>
      <c r="AG887" s="474"/>
      <c r="AH887" s="474"/>
      <c r="AI887" s="474"/>
      <c r="AJ887" s="474"/>
    </row>
    <row r="888" spans="1:36" ht="12" hidden="1" customHeight="1">
      <c r="A888" s="1213"/>
      <c r="B888" s="758" t="s">
        <v>244</v>
      </c>
      <c r="C888" s="759">
        <v>18</v>
      </c>
      <c r="D888" s="760" t="s">
        <v>40</v>
      </c>
      <c r="E888" s="761"/>
      <c r="F888" s="1529" t="s">
        <v>3253</v>
      </c>
      <c r="G888" s="761" t="s">
        <v>3254</v>
      </c>
      <c r="H888" s="761" t="s">
        <v>3255</v>
      </c>
      <c r="I888" s="1232" t="s">
        <v>14</v>
      </c>
      <c r="J888" s="1086">
        <v>1950000</v>
      </c>
      <c r="K888" s="1226">
        <v>7177000</v>
      </c>
      <c r="L888" s="1233" t="s">
        <v>14</v>
      </c>
      <c r="M888" s="1228"/>
      <c r="N888" s="1087">
        <f>K888</f>
        <v>7177000</v>
      </c>
      <c r="O888" s="1235"/>
      <c r="P888" s="1235"/>
      <c r="R888" s="603"/>
      <c r="S888" s="603"/>
      <c r="T888" s="603"/>
      <c r="U888" s="603"/>
      <c r="V888" s="443"/>
      <c r="W888" s="444"/>
      <c r="AG888" s="474"/>
      <c r="AH888" s="474"/>
      <c r="AI888" s="474"/>
      <c r="AJ888" s="474"/>
    </row>
    <row r="889" spans="1:36" ht="12" hidden="1" customHeight="1">
      <c r="A889" s="1236"/>
      <c r="B889" s="1220" t="s">
        <v>243</v>
      </c>
      <c r="C889" s="1221">
        <v>24</v>
      </c>
      <c r="D889" s="1222" t="s">
        <v>430</v>
      </c>
      <c r="E889" s="1223" t="s">
        <v>364</v>
      </c>
      <c r="F889" s="1505" t="s">
        <v>3063</v>
      </c>
      <c r="G889" s="1223" t="s">
        <v>559</v>
      </c>
      <c r="H889" s="1223" t="s">
        <v>3256</v>
      </c>
      <c r="I889" s="1223" t="s">
        <v>3257</v>
      </c>
      <c r="J889" s="764">
        <v>18500000</v>
      </c>
      <c r="K889" s="1212">
        <v>18500000</v>
      </c>
      <c r="L889" s="1212">
        <f>K889*10%</f>
        <v>1850000</v>
      </c>
      <c r="M889" s="1228"/>
      <c r="N889" s="1225">
        <f>K889+L889</f>
        <v>20350000</v>
      </c>
      <c r="O889" s="197" t="s">
        <v>243</v>
      </c>
      <c r="P889" s="197" t="s">
        <v>99</v>
      </c>
      <c r="Q889" s="175"/>
      <c r="R889" s="175"/>
      <c r="S889" s="116"/>
      <c r="T889" s="603"/>
      <c r="U889" s="603"/>
      <c r="V889" s="443"/>
      <c r="W889" s="444"/>
      <c r="AG889" s="474"/>
      <c r="AH889" s="474"/>
      <c r="AI889" s="474"/>
      <c r="AJ889" s="474"/>
    </row>
    <row r="890" spans="1:36" ht="12" hidden="1" customHeight="1">
      <c r="A890" s="1236"/>
      <c r="B890" s="758" t="s">
        <v>245</v>
      </c>
      <c r="C890" s="759">
        <v>3</v>
      </c>
      <c r="D890" s="760" t="s">
        <v>206</v>
      </c>
      <c r="E890" s="761" t="s">
        <v>354</v>
      </c>
      <c r="F890" s="1506" t="s">
        <v>3104</v>
      </c>
      <c r="G890" s="761" t="s">
        <v>602</v>
      </c>
      <c r="H890" s="761" t="s">
        <v>3315</v>
      </c>
      <c r="I890" s="761" t="s">
        <v>3316</v>
      </c>
      <c r="J890" s="1224">
        <v>22000000</v>
      </c>
      <c r="K890" s="763">
        <v>22000000</v>
      </c>
      <c r="L890" s="763">
        <f>K890*10%</f>
        <v>2200000</v>
      </c>
      <c r="M890" s="1228"/>
      <c r="N890" s="763">
        <f t="shared" ref="N890:N896" si="329">K890+L890</f>
        <v>24200000</v>
      </c>
      <c r="O890" s="197"/>
      <c r="P890" s="197"/>
      <c r="Q890" s="175"/>
      <c r="R890" s="175"/>
      <c r="S890" s="116"/>
      <c r="T890" s="603"/>
      <c r="U890" s="603"/>
      <c r="V890" s="443"/>
      <c r="W890" s="444"/>
      <c r="AG890" s="474"/>
      <c r="AH890" s="474"/>
      <c r="AI890" s="474"/>
      <c r="AJ890" s="474"/>
    </row>
    <row r="891" spans="1:36" ht="12" hidden="1" customHeight="1">
      <c r="A891" s="1236"/>
      <c r="B891" s="758" t="s">
        <v>245</v>
      </c>
      <c r="C891" s="759">
        <v>3</v>
      </c>
      <c r="D891" s="760" t="s">
        <v>206</v>
      </c>
      <c r="E891" s="761" t="s">
        <v>354</v>
      </c>
      <c r="F891" s="1506" t="s">
        <v>3105</v>
      </c>
      <c r="G891" s="761" t="s">
        <v>602</v>
      </c>
      <c r="H891" s="761" t="s">
        <v>3317</v>
      </c>
      <c r="I891" s="761" t="s">
        <v>3318</v>
      </c>
      <c r="J891" s="1224">
        <v>22000000</v>
      </c>
      <c r="K891" s="763">
        <v>22000000</v>
      </c>
      <c r="L891" s="763">
        <f t="shared" ref="L891:L895" si="330">K891*10%</f>
        <v>2200000</v>
      </c>
      <c r="M891" s="1228"/>
      <c r="N891" s="763">
        <f t="shared" si="329"/>
        <v>24200000</v>
      </c>
      <c r="O891" s="197"/>
      <c r="P891" s="197"/>
      <c r="Q891" s="175"/>
      <c r="R891" s="175"/>
      <c r="S891" s="116"/>
      <c r="T891" s="603"/>
      <c r="U891" s="603"/>
      <c r="V891" s="443"/>
      <c r="W891" s="444"/>
      <c r="AG891" s="474"/>
      <c r="AH891" s="474"/>
      <c r="AI891" s="474"/>
      <c r="AJ891" s="474"/>
    </row>
    <row r="892" spans="1:36" ht="12" hidden="1" customHeight="1">
      <c r="A892" s="1236"/>
      <c r="B892" s="758" t="s">
        <v>245</v>
      </c>
      <c r="C892" s="759">
        <v>3</v>
      </c>
      <c r="D892" s="760" t="s">
        <v>206</v>
      </c>
      <c r="E892" s="761" t="s">
        <v>354</v>
      </c>
      <c r="F892" s="1506" t="s">
        <v>3106</v>
      </c>
      <c r="G892" s="761" t="s">
        <v>602</v>
      </c>
      <c r="H892" s="761" t="s">
        <v>3319</v>
      </c>
      <c r="I892" s="761" t="s">
        <v>3320</v>
      </c>
      <c r="J892" s="1224">
        <v>22000000</v>
      </c>
      <c r="K892" s="763">
        <v>22000000</v>
      </c>
      <c r="L892" s="763">
        <f t="shared" si="330"/>
        <v>2200000</v>
      </c>
      <c r="M892" s="1228"/>
      <c r="N892" s="763">
        <f t="shared" si="329"/>
        <v>24200000</v>
      </c>
      <c r="O892" s="197"/>
      <c r="P892" s="197"/>
      <c r="Q892" s="175"/>
      <c r="R892" s="175"/>
      <c r="S892" s="116"/>
      <c r="T892" s="603"/>
      <c r="U892" s="603"/>
      <c r="V892" s="443"/>
      <c r="W892" s="444"/>
      <c r="AG892" s="474"/>
      <c r="AH892" s="474"/>
      <c r="AI892" s="474"/>
      <c r="AJ892" s="474"/>
    </row>
    <row r="893" spans="1:36" ht="12" hidden="1" customHeight="1">
      <c r="A893" s="1236"/>
      <c r="B893" s="758" t="s">
        <v>245</v>
      </c>
      <c r="C893" s="759">
        <v>3</v>
      </c>
      <c r="D893" s="760" t="s">
        <v>206</v>
      </c>
      <c r="E893" s="761" t="s">
        <v>354</v>
      </c>
      <c r="F893" s="1506" t="s">
        <v>3107</v>
      </c>
      <c r="G893" s="761" t="s">
        <v>602</v>
      </c>
      <c r="H893" s="761" t="s">
        <v>3321</v>
      </c>
      <c r="I893" s="761" t="s">
        <v>3322</v>
      </c>
      <c r="J893" s="1224">
        <v>22000000</v>
      </c>
      <c r="K893" s="763">
        <v>22000000</v>
      </c>
      <c r="L893" s="763">
        <f t="shared" si="330"/>
        <v>2200000</v>
      </c>
      <c r="M893" s="1228"/>
      <c r="N893" s="763">
        <f t="shared" si="329"/>
        <v>24200000</v>
      </c>
      <c r="O893" s="197"/>
      <c r="P893" s="197"/>
      <c r="Q893" s="175"/>
      <c r="R893" s="175"/>
      <c r="S893" s="116"/>
      <c r="T893" s="603"/>
      <c r="U893" s="603"/>
      <c r="V893" s="443"/>
      <c r="W893" s="444"/>
      <c r="AG893" s="474"/>
      <c r="AH893" s="474"/>
      <c r="AI893" s="474"/>
      <c r="AJ893" s="474"/>
    </row>
    <row r="894" spans="1:36" ht="12" hidden="1" customHeight="1">
      <c r="A894" s="1236"/>
      <c r="B894" s="758" t="s">
        <v>245</v>
      </c>
      <c r="C894" s="759">
        <v>3</v>
      </c>
      <c r="D894" s="760" t="s">
        <v>117</v>
      </c>
      <c r="E894" s="761" t="s">
        <v>354</v>
      </c>
      <c r="F894" s="1506" t="s">
        <v>3114</v>
      </c>
      <c r="G894" s="761" t="s">
        <v>602</v>
      </c>
      <c r="H894" s="761" t="s">
        <v>3323</v>
      </c>
      <c r="I894" s="761" t="s">
        <v>3325</v>
      </c>
      <c r="J894" s="762">
        <v>22000000</v>
      </c>
      <c r="K894" s="763">
        <v>22000000</v>
      </c>
      <c r="L894" s="762">
        <f t="shared" si="330"/>
        <v>2200000</v>
      </c>
      <c r="M894" s="1228"/>
      <c r="N894" s="763">
        <f t="shared" si="329"/>
        <v>24200000</v>
      </c>
      <c r="O894" s="197"/>
      <c r="P894" s="197"/>
      <c r="Q894" s="175"/>
      <c r="R894" s="175"/>
      <c r="S894" s="116"/>
      <c r="T894" s="603"/>
      <c r="U894" s="603"/>
      <c r="V894" s="443"/>
      <c r="W894" s="444"/>
      <c r="AG894" s="474"/>
      <c r="AH894" s="474"/>
      <c r="AI894" s="474"/>
      <c r="AJ894" s="474"/>
    </row>
    <row r="895" spans="1:36" ht="12" hidden="1" customHeight="1">
      <c r="A895" s="1236"/>
      <c r="B895" s="758" t="s">
        <v>245</v>
      </c>
      <c r="C895" s="759">
        <v>3</v>
      </c>
      <c r="D895" s="760" t="s">
        <v>117</v>
      </c>
      <c r="E895" s="761" t="s">
        <v>354</v>
      </c>
      <c r="F895" s="1506" t="s">
        <v>3115</v>
      </c>
      <c r="G895" s="761" t="s">
        <v>602</v>
      </c>
      <c r="H895" s="761" t="s">
        <v>3324</v>
      </c>
      <c r="I895" s="761" t="s">
        <v>3326</v>
      </c>
      <c r="J895" s="762">
        <v>22000000</v>
      </c>
      <c r="K895" s="763">
        <v>22000000</v>
      </c>
      <c r="L895" s="762">
        <f t="shared" si="330"/>
        <v>2200000</v>
      </c>
      <c r="M895" s="1228"/>
      <c r="N895" s="763">
        <f t="shared" si="329"/>
        <v>24200000</v>
      </c>
      <c r="O895" s="197"/>
      <c r="P895" s="197"/>
      <c r="Q895" s="175"/>
      <c r="R895" s="175"/>
      <c r="S895" s="116"/>
      <c r="T895" s="603"/>
      <c r="U895" s="603"/>
      <c r="V895" s="443"/>
      <c r="W895" s="444"/>
      <c r="AG895" s="474"/>
      <c r="AH895" s="474"/>
      <c r="AI895" s="474"/>
      <c r="AJ895" s="474"/>
    </row>
    <row r="896" spans="1:36" ht="12" hidden="1" customHeight="1">
      <c r="A896" s="1236"/>
      <c r="B896" s="1265" t="s">
        <v>245</v>
      </c>
      <c r="C896" s="759">
        <v>18</v>
      </c>
      <c r="D896" s="760" t="s">
        <v>40</v>
      </c>
      <c r="E896" s="761" t="s">
        <v>355</v>
      </c>
      <c r="F896" s="1506" t="s">
        <v>3335</v>
      </c>
      <c r="G896" s="761" t="s">
        <v>3446</v>
      </c>
      <c r="H896" s="761" t="s">
        <v>3450</v>
      </c>
      <c r="I896" s="1197" t="s">
        <v>14</v>
      </c>
      <c r="J896" s="762">
        <v>0</v>
      </c>
      <c r="K896" s="763">
        <v>2927000</v>
      </c>
      <c r="L896" s="1263">
        <v>0</v>
      </c>
      <c r="M896" s="1228"/>
      <c r="N896" s="763">
        <f t="shared" si="329"/>
        <v>2927000</v>
      </c>
      <c r="O896" s="197"/>
      <c r="P896" s="197"/>
      <c r="Q896" s="175"/>
      <c r="R896" s="175"/>
      <c r="S896" s="116"/>
      <c r="T896" s="603"/>
      <c r="U896" s="603"/>
      <c r="V896" s="443"/>
      <c r="W896" s="444"/>
      <c r="AG896" s="474"/>
      <c r="AH896" s="474"/>
      <c r="AI896" s="474"/>
      <c r="AJ896" s="474"/>
    </row>
    <row r="897" spans="1:36" ht="12" hidden="1" customHeight="1">
      <c r="A897" s="1236"/>
      <c r="B897" s="1265"/>
      <c r="C897" s="759"/>
      <c r="D897" s="760"/>
      <c r="E897" s="759"/>
      <c r="F897" s="1506"/>
      <c r="G897" s="761"/>
      <c r="H897" s="761"/>
      <c r="I897" s="761"/>
      <c r="J897" s="762"/>
      <c r="K897" s="763"/>
      <c r="L897" s="764"/>
      <c r="M897" s="1228"/>
      <c r="N897" s="763"/>
      <c r="O897" s="197"/>
      <c r="P897" s="197"/>
      <c r="Q897" s="175"/>
      <c r="R897" s="175"/>
      <c r="S897" s="116"/>
      <c r="T897" s="603"/>
      <c r="U897" s="603"/>
      <c r="V897" s="443"/>
      <c r="W897" s="444"/>
      <c r="AG897" s="474"/>
      <c r="AH897" s="474"/>
      <c r="AI897" s="474"/>
      <c r="AJ897" s="474"/>
    </row>
    <row r="898" spans="1:36" ht="12" hidden="1" customHeight="1">
      <c r="A898" s="1236"/>
      <c r="B898" s="1265"/>
      <c r="C898" s="759"/>
      <c r="D898" s="760"/>
      <c r="E898" s="759"/>
      <c r="F898" s="1506"/>
      <c r="G898" s="761"/>
      <c r="H898" s="761"/>
      <c r="I898" s="761"/>
      <c r="J898" s="762"/>
      <c r="K898" s="763"/>
      <c r="L898" s="764"/>
      <c r="M898" s="1228"/>
      <c r="N898" s="763"/>
      <c r="O898" s="197"/>
      <c r="P898" s="197"/>
      <c r="Q898" s="175"/>
      <c r="R898" s="175"/>
      <c r="S898" s="116"/>
      <c r="T898" s="603"/>
      <c r="U898" s="603"/>
      <c r="V898" s="443"/>
      <c r="W898" s="444"/>
      <c r="AG898" s="474"/>
      <c r="AH898" s="474"/>
      <c r="AI898" s="474"/>
      <c r="AJ898" s="474"/>
    </row>
    <row r="899" spans="1:36" ht="12" hidden="1" customHeight="1">
      <c r="A899" s="1236"/>
      <c r="B899" s="1265"/>
      <c r="C899" s="759"/>
      <c r="D899" s="760"/>
      <c r="E899" s="759"/>
      <c r="F899" s="1506"/>
      <c r="G899" s="761"/>
      <c r="H899" s="761"/>
      <c r="I899" s="761"/>
      <c r="J899" s="762"/>
      <c r="K899" s="763"/>
      <c r="L899" s="764"/>
      <c r="M899" s="1228"/>
      <c r="N899" s="763"/>
      <c r="O899" s="197"/>
      <c r="P899" s="197"/>
      <c r="Q899" s="175"/>
      <c r="R899" s="175"/>
      <c r="S899" s="116"/>
      <c r="T899" s="603"/>
      <c r="U899" s="603"/>
      <c r="V899" s="443"/>
      <c r="W899" s="444"/>
      <c r="AG899" s="474"/>
      <c r="AH899" s="474"/>
      <c r="AI899" s="474"/>
      <c r="AJ899" s="474"/>
    </row>
    <row r="900" spans="1:36" ht="12" hidden="1" customHeight="1">
      <c r="A900" s="1236"/>
      <c r="B900" s="1265"/>
      <c r="C900" s="759"/>
      <c r="D900" s="760"/>
      <c r="E900" s="759"/>
      <c r="F900" s="1506"/>
      <c r="G900" s="761"/>
      <c r="H900" s="761"/>
      <c r="I900" s="761"/>
      <c r="J900" s="762"/>
      <c r="K900" s="763"/>
      <c r="L900" s="764"/>
      <c r="M900" s="1228"/>
      <c r="N900" s="1263"/>
      <c r="O900" s="197"/>
      <c r="P900" s="197"/>
      <c r="Q900" s="175"/>
      <c r="R900" s="175"/>
      <c r="S900" s="116"/>
      <c r="T900" s="603"/>
      <c r="U900" s="603"/>
      <c r="V900" s="443"/>
      <c r="W900" s="444"/>
      <c r="AG900" s="474"/>
      <c r="AH900" s="474"/>
      <c r="AI900" s="474"/>
      <c r="AJ900" s="474"/>
    </row>
    <row r="901" spans="1:36" ht="12" hidden="1" customHeight="1">
      <c r="A901" s="1236"/>
      <c r="B901" s="1265"/>
      <c r="C901" s="759"/>
      <c r="D901" s="760"/>
      <c r="E901" s="759"/>
      <c r="F901" s="1506"/>
      <c r="G901" s="761"/>
      <c r="H901" s="761"/>
      <c r="I901" s="761"/>
      <c r="J901" s="762"/>
      <c r="K901" s="763"/>
      <c r="L901" s="764"/>
      <c r="M901" s="1228"/>
      <c r="N901" s="1263"/>
      <c r="O901" s="197"/>
      <c r="P901" s="197"/>
      <c r="Q901" s="175"/>
      <c r="R901" s="175"/>
      <c r="S901" s="116"/>
      <c r="T901" s="603"/>
      <c r="U901" s="603"/>
      <c r="V901" s="443"/>
      <c r="W901" s="444"/>
      <c r="AG901" s="474"/>
      <c r="AH901" s="474"/>
      <c r="AI901" s="474"/>
      <c r="AJ901" s="474"/>
    </row>
    <row r="902" spans="1:36" ht="12" hidden="1" customHeight="1">
      <c r="A902" s="1236"/>
      <c r="B902" s="1265"/>
      <c r="C902" s="759"/>
      <c r="D902" s="760"/>
      <c r="E902" s="759"/>
      <c r="F902" s="1506"/>
      <c r="G902" s="761"/>
      <c r="H902" s="761"/>
      <c r="I902" s="761"/>
      <c r="J902" s="762"/>
      <c r="K902" s="763"/>
      <c r="L902" s="764"/>
      <c r="M902" s="1228"/>
      <c r="N902" s="1263"/>
      <c r="O902" s="197"/>
      <c r="P902" s="197"/>
      <c r="Q902" s="175"/>
      <c r="R902" s="175"/>
      <c r="S902" s="116"/>
      <c r="T902" s="603"/>
      <c r="U902" s="603"/>
      <c r="V902" s="443"/>
      <c r="W902" s="444"/>
      <c r="AG902" s="474"/>
      <c r="AH902" s="474"/>
      <c r="AI902" s="474"/>
      <c r="AJ902" s="474"/>
    </row>
    <row r="903" spans="1:36" ht="12" hidden="1" customHeight="1">
      <c r="A903" s="1236"/>
      <c r="B903" s="1265"/>
      <c r="C903" s="759"/>
      <c r="D903" s="760"/>
      <c r="E903" s="759"/>
      <c r="F903" s="1506"/>
      <c r="G903" s="761"/>
      <c r="H903" s="761"/>
      <c r="I903" s="761"/>
      <c r="J903" s="762"/>
      <c r="K903" s="763"/>
      <c r="L903" s="764"/>
      <c r="M903" s="1228"/>
      <c r="N903" s="1263"/>
      <c r="O903" s="197"/>
      <c r="P903" s="197"/>
      <c r="Q903" s="175"/>
      <c r="R903" s="175"/>
      <c r="S903" s="116"/>
      <c r="T903" s="603"/>
      <c r="U903" s="603"/>
      <c r="V903" s="443"/>
      <c r="W903" s="444"/>
      <c r="AG903" s="474"/>
      <c r="AH903" s="474"/>
      <c r="AI903" s="474"/>
      <c r="AJ903" s="474"/>
    </row>
    <row r="904" spans="1:36" ht="12" hidden="1" customHeight="1">
      <c r="A904" s="1236"/>
      <c r="B904" s="1265"/>
      <c r="C904" s="759"/>
      <c r="D904" s="760"/>
      <c r="E904" s="759"/>
      <c r="F904" s="1506"/>
      <c r="G904" s="761"/>
      <c r="H904" s="761"/>
      <c r="I904" s="761"/>
      <c r="J904" s="762"/>
      <c r="K904" s="763"/>
      <c r="L904" s="764"/>
      <c r="M904" s="1228"/>
      <c r="N904" s="1263"/>
      <c r="O904" s="197"/>
      <c r="P904" s="197"/>
      <c r="Q904" s="175"/>
      <c r="R904" s="175"/>
      <c r="S904" s="116"/>
      <c r="T904" s="603"/>
      <c r="U904" s="603"/>
      <c r="V904" s="443"/>
      <c r="W904" s="444"/>
      <c r="AG904" s="474"/>
      <c r="AH904" s="474"/>
      <c r="AI904" s="474"/>
      <c r="AJ904" s="474"/>
    </row>
    <row r="905" spans="1:36" ht="12" hidden="1" customHeight="1">
      <c r="A905" s="1236"/>
      <c r="B905" s="1265"/>
      <c r="C905" s="759"/>
      <c r="D905" s="760"/>
      <c r="E905" s="759"/>
      <c r="F905" s="1506"/>
      <c r="G905" s="761"/>
      <c r="H905" s="761"/>
      <c r="I905" s="761"/>
      <c r="J905" s="762"/>
      <c r="K905" s="763"/>
      <c r="L905" s="764"/>
      <c r="M905" s="1228"/>
      <c r="N905" s="1263"/>
      <c r="O905" s="197"/>
      <c r="P905" s="197"/>
      <c r="Q905" s="175"/>
      <c r="R905" s="175"/>
      <c r="S905" s="116"/>
      <c r="T905" s="603"/>
      <c r="U905" s="603"/>
      <c r="V905" s="443"/>
      <c r="W905" s="444"/>
      <c r="AG905" s="474"/>
      <c r="AH905" s="474"/>
      <c r="AI905" s="474"/>
      <c r="AJ905" s="474"/>
    </row>
    <row r="906" spans="1:36" ht="12" hidden="1" customHeight="1">
      <c r="A906" s="1236"/>
      <c r="B906" s="1265"/>
      <c r="C906" s="759"/>
      <c r="D906" s="760"/>
      <c r="E906" s="759"/>
      <c r="F906" s="1506"/>
      <c r="G906" s="761"/>
      <c r="H906" s="761"/>
      <c r="I906" s="761"/>
      <c r="J906" s="762"/>
      <c r="K906" s="763"/>
      <c r="L906" s="764"/>
      <c r="M906" s="1228"/>
      <c r="N906" s="1263"/>
      <c r="O906" s="197"/>
      <c r="P906" s="197"/>
      <c r="Q906" s="175"/>
      <c r="R906" s="175"/>
      <c r="S906" s="116"/>
      <c r="T906" s="603"/>
      <c r="U906" s="603"/>
      <c r="V906" s="443"/>
      <c r="W906" s="444"/>
      <c r="AG906" s="474"/>
      <c r="AH906" s="474"/>
      <c r="AI906" s="474"/>
      <c r="AJ906" s="474"/>
    </row>
    <row r="907" spans="1:36" ht="12" hidden="1" customHeight="1">
      <c r="A907" s="1236"/>
      <c r="B907" s="1265"/>
      <c r="C907" s="759"/>
      <c r="D907" s="760"/>
      <c r="E907" s="759"/>
      <c r="F907" s="1506"/>
      <c r="G907" s="761"/>
      <c r="H907" s="761"/>
      <c r="I907" s="761"/>
      <c r="J907" s="762"/>
      <c r="K907" s="763"/>
      <c r="L907" s="764"/>
      <c r="M907" s="1228"/>
      <c r="N907" s="1263"/>
      <c r="O907" s="197"/>
      <c r="P907" s="197"/>
      <c r="Q907" s="175"/>
      <c r="R907" s="175"/>
      <c r="S907" s="116"/>
      <c r="T907" s="603"/>
      <c r="U907" s="603"/>
      <c r="V907" s="443"/>
      <c r="W907" s="444"/>
      <c r="AG907" s="474"/>
      <c r="AH907" s="474"/>
      <c r="AI907" s="474"/>
      <c r="AJ907" s="474"/>
    </row>
    <row r="908" spans="1:36" ht="12" hidden="1" customHeight="1">
      <c r="A908" s="1236"/>
      <c r="B908" s="1265"/>
      <c r="C908" s="759"/>
      <c r="D908" s="760"/>
      <c r="E908" s="759"/>
      <c r="F908" s="1506"/>
      <c r="G908" s="761"/>
      <c r="H908" s="761"/>
      <c r="I908" s="761"/>
      <c r="J908" s="762"/>
      <c r="K908" s="763"/>
      <c r="L908" s="764"/>
      <c r="M908" s="1228"/>
      <c r="N908" s="1263"/>
      <c r="O908" s="197"/>
      <c r="P908" s="197"/>
      <c r="Q908" s="175"/>
      <c r="R908" s="175"/>
      <c r="S908" s="116"/>
      <c r="T908" s="603"/>
      <c r="U908" s="603"/>
      <c r="V908" s="443"/>
      <c r="W908" s="444"/>
      <c r="AG908" s="474"/>
      <c r="AH908" s="474"/>
      <c r="AI908" s="474"/>
      <c r="AJ908" s="474"/>
    </row>
    <row r="909" spans="1:36" ht="12" hidden="1" customHeight="1">
      <c r="A909" s="1236"/>
      <c r="B909" s="1265"/>
      <c r="C909" s="759"/>
      <c r="D909" s="760"/>
      <c r="E909" s="759"/>
      <c r="F909" s="1506"/>
      <c r="G909" s="761"/>
      <c r="H909" s="761"/>
      <c r="I909" s="761"/>
      <c r="J909" s="762"/>
      <c r="K909" s="763"/>
      <c r="L909" s="764"/>
      <c r="M909" s="1228"/>
      <c r="N909" s="1263"/>
      <c r="O909" s="197"/>
      <c r="P909" s="197"/>
      <c r="Q909" s="175"/>
      <c r="R909" s="175"/>
      <c r="S909" s="116"/>
      <c r="T909" s="603"/>
      <c r="U909" s="603"/>
      <c r="V909" s="443"/>
      <c r="W909" s="444"/>
      <c r="AG909" s="474"/>
      <c r="AH909" s="474"/>
      <c r="AI909" s="474"/>
      <c r="AJ909" s="474"/>
    </row>
    <row r="910" spans="1:36" ht="12" hidden="1" customHeight="1">
      <c r="A910" s="1236"/>
      <c r="B910" s="1265"/>
      <c r="C910" s="759"/>
      <c r="D910" s="760"/>
      <c r="E910" s="759"/>
      <c r="F910" s="1506"/>
      <c r="G910" s="761"/>
      <c r="H910" s="761"/>
      <c r="I910" s="761"/>
      <c r="J910" s="762"/>
      <c r="K910" s="763"/>
      <c r="L910" s="764"/>
      <c r="M910" s="1228"/>
      <c r="N910" s="1263"/>
      <c r="O910" s="197"/>
      <c r="P910" s="197"/>
      <c r="Q910" s="175"/>
      <c r="R910" s="175"/>
      <c r="S910" s="116"/>
      <c r="T910" s="603"/>
      <c r="U910" s="603"/>
      <c r="V910" s="443"/>
      <c r="W910" s="444"/>
      <c r="AG910" s="474"/>
      <c r="AH910" s="474"/>
      <c r="AI910" s="474"/>
      <c r="AJ910" s="474"/>
    </row>
    <row r="911" spans="1:36" ht="12" hidden="1" customHeight="1">
      <c r="A911" s="1236"/>
      <c r="B911" s="1265"/>
      <c r="C911" s="759"/>
      <c r="D911" s="760"/>
      <c r="E911" s="759"/>
      <c r="F911" s="1506"/>
      <c r="G911" s="761"/>
      <c r="H911" s="761"/>
      <c r="I911" s="761"/>
      <c r="J911" s="762"/>
      <c r="K911" s="763"/>
      <c r="L911" s="764"/>
      <c r="M911" s="1228"/>
      <c r="N911" s="1263"/>
      <c r="O911" s="197"/>
      <c r="P911" s="197"/>
      <c r="Q911" s="175"/>
      <c r="R911" s="175"/>
      <c r="S911" s="116"/>
      <c r="T911" s="603"/>
      <c r="U911" s="603"/>
      <c r="V911" s="443"/>
      <c r="W911" s="444"/>
      <c r="AG911" s="474"/>
      <c r="AH911" s="474"/>
      <c r="AI911" s="474"/>
      <c r="AJ911" s="474"/>
    </row>
    <row r="912" spans="1:36" ht="12" hidden="1" customHeight="1">
      <c r="A912" s="1236"/>
      <c r="B912" s="1265"/>
      <c r="C912" s="759"/>
      <c r="D912" s="760"/>
      <c r="E912" s="759"/>
      <c r="F912" s="1506"/>
      <c r="G912" s="761"/>
      <c r="H912" s="761"/>
      <c r="I912" s="761"/>
      <c r="J912" s="762"/>
      <c r="K912" s="763"/>
      <c r="L912" s="764"/>
      <c r="M912" s="1228"/>
      <c r="N912" s="1263"/>
      <c r="O912" s="197"/>
      <c r="P912" s="197"/>
      <c r="Q912" s="175"/>
      <c r="R912" s="175"/>
      <c r="S912" s="116"/>
      <c r="T912" s="603"/>
      <c r="U912" s="603"/>
      <c r="V912" s="443"/>
      <c r="W912" s="444"/>
      <c r="AG912" s="474"/>
      <c r="AH912" s="474"/>
      <c r="AI912" s="474"/>
      <c r="AJ912" s="474"/>
    </row>
    <row r="913" spans="1:36" ht="12" hidden="1" customHeight="1">
      <c r="A913" s="1236"/>
      <c r="B913" s="1265"/>
      <c r="C913" s="759"/>
      <c r="D913" s="760"/>
      <c r="E913" s="761"/>
      <c r="F913" s="1506"/>
      <c r="G913" s="761"/>
      <c r="H913" s="761"/>
      <c r="I913" s="1197"/>
      <c r="J913" s="762"/>
      <c r="K913" s="762"/>
      <c r="L913" s="763"/>
      <c r="M913" s="1228"/>
      <c r="N913" s="1263"/>
      <c r="O913" s="1202"/>
      <c r="P913" s="1202"/>
      <c r="Q913" s="175"/>
      <c r="R913" s="175"/>
      <c r="S913" s="116"/>
      <c r="T913" s="603"/>
      <c r="U913" s="603"/>
      <c r="V913" s="443"/>
      <c r="W913" s="444"/>
      <c r="AG913" s="474"/>
      <c r="AH913" s="474"/>
      <c r="AI913" s="474"/>
      <c r="AJ913" s="474"/>
    </row>
    <row r="914" spans="1:36" ht="12" hidden="1" customHeight="1">
      <c r="A914" s="1213"/>
      <c r="B914" s="1198" t="s">
        <v>234</v>
      </c>
      <c r="C914" s="1199"/>
      <c r="D914" s="1199"/>
      <c r="E914" s="1199"/>
      <c r="F914" s="1530"/>
      <c r="G914" s="1199"/>
      <c r="H914" s="1199"/>
      <c r="I914" s="1199"/>
      <c r="J914" s="1200"/>
      <c r="K914" s="1199"/>
      <c r="L914" s="1201"/>
      <c r="M914" s="500">
        <f>SUBTOTAL(9,M206)</f>
        <v>0</v>
      </c>
      <c r="N914" s="445">
        <f>SUBTOTAL(9,N300:N317)</f>
        <v>341364480</v>
      </c>
      <c r="O914" s="197"/>
      <c r="P914" s="197"/>
      <c r="Q914" s="175"/>
      <c r="R914" s="175"/>
      <c r="S914" s="116"/>
      <c r="T914" s="603"/>
      <c r="U914" s="603"/>
      <c r="V914" s="443"/>
      <c r="W914" s="444"/>
      <c r="AG914" s="474"/>
      <c r="AH914" s="474"/>
      <c r="AI914" s="474"/>
      <c r="AJ914" s="474"/>
    </row>
    <row r="915" spans="1:36" ht="12.75" hidden="1" customHeight="1">
      <c r="H915" s="442"/>
      <c r="R915" s="603"/>
      <c r="S915" s="116"/>
      <c r="T915" s="603"/>
      <c r="U915" s="603"/>
      <c r="V915" s="443"/>
      <c r="W915" s="444"/>
    </row>
    <row r="916" spans="1:36" ht="12.75" hidden="1" customHeight="1">
      <c r="A916" s="474"/>
      <c r="B916" s="1271" t="s">
        <v>3314</v>
      </c>
      <c r="C916" s="474"/>
      <c r="H916" s="442"/>
      <c r="R916" s="603"/>
      <c r="S916" s="1269"/>
      <c r="T916" s="603"/>
      <c r="U916" s="603"/>
      <c r="V916" s="443"/>
      <c r="W916" s="444"/>
      <c r="AG916" s="474"/>
      <c r="AH916" s="474"/>
      <c r="AI916" s="474"/>
      <c r="AJ916" s="474"/>
    </row>
    <row r="917" spans="1:36" ht="12" hidden="1" customHeight="1">
      <c r="B917" s="1270"/>
      <c r="C917" s="1543" t="s">
        <v>3749</v>
      </c>
      <c r="D917" s="1544"/>
      <c r="E917" s="1544"/>
      <c r="F917" s="1544"/>
      <c r="G917" s="446"/>
      <c r="H917" s="442"/>
      <c r="V917" s="443"/>
      <c r="W917" s="444"/>
    </row>
    <row r="918" spans="1:36" ht="12" hidden="1" customHeight="1">
      <c r="B918" s="1261" t="s">
        <v>3314</v>
      </c>
      <c r="C918" s="498"/>
      <c r="D918" s="447"/>
      <c r="E918" s="447"/>
      <c r="F918" s="1531"/>
      <c r="G918" s="447"/>
      <c r="H918" s="442"/>
      <c r="V918" s="443"/>
      <c r="W918" s="444"/>
    </row>
    <row r="919" spans="1:36" ht="12" hidden="1" customHeight="1">
      <c r="B919" s="1262"/>
      <c r="C919" s="1549" t="s">
        <v>3427</v>
      </c>
      <c r="D919" s="1549"/>
      <c r="E919" s="1549"/>
      <c r="F919" s="1549"/>
      <c r="H919" s="442"/>
      <c r="V919" s="443"/>
      <c r="W919" s="444"/>
    </row>
    <row r="920" spans="1:36" ht="12" hidden="1" customHeight="1">
      <c r="H920" s="33"/>
      <c r="V920" s="443"/>
      <c r="W920" s="444"/>
    </row>
    <row r="921" spans="1:36" ht="12" hidden="1" customHeight="1">
      <c r="B921" s="247"/>
      <c r="C921" s="247"/>
      <c r="D921" s="248"/>
    </row>
    <row r="922" spans="1:36" ht="12" hidden="1" customHeight="1">
      <c r="A922" s="246" t="s">
        <v>203</v>
      </c>
      <c r="B922" s="250" t="s">
        <v>360</v>
      </c>
      <c r="C922" s="251"/>
      <c r="D922" s="252"/>
      <c r="K922" s="900"/>
      <c r="Q922" s="951"/>
      <c r="U922" s="208"/>
    </row>
    <row r="923" spans="1:36" ht="12" hidden="1" customHeight="1">
      <c r="A923" s="249" t="s">
        <v>359</v>
      </c>
      <c r="B923" s="253" t="s">
        <v>361</v>
      </c>
      <c r="C923" s="251"/>
      <c r="D923" s="252"/>
      <c r="H923" s="1314"/>
      <c r="K923" s="900"/>
      <c r="Q923" s="900"/>
    </row>
    <row r="924" spans="1:36" ht="12" hidden="1" customHeight="1">
      <c r="A924" s="249" t="s">
        <v>367</v>
      </c>
      <c r="B924" s="253" t="s">
        <v>365</v>
      </c>
      <c r="C924" s="251"/>
      <c r="D924" s="252"/>
      <c r="E924" s="164"/>
      <c r="F924" s="1532"/>
      <c r="G924" s="164"/>
      <c r="H924" s="165"/>
      <c r="I924" s="164"/>
      <c r="J924" s="156"/>
      <c r="K924" s="901"/>
      <c r="L924" s="166"/>
    </row>
    <row r="925" spans="1:36" ht="12" hidden="1" customHeight="1">
      <c r="A925" s="249" t="s">
        <v>364</v>
      </c>
      <c r="B925" s="253" t="s">
        <v>370</v>
      </c>
      <c r="C925" s="251"/>
      <c r="D925" s="252"/>
      <c r="E925" s="164"/>
      <c r="F925" s="1532"/>
      <c r="G925" s="164"/>
      <c r="H925" s="165"/>
      <c r="I925" s="164"/>
      <c r="J925" s="156"/>
      <c r="K925" s="901"/>
      <c r="L925" s="166"/>
    </row>
    <row r="926" spans="1:36" ht="12" hidden="1" customHeight="1">
      <c r="A926" s="249" t="s">
        <v>118</v>
      </c>
      <c r="B926" s="250" t="s">
        <v>358</v>
      </c>
      <c r="C926" s="251"/>
      <c r="D926" s="252"/>
      <c r="E926" s="164"/>
      <c r="F926" s="1532"/>
      <c r="G926" s="164"/>
      <c r="H926" s="165"/>
      <c r="I926" s="164"/>
      <c r="J926" s="164"/>
      <c r="K926" s="902"/>
      <c r="L926" s="166"/>
    </row>
    <row r="927" spans="1:36" ht="12" hidden="1" customHeight="1">
      <c r="A927" s="249" t="s">
        <v>357</v>
      </c>
      <c r="B927" s="253" t="s">
        <v>369</v>
      </c>
      <c r="C927" s="251"/>
      <c r="D927" s="254"/>
      <c r="E927" s="164"/>
      <c r="F927" s="1532"/>
      <c r="G927" s="164"/>
      <c r="H927" s="165"/>
      <c r="I927" s="164"/>
      <c r="J927" s="164"/>
      <c r="K927" s="902"/>
      <c r="L927" s="166"/>
    </row>
    <row r="928" spans="1:36" ht="12" hidden="1" customHeight="1">
      <c r="A928" s="249" t="s">
        <v>144</v>
      </c>
      <c r="B928" s="253" t="s">
        <v>363</v>
      </c>
      <c r="C928" s="251"/>
      <c r="D928" s="252"/>
      <c r="E928" s="164"/>
      <c r="F928" s="1532"/>
      <c r="G928" s="164"/>
      <c r="H928" s="165"/>
      <c r="I928" s="164"/>
      <c r="J928" s="164"/>
      <c r="K928" s="902"/>
      <c r="L928" s="166"/>
    </row>
    <row r="929" spans="1:37" ht="12" hidden="1" customHeight="1">
      <c r="A929" s="249" t="s">
        <v>362</v>
      </c>
      <c r="B929" s="253" t="s">
        <v>368</v>
      </c>
      <c r="C929" s="251"/>
      <c r="D929" s="254"/>
      <c r="E929" s="164"/>
      <c r="F929" s="1532"/>
      <c r="G929" s="164"/>
      <c r="H929" s="165"/>
      <c r="I929" s="164"/>
      <c r="J929" s="164"/>
      <c r="K929" s="902"/>
      <c r="L929" s="166"/>
    </row>
    <row r="930" spans="1:37" ht="12" hidden="1" customHeight="1">
      <c r="A930" s="249" t="s">
        <v>62</v>
      </c>
      <c r="B930" s="253" t="s">
        <v>366</v>
      </c>
      <c r="C930" s="251"/>
      <c r="D930" s="254"/>
      <c r="E930" s="164"/>
      <c r="F930" s="1532"/>
      <c r="G930" s="164"/>
      <c r="H930" s="165"/>
      <c r="I930" s="164"/>
      <c r="J930" s="164"/>
      <c r="K930" s="166"/>
      <c r="L930" s="166"/>
    </row>
    <row r="931" spans="1:37" ht="12" hidden="1" customHeight="1">
      <c r="A931" s="249" t="s">
        <v>378</v>
      </c>
      <c r="B931" s="250" t="s">
        <v>377</v>
      </c>
      <c r="C931" s="251"/>
      <c r="D931" s="254"/>
      <c r="E931" s="164"/>
      <c r="F931" s="1532"/>
      <c r="G931" s="164"/>
      <c r="H931" s="165"/>
      <c r="I931" s="164"/>
      <c r="J931" s="164"/>
      <c r="K931" s="166"/>
      <c r="L931" s="166"/>
    </row>
    <row r="932" spans="1:37" ht="12" hidden="1" customHeight="1">
      <c r="A932" s="249" t="s">
        <v>354</v>
      </c>
      <c r="B932" s="255" t="s">
        <v>356</v>
      </c>
      <c r="C932" s="256"/>
      <c r="D932" s="257"/>
      <c r="E932" s="164"/>
      <c r="F932" s="1532"/>
      <c r="G932" s="164"/>
      <c r="H932" s="165"/>
      <c r="I932" s="164"/>
      <c r="J932" s="164"/>
      <c r="K932" s="166"/>
      <c r="L932" s="166"/>
    </row>
    <row r="933" spans="1:37" s="73" customFormat="1" ht="15" customHeight="1">
      <c r="B933" s="204" t="s">
        <v>3785</v>
      </c>
      <c r="C933" s="204"/>
      <c r="D933" s="204"/>
      <c r="E933" s="204"/>
      <c r="F933" s="1516"/>
      <c r="G933" s="204"/>
      <c r="H933" s="204"/>
      <c r="I933" s="204"/>
      <c r="J933" s="204"/>
      <c r="K933" s="204"/>
      <c r="L933" s="204"/>
      <c r="M933" s="204"/>
      <c r="N933" s="204"/>
      <c r="O933" s="205"/>
      <c r="P933" s="205"/>
      <c r="Q933" s="204"/>
      <c r="R933" s="204"/>
      <c r="S933" s="204"/>
      <c r="T933" s="204"/>
      <c r="U933" s="204"/>
      <c r="V933" s="204"/>
      <c r="W933" s="204"/>
      <c r="X933" s="206"/>
      <c r="Y933" s="204"/>
      <c r="AC933" s="206"/>
      <c r="AD933" s="296"/>
      <c r="AE933" s="296"/>
      <c r="AF933" s="206"/>
      <c r="AG933" s="206"/>
      <c r="AH933" s="206"/>
      <c r="AI933" s="206"/>
      <c r="AJ933" s="206"/>
    </row>
    <row r="934" spans="1:37" s="73" customFormat="1" ht="15" customHeight="1">
      <c r="A934" s="206"/>
      <c r="B934" s="206"/>
      <c r="C934" s="206"/>
      <c r="E934" s="207"/>
      <c r="F934" s="1517"/>
      <c r="G934" s="207"/>
      <c r="H934" s="206"/>
      <c r="I934" s="207"/>
      <c r="J934" s="207"/>
      <c r="K934" s="208"/>
      <c r="L934" s="208"/>
      <c r="M934" s="207"/>
      <c r="N934" s="207"/>
      <c r="O934" s="209"/>
      <c r="P934" s="209"/>
      <c r="Q934" s="208"/>
      <c r="R934" s="208"/>
      <c r="S934" s="208"/>
      <c r="T934" s="208"/>
      <c r="U934" s="208"/>
      <c r="V934" s="208"/>
      <c r="W934" s="208"/>
      <c r="X934" s="209"/>
      <c r="Y934" s="208"/>
      <c r="AC934" s="206"/>
      <c r="AD934" s="296"/>
      <c r="AE934" s="296"/>
      <c r="AF934" s="206"/>
      <c r="AG934" s="206"/>
      <c r="AH934" s="206"/>
      <c r="AI934" s="206"/>
      <c r="AJ934" s="206"/>
    </row>
    <row r="935" spans="1:37" s="122" customFormat="1" ht="25.5" customHeight="1">
      <c r="A935" s="1550" t="s">
        <v>6</v>
      </c>
      <c r="B935" s="1550" t="s">
        <v>236</v>
      </c>
      <c r="C935" s="1550" t="s">
        <v>15</v>
      </c>
      <c r="D935" s="1550" t="s">
        <v>3</v>
      </c>
      <c r="E935" s="1553" t="s">
        <v>141</v>
      </c>
      <c r="F935" s="1556" t="s">
        <v>3043</v>
      </c>
      <c r="G935" s="1553" t="s">
        <v>3930</v>
      </c>
      <c r="H935" s="1550" t="s">
        <v>51</v>
      </c>
      <c r="I935" s="1553" t="s">
        <v>12</v>
      </c>
      <c r="J935" s="1556" t="s">
        <v>165</v>
      </c>
      <c r="K935" s="1553" t="s">
        <v>166</v>
      </c>
      <c r="L935" s="1566" t="s">
        <v>1</v>
      </c>
      <c r="M935" s="1569" t="s">
        <v>50</v>
      </c>
      <c r="N935" s="1570"/>
      <c r="O935" s="1325" t="s">
        <v>169</v>
      </c>
      <c r="P935" s="1326"/>
      <c r="Q935" s="1326"/>
      <c r="R935" s="1326"/>
      <c r="S935" s="1326"/>
      <c r="T935" s="1326"/>
      <c r="U935" s="1326"/>
      <c r="V935" s="1326"/>
      <c r="W935" s="1326"/>
      <c r="X935" s="1327"/>
      <c r="Y935" s="1328" t="s">
        <v>170</v>
      </c>
      <c r="Z935" s="1329"/>
      <c r="AA935" s="1329"/>
      <c r="AB935" s="1330"/>
      <c r="AC935" s="1328" t="s">
        <v>172</v>
      </c>
      <c r="AD935" s="1329"/>
      <c r="AE935" s="1329"/>
      <c r="AF935" s="1330"/>
      <c r="AG935" s="1580" t="s">
        <v>1392</v>
      </c>
      <c r="AH935" s="1580"/>
      <c r="AI935" s="1580"/>
      <c r="AJ935" s="1580"/>
    </row>
    <row r="936" spans="1:37" s="122" customFormat="1" ht="17.25" customHeight="1">
      <c r="A936" s="1551"/>
      <c r="B936" s="1551"/>
      <c r="C936" s="1551"/>
      <c r="D936" s="1551"/>
      <c r="E936" s="1554"/>
      <c r="F936" s="1554"/>
      <c r="G936" s="1554"/>
      <c r="H936" s="1551"/>
      <c r="I936" s="1554"/>
      <c r="J936" s="1554"/>
      <c r="K936" s="1554"/>
      <c r="L936" s="1567"/>
      <c r="M936" s="1553" t="s">
        <v>54</v>
      </c>
      <c r="N936" s="1555" t="s">
        <v>55</v>
      </c>
      <c r="O936" s="1324" t="s">
        <v>236</v>
      </c>
      <c r="P936" s="1309" t="s">
        <v>15</v>
      </c>
      <c r="Q936" s="1325" t="s">
        <v>54</v>
      </c>
      <c r="R936" s="1326"/>
      <c r="S936" s="1324" t="s">
        <v>55</v>
      </c>
      <c r="T936" s="1324"/>
      <c r="U936" s="1324"/>
      <c r="V936" s="1324" t="s">
        <v>296</v>
      </c>
      <c r="W936" s="1324"/>
      <c r="X936" s="1295" t="s">
        <v>168</v>
      </c>
      <c r="Y936" s="1331"/>
      <c r="Z936" s="1332"/>
      <c r="AA936" s="1332"/>
      <c r="AB936" s="1333"/>
      <c r="AC936" s="1331"/>
      <c r="AD936" s="1332"/>
      <c r="AE936" s="1332"/>
      <c r="AF936" s="1333"/>
      <c r="AG936" s="1580" t="s">
        <v>1393</v>
      </c>
      <c r="AH936" s="1580"/>
      <c r="AI936" s="1581" t="s">
        <v>1394</v>
      </c>
      <c r="AJ936" s="1581"/>
    </row>
    <row r="937" spans="1:37" s="122" customFormat="1" ht="18" customHeight="1">
      <c r="A937" s="1552"/>
      <c r="B937" s="1552"/>
      <c r="C937" s="1552"/>
      <c r="D937" s="1552"/>
      <c r="E937" s="1555"/>
      <c r="F937" s="1555"/>
      <c r="G937" s="1555"/>
      <c r="H937" s="1552"/>
      <c r="I937" s="1555"/>
      <c r="J937" s="1555"/>
      <c r="K937" s="1555"/>
      <c r="L937" s="1568"/>
      <c r="M937" s="1553"/>
      <c r="N937" s="1553"/>
      <c r="O937" s="1324"/>
      <c r="P937" s="1310"/>
      <c r="Q937" s="680" t="s">
        <v>263</v>
      </c>
      <c r="R937" s="1324" t="s">
        <v>78</v>
      </c>
      <c r="S937" s="1324" t="s">
        <v>1661</v>
      </c>
      <c r="T937" s="1324" t="s">
        <v>263</v>
      </c>
      <c r="U937" s="1324" t="s">
        <v>78</v>
      </c>
      <c r="V937" s="1324" t="s">
        <v>54</v>
      </c>
      <c r="W937" s="1324" t="s">
        <v>55</v>
      </c>
      <c r="X937" s="1296"/>
      <c r="Y937" s="1322" t="s">
        <v>15</v>
      </c>
      <c r="Z937" s="1323" t="s">
        <v>167</v>
      </c>
      <c r="AA937" s="1323" t="s">
        <v>9</v>
      </c>
      <c r="AB937" s="1323" t="s">
        <v>171</v>
      </c>
      <c r="AC937" s="1322" t="s">
        <v>15</v>
      </c>
      <c r="AD937" s="1334" t="s">
        <v>167</v>
      </c>
      <c r="AE937" s="1323" t="s">
        <v>9</v>
      </c>
      <c r="AF937" s="1323" t="s">
        <v>171</v>
      </c>
      <c r="AG937" s="1322" t="s">
        <v>193</v>
      </c>
      <c r="AH937" s="1334" t="s">
        <v>1396</v>
      </c>
      <c r="AI937" s="1323" t="s">
        <v>193</v>
      </c>
      <c r="AJ937" s="1323" t="s">
        <v>15</v>
      </c>
    </row>
    <row r="938" spans="1:37" s="114" customFormat="1" ht="12" customHeight="1">
      <c r="A938" s="1415"/>
      <c r="B938" s="1415" t="s">
        <v>195</v>
      </c>
      <c r="C938" s="1415">
        <v>22</v>
      </c>
      <c r="D938" s="1238" t="s">
        <v>4357</v>
      </c>
      <c r="E938" s="1239"/>
      <c r="F938" s="1520" t="s">
        <v>4358</v>
      </c>
      <c r="G938" s="1239" t="s">
        <v>4359</v>
      </c>
      <c r="H938" s="1239" t="s">
        <v>4360</v>
      </c>
      <c r="I938" s="1239" t="s">
        <v>4361</v>
      </c>
      <c r="J938" s="1421"/>
      <c r="K938" s="1240">
        <v>313698302</v>
      </c>
      <c r="L938" s="1419">
        <f t="shared" ref="L938:L939" si="331">K938*10%</f>
        <v>31369830.200000003</v>
      </c>
      <c r="M938" s="1421"/>
      <c r="N938" s="1420">
        <f t="shared" ref="N938" si="332">K938+L938</f>
        <v>345068132.19999999</v>
      </c>
      <c r="O938" s="1245" t="s">
        <v>239</v>
      </c>
      <c r="P938" s="1245" t="s">
        <v>116</v>
      </c>
      <c r="Q938" s="677"/>
      <c r="R938" s="677"/>
      <c r="S938" s="1413">
        <v>0</v>
      </c>
      <c r="T938" s="1413">
        <f t="shared" ref="T938" si="333">-K938*2%</f>
        <v>-6273966.04</v>
      </c>
      <c r="U938" s="194">
        <v>41669778</v>
      </c>
      <c r="V938" s="210"/>
      <c r="W938" s="115"/>
      <c r="X938" s="679"/>
      <c r="Y938" s="116"/>
      <c r="Z938" s="185"/>
      <c r="AA938" s="592"/>
      <c r="AB938" s="186"/>
      <c r="AC938" s="9"/>
      <c r="AD938" s="297"/>
      <c r="AE938" s="1065"/>
      <c r="AF938" s="9"/>
      <c r="AG938" s="9"/>
      <c r="AH938" s="300"/>
      <c r="AI938" s="9"/>
      <c r="AJ938" s="300"/>
      <c r="AK938" s="73"/>
    </row>
    <row r="939" spans="1:37" s="114" customFormat="1" ht="12" customHeight="1">
      <c r="A939" s="1415"/>
      <c r="B939" s="1390" t="s">
        <v>241</v>
      </c>
      <c r="C939" s="1390">
        <v>5</v>
      </c>
      <c r="D939" s="1243" t="s">
        <v>4357</v>
      </c>
      <c r="E939" s="953"/>
      <c r="F939" s="1519" t="s">
        <v>4358</v>
      </c>
      <c r="G939" s="953" t="s">
        <v>4735</v>
      </c>
      <c r="H939" s="953" t="s">
        <v>4736</v>
      </c>
      <c r="I939" s="953"/>
      <c r="J939" s="1403"/>
      <c r="K939" s="1244">
        <v>328432556</v>
      </c>
      <c r="L939" s="1413">
        <f t="shared" si="331"/>
        <v>32843255.600000001</v>
      </c>
      <c r="M939" s="1403"/>
      <c r="N939" s="1410">
        <f t="shared" ref="N939:N940" si="334">K939+L939</f>
        <v>361275811.60000002</v>
      </c>
      <c r="O939" s="1245"/>
      <c r="P939" s="1245"/>
      <c r="Q939" s="677"/>
      <c r="R939" s="677"/>
      <c r="S939" s="1413"/>
      <c r="T939" s="1413"/>
      <c r="U939" s="194"/>
      <c r="V939" s="1386"/>
      <c r="W939" s="1380"/>
      <c r="X939" s="679"/>
      <c r="Y939" s="1381"/>
      <c r="Z939" s="1384"/>
      <c r="AA939" s="1389"/>
      <c r="AB939" s="1385"/>
      <c r="AC939" s="1378"/>
      <c r="AD939" s="1387"/>
      <c r="AE939" s="1065"/>
      <c r="AF939" s="1378"/>
      <c r="AG939" s="1378"/>
      <c r="AH939" s="1388"/>
      <c r="AI939" s="1378"/>
      <c r="AJ939" s="1388"/>
      <c r="AK939" s="1379"/>
    </row>
    <row r="940" spans="1:37" s="114" customFormat="1" ht="12" customHeight="1">
      <c r="A940" s="1415"/>
      <c r="B940" s="1390" t="s">
        <v>241</v>
      </c>
      <c r="C940" s="1390">
        <v>5</v>
      </c>
      <c r="D940" s="1243" t="s">
        <v>4357</v>
      </c>
      <c r="E940" s="953"/>
      <c r="F940" s="1519" t="s">
        <v>4358</v>
      </c>
      <c r="G940" s="953" t="s">
        <v>4738</v>
      </c>
      <c r="H940" s="953" t="s">
        <v>4739</v>
      </c>
      <c r="I940" s="953"/>
      <c r="J940" s="1403"/>
      <c r="K940" s="1244">
        <v>342715826</v>
      </c>
      <c r="L940" s="1413">
        <f t="shared" ref="L940" si="335">K940*10%</f>
        <v>34271582.600000001</v>
      </c>
      <c r="M940" s="1403"/>
      <c r="N940" s="1410">
        <f t="shared" si="334"/>
        <v>376987408.60000002</v>
      </c>
      <c r="O940" s="1245"/>
      <c r="P940" s="1245"/>
      <c r="Q940" s="677"/>
      <c r="R940" s="677"/>
      <c r="S940" s="1413"/>
      <c r="T940" s="1413"/>
      <c r="U940" s="194"/>
      <c r="V940" s="1386"/>
      <c r="W940" s="1380"/>
      <c r="X940" s="679"/>
      <c r="Y940" s="1381"/>
      <c r="Z940" s="1384"/>
      <c r="AA940" s="1389"/>
      <c r="AB940" s="1385"/>
      <c r="AC940" s="1378"/>
      <c r="AD940" s="1387"/>
      <c r="AE940" s="1065"/>
      <c r="AF940" s="1378"/>
      <c r="AG940" s="1378"/>
      <c r="AH940" s="1388"/>
      <c r="AI940" s="1378"/>
      <c r="AJ940" s="1388"/>
      <c r="AK940" s="1379"/>
    </row>
    <row r="941" spans="1:37" s="114" customFormat="1" ht="12" customHeight="1">
      <c r="A941" s="1415"/>
      <c r="B941" s="1390" t="s">
        <v>241</v>
      </c>
      <c r="C941" s="1390">
        <v>5</v>
      </c>
      <c r="D941" s="1243" t="s">
        <v>4357</v>
      </c>
      <c r="E941" s="953"/>
      <c r="F941" s="1519" t="s">
        <v>4358</v>
      </c>
      <c r="G941" s="953" t="s">
        <v>4740</v>
      </c>
      <c r="H941" s="953" t="s">
        <v>4741</v>
      </c>
      <c r="I941" s="953"/>
      <c r="J941" s="1403"/>
      <c r="K941" s="1244">
        <v>342294668</v>
      </c>
      <c r="L941" s="1413">
        <f t="shared" ref="L941" si="336">K941*10%</f>
        <v>34229466.800000004</v>
      </c>
      <c r="M941" s="1403"/>
      <c r="N941" s="1410">
        <f t="shared" ref="N941" si="337">K941+L941</f>
        <v>376524134.80000001</v>
      </c>
      <c r="O941" s="1245"/>
      <c r="P941" s="1245"/>
      <c r="Q941" s="677"/>
      <c r="R941" s="677"/>
      <c r="S941" s="1413"/>
      <c r="T941" s="1413"/>
      <c r="U941" s="194"/>
      <c r="V941" s="1386"/>
      <c r="W941" s="1380"/>
      <c r="X941" s="679"/>
      <c r="Y941" s="1381"/>
      <c r="Z941" s="1384"/>
      <c r="AA941" s="1389"/>
      <c r="AB941" s="1385"/>
      <c r="AC941" s="1378"/>
      <c r="AD941" s="1387"/>
      <c r="AE941" s="1065"/>
      <c r="AF941" s="1378"/>
      <c r="AG941" s="1378"/>
      <c r="AH941" s="1388"/>
      <c r="AI941" s="1378"/>
      <c r="AJ941" s="1388"/>
      <c r="AK941" s="1379"/>
    </row>
    <row r="942" spans="1:37" s="114" customFormat="1" ht="12" customHeight="1">
      <c r="A942" s="53"/>
      <c r="B942" s="1415" t="s">
        <v>239</v>
      </c>
      <c r="C942" s="1415">
        <v>1</v>
      </c>
      <c r="D942" s="1238" t="s">
        <v>4040</v>
      </c>
      <c r="E942" s="1239" t="s">
        <v>4036</v>
      </c>
      <c r="F942" s="1520" t="s">
        <v>4041</v>
      </c>
      <c r="G942" s="1239" t="s">
        <v>4037</v>
      </c>
      <c r="H942" s="1239" t="s">
        <v>4244</v>
      </c>
      <c r="I942" s="1239" t="s">
        <v>4245</v>
      </c>
      <c r="J942" s="1421"/>
      <c r="K942" s="1240">
        <v>40000000</v>
      </c>
      <c r="L942" s="1419">
        <f t="shared" ref="L942:L943" si="338">K942*10%</f>
        <v>4000000</v>
      </c>
      <c r="M942" s="1421"/>
      <c r="N942" s="1420">
        <f t="shared" ref="N942:N943" si="339">K942+L942</f>
        <v>44000000</v>
      </c>
      <c r="O942" s="1245" t="s">
        <v>240</v>
      </c>
      <c r="P942" s="1245" t="s">
        <v>34</v>
      </c>
      <c r="Q942" s="677"/>
      <c r="R942" s="677"/>
      <c r="S942" s="1413">
        <v>0</v>
      </c>
      <c r="T942" s="1413">
        <f t="shared" ref="T942" si="340">-K942*2%</f>
        <v>-800000</v>
      </c>
      <c r="U942" s="194">
        <v>43200000</v>
      </c>
      <c r="V942" s="1386"/>
      <c r="W942" s="1380"/>
      <c r="X942" s="679"/>
      <c r="Y942" s="1381"/>
      <c r="Z942" s="1384"/>
      <c r="AA942" s="1389"/>
      <c r="AB942" s="1385"/>
      <c r="AC942" s="1378"/>
      <c r="AD942" s="1387"/>
      <c r="AE942" s="1065"/>
      <c r="AF942" s="1378"/>
      <c r="AG942" s="1378"/>
      <c r="AH942" s="1388"/>
      <c r="AI942" s="1378"/>
      <c r="AJ942" s="1388"/>
      <c r="AK942" s="1379"/>
    </row>
    <row r="943" spans="1:37" s="1439" customFormat="1" ht="12" customHeight="1">
      <c r="A943" s="1415"/>
      <c r="B943" s="1390" t="s">
        <v>240</v>
      </c>
      <c r="C943" s="1390">
        <v>24</v>
      </c>
      <c r="D943" s="1243" t="s">
        <v>4040</v>
      </c>
      <c r="E943" s="953" t="s">
        <v>4036</v>
      </c>
      <c r="F943" s="1519" t="s">
        <v>4041</v>
      </c>
      <c r="G943" s="953" t="s">
        <v>379</v>
      </c>
      <c r="H943" s="953" t="s">
        <v>4525</v>
      </c>
      <c r="I943" s="953" t="s">
        <v>4794</v>
      </c>
      <c r="J943" s="1403"/>
      <c r="K943" s="1244">
        <v>5980000</v>
      </c>
      <c r="L943" s="1413">
        <f t="shared" si="338"/>
        <v>598000</v>
      </c>
      <c r="M943" s="1403"/>
      <c r="N943" s="1410">
        <f t="shared" si="339"/>
        <v>6578000</v>
      </c>
      <c r="O943" s="1313"/>
      <c r="P943" s="1313"/>
      <c r="Q943" s="1311"/>
      <c r="R943" s="1311"/>
      <c r="S943" s="1419">
        <v>0</v>
      </c>
      <c r="T943" s="1419">
        <f t="shared" ref="T943" si="341">-K943*2%</f>
        <v>-119600</v>
      </c>
      <c r="U943" s="1429"/>
      <c r="V943" s="1430"/>
      <c r="W943" s="1431"/>
      <c r="X943" s="1432"/>
      <c r="Y943" s="1419"/>
      <c r="Z943" s="1433"/>
      <c r="AA943" s="1434"/>
      <c r="AB943" s="1435"/>
      <c r="AC943" s="1416"/>
      <c r="AD943" s="1436"/>
      <c r="AE943" s="1436"/>
      <c r="AF943" s="1416"/>
      <c r="AG943" s="1416"/>
      <c r="AH943" s="1437"/>
      <c r="AI943" s="1416"/>
      <c r="AJ943" s="1437"/>
      <c r="AK943" s="1438"/>
    </row>
    <row r="944" spans="1:37" s="1439" customFormat="1" ht="12" customHeight="1">
      <c r="A944" s="1415"/>
      <c r="B944" s="1390" t="s">
        <v>58</v>
      </c>
      <c r="C944" s="1390">
        <v>14</v>
      </c>
      <c r="D944" s="1243" t="s">
        <v>4040</v>
      </c>
      <c r="E944" s="953" t="s">
        <v>4036</v>
      </c>
      <c r="F944" s="1519" t="s">
        <v>4041</v>
      </c>
      <c r="G944" s="953" t="s">
        <v>5</v>
      </c>
      <c r="H944" s="953" t="s">
        <v>4589</v>
      </c>
      <c r="I944" s="953" t="s">
        <v>4795</v>
      </c>
      <c r="J944" s="1403"/>
      <c r="K944" s="1244">
        <v>5980000</v>
      </c>
      <c r="L944" s="1413">
        <f t="shared" ref="L944:L945" si="342">K944*10%</f>
        <v>598000</v>
      </c>
      <c r="M944" s="1403"/>
      <c r="N944" s="1410">
        <f t="shared" ref="N944:N945" si="343">K944+L944</f>
        <v>6578000</v>
      </c>
      <c r="O944" s="1313"/>
      <c r="P944" s="1313"/>
      <c r="Q944" s="1311"/>
      <c r="R944" s="1311"/>
      <c r="S944" s="1419"/>
      <c r="T944" s="1419"/>
      <c r="U944" s="1429"/>
      <c r="V944" s="1430"/>
      <c r="W944" s="1431"/>
      <c r="X944" s="1432"/>
      <c r="Y944" s="1419"/>
      <c r="Z944" s="1433"/>
      <c r="AA944" s="1434"/>
      <c r="AB944" s="1435"/>
      <c r="AC944" s="1416"/>
      <c r="AD944" s="1436"/>
      <c r="AE944" s="1436"/>
      <c r="AF944" s="1416"/>
      <c r="AG944" s="1416"/>
      <c r="AH944" s="1437"/>
      <c r="AI944" s="1416"/>
      <c r="AJ944" s="1437"/>
      <c r="AK944" s="1438"/>
    </row>
    <row r="945" spans="1:37" s="1405" customFormat="1" ht="12" customHeight="1">
      <c r="A945" s="1390"/>
      <c r="B945" s="1390" t="s">
        <v>241</v>
      </c>
      <c r="C945" s="1390">
        <v>25</v>
      </c>
      <c r="D945" s="1243" t="s">
        <v>4040</v>
      </c>
      <c r="E945" s="953" t="s">
        <v>4036</v>
      </c>
      <c r="F945" s="1519" t="s">
        <v>4041</v>
      </c>
      <c r="G945" s="953" t="s">
        <v>57</v>
      </c>
      <c r="H945" s="953" t="s">
        <v>4777</v>
      </c>
      <c r="I945" s="953" t="s">
        <v>4778</v>
      </c>
      <c r="J945" s="1403"/>
      <c r="K945" s="1244">
        <v>5980000</v>
      </c>
      <c r="L945" s="1413">
        <f t="shared" si="342"/>
        <v>598000</v>
      </c>
      <c r="M945" s="1403"/>
      <c r="N945" s="1410">
        <f t="shared" si="343"/>
        <v>6578000</v>
      </c>
      <c r="O945" s="1245"/>
      <c r="P945" s="1245"/>
      <c r="Q945" s="1246"/>
      <c r="R945" s="1246"/>
      <c r="S945" s="1413"/>
      <c r="T945" s="1413"/>
      <c r="U945" s="1247"/>
      <c r="V945" s="1215"/>
      <c r="W945" s="1203"/>
      <c r="X945" s="1248"/>
      <c r="Y945" s="1413"/>
      <c r="Z945" s="1205"/>
      <c r="AA945" s="1206"/>
      <c r="AB945" s="1207"/>
      <c r="AC945" s="1400"/>
      <c r="AD945" s="1208"/>
      <c r="AE945" s="1208"/>
      <c r="AF945" s="1400"/>
      <c r="AG945" s="1400"/>
      <c r="AH945" s="1209"/>
      <c r="AI945" s="1400"/>
      <c r="AJ945" s="1209"/>
      <c r="AK945" s="1404"/>
    </row>
    <row r="946" spans="1:37" s="114" customFormat="1" ht="12" customHeight="1">
      <c r="A946" s="53"/>
      <c r="B946" s="1390" t="s">
        <v>239</v>
      </c>
      <c r="C946" s="1390">
        <v>18</v>
      </c>
      <c r="D946" s="1243" t="s">
        <v>3283</v>
      </c>
      <c r="E946" s="953" t="s">
        <v>364</v>
      </c>
      <c r="F946" s="1519" t="s">
        <v>3284</v>
      </c>
      <c r="G946" s="953" t="s">
        <v>3285</v>
      </c>
      <c r="H946" s="953" t="s">
        <v>3286</v>
      </c>
      <c r="I946" s="953" t="s">
        <v>3287</v>
      </c>
      <c r="J946" s="1403"/>
      <c r="K946" s="1244">
        <v>18181818.18</v>
      </c>
      <c r="L946" s="1413">
        <f t="shared" ref="L946" si="344">K946*10%</f>
        <v>1818181.818</v>
      </c>
      <c r="M946" s="1403"/>
      <c r="N946" s="1410">
        <f t="shared" ref="N946" si="345">K946+L946</f>
        <v>19999999.998</v>
      </c>
      <c r="O946" s="1245"/>
      <c r="P946" s="1245"/>
      <c r="Q946" s="677"/>
      <c r="R946" s="677"/>
      <c r="S946" s="1381"/>
      <c r="T946" s="1381"/>
      <c r="U946" s="194"/>
      <c r="V946" s="1386"/>
      <c r="W946" s="1380"/>
      <c r="X946" s="679"/>
      <c r="Y946" s="1381"/>
      <c r="Z946" s="1384"/>
      <c r="AA946" s="1389"/>
      <c r="AB946" s="1385"/>
      <c r="AC946" s="1378"/>
      <c r="AD946" s="1387"/>
      <c r="AE946" s="1065"/>
      <c r="AF946" s="1378"/>
      <c r="AG946" s="1378"/>
      <c r="AH946" s="1388"/>
      <c r="AI946" s="1378"/>
      <c r="AJ946" s="1388"/>
      <c r="AK946" s="1379"/>
    </row>
    <row r="947" spans="1:37" s="114" customFormat="1" ht="12" customHeight="1">
      <c r="A947" s="53"/>
      <c r="B947" s="758" t="s">
        <v>240</v>
      </c>
      <c r="C947" s="758">
        <v>18</v>
      </c>
      <c r="D947" s="1243" t="s">
        <v>3283</v>
      </c>
      <c r="E947" s="953" t="s">
        <v>364</v>
      </c>
      <c r="F947" s="1519" t="s">
        <v>3284</v>
      </c>
      <c r="G947" s="953" t="s">
        <v>3288</v>
      </c>
      <c r="H947" s="953" t="s">
        <v>3289</v>
      </c>
      <c r="I947" s="953" t="s">
        <v>3290</v>
      </c>
      <c r="J947" s="1054"/>
      <c r="K947" s="1244">
        <v>18181818.18</v>
      </c>
      <c r="L947" s="762">
        <f t="shared" ref="L947:L1153" si="346">K947*10%</f>
        <v>1818181.818</v>
      </c>
      <c r="M947" s="1054"/>
      <c r="N947" s="763">
        <f t="shared" ref="N947:N1153" si="347">K947+L947</f>
        <v>19999999.998</v>
      </c>
      <c r="O947" s="1245"/>
      <c r="P947" s="1245"/>
      <c r="Q947" s="677"/>
      <c r="R947" s="677"/>
      <c r="S947" s="116"/>
      <c r="T947" s="116"/>
      <c r="U947" s="194"/>
      <c r="V947" s="210"/>
      <c r="W947" s="115"/>
      <c r="X947" s="679"/>
      <c r="Y947" s="116"/>
      <c r="Z947" s="185"/>
      <c r="AA947" s="592"/>
      <c r="AB947" s="186"/>
      <c r="AC947" s="9"/>
      <c r="AD947" s="297"/>
      <c r="AE947" s="1065"/>
      <c r="AF947" s="9"/>
      <c r="AG947" s="9"/>
      <c r="AH947" s="300"/>
      <c r="AI947" s="9"/>
      <c r="AJ947" s="300"/>
      <c r="AK947" s="73"/>
    </row>
    <row r="948" spans="1:37" s="114" customFormat="1" ht="12" customHeight="1">
      <c r="A948" s="53"/>
      <c r="B948" s="758" t="s">
        <v>58</v>
      </c>
      <c r="C948" s="758">
        <v>18</v>
      </c>
      <c r="D948" s="1243" t="s">
        <v>3283</v>
      </c>
      <c r="E948" s="953" t="s">
        <v>364</v>
      </c>
      <c r="F948" s="1519" t="s">
        <v>3284</v>
      </c>
      <c r="G948" s="953" t="s">
        <v>3291</v>
      </c>
      <c r="H948" s="953" t="s">
        <v>3292</v>
      </c>
      <c r="I948" s="953" t="s">
        <v>3293</v>
      </c>
      <c r="J948" s="1054"/>
      <c r="K948" s="1244">
        <v>18181818.18</v>
      </c>
      <c r="L948" s="762">
        <f t="shared" si="346"/>
        <v>1818181.818</v>
      </c>
      <c r="M948" s="1054"/>
      <c r="N948" s="763">
        <f t="shared" si="347"/>
        <v>19999999.998</v>
      </c>
      <c r="O948" s="1245"/>
      <c r="P948" s="1245"/>
      <c r="Q948" s="677"/>
      <c r="R948" s="677"/>
      <c r="S948" s="116"/>
      <c r="T948" s="116"/>
      <c r="U948" s="194"/>
      <c r="V948" s="210"/>
      <c r="W948" s="115"/>
      <c r="X948" s="679"/>
      <c r="Y948" s="116"/>
      <c r="Z948" s="185"/>
      <c r="AA948" s="592"/>
      <c r="AB948" s="186"/>
      <c r="AC948" s="9"/>
      <c r="AD948" s="297"/>
      <c r="AE948" s="1065"/>
      <c r="AF948" s="9"/>
      <c r="AG948" s="9"/>
      <c r="AH948" s="300"/>
      <c r="AI948" s="9"/>
      <c r="AJ948" s="300"/>
      <c r="AK948" s="73"/>
    </row>
    <row r="949" spans="1:37" s="114" customFormat="1" ht="12" customHeight="1">
      <c r="A949" s="53"/>
      <c r="B949" s="758" t="s">
        <v>59</v>
      </c>
      <c r="C949" s="758">
        <v>18</v>
      </c>
      <c r="D949" s="1243" t="s">
        <v>3283</v>
      </c>
      <c r="E949" s="953" t="s">
        <v>364</v>
      </c>
      <c r="F949" s="1519" t="s">
        <v>3284</v>
      </c>
      <c r="G949" s="953" t="s">
        <v>3294</v>
      </c>
      <c r="H949" s="953" t="s">
        <v>3295</v>
      </c>
      <c r="I949" s="953" t="s">
        <v>3296</v>
      </c>
      <c r="J949" s="1054"/>
      <c r="K949" s="1244">
        <v>18181818.18</v>
      </c>
      <c r="L949" s="762">
        <f t="shared" si="346"/>
        <v>1818181.818</v>
      </c>
      <c r="M949" s="1054"/>
      <c r="N949" s="763">
        <f t="shared" si="347"/>
        <v>19999999.998</v>
      </c>
      <c r="O949" s="1245"/>
      <c r="P949" s="1245"/>
      <c r="Q949" s="677"/>
      <c r="R949" s="677"/>
      <c r="S949" s="116"/>
      <c r="T949" s="116"/>
      <c r="U949" s="194"/>
      <c r="V949" s="210"/>
      <c r="W949" s="115"/>
      <c r="X949" s="679"/>
      <c r="Y949" s="116"/>
      <c r="Z949" s="185"/>
      <c r="AA949" s="592"/>
      <c r="AB949" s="186"/>
      <c r="AC949" s="9"/>
      <c r="AD949" s="297"/>
      <c r="AE949" s="1065"/>
      <c r="AF949" s="9"/>
      <c r="AG949" s="9"/>
      <c r="AH949" s="300"/>
      <c r="AI949" s="9"/>
      <c r="AJ949" s="300"/>
      <c r="AK949" s="73"/>
    </row>
    <row r="950" spans="1:37" s="114" customFormat="1" ht="12" customHeight="1">
      <c r="A950" s="53"/>
      <c r="B950" s="758" t="s">
        <v>60</v>
      </c>
      <c r="C950" s="758">
        <v>18</v>
      </c>
      <c r="D950" s="1243" t="s">
        <v>3283</v>
      </c>
      <c r="E950" s="953" t="s">
        <v>364</v>
      </c>
      <c r="F950" s="1519" t="s">
        <v>3284</v>
      </c>
      <c r="G950" s="953" t="s">
        <v>3297</v>
      </c>
      <c r="H950" s="953" t="s">
        <v>3298</v>
      </c>
      <c r="I950" s="953" t="s">
        <v>3299</v>
      </c>
      <c r="J950" s="1054"/>
      <c r="K950" s="1244">
        <v>18181818.18</v>
      </c>
      <c r="L950" s="762">
        <f t="shared" si="346"/>
        <v>1818181.818</v>
      </c>
      <c r="M950" s="1054"/>
      <c r="N950" s="763">
        <f t="shared" si="347"/>
        <v>19999999.998</v>
      </c>
      <c r="O950" s="1245"/>
      <c r="P950" s="1245"/>
      <c r="Q950" s="677"/>
      <c r="R950" s="677"/>
      <c r="S950" s="116"/>
      <c r="T950" s="116"/>
      <c r="U950" s="194"/>
      <c r="V950" s="210"/>
      <c r="W950" s="115"/>
      <c r="X950" s="679"/>
      <c r="Y950" s="116"/>
      <c r="Z950" s="185"/>
      <c r="AA950" s="592"/>
      <c r="AB950" s="186"/>
      <c r="AC950" s="9"/>
      <c r="AD950" s="297"/>
      <c r="AE950" s="1065"/>
      <c r="AF950" s="9"/>
      <c r="AG950" s="9"/>
      <c r="AH950" s="300"/>
      <c r="AI950" s="9"/>
      <c r="AJ950" s="300"/>
      <c r="AK950" s="73"/>
    </row>
    <row r="951" spans="1:37" s="114" customFormat="1" ht="12" customHeight="1">
      <c r="A951" s="53"/>
      <c r="B951" s="758" t="s">
        <v>3300</v>
      </c>
      <c r="C951" s="758">
        <v>9</v>
      </c>
      <c r="D951" s="1243" t="s">
        <v>3283</v>
      </c>
      <c r="E951" s="953" t="s">
        <v>364</v>
      </c>
      <c r="F951" s="1519" t="s">
        <v>3284</v>
      </c>
      <c r="G951" s="953" t="s">
        <v>3301</v>
      </c>
      <c r="H951" s="953" t="s">
        <v>3302</v>
      </c>
      <c r="I951" s="953" t="s">
        <v>3303</v>
      </c>
      <c r="J951" s="1054"/>
      <c r="K951" s="1244">
        <v>18181818.18</v>
      </c>
      <c r="L951" s="762">
        <f t="shared" si="346"/>
        <v>1818181.818</v>
      </c>
      <c r="M951" s="1054"/>
      <c r="N951" s="763">
        <f t="shared" si="347"/>
        <v>19999999.998</v>
      </c>
      <c r="O951" s="1245"/>
      <c r="P951" s="1245"/>
      <c r="Q951" s="677"/>
      <c r="R951" s="677"/>
      <c r="S951" s="116"/>
      <c r="T951" s="116"/>
      <c r="U951" s="194"/>
      <c r="V951" s="210"/>
      <c r="W951" s="115"/>
      <c r="X951" s="679"/>
      <c r="Y951" s="116"/>
      <c r="Z951" s="185"/>
      <c r="AA951" s="592"/>
      <c r="AB951" s="186"/>
      <c r="AC951" s="9"/>
      <c r="AD951" s="297"/>
      <c r="AE951" s="1065"/>
      <c r="AF951" s="9"/>
      <c r="AG951" s="9"/>
      <c r="AH951" s="300"/>
      <c r="AI951" s="9"/>
      <c r="AJ951" s="300"/>
      <c r="AK951" s="73"/>
    </row>
    <row r="952" spans="1:37" s="114" customFormat="1" ht="12" customHeight="1">
      <c r="A952" s="53"/>
      <c r="B952" s="758" t="s">
        <v>244</v>
      </c>
      <c r="C952" s="758">
        <v>8</v>
      </c>
      <c r="D952" s="1243" t="s">
        <v>3283</v>
      </c>
      <c r="E952" s="953" t="s">
        <v>364</v>
      </c>
      <c r="F952" s="1519" t="s">
        <v>3284</v>
      </c>
      <c r="G952" s="953" t="s">
        <v>3304</v>
      </c>
      <c r="H952" s="953" t="s">
        <v>3305</v>
      </c>
      <c r="I952" s="953" t="s">
        <v>3306</v>
      </c>
      <c r="J952" s="1054"/>
      <c r="K952" s="1244">
        <v>18181818.18</v>
      </c>
      <c r="L952" s="762">
        <f t="shared" si="346"/>
        <v>1818181.818</v>
      </c>
      <c r="M952" s="1054"/>
      <c r="N952" s="763">
        <f t="shared" si="347"/>
        <v>19999999.998</v>
      </c>
      <c r="O952" s="1245"/>
      <c r="P952" s="1245"/>
      <c r="Q952" s="677"/>
      <c r="R952" s="677"/>
      <c r="S952" s="116"/>
      <c r="T952" s="116"/>
      <c r="U952" s="194"/>
      <c r="V952" s="210"/>
      <c r="W952" s="115"/>
      <c r="X952" s="679"/>
      <c r="Y952" s="116"/>
      <c r="Z952" s="185"/>
      <c r="AA952" s="592"/>
      <c r="AB952" s="186"/>
      <c r="AC952" s="9"/>
      <c r="AD952" s="297"/>
      <c r="AE952" s="1065"/>
      <c r="AF952" s="9"/>
      <c r="AG952" s="9"/>
      <c r="AH952" s="300"/>
      <c r="AI952" s="9"/>
      <c r="AJ952" s="300"/>
      <c r="AK952" s="73"/>
    </row>
    <row r="953" spans="1:37" s="114" customFormat="1" ht="12" customHeight="1">
      <c r="A953" s="53"/>
      <c r="B953" s="758" t="s">
        <v>244</v>
      </c>
      <c r="C953" s="758">
        <v>9</v>
      </c>
      <c r="D953" s="1243" t="s">
        <v>3283</v>
      </c>
      <c r="E953" s="953" t="s">
        <v>364</v>
      </c>
      <c r="F953" s="1519" t="s">
        <v>3284</v>
      </c>
      <c r="G953" s="953" t="s">
        <v>3307</v>
      </c>
      <c r="H953" s="953" t="s">
        <v>3308</v>
      </c>
      <c r="I953" s="953"/>
      <c r="J953" s="1054"/>
      <c r="K953" s="1244">
        <v>18181818.18</v>
      </c>
      <c r="L953" s="762">
        <f t="shared" si="346"/>
        <v>1818181.818</v>
      </c>
      <c r="M953" s="1054"/>
      <c r="N953" s="763">
        <f t="shared" si="347"/>
        <v>19999999.998</v>
      </c>
      <c r="O953" s="1245"/>
      <c r="P953" s="1245"/>
      <c r="Q953" s="677"/>
      <c r="R953" s="677"/>
      <c r="S953" s="116"/>
      <c r="T953" s="116"/>
      <c r="U953" s="194"/>
      <c r="V953" s="210"/>
      <c r="W953" s="115"/>
      <c r="X953" s="679"/>
      <c r="Y953" s="116"/>
      <c r="Z953" s="185"/>
      <c r="AA953" s="592"/>
      <c r="AB953" s="186"/>
      <c r="AC953" s="9"/>
      <c r="AD953" s="297"/>
      <c r="AE953" s="1065"/>
      <c r="AF953" s="9"/>
      <c r="AG953" s="9"/>
      <c r="AH953" s="300"/>
      <c r="AI953" s="9"/>
      <c r="AJ953" s="300"/>
      <c r="AK953" s="73"/>
    </row>
    <row r="954" spans="1:37" s="114" customFormat="1" ht="12" customHeight="1">
      <c r="A954" s="53"/>
      <c r="B954" s="758" t="s">
        <v>238</v>
      </c>
      <c r="C954" s="758">
        <v>9</v>
      </c>
      <c r="D954" s="1243" t="s">
        <v>3283</v>
      </c>
      <c r="E954" s="953" t="s">
        <v>364</v>
      </c>
      <c r="F954" s="1519" t="s">
        <v>3284</v>
      </c>
      <c r="G954" s="953" t="s">
        <v>3309</v>
      </c>
      <c r="H954" s="953" t="s">
        <v>3310</v>
      </c>
      <c r="I954" s="953"/>
      <c r="J954" s="1054"/>
      <c r="K954" s="1244">
        <v>18181818.18</v>
      </c>
      <c r="L954" s="762">
        <f t="shared" si="346"/>
        <v>1818181.818</v>
      </c>
      <c r="M954" s="1054"/>
      <c r="N954" s="763">
        <f t="shared" si="347"/>
        <v>19999999.998</v>
      </c>
      <c r="O954" s="1245"/>
      <c r="P954" s="1245"/>
      <c r="Q954" s="677"/>
      <c r="R954" s="677"/>
      <c r="S954" s="116"/>
      <c r="T954" s="116"/>
      <c r="U954" s="194"/>
      <c r="V954" s="210"/>
      <c r="W954" s="115"/>
      <c r="X954" s="679"/>
      <c r="Y954" s="116"/>
      <c r="Z954" s="185"/>
      <c r="AA954" s="592"/>
      <c r="AB954" s="186"/>
      <c r="AC954" s="9"/>
      <c r="AD954" s="297"/>
      <c r="AE954" s="1065"/>
      <c r="AF954" s="9"/>
      <c r="AG954" s="9"/>
      <c r="AH954" s="300"/>
      <c r="AI954" s="9"/>
      <c r="AJ954" s="300"/>
      <c r="AK954" s="73"/>
    </row>
    <row r="955" spans="1:37" s="114" customFormat="1" ht="12" customHeight="1">
      <c r="A955" s="53"/>
      <c r="B955" s="758" t="s">
        <v>140</v>
      </c>
      <c r="C955" s="758">
        <v>8</v>
      </c>
      <c r="D955" s="1243" t="s">
        <v>3283</v>
      </c>
      <c r="E955" s="953" t="s">
        <v>364</v>
      </c>
      <c r="F955" s="1519" t="s">
        <v>3284</v>
      </c>
      <c r="G955" s="953" t="s">
        <v>3311</v>
      </c>
      <c r="H955" s="953" t="s">
        <v>3567</v>
      </c>
      <c r="I955" s="953"/>
      <c r="J955" s="1054"/>
      <c r="K955" s="1244">
        <v>18181818.18</v>
      </c>
      <c r="L955" s="762">
        <f t="shared" ref="L955:L973" si="348">K955*10%</f>
        <v>1818181.818</v>
      </c>
      <c r="M955" s="1054"/>
      <c r="N955" s="763">
        <f t="shared" ref="N955:N973" si="349">K955+L955</f>
        <v>19999999.998</v>
      </c>
      <c r="O955" s="1245"/>
      <c r="P955" s="1245"/>
      <c r="Q955" s="677"/>
      <c r="R955" s="677"/>
      <c r="S955" s="116"/>
      <c r="T955" s="116"/>
      <c r="U955" s="194"/>
      <c r="V955" s="210"/>
      <c r="W955" s="115"/>
      <c r="X955" s="679"/>
      <c r="Y955" s="116"/>
      <c r="Z955" s="185"/>
      <c r="AA955" s="592"/>
      <c r="AB955" s="186"/>
      <c r="AC955" s="9"/>
      <c r="AD955" s="297"/>
      <c r="AE955" s="1065"/>
      <c r="AF955" s="9"/>
      <c r="AG955" s="9"/>
      <c r="AH955" s="300"/>
      <c r="AI955" s="9"/>
      <c r="AJ955" s="300"/>
      <c r="AK955" s="73"/>
    </row>
    <row r="956" spans="1:37" s="114" customFormat="1" ht="12" customHeight="1">
      <c r="A956" s="53"/>
      <c r="B956" s="1390" t="s">
        <v>194</v>
      </c>
      <c r="C956" s="1390">
        <v>15</v>
      </c>
      <c r="D956" s="1243" t="s">
        <v>3925</v>
      </c>
      <c r="E956" s="953" t="s">
        <v>3479</v>
      </c>
      <c r="F956" s="1519" t="s">
        <v>3926</v>
      </c>
      <c r="G956" s="953" t="s">
        <v>3927</v>
      </c>
      <c r="H956" s="953" t="s">
        <v>3928</v>
      </c>
      <c r="I956" s="953" t="s">
        <v>3929</v>
      </c>
      <c r="J956" s="1403"/>
      <c r="K956" s="1244">
        <v>78955000</v>
      </c>
      <c r="L956" s="1402">
        <f t="shared" si="348"/>
        <v>7895500</v>
      </c>
      <c r="M956" s="1403"/>
      <c r="N956" s="1410">
        <f t="shared" si="349"/>
        <v>86850500</v>
      </c>
      <c r="O956" s="1245"/>
      <c r="P956" s="1245"/>
      <c r="Q956" s="677"/>
      <c r="R956" s="677"/>
      <c r="S956" s="1413">
        <v>0</v>
      </c>
      <c r="T956" s="1413">
        <f t="shared" ref="T956" si="350">-K956*2%</f>
        <v>-1579100</v>
      </c>
      <c r="U956" s="194"/>
      <c r="V956" s="1386"/>
      <c r="W956" s="1380"/>
      <c r="X956" s="679"/>
      <c r="Y956" s="1381"/>
      <c r="Z956" s="1384"/>
      <c r="AA956" s="1389"/>
      <c r="AB956" s="1385"/>
      <c r="AC956" s="1378"/>
      <c r="AD956" s="1387"/>
      <c r="AE956" s="1065"/>
      <c r="AF956" s="1378"/>
      <c r="AG956" s="1378"/>
      <c r="AH956" s="1388"/>
      <c r="AI956" s="1378"/>
      <c r="AJ956" s="1388"/>
      <c r="AK956" s="1379"/>
    </row>
    <row r="957" spans="1:37" s="1439" customFormat="1" ht="12" customHeight="1">
      <c r="A957" s="1415"/>
      <c r="B957" s="1415" t="s">
        <v>194</v>
      </c>
      <c r="C957" s="1415">
        <v>31</v>
      </c>
      <c r="D957" s="1238" t="s">
        <v>20</v>
      </c>
      <c r="E957" s="1239" t="s">
        <v>354</v>
      </c>
      <c r="F957" s="1520" t="s">
        <v>3617</v>
      </c>
      <c r="G957" s="1239" t="s">
        <v>4</v>
      </c>
      <c r="H957" s="1239" t="s">
        <v>4025</v>
      </c>
      <c r="I957" s="1239" t="s">
        <v>4026</v>
      </c>
      <c r="J957" s="1421"/>
      <c r="K957" s="1240">
        <v>692552664</v>
      </c>
      <c r="L957" s="1241">
        <f t="shared" si="348"/>
        <v>69255266.400000006</v>
      </c>
      <c r="M957" s="1421"/>
      <c r="N957" s="1242">
        <f t="shared" ref="N957:N964" si="351">K957+L957</f>
        <v>761807930.39999998</v>
      </c>
      <c r="O957" s="1313" t="s">
        <v>240</v>
      </c>
      <c r="P957" s="1313" t="s">
        <v>31</v>
      </c>
      <c r="Q957" s="1311"/>
      <c r="R957" s="1311"/>
      <c r="S957" s="1419">
        <v>0</v>
      </c>
      <c r="T957" s="1419">
        <f t="shared" ref="T957" si="352">-K957*2%</f>
        <v>-13851053.280000001</v>
      </c>
      <c r="U957" s="1429">
        <v>761635224</v>
      </c>
      <c r="V957" s="1430"/>
      <c r="W957" s="1431"/>
      <c r="X957" s="1432"/>
      <c r="Y957" s="1419"/>
      <c r="Z957" s="1433"/>
      <c r="AA957" s="1434"/>
      <c r="AB957" s="1435"/>
      <c r="AC957" s="1416"/>
      <c r="AD957" s="1436"/>
      <c r="AE957" s="1436"/>
      <c r="AF957" s="1416"/>
      <c r="AG957" s="1416"/>
      <c r="AH957" s="1437"/>
      <c r="AI957" s="1416"/>
      <c r="AJ957" s="1437"/>
      <c r="AK957" s="1438"/>
    </row>
    <row r="958" spans="1:37" s="1439" customFormat="1" ht="12" customHeight="1">
      <c r="A958" s="1415"/>
      <c r="B958" s="1415" t="s">
        <v>195</v>
      </c>
      <c r="C958" s="1415">
        <v>28</v>
      </c>
      <c r="D958" s="1238" t="s">
        <v>20</v>
      </c>
      <c r="E958" s="1239" t="s">
        <v>354</v>
      </c>
      <c r="F958" s="1520" t="s">
        <v>4192</v>
      </c>
      <c r="G958" s="1239" t="s">
        <v>379</v>
      </c>
      <c r="H958" s="1239" t="s">
        <v>4193</v>
      </c>
      <c r="I958" s="1239" t="s">
        <v>4650</v>
      </c>
      <c r="J958" s="1421"/>
      <c r="K958" s="1240">
        <v>458665002</v>
      </c>
      <c r="L958" s="1241">
        <f t="shared" si="348"/>
        <v>45866500.200000003</v>
      </c>
      <c r="M958" s="1421"/>
      <c r="N958" s="1242">
        <f t="shared" si="351"/>
        <v>504531502.19999999</v>
      </c>
      <c r="O958" s="1313" t="s">
        <v>240</v>
      </c>
      <c r="P958" s="1313" t="s">
        <v>18</v>
      </c>
      <c r="Q958" s="1311"/>
      <c r="R958" s="1311"/>
      <c r="S958" s="1419">
        <v>0</v>
      </c>
      <c r="T958" s="1419">
        <f t="shared" ref="T958" si="353">-K958*2%</f>
        <v>-9173300.040000001</v>
      </c>
      <c r="U958" s="1429">
        <v>500456974</v>
      </c>
      <c r="V958" s="1430"/>
      <c r="W958" s="1431"/>
      <c r="X958" s="1432"/>
      <c r="Y958" s="1419"/>
      <c r="Z958" s="1433"/>
      <c r="AA958" s="1434"/>
      <c r="AB958" s="1435"/>
      <c r="AC958" s="1416"/>
      <c r="AD958" s="1436"/>
      <c r="AE958" s="1436"/>
      <c r="AF958" s="1416"/>
      <c r="AG958" s="1416"/>
      <c r="AH958" s="1437"/>
      <c r="AI958" s="1416"/>
      <c r="AJ958" s="1437"/>
      <c r="AK958" s="1438"/>
    </row>
    <row r="959" spans="1:37" s="1405" customFormat="1" ht="12" customHeight="1">
      <c r="A959" s="1390"/>
      <c r="B959" s="1415" t="s">
        <v>240</v>
      </c>
      <c r="C959" s="1415">
        <v>2</v>
      </c>
      <c r="D959" s="1238" t="s">
        <v>20</v>
      </c>
      <c r="E959" s="1239" t="s">
        <v>354</v>
      </c>
      <c r="F959" s="1520" t="s">
        <v>4405</v>
      </c>
      <c r="G959" s="1239" t="s">
        <v>5</v>
      </c>
      <c r="H959" s="1239" t="s">
        <v>4406</v>
      </c>
      <c r="I959" s="1239" t="s">
        <v>4407</v>
      </c>
      <c r="J959" s="1421"/>
      <c r="K959" s="1240">
        <v>463386087.5</v>
      </c>
      <c r="L959" s="1241">
        <f t="shared" si="348"/>
        <v>46338608.75</v>
      </c>
      <c r="M959" s="1421"/>
      <c r="N959" s="1242">
        <f t="shared" si="351"/>
        <v>509724696.25</v>
      </c>
      <c r="O959" s="1245" t="s">
        <v>59</v>
      </c>
      <c r="P959" s="1245" t="s">
        <v>42</v>
      </c>
      <c r="Q959" s="1246"/>
      <c r="R959" s="1246"/>
      <c r="S959" s="1419">
        <v>0</v>
      </c>
      <c r="T959" s="1419">
        <f t="shared" ref="T959" si="354">-K959*2%</f>
        <v>-9267721.75</v>
      </c>
      <c r="U959" s="1247">
        <v>495358202</v>
      </c>
      <c r="V959" s="1215"/>
      <c r="W959" s="1203"/>
      <c r="X959" s="1248"/>
      <c r="Y959" s="1413"/>
      <c r="Z959" s="1205"/>
      <c r="AA959" s="1206"/>
      <c r="AB959" s="1207"/>
      <c r="AC959" s="1400"/>
      <c r="AD959" s="1208"/>
      <c r="AE959" s="1208"/>
      <c r="AF959" s="1400"/>
      <c r="AG959" s="1400"/>
      <c r="AH959" s="1209"/>
      <c r="AI959" s="1400"/>
      <c r="AJ959" s="1209"/>
      <c r="AK959" s="1404"/>
    </row>
    <row r="960" spans="1:37" s="1405" customFormat="1" ht="12" customHeight="1">
      <c r="A960" s="1390"/>
      <c r="B960" s="1390" t="s">
        <v>58</v>
      </c>
      <c r="C960" s="1390">
        <v>30</v>
      </c>
      <c r="D960" s="1243" t="s">
        <v>20</v>
      </c>
      <c r="E960" s="953" t="s">
        <v>354</v>
      </c>
      <c r="F960" s="1519" t="s">
        <v>4703</v>
      </c>
      <c r="G960" s="953" t="s">
        <v>57</v>
      </c>
      <c r="H960" s="953" t="s">
        <v>4704</v>
      </c>
      <c r="I960" s="953" t="s">
        <v>4705</v>
      </c>
      <c r="J960" s="1403"/>
      <c r="K960" s="1244">
        <v>80856726.719999999</v>
      </c>
      <c r="L960" s="1086">
        <f t="shared" si="348"/>
        <v>8085672.6720000003</v>
      </c>
      <c r="M960" s="1403"/>
      <c r="N960" s="1087">
        <f t="shared" si="351"/>
        <v>88942399.392000005</v>
      </c>
      <c r="O960" s="1245"/>
      <c r="P960" s="1245"/>
      <c r="Q960" s="1246"/>
      <c r="R960" s="1246"/>
      <c r="S960" s="1413"/>
      <c r="T960" s="1413"/>
      <c r="U960" s="1247"/>
      <c r="V960" s="1215"/>
      <c r="W960" s="1203"/>
      <c r="X960" s="1248"/>
      <c r="Y960" s="1413"/>
      <c r="Z960" s="1205"/>
      <c r="AA960" s="1206"/>
      <c r="AB960" s="1207"/>
      <c r="AC960" s="1400"/>
      <c r="AD960" s="1208"/>
      <c r="AE960" s="1208"/>
      <c r="AF960" s="1400"/>
      <c r="AG960" s="1400"/>
      <c r="AH960" s="1209"/>
      <c r="AI960" s="1400"/>
      <c r="AJ960" s="1209"/>
      <c r="AK960" s="1404"/>
    </row>
    <row r="961" spans="1:37" s="1405" customFormat="1" ht="12" customHeight="1">
      <c r="A961" s="1415"/>
      <c r="B961" s="1415" t="s">
        <v>195</v>
      </c>
      <c r="C961" s="1415">
        <v>8</v>
      </c>
      <c r="D961" s="1238" t="s">
        <v>4032</v>
      </c>
      <c r="E961" s="1239" t="s">
        <v>354</v>
      </c>
      <c r="F961" s="1520" t="s">
        <v>4033</v>
      </c>
      <c r="G961" s="1239">
        <v>43133</v>
      </c>
      <c r="H961" s="1239" t="s">
        <v>4034</v>
      </c>
      <c r="I961" s="1239" t="s">
        <v>4035</v>
      </c>
      <c r="J961" s="1421"/>
      <c r="K961" s="1240">
        <v>70000000</v>
      </c>
      <c r="L961" s="1241">
        <f t="shared" si="348"/>
        <v>7000000</v>
      </c>
      <c r="M961" s="1421"/>
      <c r="N961" s="1242">
        <f t="shared" si="351"/>
        <v>77000000</v>
      </c>
      <c r="O961" s="1245" t="s">
        <v>239</v>
      </c>
      <c r="P961" s="1245" t="s">
        <v>38</v>
      </c>
      <c r="Q961" s="1246"/>
      <c r="R961" s="1246"/>
      <c r="S961" s="1413">
        <v>0</v>
      </c>
      <c r="T961" s="1413">
        <f t="shared" ref="T961" si="355">-K961*2%</f>
        <v>-1400000</v>
      </c>
      <c r="U961" s="1247">
        <v>75600000</v>
      </c>
      <c r="V961" s="1215"/>
      <c r="W961" s="1203"/>
      <c r="X961" s="1248"/>
      <c r="Y961" s="1413"/>
      <c r="Z961" s="1205"/>
      <c r="AA961" s="1206"/>
      <c r="AB961" s="1207"/>
      <c r="AC961" s="1400"/>
      <c r="AD961" s="1208"/>
      <c r="AE961" s="1208"/>
      <c r="AF961" s="1400"/>
      <c r="AG961" s="1400"/>
      <c r="AH961" s="1209"/>
      <c r="AI961" s="1400"/>
      <c r="AJ961" s="1209"/>
      <c r="AK961" s="1404"/>
    </row>
    <row r="962" spans="1:37" s="1439" customFormat="1" ht="12" customHeight="1">
      <c r="A962" s="1415"/>
      <c r="B962" s="1415" t="s">
        <v>239</v>
      </c>
      <c r="C962" s="1415">
        <v>5</v>
      </c>
      <c r="D962" s="1238" t="s">
        <v>4032</v>
      </c>
      <c r="E962" s="1239" t="s">
        <v>354</v>
      </c>
      <c r="F962" s="1520" t="s">
        <v>4246</v>
      </c>
      <c r="G962" s="1239" t="s">
        <v>4247</v>
      </c>
      <c r="H962" s="1239" t="s">
        <v>4248</v>
      </c>
      <c r="I962" s="1239" t="s">
        <v>4249</v>
      </c>
      <c r="J962" s="1421"/>
      <c r="K962" s="1240">
        <v>83000000</v>
      </c>
      <c r="L962" s="1241">
        <f t="shared" si="348"/>
        <v>8300000</v>
      </c>
      <c r="M962" s="1421"/>
      <c r="N962" s="1242">
        <f t="shared" si="351"/>
        <v>91300000</v>
      </c>
      <c r="O962" s="1313" t="s">
        <v>240</v>
      </c>
      <c r="P962" s="1313" t="s">
        <v>89</v>
      </c>
      <c r="Q962" s="1311"/>
      <c r="R962" s="1311"/>
      <c r="S962" s="1419"/>
      <c r="T962" s="1413">
        <f t="shared" ref="T962" si="356">-K962*2%</f>
        <v>-1660000</v>
      </c>
      <c r="U962" s="1247">
        <v>89600000</v>
      </c>
      <c r="V962" s="1430"/>
      <c r="W962" s="1431"/>
      <c r="X962" s="1432"/>
      <c r="Y962" s="1419"/>
      <c r="Z962" s="1433"/>
      <c r="AA962" s="1434"/>
      <c r="AB962" s="1435"/>
      <c r="AC962" s="1416"/>
      <c r="AD962" s="1436"/>
      <c r="AE962" s="1436"/>
      <c r="AF962" s="1416"/>
      <c r="AG962" s="1416"/>
      <c r="AH962" s="1437"/>
      <c r="AI962" s="1416"/>
      <c r="AJ962" s="1437"/>
      <c r="AK962" s="1438"/>
    </row>
    <row r="963" spans="1:37" s="1439" customFormat="1" ht="12" customHeight="1">
      <c r="A963" s="1415"/>
      <c r="B963" s="1390" t="s">
        <v>240</v>
      </c>
      <c r="C963" s="1390">
        <v>6</v>
      </c>
      <c r="D963" s="1243" t="s">
        <v>4032</v>
      </c>
      <c r="E963" s="953" t="s">
        <v>354</v>
      </c>
      <c r="F963" s="1519" t="s">
        <v>4246</v>
      </c>
      <c r="G963" s="953" t="s">
        <v>4415</v>
      </c>
      <c r="H963" s="953" t="s">
        <v>4416</v>
      </c>
      <c r="I963" s="953" t="s">
        <v>4417</v>
      </c>
      <c r="J963" s="1403"/>
      <c r="K963" s="1244">
        <v>83000000</v>
      </c>
      <c r="L963" s="1086">
        <f t="shared" si="348"/>
        <v>8300000</v>
      </c>
      <c r="M963" s="1403"/>
      <c r="N963" s="1087">
        <f t="shared" si="351"/>
        <v>91300000</v>
      </c>
      <c r="O963" s="1313"/>
      <c r="P963" s="1313"/>
      <c r="Q963" s="1311"/>
      <c r="R963" s="1311"/>
      <c r="S963" s="1419"/>
      <c r="T963" s="1419"/>
      <c r="U963" s="1429"/>
      <c r="V963" s="1430"/>
      <c r="W963" s="1431"/>
      <c r="X963" s="1432"/>
      <c r="Y963" s="1419"/>
      <c r="Z963" s="1433"/>
      <c r="AA963" s="1434"/>
      <c r="AB963" s="1435"/>
      <c r="AC963" s="1416"/>
      <c r="AD963" s="1436"/>
      <c r="AE963" s="1436"/>
      <c r="AF963" s="1416"/>
      <c r="AG963" s="1416"/>
      <c r="AH963" s="1437"/>
      <c r="AI963" s="1416"/>
      <c r="AJ963" s="1437"/>
      <c r="AK963" s="1438"/>
    </row>
    <row r="964" spans="1:37" s="1405" customFormat="1" ht="12" customHeight="1">
      <c r="A964" s="1390"/>
      <c r="B964" s="1390" t="s">
        <v>58</v>
      </c>
      <c r="C964" s="1390">
        <v>17</v>
      </c>
      <c r="D964" s="1243" t="s">
        <v>4032</v>
      </c>
      <c r="E964" s="953" t="s">
        <v>354</v>
      </c>
      <c r="F964" s="1519" t="s">
        <v>4246</v>
      </c>
      <c r="G964" s="953" t="s">
        <v>4649</v>
      </c>
      <c r="H964" s="953" t="s">
        <v>4647</v>
      </c>
      <c r="I964" s="953" t="s">
        <v>4648</v>
      </c>
      <c r="J964" s="1403"/>
      <c r="K964" s="1244">
        <v>83000000</v>
      </c>
      <c r="L964" s="1086">
        <f t="shared" si="348"/>
        <v>8300000</v>
      </c>
      <c r="M964" s="1403"/>
      <c r="N964" s="1087">
        <f t="shared" si="351"/>
        <v>91300000</v>
      </c>
      <c r="O964" s="1245"/>
      <c r="P964" s="1245"/>
      <c r="Q964" s="1246"/>
      <c r="R964" s="1246"/>
      <c r="S964" s="1413"/>
      <c r="T964" s="1413"/>
      <c r="U964" s="1247"/>
      <c r="V964" s="1215"/>
      <c r="W964" s="1203"/>
      <c r="X964" s="1248"/>
      <c r="Y964" s="1413"/>
      <c r="Z964" s="1205"/>
      <c r="AA964" s="1206"/>
      <c r="AB964" s="1207"/>
      <c r="AC964" s="1400"/>
      <c r="AD964" s="1208"/>
      <c r="AE964" s="1208"/>
      <c r="AF964" s="1400"/>
      <c r="AG964" s="1400"/>
      <c r="AH964" s="1209"/>
      <c r="AI964" s="1400"/>
      <c r="AJ964" s="1209"/>
      <c r="AK964" s="1404"/>
    </row>
    <row r="965" spans="1:37" s="1439" customFormat="1" ht="12" customHeight="1">
      <c r="A965" s="1415"/>
      <c r="B965" s="1415" t="s">
        <v>194</v>
      </c>
      <c r="C965" s="1415">
        <v>15</v>
      </c>
      <c r="D965" s="1238" t="s">
        <v>1625</v>
      </c>
      <c r="E965" s="1239" t="s">
        <v>355</v>
      </c>
      <c r="F965" s="1520" t="s">
        <v>3914</v>
      </c>
      <c r="G965" s="1239" t="s">
        <v>1617</v>
      </c>
      <c r="H965" s="1239" t="s">
        <v>3915</v>
      </c>
      <c r="I965" s="1239" t="s">
        <v>3916</v>
      </c>
      <c r="J965" s="1421"/>
      <c r="K965" s="1240">
        <v>59985000</v>
      </c>
      <c r="L965" s="1419">
        <f t="shared" si="348"/>
        <v>5998500</v>
      </c>
      <c r="M965" s="1421"/>
      <c r="N965" s="1420">
        <f t="shared" si="349"/>
        <v>65983500</v>
      </c>
      <c r="O965" s="1313" t="s">
        <v>239</v>
      </c>
      <c r="P965" s="1313" t="s">
        <v>92</v>
      </c>
      <c r="Q965" s="1311"/>
      <c r="R965" s="1311"/>
      <c r="S965" s="1413">
        <v>0</v>
      </c>
      <c r="T965" s="1413">
        <f t="shared" ref="T965" si="357">-K965*2%</f>
        <v>-1199700</v>
      </c>
      <c r="U965" s="1429">
        <v>64783800</v>
      </c>
      <c r="V965" s="1430"/>
      <c r="W965" s="1431"/>
      <c r="X965" s="1432"/>
      <c r="Y965" s="1419"/>
      <c r="Z965" s="1433"/>
      <c r="AA965" s="1434"/>
      <c r="AB965" s="1435"/>
      <c r="AC965" s="1416"/>
      <c r="AD965" s="1436"/>
      <c r="AE965" s="1436"/>
      <c r="AF965" s="1416"/>
      <c r="AG965" s="1416"/>
      <c r="AH965" s="1437"/>
      <c r="AI965" s="1416"/>
      <c r="AJ965" s="1437"/>
      <c r="AK965" s="1438"/>
    </row>
    <row r="966" spans="1:37" s="114" customFormat="1" ht="12" customHeight="1">
      <c r="A966" s="1415"/>
      <c r="B966" s="1415" t="s">
        <v>195</v>
      </c>
      <c r="C966" s="1415">
        <v>22</v>
      </c>
      <c r="D966" s="1238" t="s">
        <v>1625</v>
      </c>
      <c r="E966" s="1239" t="s">
        <v>355</v>
      </c>
      <c r="F966" s="1520" t="s">
        <v>3914</v>
      </c>
      <c r="G966" s="1239" t="s">
        <v>4</v>
      </c>
      <c r="H966" s="1239" t="s">
        <v>4242</v>
      </c>
      <c r="I966" s="1239" t="s">
        <v>4150</v>
      </c>
      <c r="J966" s="1421"/>
      <c r="K966" s="1240">
        <v>61119000</v>
      </c>
      <c r="L966" s="1419">
        <f t="shared" si="348"/>
        <v>6111900</v>
      </c>
      <c r="M966" s="1421"/>
      <c r="N966" s="1420">
        <f t="shared" si="349"/>
        <v>67230900</v>
      </c>
      <c r="O966" s="1245" t="s">
        <v>240</v>
      </c>
      <c r="P966" s="1245" t="s">
        <v>94</v>
      </c>
      <c r="Q966" s="677"/>
      <c r="R966" s="677"/>
      <c r="S966" s="1413">
        <v>0</v>
      </c>
      <c r="T966" s="1413">
        <f t="shared" ref="T966:T967" si="358">-K966*2%</f>
        <v>-1222380</v>
      </c>
      <c r="U966" s="194">
        <v>66008520</v>
      </c>
      <c r="V966" s="1386"/>
      <c r="W966" s="1380"/>
      <c r="X966" s="679"/>
      <c r="Y966" s="1381"/>
      <c r="Z966" s="1384"/>
      <c r="AA966" s="1389"/>
      <c r="AB966" s="1385"/>
      <c r="AC966" s="1378"/>
      <c r="AD966" s="1387"/>
      <c r="AE966" s="1065"/>
      <c r="AF966" s="1378"/>
      <c r="AG966" s="1378"/>
      <c r="AH966" s="1388"/>
      <c r="AI966" s="1378"/>
      <c r="AJ966" s="1388"/>
      <c r="AK966" s="1379"/>
    </row>
    <row r="967" spans="1:37" s="1439" customFormat="1" ht="12" customHeight="1">
      <c r="A967" s="1415"/>
      <c r="B967" s="1415" t="s">
        <v>239</v>
      </c>
      <c r="C967" s="1415">
        <v>5</v>
      </c>
      <c r="D967" s="1238" t="s">
        <v>1625</v>
      </c>
      <c r="E967" s="1239" t="s">
        <v>355</v>
      </c>
      <c r="F967" s="1520" t="s">
        <v>3914</v>
      </c>
      <c r="G967" s="1239" t="s">
        <v>379</v>
      </c>
      <c r="H967" s="1239" t="s">
        <v>4241</v>
      </c>
      <c r="I967" s="1239" t="s">
        <v>4243</v>
      </c>
      <c r="J967" s="1421"/>
      <c r="K967" s="1240">
        <v>61830000</v>
      </c>
      <c r="L967" s="1419">
        <f t="shared" si="348"/>
        <v>6183000</v>
      </c>
      <c r="M967" s="1421"/>
      <c r="N967" s="1420">
        <f t="shared" si="349"/>
        <v>68013000</v>
      </c>
      <c r="O967" s="1313" t="s">
        <v>58</v>
      </c>
      <c r="P967" s="1313" t="s">
        <v>88</v>
      </c>
      <c r="Q967" s="1311"/>
      <c r="R967" s="1311"/>
      <c r="S967" s="1413">
        <v>0</v>
      </c>
      <c r="T967" s="1419">
        <f t="shared" si="358"/>
        <v>-1236600</v>
      </c>
      <c r="U967" s="1429">
        <v>66873600</v>
      </c>
      <c r="V967" s="1430"/>
      <c r="W967" s="1431"/>
      <c r="X967" s="1432"/>
      <c r="Y967" s="1419"/>
      <c r="Z967" s="1433"/>
      <c r="AA967" s="1434"/>
      <c r="AB967" s="1435"/>
      <c r="AC967" s="1416"/>
      <c r="AD967" s="1436"/>
      <c r="AE967" s="1436"/>
      <c r="AF967" s="1416"/>
      <c r="AG967" s="1416"/>
      <c r="AH967" s="1437"/>
      <c r="AI967" s="1416"/>
      <c r="AJ967" s="1437"/>
      <c r="AK967" s="1438"/>
    </row>
    <row r="968" spans="1:37" s="1439" customFormat="1" ht="12" customHeight="1">
      <c r="A968" s="1415"/>
      <c r="B968" s="1415" t="s">
        <v>240</v>
      </c>
      <c r="C968" s="1415">
        <v>4</v>
      </c>
      <c r="D968" s="1238" t="s">
        <v>1625</v>
      </c>
      <c r="E968" s="1239" t="s">
        <v>355</v>
      </c>
      <c r="F968" s="1520" t="s">
        <v>3914</v>
      </c>
      <c r="G968" s="1239" t="s">
        <v>5</v>
      </c>
      <c r="H968" s="1239" t="s">
        <v>4403</v>
      </c>
      <c r="I968" s="1239" t="s">
        <v>4404</v>
      </c>
      <c r="J968" s="1421"/>
      <c r="K968" s="1240">
        <v>61920000</v>
      </c>
      <c r="L968" s="1419">
        <f t="shared" si="348"/>
        <v>6192000</v>
      </c>
      <c r="M968" s="1421"/>
      <c r="N968" s="1420">
        <f t="shared" si="349"/>
        <v>68112000</v>
      </c>
      <c r="O968" s="1313" t="s">
        <v>58</v>
      </c>
      <c r="P968" s="1313" t="s">
        <v>88</v>
      </c>
      <c r="Q968" s="1311"/>
      <c r="R968" s="1311"/>
      <c r="S968" s="1413">
        <v>0</v>
      </c>
      <c r="T968" s="1419">
        <f t="shared" ref="T968" si="359">-K968*2%</f>
        <v>-1238400</v>
      </c>
      <c r="U968" s="1429">
        <v>66873600</v>
      </c>
      <c r="V968" s="1430"/>
      <c r="W968" s="1431"/>
      <c r="X968" s="1432"/>
      <c r="Y968" s="1419"/>
      <c r="Z968" s="1433"/>
      <c r="AA968" s="1434"/>
      <c r="AB968" s="1435"/>
      <c r="AC968" s="1416"/>
      <c r="AD968" s="1436"/>
      <c r="AE968" s="1436"/>
      <c r="AF968" s="1416"/>
      <c r="AG968" s="1416"/>
      <c r="AH968" s="1437"/>
      <c r="AI968" s="1416"/>
      <c r="AJ968" s="1437"/>
      <c r="AK968" s="1438"/>
    </row>
    <row r="969" spans="1:37" s="114" customFormat="1" ht="12" customHeight="1">
      <c r="A969" s="1415"/>
      <c r="B969" s="1415" t="s">
        <v>58</v>
      </c>
      <c r="C969" s="1415">
        <v>3</v>
      </c>
      <c r="D969" s="1238" t="s">
        <v>1625</v>
      </c>
      <c r="E969" s="1239" t="s">
        <v>355</v>
      </c>
      <c r="F969" s="1520" t="s">
        <v>3914</v>
      </c>
      <c r="G969" s="1239" t="s">
        <v>57</v>
      </c>
      <c r="H969" s="1239" t="s">
        <v>4538</v>
      </c>
      <c r="I969" s="1239" t="s">
        <v>4539</v>
      </c>
      <c r="J969" s="1421"/>
      <c r="K969" s="1240">
        <v>62842500</v>
      </c>
      <c r="L969" s="1419">
        <f t="shared" si="348"/>
        <v>6284250</v>
      </c>
      <c r="M969" s="1421"/>
      <c r="N969" s="1420">
        <f t="shared" si="349"/>
        <v>69126750</v>
      </c>
      <c r="O969" s="1245" t="s">
        <v>58</v>
      </c>
      <c r="P969" s="1245" t="s">
        <v>113</v>
      </c>
      <c r="Q969" s="677"/>
      <c r="R969" s="677"/>
      <c r="S969" s="1413">
        <v>0</v>
      </c>
      <c r="T969" s="1419">
        <f t="shared" ref="T969:T970" si="360">-K969*2%</f>
        <v>-1256850</v>
      </c>
      <c r="U969" s="194">
        <v>67869900</v>
      </c>
      <c r="V969" s="1386"/>
      <c r="W969" s="1380"/>
      <c r="X969" s="679"/>
      <c r="Y969" s="1381"/>
      <c r="Z969" s="1384"/>
      <c r="AA969" s="1389"/>
      <c r="AB969" s="1385"/>
      <c r="AC969" s="1378"/>
      <c r="AD969" s="1387"/>
      <c r="AE969" s="1065"/>
      <c r="AF969" s="1378"/>
      <c r="AG969" s="1378"/>
      <c r="AH969" s="1388"/>
      <c r="AI969" s="1378"/>
      <c r="AJ969" s="1388"/>
      <c r="AK969" s="1379"/>
    </row>
    <row r="970" spans="1:37" s="114" customFormat="1" ht="12" customHeight="1">
      <c r="A970" s="1415"/>
      <c r="B970" s="1390" t="s">
        <v>241</v>
      </c>
      <c r="C970" s="1390">
        <v>22</v>
      </c>
      <c r="D970" s="1243" t="s">
        <v>1625</v>
      </c>
      <c r="E970" s="953" t="s">
        <v>355</v>
      </c>
      <c r="F970" s="1519" t="s">
        <v>3914</v>
      </c>
      <c r="G970" s="953" t="s">
        <v>58</v>
      </c>
      <c r="H970" s="953" t="s">
        <v>4784</v>
      </c>
      <c r="I970" s="953" t="s">
        <v>4785</v>
      </c>
      <c r="J970" s="1403"/>
      <c r="K970" s="1244">
        <v>63459000</v>
      </c>
      <c r="L970" s="1413">
        <f t="shared" si="348"/>
        <v>6345900</v>
      </c>
      <c r="M970" s="1403"/>
      <c r="N970" s="1410">
        <f t="shared" si="349"/>
        <v>69804900</v>
      </c>
      <c r="O970" s="1245"/>
      <c r="P970" s="1245"/>
      <c r="Q970" s="677"/>
      <c r="R970" s="677"/>
      <c r="S970" s="1413"/>
      <c r="T970" s="1419">
        <f t="shared" si="360"/>
        <v>-1269180</v>
      </c>
      <c r="U970" s="194"/>
      <c r="V970" s="1386"/>
      <c r="W970" s="1380"/>
      <c r="X970" s="679"/>
      <c r="Y970" s="1381"/>
      <c r="Z970" s="1384"/>
      <c r="AA970" s="1389"/>
      <c r="AB970" s="1385"/>
      <c r="AC970" s="1378"/>
      <c r="AD970" s="1387"/>
      <c r="AE970" s="1065"/>
      <c r="AF970" s="1378"/>
      <c r="AG970" s="1378"/>
      <c r="AH970" s="1388"/>
      <c r="AI970" s="1378"/>
      <c r="AJ970" s="1388"/>
      <c r="AK970" s="1379"/>
    </row>
    <row r="971" spans="1:37" s="1439" customFormat="1" ht="12" customHeight="1">
      <c r="A971" s="1415"/>
      <c r="B971" s="1415" t="s">
        <v>194</v>
      </c>
      <c r="C971" s="1415">
        <v>26</v>
      </c>
      <c r="D971" s="1238" t="s">
        <v>4020</v>
      </c>
      <c r="E971" s="1239" t="s">
        <v>364</v>
      </c>
      <c r="F971" s="1520" t="s">
        <v>4021</v>
      </c>
      <c r="G971" s="1239">
        <v>43118</v>
      </c>
      <c r="H971" s="1239" t="s">
        <v>4022</v>
      </c>
      <c r="I971" s="1239" t="s">
        <v>4023</v>
      </c>
      <c r="J971" s="1421"/>
      <c r="K971" s="1240">
        <v>10000000</v>
      </c>
      <c r="L971" s="1419">
        <f t="shared" si="348"/>
        <v>1000000</v>
      </c>
      <c r="M971" s="1421"/>
      <c r="N971" s="1420">
        <f t="shared" si="349"/>
        <v>11000000</v>
      </c>
      <c r="O971" s="1313" t="s">
        <v>195</v>
      </c>
      <c r="P971" s="1313" t="s">
        <v>106</v>
      </c>
      <c r="Q971" s="1311"/>
      <c r="R971" s="1311"/>
      <c r="S971" s="1413">
        <v>0</v>
      </c>
      <c r="T971" s="1413">
        <f t="shared" ref="T971" si="361">-K971*2%</f>
        <v>-200000</v>
      </c>
      <c r="U971" s="1429">
        <v>10800000</v>
      </c>
      <c r="V971" s="1430"/>
      <c r="W971" s="1431"/>
      <c r="X971" s="1432"/>
      <c r="Y971" s="1419"/>
      <c r="Z971" s="1433"/>
      <c r="AA971" s="1434"/>
      <c r="AB971" s="1435"/>
      <c r="AC971" s="1416"/>
      <c r="AD971" s="1436"/>
      <c r="AE971" s="1436"/>
      <c r="AF971" s="1416"/>
      <c r="AG971" s="1416"/>
      <c r="AH971" s="1437"/>
      <c r="AI971" s="1416"/>
      <c r="AJ971" s="1437"/>
      <c r="AK971" s="1438"/>
    </row>
    <row r="972" spans="1:37" s="1439" customFormat="1" ht="12" customHeight="1">
      <c r="A972" s="1415"/>
      <c r="B972" s="1415" t="s">
        <v>195</v>
      </c>
      <c r="C972" s="1415">
        <v>22</v>
      </c>
      <c r="D972" s="1238" t="s">
        <v>4020</v>
      </c>
      <c r="E972" s="1239" t="s">
        <v>364</v>
      </c>
      <c r="F972" s="1520" t="s">
        <v>4141</v>
      </c>
      <c r="G972" s="1239" t="s">
        <v>4142</v>
      </c>
      <c r="H972" s="1239" t="s">
        <v>4143</v>
      </c>
      <c r="I972" s="1239" t="s">
        <v>4362</v>
      </c>
      <c r="J972" s="1421"/>
      <c r="K972" s="1240">
        <v>14500000</v>
      </c>
      <c r="L972" s="1419">
        <f t="shared" si="348"/>
        <v>1450000</v>
      </c>
      <c r="M972" s="1421"/>
      <c r="N972" s="1420">
        <f t="shared" si="349"/>
        <v>15950000</v>
      </c>
      <c r="O972" s="1313" t="s">
        <v>58</v>
      </c>
      <c r="P972" s="1313" t="s">
        <v>88</v>
      </c>
      <c r="Q972" s="1311"/>
      <c r="R972" s="1311"/>
      <c r="S972" s="1419">
        <v>0</v>
      </c>
      <c r="T972" s="1419">
        <f t="shared" ref="T972:T976" si="362">-K972*2%</f>
        <v>-290000</v>
      </c>
      <c r="U972" s="1429">
        <v>15660000</v>
      </c>
      <c r="V972" s="1430"/>
      <c r="W972" s="1431"/>
      <c r="X972" s="1432"/>
      <c r="Y972" s="1419"/>
      <c r="Z972" s="1433"/>
      <c r="AA972" s="1434"/>
      <c r="AB972" s="1435"/>
      <c r="AC972" s="1416"/>
      <c r="AD972" s="1436"/>
      <c r="AE972" s="1436"/>
      <c r="AF972" s="1416"/>
      <c r="AG972" s="1416"/>
      <c r="AH972" s="1437"/>
      <c r="AI972" s="1416"/>
      <c r="AJ972" s="1437"/>
      <c r="AK972" s="1438"/>
    </row>
    <row r="973" spans="1:37" s="1439" customFormat="1" ht="12" customHeight="1">
      <c r="A973" s="1415"/>
      <c r="B973" s="1415" t="s">
        <v>239</v>
      </c>
      <c r="C973" s="1415">
        <v>9</v>
      </c>
      <c r="D973" s="1238" t="s">
        <v>4020</v>
      </c>
      <c r="E973" s="1239" t="s">
        <v>364</v>
      </c>
      <c r="F973" s="1520" t="s">
        <v>4141</v>
      </c>
      <c r="G973" s="1239" t="s">
        <v>4302</v>
      </c>
      <c r="H973" s="1239" t="s">
        <v>4303</v>
      </c>
      <c r="I973" s="1239" t="s">
        <v>4363</v>
      </c>
      <c r="J973" s="1421"/>
      <c r="K973" s="1240">
        <v>14500000</v>
      </c>
      <c r="L973" s="1419">
        <f t="shared" si="348"/>
        <v>1450000</v>
      </c>
      <c r="M973" s="1421"/>
      <c r="N973" s="1420">
        <f t="shared" si="349"/>
        <v>15950000</v>
      </c>
      <c r="O973" s="1313" t="s">
        <v>58</v>
      </c>
      <c r="P973" s="1313" t="s">
        <v>88</v>
      </c>
      <c r="Q973" s="1311"/>
      <c r="R973" s="1311"/>
      <c r="S973" s="1419">
        <v>0</v>
      </c>
      <c r="T973" s="1419">
        <f t="shared" si="362"/>
        <v>-290000</v>
      </c>
      <c r="U973" s="1429">
        <v>15660000</v>
      </c>
      <c r="V973" s="1430"/>
      <c r="W973" s="1431"/>
      <c r="X973" s="1432"/>
      <c r="Y973" s="1419"/>
      <c r="Z973" s="1433"/>
      <c r="AA973" s="1434"/>
      <c r="AB973" s="1435"/>
      <c r="AC973" s="1416"/>
      <c r="AD973" s="1436"/>
      <c r="AE973" s="1436"/>
      <c r="AF973" s="1416"/>
      <c r="AG973" s="1416"/>
      <c r="AH973" s="1437"/>
      <c r="AI973" s="1416"/>
      <c r="AJ973" s="1437"/>
      <c r="AK973" s="1438"/>
    </row>
    <row r="974" spans="1:37" s="114" customFormat="1" ht="12" customHeight="1">
      <c r="A974" s="1415"/>
      <c r="B974" s="1415" t="s">
        <v>240</v>
      </c>
      <c r="C974" s="1415">
        <v>3</v>
      </c>
      <c r="D974" s="1238" t="s">
        <v>4020</v>
      </c>
      <c r="E974" s="1239" t="s">
        <v>364</v>
      </c>
      <c r="F974" s="1520" t="s">
        <v>4141</v>
      </c>
      <c r="G974" s="1239" t="s">
        <v>4370</v>
      </c>
      <c r="H974" s="1239" t="s">
        <v>4371</v>
      </c>
      <c r="I974" s="1239" t="s">
        <v>4372</v>
      </c>
      <c r="J974" s="1421"/>
      <c r="K974" s="1240">
        <v>14500000</v>
      </c>
      <c r="L974" s="1419">
        <f t="shared" ref="L974:L976" si="363">K974*10%</f>
        <v>1450000</v>
      </c>
      <c r="M974" s="1421"/>
      <c r="N974" s="1420">
        <f t="shared" ref="N974:N976" si="364">K974+L974</f>
        <v>15950000</v>
      </c>
      <c r="O974" s="1313" t="s">
        <v>58</v>
      </c>
      <c r="P974" s="1313" t="s">
        <v>88</v>
      </c>
      <c r="Q974" s="677"/>
      <c r="R974" s="677"/>
      <c r="S974" s="1419">
        <v>0</v>
      </c>
      <c r="T974" s="1419">
        <f t="shared" si="362"/>
        <v>-290000</v>
      </c>
      <c r="U974" s="1429">
        <v>15660000</v>
      </c>
      <c r="V974" s="1386"/>
      <c r="W974" s="1380"/>
      <c r="X974" s="679"/>
      <c r="Y974" s="1381"/>
      <c r="Z974" s="1384"/>
      <c r="AA974" s="1389"/>
      <c r="AB974" s="1385"/>
      <c r="AC974" s="1378"/>
      <c r="AD974" s="1387"/>
      <c r="AE974" s="1065"/>
      <c r="AF974" s="1378"/>
      <c r="AG974" s="1378"/>
      <c r="AH974" s="1388"/>
      <c r="AI974" s="1378"/>
      <c r="AJ974" s="1388"/>
      <c r="AK974" s="1379"/>
    </row>
    <row r="975" spans="1:37" s="1439" customFormat="1" ht="12" customHeight="1">
      <c r="A975" s="1415"/>
      <c r="B975" s="1390" t="s">
        <v>58</v>
      </c>
      <c r="C975" s="1390">
        <v>28</v>
      </c>
      <c r="D975" s="1243" t="s">
        <v>4020</v>
      </c>
      <c r="E975" s="953" t="s">
        <v>364</v>
      </c>
      <c r="F975" s="1519" t="s">
        <v>4141</v>
      </c>
      <c r="G975" s="953" t="s">
        <v>4675</v>
      </c>
      <c r="H975" s="953" t="s">
        <v>4676</v>
      </c>
      <c r="I975" s="953" t="s">
        <v>4677</v>
      </c>
      <c r="J975" s="1403"/>
      <c r="K975" s="1244">
        <v>14500000</v>
      </c>
      <c r="L975" s="1413">
        <f t="shared" si="363"/>
        <v>1450000</v>
      </c>
      <c r="M975" s="1403"/>
      <c r="N975" s="1410">
        <f t="shared" si="364"/>
        <v>15950000</v>
      </c>
      <c r="O975" s="1313"/>
      <c r="P975" s="1313"/>
      <c r="Q975" s="1311"/>
      <c r="R975" s="1311"/>
      <c r="S975" s="1419"/>
      <c r="T975" s="1419">
        <f t="shared" si="362"/>
        <v>-290000</v>
      </c>
      <c r="U975" s="1429"/>
      <c r="V975" s="1430"/>
      <c r="W975" s="1431"/>
      <c r="X975" s="1432"/>
      <c r="Y975" s="1419"/>
      <c r="Z975" s="1433"/>
      <c r="AA975" s="1434"/>
      <c r="AB975" s="1435"/>
      <c r="AC975" s="1416"/>
      <c r="AD975" s="1436"/>
      <c r="AE975" s="1436"/>
      <c r="AF975" s="1416"/>
      <c r="AG975" s="1416"/>
      <c r="AH975" s="1437"/>
      <c r="AI975" s="1416"/>
      <c r="AJ975" s="1437"/>
      <c r="AK975" s="1438"/>
    </row>
    <row r="976" spans="1:37" s="114" customFormat="1" ht="12" customHeight="1">
      <c r="A976" s="1415"/>
      <c r="B976" s="1390" t="s">
        <v>241</v>
      </c>
      <c r="C976" s="1390">
        <v>26</v>
      </c>
      <c r="D976" s="1243" t="s">
        <v>4020</v>
      </c>
      <c r="E976" s="953" t="s">
        <v>364</v>
      </c>
      <c r="F976" s="1519" t="s">
        <v>4141</v>
      </c>
      <c r="G976" s="953" t="s">
        <v>4804</v>
      </c>
      <c r="H976" s="953" t="s">
        <v>4805</v>
      </c>
      <c r="I976" s="953" t="s">
        <v>4806</v>
      </c>
      <c r="J976" s="1403"/>
      <c r="K976" s="1244">
        <v>14500000</v>
      </c>
      <c r="L976" s="1413">
        <f t="shared" si="363"/>
        <v>1450000</v>
      </c>
      <c r="M976" s="1403"/>
      <c r="N976" s="1410">
        <f t="shared" si="364"/>
        <v>15950000</v>
      </c>
      <c r="O976" s="1313"/>
      <c r="P976" s="1313"/>
      <c r="Q976" s="677"/>
      <c r="R976" s="677"/>
      <c r="S976" s="1419"/>
      <c r="T976" s="1419">
        <f t="shared" si="362"/>
        <v>-290000</v>
      </c>
      <c r="U976" s="1429"/>
      <c r="V976" s="1386"/>
      <c r="W976" s="1380"/>
      <c r="X976" s="679"/>
      <c r="Y976" s="1381"/>
      <c r="Z976" s="1384"/>
      <c r="AA976" s="1389"/>
      <c r="AB976" s="1385"/>
      <c r="AC976" s="1378"/>
      <c r="AD976" s="1387"/>
      <c r="AE976" s="1065"/>
      <c r="AF976" s="1378"/>
      <c r="AG976" s="1378"/>
      <c r="AH976" s="1388"/>
      <c r="AI976" s="1378"/>
      <c r="AJ976" s="1388"/>
      <c r="AK976" s="1379"/>
    </row>
    <row r="977" spans="1:37" s="1439" customFormat="1" ht="12" customHeight="1">
      <c r="A977" s="1415"/>
      <c r="B977" s="1415" t="s">
        <v>194</v>
      </c>
      <c r="C977" s="1415">
        <v>15</v>
      </c>
      <c r="D977" s="1238" t="s">
        <v>3864</v>
      </c>
      <c r="E977" s="1239" t="s">
        <v>354</v>
      </c>
      <c r="F977" s="1520" t="s">
        <v>3865</v>
      </c>
      <c r="G977" s="1239" t="s">
        <v>3866</v>
      </c>
      <c r="H977" s="1239" t="s">
        <v>3867</v>
      </c>
      <c r="I977" s="1239" t="s">
        <v>3868</v>
      </c>
      <c r="J977" s="1421"/>
      <c r="K977" s="1240">
        <v>31000000</v>
      </c>
      <c r="L977" s="1419">
        <f t="shared" si="346"/>
        <v>3100000</v>
      </c>
      <c r="M977" s="1421"/>
      <c r="N977" s="1420">
        <f t="shared" si="347"/>
        <v>34100000</v>
      </c>
      <c r="O977" s="1313" t="s">
        <v>195</v>
      </c>
      <c r="P977" s="1313" t="s">
        <v>48</v>
      </c>
      <c r="Q977" s="1311"/>
      <c r="R977" s="1311"/>
      <c r="S977" s="1413">
        <v>0</v>
      </c>
      <c r="T977" s="1413">
        <f t="shared" ref="T977" si="365">-K977*2%</f>
        <v>-620000</v>
      </c>
      <c r="U977" s="1429">
        <v>33480000</v>
      </c>
      <c r="V977" s="1430"/>
      <c r="W977" s="1431"/>
      <c r="X977" s="1432"/>
      <c r="Y977" s="1419"/>
      <c r="Z977" s="1433"/>
      <c r="AA977" s="1434"/>
      <c r="AB977" s="1435"/>
      <c r="AC977" s="1416"/>
      <c r="AD977" s="1436"/>
      <c r="AE977" s="1436"/>
      <c r="AF977" s="1416"/>
      <c r="AG977" s="1416"/>
      <c r="AH977" s="1437"/>
      <c r="AI977" s="1416"/>
      <c r="AJ977" s="1437"/>
      <c r="AK977" s="1438"/>
    </row>
    <row r="978" spans="1:37" s="1439" customFormat="1" ht="12" customHeight="1">
      <c r="A978" s="1415"/>
      <c r="B978" s="1415" t="s">
        <v>194</v>
      </c>
      <c r="C978" s="1415">
        <v>15</v>
      </c>
      <c r="D978" s="1238" t="s">
        <v>3864</v>
      </c>
      <c r="E978" s="1239" t="s">
        <v>354</v>
      </c>
      <c r="F978" s="1520" t="s">
        <v>3865</v>
      </c>
      <c r="G978" s="1239" t="s">
        <v>3869</v>
      </c>
      <c r="H978" s="1239" t="s">
        <v>3870</v>
      </c>
      <c r="I978" s="1239" t="s">
        <v>3871</v>
      </c>
      <c r="J978" s="1421"/>
      <c r="K978" s="1240">
        <v>31000000</v>
      </c>
      <c r="L978" s="1419">
        <f t="shared" ref="L978:L1131" si="366">K978*10%</f>
        <v>3100000</v>
      </c>
      <c r="M978" s="1421"/>
      <c r="N978" s="1420">
        <f t="shared" ref="N978:N1131" si="367">K978+L978</f>
        <v>34100000</v>
      </c>
      <c r="O978" s="1313" t="s">
        <v>195</v>
      </c>
      <c r="P978" s="1313" t="s">
        <v>106</v>
      </c>
      <c r="Q978" s="1311"/>
      <c r="R978" s="1311"/>
      <c r="S978" s="1413">
        <v>0</v>
      </c>
      <c r="T978" s="1413">
        <f t="shared" ref="T978" si="368">-K978*2%</f>
        <v>-620000</v>
      </c>
      <c r="U978" s="1429">
        <v>33480000</v>
      </c>
      <c r="V978" s="1430"/>
      <c r="W978" s="1431"/>
      <c r="X978" s="1432"/>
      <c r="Y978" s="1419"/>
      <c r="Z978" s="1433"/>
      <c r="AA978" s="1434"/>
      <c r="AB978" s="1435"/>
      <c r="AC978" s="1416"/>
      <c r="AD978" s="1436"/>
      <c r="AE978" s="1436"/>
      <c r="AF978" s="1416"/>
      <c r="AG978" s="1416"/>
      <c r="AH978" s="1437"/>
      <c r="AI978" s="1416"/>
      <c r="AJ978" s="1437"/>
      <c r="AK978" s="1438"/>
    </row>
    <row r="979" spans="1:37" s="114" customFormat="1" ht="12" customHeight="1">
      <c r="A979" s="1415"/>
      <c r="B979" s="1415" t="s">
        <v>195</v>
      </c>
      <c r="C979" s="1415">
        <v>7</v>
      </c>
      <c r="D979" s="1238" t="s">
        <v>3864</v>
      </c>
      <c r="E979" s="1239" t="s">
        <v>354</v>
      </c>
      <c r="F979" s="1520" t="s">
        <v>3865</v>
      </c>
      <c r="G979" s="1239" t="s">
        <v>4028</v>
      </c>
      <c r="H979" s="1239" t="s">
        <v>4029</v>
      </c>
      <c r="I979" s="1239" t="s">
        <v>4030</v>
      </c>
      <c r="J979" s="1421"/>
      <c r="K979" s="1240">
        <v>31000000</v>
      </c>
      <c r="L979" s="1419">
        <f t="shared" si="366"/>
        <v>3100000</v>
      </c>
      <c r="M979" s="1421"/>
      <c r="N979" s="1420">
        <f t="shared" si="367"/>
        <v>34100000</v>
      </c>
      <c r="O979" s="1245" t="s">
        <v>239</v>
      </c>
      <c r="P979" s="1245" t="s">
        <v>106</v>
      </c>
      <c r="Q979" s="677"/>
      <c r="R979" s="677"/>
      <c r="S979" s="1413">
        <v>0</v>
      </c>
      <c r="T979" s="1413">
        <f t="shared" ref="T979" si="369">-K979*2%</f>
        <v>-620000</v>
      </c>
      <c r="U979" s="1429">
        <v>33480000</v>
      </c>
      <c r="V979" s="1386"/>
      <c r="W979" s="1380"/>
      <c r="X979" s="679"/>
      <c r="Y979" s="1381"/>
      <c r="Z979" s="1384"/>
      <c r="AA979" s="1389"/>
      <c r="AB979" s="1385"/>
      <c r="AC979" s="1378"/>
      <c r="AD979" s="1387"/>
      <c r="AE979" s="1065"/>
      <c r="AF979" s="1378"/>
      <c r="AG979" s="1378"/>
      <c r="AH979" s="1388"/>
      <c r="AI979" s="1378"/>
      <c r="AJ979" s="1388"/>
      <c r="AK979" s="1379"/>
    </row>
    <row r="980" spans="1:37" s="1439" customFormat="1" ht="12" customHeight="1">
      <c r="A980" s="1415"/>
      <c r="B980" s="1415" t="s">
        <v>239</v>
      </c>
      <c r="C980" s="1415">
        <v>1</v>
      </c>
      <c r="D980" s="1238" t="s">
        <v>3864</v>
      </c>
      <c r="E980" s="1239" t="s">
        <v>354</v>
      </c>
      <c r="F980" s="1520" t="s">
        <v>3865</v>
      </c>
      <c r="G980" s="1239" t="s">
        <v>4218</v>
      </c>
      <c r="H980" s="1239" t="s">
        <v>4219</v>
      </c>
      <c r="I980" s="1239" t="s">
        <v>4220</v>
      </c>
      <c r="J980" s="1421"/>
      <c r="K980" s="1240">
        <v>31000000</v>
      </c>
      <c r="L980" s="1419">
        <f t="shared" si="366"/>
        <v>3100000</v>
      </c>
      <c r="M980" s="1421"/>
      <c r="N980" s="1420">
        <f t="shared" si="367"/>
        <v>34100000</v>
      </c>
      <c r="O980" s="1313" t="s">
        <v>58</v>
      </c>
      <c r="P980" s="1313" t="s">
        <v>31</v>
      </c>
      <c r="Q980" s="1311"/>
      <c r="R980" s="1311"/>
      <c r="S980" s="1413">
        <v>0</v>
      </c>
      <c r="T980" s="1413">
        <f t="shared" ref="T980" si="370">-K980*2%</f>
        <v>-620000</v>
      </c>
      <c r="U980" s="1429">
        <v>33480000</v>
      </c>
      <c r="V980" s="1430"/>
      <c r="W980" s="1431"/>
      <c r="X980" s="1432"/>
      <c r="Y980" s="1419"/>
      <c r="Z980" s="1433"/>
      <c r="AA980" s="1434"/>
      <c r="AB980" s="1435"/>
      <c r="AC980" s="1416"/>
      <c r="AD980" s="1436"/>
      <c r="AE980" s="1436"/>
      <c r="AF980" s="1416"/>
      <c r="AG980" s="1416"/>
      <c r="AH980" s="1437"/>
      <c r="AI980" s="1416"/>
      <c r="AJ980" s="1437"/>
      <c r="AK980" s="1438"/>
    </row>
    <row r="981" spans="1:37" s="1439" customFormat="1" ht="12" customHeight="1">
      <c r="A981" s="1415"/>
      <c r="B981" s="1415" t="s">
        <v>240</v>
      </c>
      <c r="C981" s="1415">
        <v>2</v>
      </c>
      <c r="D981" s="1238" t="s">
        <v>3864</v>
      </c>
      <c r="E981" s="1239" t="s">
        <v>354</v>
      </c>
      <c r="F981" s="1520" t="s">
        <v>3865</v>
      </c>
      <c r="G981" s="1239" t="s">
        <v>4366</v>
      </c>
      <c r="H981" s="1239" t="s">
        <v>4367</v>
      </c>
      <c r="I981" s="1239" t="s">
        <v>4368</v>
      </c>
      <c r="J981" s="1421"/>
      <c r="K981" s="1240">
        <v>31000000</v>
      </c>
      <c r="L981" s="1419">
        <f t="shared" si="366"/>
        <v>3100000</v>
      </c>
      <c r="M981" s="1421"/>
      <c r="N981" s="1420">
        <f t="shared" si="367"/>
        <v>34100000</v>
      </c>
      <c r="O981" s="1313" t="s">
        <v>58</v>
      </c>
      <c r="P981" s="1313" t="s">
        <v>93</v>
      </c>
      <c r="Q981" s="1311"/>
      <c r="R981" s="1311"/>
      <c r="S981" s="1413">
        <v>0</v>
      </c>
      <c r="T981" s="1413">
        <f t="shared" ref="T981" si="371">-K981*2%</f>
        <v>-620000</v>
      </c>
      <c r="U981" s="1429">
        <v>33480000</v>
      </c>
      <c r="V981" s="1430"/>
      <c r="W981" s="1431"/>
      <c r="X981" s="1432"/>
      <c r="Y981" s="1419"/>
      <c r="Z981" s="1433"/>
      <c r="AA981" s="1434"/>
      <c r="AB981" s="1435"/>
      <c r="AC981" s="1416"/>
      <c r="AD981" s="1436"/>
      <c r="AE981" s="1436"/>
      <c r="AF981" s="1416"/>
      <c r="AG981" s="1416"/>
      <c r="AH981" s="1437"/>
      <c r="AI981" s="1416"/>
      <c r="AJ981" s="1437"/>
      <c r="AK981" s="1438"/>
    </row>
    <row r="982" spans="1:37" s="114" customFormat="1" ht="12" customHeight="1">
      <c r="A982" s="53"/>
      <c r="B982" s="1415" t="s">
        <v>58</v>
      </c>
      <c r="C982" s="1415">
        <v>3</v>
      </c>
      <c r="D982" s="1238" t="s">
        <v>3864</v>
      </c>
      <c r="E982" s="1239" t="s">
        <v>354</v>
      </c>
      <c r="F982" s="1520" t="s">
        <v>3865</v>
      </c>
      <c r="G982" s="1239" t="s">
        <v>4540</v>
      </c>
      <c r="H982" s="1239" t="s">
        <v>4541</v>
      </c>
      <c r="I982" s="1239" t="s">
        <v>4542</v>
      </c>
      <c r="J982" s="1421"/>
      <c r="K982" s="1240">
        <v>31000000</v>
      </c>
      <c r="L982" s="1419">
        <f t="shared" si="366"/>
        <v>3100000</v>
      </c>
      <c r="M982" s="1421"/>
      <c r="N982" s="1420">
        <f t="shared" si="367"/>
        <v>34100000</v>
      </c>
      <c r="O982" s="1245" t="s">
        <v>59</v>
      </c>
      <c r="P982" s="1245" t="s">
        <v>42</v>
      </c>
      <c r="Q982" s="677"/>
      <c r="R982" s="677"/>
      <c r="S982" s="1413">
        <v>0</v>
      </c>
      <c r="T982" s="1413">
        <f t="shared" ref="T982" si="372">-K982*2%</f>
        <v>-620000</v>
      </c>
      <c r="U982" s="1429">
        <v>33480000</v>
      </c>
      <c r="V982" s="1386"/>
      <c r="W982" s="1380"/>
      <c r="X982" s="679"/>
      <c r="Y982" s="1381"/>
      <c r="Z982" s="1384"/>
      <c r="AA982" s="1389"/>
      <c r="AB982" s="1385"/>
      <c r="AC982" s="1378"/>
      <c r="AD982" s="1387"/>
      <c r="AE982" s="1065"/>
      <c r="AF982" s="1378"/>
      <c r="AG982" s="1378"/>
      <c r="AH982" s="1388"/>
      <c r="AI982" s="1378"/>
      <c r="AJ982" s="1388"/>
      <c r="AK982" s="1379"/>
    </row>
    <row r="983" spans="1:37" s="114" customFormat="1" ht="12" customHeight="1">
      <c r="A983" s="1415"/>
      <c r="B983" s="1415" t="s">
        <v>194</v>
      </c>
      <c r="C983" s="1415">
        <v>26</v>
      </c>
      <c r="D983" s="1417" t="s">
        <v>95</v>
      </c>
      <c r="E983" s="1418" t="s">
        <v>357</v>
      </c>
      <c r="F983" s="1505" t="s">
        <v>3073</v>
      </c>
      <c r="G983" s="1239" t="s">
        <v>1617</v>
      </c>
      <c r="H983" s="1239" t="s">
        <v>3948</v>
      </c>
      <c r="I983" s="1239" t="s">
        <v>3949</v>
      </c>
      <c r="J983" s="1421"/>
      <c r="K983" s="1240">
        <v>37360400</v>
      </c>
      <c r="L983" s="1419">
        <f t="shared" si="366"/>
        <v>3736040</v>
      </c>
      <c r="M983" s="1421"/>
      <c r="N983" s="1420">
        <f t="shared" si="367"/>
        <v>41096440</v>
      </c>
      <c r="O983" s="1245" t="s">
        <v>239</v>
      </c>
      <c r="P983" s="1245" t="s">
        <v>92</v>
      </c>
      <c r="Q983" s="677"/>
      <c r="R983" s="677"/>
      <c r="S983" s="1413">
        <v>0</v>
      </c>
      <c r="T983" s="1413">
        <f>-K983*2%</f>
        <v>-747208</v>
      </c>
      <c r="U983" s="194">
        <v>40349232</v>
      </c>
      <c r="V983" s="1386"/>
      <c r="W983" s="1380"/>
      <c r="X983" s="679"/>
      <c r="Y983" s="1381"/>
      <c r="Z983" s="1384"/>
      <c r="AA983" s="1389"/>
      <c r="AB983" s="1385"/>
      <c r="AC983" s="1378"/>
      <c r="AD983" s="1387"/>
      <c r="AE983" s="1065"/>
      <c r="AF983" s="1378"/>
      <c r="AG983" s="1378"/>
      <c r="AH983" s="1388"/>
      <c r="AI983" s="1378"/>
      <c r="AJ983" s="1388"/>
      <c r="AK983" s="1379"/>
    </row>
    <row r="984" spans="1:37" s="114" customFormat="1" ht="12" customHeight="1">
      <c r="A984" s="1415"/>
      <c r="B984" s="1415" t="s">
        <v>194</v>
      </c>
      <c r="C984" s="1415">
        <v>26</v>
      </c>
      <c r="D984" s="1417" t="s">
        <v>95</v>
      </c>
      <c r="E984" s="1418" t="s">
        <v>357</v>
      </c>
      <c r="F984" s="1505" t="s">
        <v>3074</v>
      </c>
      <c r="G984" s="1239" t="s">
        <v>1617</v>
      </c>
      <c r="H984" s="1239" t="s">
        <v>3950</v>
      </c>
      <c r="I984" s="1239" t="s">
        <v>3951</v>
      </c>
      <c r="J984" s="1421"/>
      <c r="K984" s="1240">
        <v>15963600</v>
      </c>
      <c r="L984" s="1419">
        <f t="shared" si="366"/>
        <v>1596360</v>
      </c>
      <c r="M984" s="1421"/>
      <c r="N984" s="1420">
        <f t="shared" si="367"/>
        <v>17559960</v>
      </c>
      <c r="O984" s="1245" t="s">
        <v>239</v>
      </c>
      <c r="P984" s="1245" t="s">
        <v>92</v>
      </c>
      <c r="Q984" s="677"/>
      <c r="R984" s="677"/>
      <c r="S984" s="1413">
        <v>0</v>
      </c>
      <c r="T984" s="1413">
        <f>-K984*2%</f>
        <v>-319272</v>
      </c>
      <c r="U984" s="194">
        <v>17240688</v>
      </c>
      <c r="V984" s="1386"/>
      <c r="W984" s="1380"/>
      <c r="X984" s="679"/>
      <c r="Y984" s="1381"/>
      <c r="Z984" s="1384"/>
      <c r="AA984" s="1389"/>
      <c r="AB984" s="1385"/>
      <c r="AC984" s="1378"/>
      <c r="AD984" s="1387"/>
      <c r="AE984" s="1065"/>
      <c r="AF984" s="1378"/>
      <c r="AG984" s="1378"/>
      <c r="AH984" s="1388"/>
      <c r="AI984" s="1378"/>
      <c r="AJ984" s="1388"/>
      <c r="AK984" s="1379"/>
    </row>
    <row r="985" spans="1:37" s="114" customFormat="1" ht="12" customHeight="1">
      <c r="A985" s="1415"/>
      <c r="B985" s="1415" t="s">
        <v>194</v>
      </c>
      <c r="C985" s="1415">
        <v>26</v>
      </c>
      <c r="D985" s="1417" t="s">
        <v>95</v>
      </c>
      <c r="E985" s="1418" t="s">
        <v>357</v>
      </c>
      <c r="F985" s="1505" t="s">
        <v>3075</v>
      </c>
      <c r="G985" s="1239" t="s">
        <v>1617</v>
      </c>
      <c r="H985" s="1239" t="s">
        <v>3952</v>
      </c>
      <c r="I985" s="1239" t="s">
        <v>3953</v>
      </c>
      <c r="J985" s="1421"/>
      <c r="K985" s="1240">
        <v>19954500</v>
      </c>
      <c r="L985" s="1419">
        <f t="shared" si="366"/>
        <v>1995450</v>
      </c>
      <c r="M985" s="1421"/>
      <c r="N985" s="1420">
        <f t="shared" si="367"/>
        <v>21949950</v>
      </c>
      <c r="O985" s="1245" t="s">
        <v>239</v>
      </c>
      <c r="P985" s="1245" t="s">
        <v>92</v>
      </c>
      <c r="Q985" s="677"/>
      <c r="R985" s="677"/>
      <c r="S985" s="1413">
        <v>0</v>
      </c>
      <c r="T985" s="1413">
        <f>-K985*2%</f>
        <v>-399090</v>
      </c>
      <c r="U985" s="194">
        <v>21550860</v>
      </c>
      <c r="V985" s="1386"/>
      <c r="W985" s="1380"/>
      <c r="X985" s="679"/>
      <c r="Y985" s="1381"/>
      <c r="Z985" s="1384"/>
      <c r="AA985" s="1389"/>
      <c r="AB985" s="1385"/>
      <c r="AC985" s="1378"/>
      <c r="AD985" s="1387"/>
      <c r="AE985" s="1065"/>
      <c r="AF985" s="1378"/>
      <c r="AG985" s="1378"/>
      <c r="AH985" s="1388"/>
      <c r="AI985" s="1378"/>
      <c r="AJ985" s="1388"/>
      <c r="AK985" s="1379"/>
    </row>
    <row r="986" spans="1:37" s="114" customFormat="1" ht="12" customHeight="1">
      <c r="A986" s="1415"/>
      <c r="B986" s="1415" t="s">
        <v>194</v>
      </c>
      <c r="C986" s="1415">
        <v>26</v>
      </c>
      <c r="D986" s="1417" t="s">
        <v>95</v>
      </c>
      <c r="E986" s="1418" t="s">
        <v>357</v>
      </c>
      <c r="F986" s="1505" t="s">
        <v>3076</v>
      </c>
      <c r="G986" s="1239" t="s">
        <v>1617</v>
      </c>
      <c r="H986" s="1239" t="s">
        <v>3954</v>
      </c>
      <c r="I986" s="1239" t="s">
        <v>3955</v>
      </c>
      <c r="J986" s="1421"/>
      <c r="K986" s="1240">
        <v>17293900</v>
      </c>
      <c r="L986" s="1419">
        <f t="shared" si="366"/>
        <v>1729390</v>
      </c>
      <c r="M986" s="1421"/>
      <c r="N986" s="1420">
        <f t="shared" si="367"/>
        <v>19023290</v>
      </c>
      <c r="O986" s="1245" t="s">
        <v>239</v>
      </c>
      <c r="P986" s="1245" t="s">
        <v>92</v>
      </c>
      <c r="Q986" s="677"/>
      <c r="R986" s="677"/>
      <c r="S986" s="1413">
        <v>0</v>
      </c>
      <c r="T986" s="1413">
        <f t="shared" ref="T986:T992" si="373">-K986*2%</f>
        <v>-345878</v>
      </c>
      <c r="U986" s="194">
        <v>18677412</v>
      </c>
      <c r="V986" s="1386"/>
      <c r="W986" s="1380"/>
      <c r="X986" s="679"/>
      <c r="Y986" s="1381"/>
      <c r="Z986" s="1384"/>
      <c r="AA986" s="1389"/>
      <c r="AB986" s="1385"/>
      <c r="AC986" s="1378"/>
      <c r="AD986" s="1387"/>
      <c r="AE986" s="1065"/>
      <c r="AF986" s="1378"/>
      <c r="AG986" s="1378"/>
      <c r="AH986" s="1388"/>
      <c r="AI986" s="1378"/>
      <c r="AJ986" s="1388"/>
      <c r="AK986" s="1379"/>
    </row>
    <row r="987" spans="1:37" s="114" customFormat="1" ht="12" customHeight="1">
      <c r="A987" s="1415"/>
      <c r="B987" s="1415" t="s">
        <v>194</v>
      </c>
      <c r="C987" s="1415">
        <v>26</v>
      </c>
      <c r="D987" s="1417" t="s">
        <v>95</v>
      </c>
      <c r="E987" s="1418" t="s">
        <v>354</v>
      </c>
      <c r="F987" s="1505" t="s">
        <v>3956</v>
      </c>
      <c r="G987" s="1239" t="s">
        <v>3957</v>
      </c>
      <c r="H987" s="1239" t="s">
        <v>3958</v>
      </c>
      <c r="I987" s="1239" t="s">
        <v>3959</v>
      </c>
      <c r="J987" s="1421"/>
      <c r="K987" s="1240">
        <v>43907500</v>
      </c>
      <c r="L987" s="1419">
        <f t="shared" si="366"/>
        <v>4390750</v>
      </c>
      <c r="M987" s="1421"/>
      <c r="N987" s="1420">
        <f t="shared" si="367"/>
        <v>48298250</v>
      </c>
      <c r="O987" s="1245" t="s">
        <v>239</v>
      </c>
      <c r="P987" s="1245" t="s">
        <v>92</v>
      </c>
      <c r="Q987" s="677"/>
      <c r="R987" s="677"/>
      <c r="S987" s="1413">
        <v>0</v>
      </c>
      <c r="T987" s="1413">
        <f t="shared" si="373"/>
        <v>-878150</v>
      </c>
      <c r="U987" s="194">
        <v>47420100</v>
      </c>
      <c r="V987" s="1386"/>
      <c r="W987" s="1380"/>
      <c r="X987" s="679"/>
      <c r="Y987" s="1381"/>
      <c r="Z987" s="1384"/>
      <c r="AA987" s="1389"/>
      <c r="AB987" s="1385"/>
      <c r="AC987" s="1378"/>
      <c r="AD987" s="1387"/>
      <c r="AE987" s="1065"/>
      <c r="AF987" s="1378"/>
      <c r="AG987" s="1378"/>
      <c r="AH987" s="1388"/>
      <c r="AI987" s="1378"/>
      <c r="AJ987" s="1388"/>
      <c r="AK987" s="1379"/>
    </row>
    <row r="988" spans="1:37" s="114" customFormat="1" ht="12" customHeight="1">
      <c r="A988" s="1415"/>
      <c r="B988" s="1415" t="s">
        <v>194</v>
      </c>
      <c r="C988" s="1415">
        <v>26</v>
      </c>
      <c r="D988" s="1417" t="s">
        <v>95</v>
      </c>
      <c r="E988" s="1418" t="s">
        <v>354</v>
      </c>
      <c r="F988" s="1505" t="s">
        <v>3078</v>
      </c>
      <c r="G988" s="1239" t="s">
        <v>1617</v>
      </c>
      <c r="H988" s="1239" t="s">
        <v>3960</v>
      </c>
      <c r="I988" s="1239" t="s">
        <v>3961</v>
      </c>
      <c r="J988" s="1421"/>
      <c r="K988" s="1240">
        <v>6000000</v>
      </c>
      <c r="L988" s="1419">
        <f t="shared" si="366"/>
        <v>600000</v>
      </c>
      <c r="M988" s="1421"/>
      <c r="N988" s="1420">
        <f t="shared" si="367"/>
        <v>6600000</v>
      </c>
      <c r="O988" s="1245" t="s">
        <v>239</v>
      </c>
      <c r="P988" s="1245" t="s">
        <v>92</v>
      </c>
      <c r="Q988" s="677"/>
      <c r="R988" s="677"/>
      <c r="S988" s="1413">
        <v>0</v>
      </c>
      <c r="T988" s="1413">
        <f t="shared" si="373"/>
        <v>-120000</v>
      </c>
      <c r="U988" s="194">
        <v>6480000</v>
      </c>
      <c r="V988" s="1386"/>
      <c r="W988" s="1380"/>
      <c r="X988" s="679"/>
      <c r="Y988" s="1381"/>
      <c r="Z988" s="1384"/>
      <c r="AA988" s="1389"/>
      <c r="AB988" s="1385"/>
      <c r="AC988" s="1378"/>
      <c r="AD988" s="1387"/>
      <c r="AE988" s="1065"/>
      <c r="AF988" s="1378"/>
      <c r="AG988" s="1378"/>
      <c r="AH988" s="1388"/>
      <c r="AI988" s="1378"/>
      <c r="AJ988" s="1388"/>
      <c r="AK988" s="1379"/>
    </row>
    <row r="989" spans="1:37" s="114" customFormat="1" ht="12" customHeight="1">
      <c r="A989" s="1415"/>
      <c r="B989" s="1415" t="s">
        <v>194</v>
      </c>
      <c r="C989" s="1415">
        <v>26</v>
      </c>
      <c r="D989" s="1417" t="s">
        <v>95</v>
      </c>
      <c r="E989" s="1418" t="s">
        <v>354</v>
      </c>
      <c r="F989" s="1505" t="s">
        <v>3079</v>
      </c>
      <c r="G989" s="1239" t="s">
        <v>1617</v>
      </c>
      <c r="H989" s="1239" t="s">
        <v>3962</v>
      </c>
      <c r="I989" s="1239" t="s">
        <v>3963</v>
      </c>
      <c r="J989" s="1421"/>
      <c r="K989" s="1240">
        <v>21000000</v>
      </c>
      <c r="L989" s="1419">
        <f t="shared" si="366"/>
        <v>2100000</v>
      </c>
      <c r="M989" s="1421"/>
      <c r="N989" s="1420">
        <f t="shared" si="367"/>
        <v>23100000</v>
      </c>
      <c r="O989" s="1245" t="s">
        <v>239</v>
      </c>
      <c r="P989" s="1245" t="s">
        <v>92</v>
      </c>
      <c r="Q989" s="677"/>
      <c r="R989" s="677"/>
      <c r="S989" s="1413">
        <v>0</v>
      </c>
      <c r="T989" s="1413">
        <f t="shared" si="373"/>
        <v>-420000</v>
      </c>
      <c r="U989" s="194">
        <v>22680000</v>
      </c>
      <c r="V989" s="1386"/>
      <c r="W989" s="1380"/>
      <c r="X989" s="679"/>
      <c r="Y989" s="1381"/>
      <c r="Z989" s="1384"/>
      <c r="AA989" s="1389"/>
      <c r="AB989" s="1385"/>
      <c r="AC989" s="1378"/>
      <c r="AD989" s="1387"/>
      <c r="AE989" s="1065"/>
      <c r="AF989" s="1378"/>
      <c r="AG989" s="1378"/>
      <c r="AH989" s="1388"/>
      <c r="AI989" s="1378"/>
      <c r="AJ989" s="1388"/>
      <c r="AK989" s="1379"/>
    </row>
    <row r="990" spans="1:37" s="114" customFormat="1" ht="12" customHeight="1">
      <c r="A990" s="1415"/>
      <c r="B990" s="1415" t="s">
        <v>194</v>
      </c>
      <c r="C990" s="1415">
        <v>26</v>
      </c>
      <c r="D990" s="1417" t="s">
        <v>95</v>
      </c>
      <c r="E990" s="1418" t="s">
        <v>354</v>
      </c>
      <c r="F990" s="1505" t="s">
        <v>3080</v>
      </c>
      <c r="G990" s="1239" t="s">
        <v>4</v>
      </c>
      <c r="H990" s="1239" t="s">
        <v>3964</v>
      </c>
      <c r="I990" s="1239" t="s">
        <v>3965</v>
      </c>
      <c r="J990" s="1421"/>
      <c r="K990" s="1240">
        <v>6000000</v>
      </c>
      <c r="L990" s="1419">
        <f t="shared" si="366"/>
        <v>600000</v>
      </c>
      <c r="M990" s="1421"/>
      <c r="N990" s="1420">
        <f t="shared" si="367"/>
        <v>6600000</v>
      </c>
      <c r="O990" s="1245" t="s">
        <v>239</v>
      </c>
      <c r="P990" s="1245" t="s">
        <v>92</v>
      </c>
      <c r="Q990" s="677"/>
      <c r="R990" s="677"/>
      <c r="S990" s="1413">
        <v>0</v>
      </c>
      <c r="T990" s="1413">
        <f t="shared" si="373"/>
        <v>-120000</v>
      </c>
      <c r="U990" s="194">
        <v>6480000</v>
      </c>
      <c r="V990" s="1386"/>
      <c r="W990" s="1380"/>
      <c r="X990" s="679"/>
      <c r="Y990" s="1381"/>
      <c r="Z990" s="1384"/>
      <c r="AA990" s="1389"/>
      <c r="AB990" s="1385"/>
      <c r="AC990" s="1378"/>
      <c r="AD990" s="1387"/>
      <c r="AE990" s="1065"/>
      <c r="AF990" s="1378"/>
      <c r="AG990" s="1378"/>
      <c r="AH990" s="1388"/>
      <c r="AI990" s="1378"/>
      <c r="AJ990" s="1388"/>
      <c r="AK990" s="1379"/>
    </row>
    <row r="991" spans="1:37" s="114" customFormat="1" ht="12" customHeight="1">
      <c r="A991" s="1415"/>
      <c r="B991" s="1415" t="s">
        <v>194</v>
      </c>
      <c r="C991" s="1415">
        <v>26</v>
      </c>
      <c r="D991" s="1417" t="s">
        <v>95</v>
      </c>
      <c r="E991" s="1418" t="s">
        <v>354</v>
      </c>
      <c r="F991" s="1505" t="s">
        <v>3966</v>
      </c>
      <c r="G991" s="1239" t="s">
        <v>3967</v>
      </c>
      <c r="H991" s="1239" t="s">
        <v>3968</v>
      </c>
      <c r="I991" s="1239" t="s">
        <v>3969</v>
      </c>
      <c r="J991" s="1421"/>
      <c r="K991" s="1240">
        <v>9000000</v>
      </c>
      <c r="L991" s="1419">
        <f t="shared" si="366"/>
        <v>900000</v>
      </c>
      <c r="M991" s="1421"/>
      <c r="N991" s="1420">
        <f t="shared" si="367"/>
        <v>9900000</v>
      </c>
      <c r="O991" s="1245" t="s">
        <v>239</v>
      </c>
      <c r="P991" s="1245" t="s">
        <v>103</v>
      </c>
      <c r="Q991" s="677"/>
      <c r="R991" s="677"/>
      <c r="S991" s="1413">
        <v>0</v>
      </c>
      <c r="T991" s="1413">
        <f t="shared" si="373"/>
        <v>-180000</v>
      </c>
      <c r="U991" s="194">
        <v>9720000</v>
      </c>
      <c r="V991" s="1386"/>
      <c r="W991" s="1380"/>
      <c r="X991" s="679"/>
      <c r="Y991" s="1381"/>
      <c r="Z991" s="1384"/>
      <c r="AA991" s="1389"/>
      <c r="AB991" s="1385"/>
      <c r="AC991" s="1378"/>
      <c r="AD991" s="1387"/>
      <c r="AE991" s="1065"/>
      <c r="AF991" s="1378"/>
      <c r="AG991" s="1378"/>
      <c r="AH991" s="1388"/>
      <c r="AI991" s="1378"/>
      <c r="AJ991" s="1388"/>
      <c r="AK991" s="1379"/>
    </row>
    <row r="992" spans="1:37" s="114" customFormat="1" ht="12" customHeight="1">
      <c r="A992" s="1415"/>
      <c r="B992" s="1415" t="s">
        <v>194</v>
      </c>
      <c r="C992" s="1415">
        <v>26</v>
      </c>
      <c r="D992" s="1417" t="s">
        <v>95</v>
      </c>
      <c r="E992" s="1418"/>
      <c r="F992" s="1505" t="s">
        <v>3970</v>
      </c>
      <c r="G992" s="1239" t="s">
        <v>3971</v>
      </c>
      <c r="H992" s="1239" t="s">
        <v>4100</v>
      </c>
      <c r="I992" s="1239" t="s">
        <v>3972</v>
      </c>
      <c r="J992" s="1421"/>
      <c r="K992" s="1240">
        <v>12161290.32</v>
      </c>
      <c r="L992" s="1419">
        <f t="shared" ref="L992:L1020" si="374">K992*10%</f>
        <v>1216129.0320000001</v>
      </c>
      <c r="M992" s="1421"/>
      <c r="N992" s="1420">
        <f t="shared" ref="N992:N1021" si="375">K992+L992</f>
        <v>13377419.352</v>
      </c>
      <c r="O992" s="1245" t="s">
        <v>239</v>
      </c>
      <c r="P992" s="1245" t="s">
        <v>92</v>
      </c>
      <c r="Q992" s="677"/>
      <c r="R992" s="677"/>
      <c r="S992" s="1413">
        <v>0</v>
      </c>
      <c r="T992" s="1413">
        <f t="shared" si="373"/>
        <v>-243225.8064</v>
      </c>
      <c r="U992" s="194">
        <v>13134193</v>
      </c>
      <c r="V992" s="1386"/>
      <c r="W992" s="1380"/>
      <c r="X992" s="679"/>
      <c r="Y992" s="1381"/>
      <c r="Z992" s="1384"/>
      <c r="AA992" s="1389"/>
      <c r="AB992" s="1385"/>
      <c r="AC992" s="1378"/>
      <c r="AD992" s="1387"/>
      <c r="AE992" s="1065"/>
      <c r="AF992" s="1378"/>
      <c r="AG992" s="1378"/>
      <c r="AH992" s="1388"/>
      <c r="AI992" s="1378"/>
      <c r="AJ992" s="1388"/>
      <c r="AK992" s="1379"/>
    </row>
    <row r="993" spans="1:37" s="114" customFormat="1" ht="12" customHeight="1">
      <c r="A993" s="53"/>
      <c r="B993" s="1415" t="s">
        <v>195</v>
      </c>
      <c r="C993" s="1415">
        <v>19</v>
      </c>
      <c r="D993" s="1417" t="s">
        <v>95</v>
      </c>
      <c r="E993" s="1418" t="s">
        <v>357</v>
      </c>
      <c r="F993" s="1505" t="s">
        <v>3073</v>
      </c>
      <c r="G993" s="1239" t="s">
        <v>4</v>
      </c>
      <c r="H993" s="1239" t="s">
        <v>4102</v>
      </c>
      <c r="I993" s="1239" t="s">
        <v>4101</v>
      </c>
      <c r="J993" s="1421"/>
      <c r="K993" s="1240">
        <v>37360400</v>
      </c>
      <c r="L993" s="1419">
        <f t="shared" si="374"/>
        <v>3736040</v>
      </c>
      <c r="M993" s="1421"/>
      <c r="N993" s="1420">
        <f t="shared" si="375"/>
        <v>41096440</v>
      </c>
      <c r="O993" s="1245" t="s">
        <v>239</v>
      </c>
      <c r="P993" s="1245" t="s">
        <v>103</v>
      </c>
      <c r="Q993" s="677"/>
      <c r="R993" s="677"/>
      <c r="S993" s="1413">
        <v>0</v>
      </c>
      <c r="T993" s="1413">
        <f t="shared" ref="T993:T1001" si="376">-K993*2%</f>
        <v>-747208</v>
      </c>
      <c r="U993" s="194">
        <v>40349232</v>
      </c>
      <c r="V993" s="1386"/>
      <c r="W993" s="1380"/>
      <c r="X993" s="679"/>
      <c r="Y993" s="1381"/>
      <c r="Z993" s="1384"/>
      <c r="AA993" s="1389"/>
      <c r="AB993" s="1385"/>
      <c r="AC993" s="1378"/>
      <c r="AD993" s="1387"/>
      <c r="AE993" s="1065"/>
      <c r="AF993" s="1378"/>
      <c r="AG993" s="1378"/>
      <c r="AH993" s="1388"/>
      <c r="AI993" s="1378"/>
      <c r="AJ993" s="1388"/>
      <c r="AK993" s="1379"/>
    </row>
    <row r="994" spans="1:37" s="1439" customFormat="1" ht="12" customHeight="1">
      <c r="A994" s="1415"/>
      <c r="B994" s="1415" t="s">
        <v>195</v>
      </c>
      <c r="C994" s="1415">
        <v>19</v>
      </c>
      <c r="D994" s="1417" t="s">
        <v>95</v>
      </c>
      <c r="E994" s="1418" t="s">
        <v>357</v>
      </c>
      <c r="F994" s="1505" t="s">
        <v>3074</v>
      </c>
      <c r="G994" s="1239" t="s">
        <v>4</v>
      </c>
      <c r="H994" s="1239" t="s">
        <v>4103</v>
      </c>
      <c r="I994" s="1239" t="s">
        <v>4298</v>
      </c>
      <c r="J994" s="1421"/>
      <c r="K994" s="1240">
        <v>16249200</v>
      </c>
      <c r="L994" s="1419">
        <f t="shared" si="374"/>
        <v>1624920</v>
      </c>
      <c r="M994" s="1421"/>
      <c r="N994" s="1420">
        <f t="shared" si="375"/>
        <v>17874120</v>
      </c>
      <c r="O994" s="1313" t="s">
        <v>240</v>
      </c>
      <c r="P994" s="1313" t="s">
        <v>103</v>
      </c>
      <c r="Q994" s="1311"/>
      <c r="R994" s="1311"/>
      <c r="S994" s="1419">
        <v>0</v>
      </c>
      <c r="T994" s="1419">
        <f t="shared" si="376"/>
        <v>-324984</v>
      </c>
      <c r="U994" s="1429">
        <v>17549136</v>
      </c>
      <c r="V994" s="1430"/>
      <c r="W994" s="1431"/>
      <c r="X994" s="1432"/>
      <c r="Y994" s="1419"/>
      <c r="Z994" s="1433"/>
      <c r="AA994" s="1434"/>
      <c r="AB994" s="1435"/>
      <c r="AC994" s="1416"/>
      <c r="AD994" s="1436"/>
      <c r="AE994" s="1436"/>
      <c r="AF994" s="1416"/>
      <c r="AG994" s="1416"/>
      <c r="AH994" s="1437"/>
      <c r="AI994" s="1416"/>
      <c r="AJ994" s="1437"/>
      <c r="AK994" s="1438"/>
    </row>
    <row r="995" spans="1:37" s="114" customFormat="1" ht="12" customHeight="1">
      <c r="A995" s="1415"/>
      <c r="B995" s="1415" t="s">
        <v>195</v>
      </c>
      <c r="C995" s="1415">
        <v>19</v>
      </c>
      <c r="D995" s="1417" t="s">
        <v>95</v>
      </c>
      <c r="E995" s="1418" t="s">
        <v>357</v>
      </c>
      <c r="F995" s="1505" t="s">
        <v>4104</v>
      </c>
      <c r="G995" s="1239" t="s">
        <v>4</v>
      </c>
      <c r="H995" s="1239" t="s">
        <v>4105</v>
      </c>
      <c r="I995" s="1239" t="s">
        <v>4106</v>
      </c>
      <c r="J995" s="1421"/>
      <c r="K995" s="1240">
        <v>20311500</v>
      </c>
      <c r="L995" s="1419">
        <f t="shared" si="374"/>
        <v>2031150</v>
      </c>
      <c r="M995" s="1421"/>
      <c r="N995" s="1420">
        <f t="shared" si="375"/>
        <v>22342650</v>
      </c>
      <c r="O995" s="1245" t="s">
        <v>239</v>
      </c>
      <c r="P995" s="1245" t="s">
        <v>103</v>
      </c>
      <c r="Q995" s="677"/>
      <c r="R995" s="677"/>
      <c r="S995" s="1413">
        <v>0</v>
      </c>
      <c r="T995" s="1413">
        <f t="shared" si="376"/>
        <v>-406230</v>
      </c>
      <c r="U995" s="194">
        <v>21936420</v>
      </c>
      <c r="V995" s="1386"/>
      <c r="W995" s="1380"/>
      <c r="X995" s="679"/>
      <c r="Y995" s="1381"/>
      <c r="Z995" s="1384"/>
      <c r="AA995" s="1389"/>
      <c r="AB995" s="1385"/>
      <c r="AC995" s="1378"/>
      <c r="AD995" s="1387"/>
      <c r="AE995" s="1065"/>
      <c r="AF995" s="1378"/>
      <c r="AG995" s="1378"/>
      <c r="AH995" s="1388"/>
      <c r="AI995" s="1378"/>
      <c r="AJ995" s="1388"/>
      <c r="AK995" s="1379"/>
    </row>
    <row r="996" spans="1:37" s="114" customFormat="1" ht="12" customHeight="1">
      <c r="A996" s="1415"/>
      <c r="B996" s="1415" t="s">
        <v>195</v>
      </c>
      <c r="C996" s="1415">
        <v>19</v>
      </c>
      <c r="D996" s="1417" t="s">
        <v>95</v>
      </c>
      <c r="E996" s="1418" t="s">
        <v>357</v>
      </c>
      <c r="F996" s="1505" t="s">
        <v>3076</v>
      </c>
      <c r="G996" s="1239" t="s">
        <v>4</v>
      </c>
      <c r="H996" s="1239" t="s">
        <v>4107</v>
      </c>
      <c r="I996" s="1239" t="s">
        <v>4108</v>
      </c>
      <c r="J996" s="1421"/>
      <c r="K996" s="1240">
        <v>17603300</v>
      </c>
      <c r="L996" s="1419">
        <f t="shared" si="374"/>
        <v>1760330</v>
      </c>
      <c r="M996" s="1421"/>
      <c r="N996" s="1420">
        <f t="shared" si="375"/>
        <v>19363630</v>
      </c>
      <c r="O996" s="1245" t="s">
        <v>239</v>
      </c>
      <c r="P996" s="1245" t="s">
        <v>103</v>
      </c>
      <c r="Q996" s="677"/>
      <c r="R996" s="677"/>
      <c r="S996" s="1413">
        <v>0</v>
      </c>
      <c r="T996" s="1413">
        <f t="shared" si="376"/>
        <v>-352066</v>
      </c>
      <c r="U996" s="194">
        <v>19011564</v>
      </c>
      <c r="V996" s="1386"/>
      <c r="W996" s="1380"/>
      <c r="X996" s="679"/>
      <c r="Y996" s="1381"/>
      <c r="Z996" s="1384"/>
      <c r="AA996" s="1389"/>
      <c r="AB996" s="1385"/>
      <c r="AC996" s="1378"/>
      <c r="AD996" s="1387"/>
      <c r="AE996" s="1065"/>
      <c r="AF996" s="1378"/>
      <c r="AG996" s="1378"/>
      <c r="AH996" s="1388"/>
      <c r="AI996" s="1378"/>
      <c r="AJ996" s="1388"/>
      <c r="AK996" s="1379"/>
    </row>
    <row r="997" spans="1:37" s="114" customFormat="1" ht="12" customHeight="1">
      <c r="A997" s="1415"/>
      <c r="B997" s="1415" t="s">
        <v>195</v>
      </c>
      <c r="C997" s="1415">
        <v>19</v>
      </c>
      <c r="D997" s="1417" t="s">
        <v>95</v>
      </c>
      <c r="E997" s="1418" t="s">
        <v>354</v>
      </c>
      <c r="F997" s="1505" t="s">
        <v>3956</v>
      </c>
      <c r="G997" s="1239" t="s">
        <v>4115</v>
      </c>
      <c r="H997" s="1239" t="s">
        <v>4109</v>
      </c>
      <c r="I997" s="1239" t="s">
        <v>4110</v>
      </c>
      <c r="J997" s="1421"/>
      <c r="K997" s="1240">
        <v>43907500</v>
      </c>
      <c r="L997" s="1419">
        <f t="shared" si="374"/>
        <v>4390750</v>
      </c>
      <c r="M997" s="1421"/>
      <c r="N997" s="1420">
        <f t="shared" si="375"/>
        <v>48298250</v>
      </c>
      <c r="O997" s="1245" t="s">
        <v>239</v>
      </c>
      <c r="P997" s="1245" t="s">
        <v>103</v>
      </c>
      <c r="Q997" s="677"/>
      <c r="R997" s="677"/>
      <c r="S997" s="1413">
        <v>0</v>
      </c>
      <c r="T997" s="1413">
        <f t="shared" si="376"/>
        <v>-878150</v>
      </c>
      <c r="U997" s="194">
        <v>47420100</v>
      </c>
      <c r="V997" s="1386"/>
      <c r="W997" s="1380"/>
      <c r="X997" s="679"/>
      <c r="Y997" s="1381"/>
      <c r="Z997" s="1384"/>
      <c r="AA997" s="1389"/>
      <c r="AB997" s="1385"/>
      <c r="AC997" s="1378"/>
      <c r="AD997" s="1387"/>
      <c r="AE997" s="1065"/>
      <c r="AF997" s="1378"/>
      <c r="AG997" s="1378"/>
      <c r="AH997" s="1388"/>
      <c r="AI997" s="1378"/>
      <c r="AJ997" s="1388"/>
      <c r="AK997" s="1379"/>
    </row>
    <row r="998" spans="1:37" s="114" customFormat="1" ht="12" customHeight="1">
      <c r="A998" s="1415"/>
      <c r="B998" s="1415" t="s">
        <v>195</v>
      </c>
      <c r="C998" s="1415">
        <v>21</v>
      </c>
      <c r="D998" s="1417" t="s">
        <v>95</v>
      </c>
      <c r="E998" s="1418" t="s">
        <v>354</v>
      </c>
      <c r="F998" s="1505" t="s">
        <v>3078</v>
      </c>
      <c r="G998" s="1239" t="s">
        <v>4</v>
      </c>
      <c r="H998" s="1239" t="s">
        <v>4111</v>
      </c>
      <c r="I998" s="1239" t="s">
        <v>4112</v>
      </c>
      <c r="J998" s="1421"/>
      <c r="K998" s="1240">
        <v>6000000</v>
      </c>
      <c r="L998" s="1419">
        <f t="shared" si="374"/>
        <v>600000</v>
      </c>
      <c r="M998" s="1421"/>
      <c r="N998" s="1420">
        <f t="shared" si="375"/>
        <v>6600000</v>
      </c>
      <c r="O998" s="1245" t="s">
        <v>239</v>
      </c>
      <c r="P998" s="1245" t="s">
        <v>103</v>
      </c>
      <c r="Q998" s="677"/>
      <c r="R998" s="677"/>
      <c r="S998" s="1413">
        <v>0</v>
      </c>
      <c r="T998" s="1413">
        <f t="shared" si="376"/>
        <v>-120000</v>
      </c>
      <c r="U998" s="194">
        <v>6480000</v>
      </c>
      <c r="V998" s="1386"/>
      <c r="W998" s="1380"/>
      <c r="X998" s="679"/>
      <c r="Y998" s="1381"/>
      <c r="Z998" s="1384"/>
      <c r="AA998" s="1389"/>
      <c r="AB998" s="1385"/>
      <c r="AC998" s="1378"/>
      <c r="AD998" s="1387"/>
      <c r="AE998" s="1065"/>
      <c r="AF998" s="1378"/>
      <c r="AG998" s="1378"/>
      <c r="AH998" s="1388"/>
      <c r="AI998" s="1378"/>
      <c r="AJ998" s="1388"/>
      <c r="AK998" s="1379"/>
    </row>
    <row r="999" spans="1:37" s="114" customFormat="1" ht="12" customHeight="1">
      <c r="A999" s="1415"/>
      <c r="B999" s="1415" t="s">
        <v>195</v>
      </c>
      <c r="C999" s="1415">
        <v>21</v>
      </c>
      <c r="D999" s="1417" t="s">
        <v>95</v>
      </c>
      <c r="E999" s="1418" t="s">
        <v>354</v>
      </c>
      <c r="F999" s="1505" t="s">
        <v>3079</v>
      </c>
      <c r="G999" s="1239" t="s">
        <v>4</v>
      </c>
      <c r="H999" s="1239" t="s">
        <v>4113</v>
      </c>
      <c r="I999" s="1239" t="s">
        <v>4114</v>
      </c>
      <c r="J999" s="1421"/>
      <c r="K999" s="1240">
        <v>21000000</v>
      </c>
      <c r="L999" s="1419">
        <f t="shared" si="374"/>
        <v>2100000</v>
      </c>
      <c r="M999" s="1421"/>
      <c r="N999" s="1420">
        <f t="shared" si="375"/>
        <v>23100000</v>
      </c>
      <c r="O999" s="1245" t="s">
        <v>239</v>
      </c>
      <c r="P999" s="1245" t="s">
        <v>103</v>
      </c>
      <c r="Q999" s="677"/>
      <c r="R999" s="677"/>
      <c r="S999" s="1413">
        <v>0</v>
      </c>
      <c r="T999" s="1413">
        <f t="shared" si="376"/>
        <v>-420000</v>
      </c>
      <c r="U999" s="194">
        <v>22680000</v>
      </c>
      <c r="V999" s="1386"/>
      <c r="W999" s="1380"/>
      <c r="X999" s="679"/>
      <c r="Y999" s="1381"/>
      <c r="Z999" s="1384"/>
      <c r="AA999" s="1389"/>
      <c r="AB999" s="1385"/>
      <c r="AC999" s="1378"/>
      <c r="AD999" s="1387"/>
      <c r="AE999" s="1065"/>
      <c r="AF999" s="1378"/>
      <c r="AG999" s="1378"/>
      <c r="AH999" s="1388"/>
      <c r="AI999" s="1378"/>
      <c r="AJ999" s="1388"/>
      <c r="AK999" s="1379"/>
    </row>
    <row r="1000" spans="1:37" s="114" customFormat="1" ht="12" customHeight="1">
      <c r="A1000" s="1415"/>
      <c r="B1000" s="1415" t="s">
        <v>195</v>
      </c>
      <c r="C1000" s="1415">
        <v>21</v>
      </c>
      <c r="D1000" s="1417" t="s">
        <v>95</v>
      </c>
      <c r="E1000" s="1418" t="s">
        <v>354</v>
      </c>
      <c r="F1000" s="1505" t="s">
        <v>3080</v>
      </c>
      <c r="G1000" s="1239" t="s">
        <v>379</v>
      </c>
      <c r="H1000" s="1239" t="s">
        <v>4116</v>
      </c>
      <c r="I1000" s="1239" t="s">
        <v>4117</v>
      </c>
      <c r="J1000" s="1421"/>
      <c r="K1000" s="1240">
        <v>6000000</v>
      </c>
      <c r="L1000" s="1419">
        <f t="shared" si="374"/>
        <v>600000</v>
      </c>
      <c r="M1000" s="1421"/>
      <c r="N1000" s="1420">
        <f t="shared" si="375"/>
        <v>6600000</v>
      </c>
      <c r="O1000" s="1245" t="s">
        <v>239</v>
      </c>
      <c r="P1000" s="1245" t="s">
        <v>103</v>
      </c>
      <c r="Q1000" s="677"/>
      <c r="R1000" s="677"/>
      <c r="S1000" s="1413">
        <v>0</v>
      </c>
      <c r="T1000" s="1413">
        <f t="shared" si="376"/>
        <v>-120000</v>
      </c>
      <c r="U1000" s="194">
        <v>6480000</v>
      </c>
      <c r="V1000" s="1386"/>
      <c r="W1000" s="1380"/>
      <c r="X1000" s="679"/>
      <c r="Y1000" s="1381"/>
      <c r="Z1000" s="1384"/>
      <c r="AA1000" s="1389"/>
      <c r="AB1000" s="1385"/>
      <c r="AC1000" s="1378"/>
      <c r="AD1000" s="1387"/>
      <c r="AE1000" s="1065"/>
      <c r="AF1000" s="1378"/>
      <c r="AG1000" s="1378"/>
      <c r="AH1000" s="1388"/>
      <c r="AI1000" s="1378"/>
      <c r="AJ1000" s="1388"/>
      <c r="AK1000" s="1379"/>
    </row>
    <row r="1001" spans="1:37" s="1439" customFormat="1" ht="12" customHeight="1">
      <c r="A1001" s="1415"/>
      <c r="B1001" s="1415" t="s">
        <v>195</v>
      </c>
      <c r="C1001" s="1415">
        <v>21</v>
      </c>
      <c r="D1001" s="1417" t="s">
        <v>95</v>
      </c>
      <c r="E1001" s="1418" t="s">
        <v>354</v>
      </c>
      <c r="F1001" s="1505" t="s">
        <v>3966</v>
      </c>
      <c r="G1001" s="1239" t="s">
        <v>4118</v>
      </c>
      <c r="H1001" s="1239" t="s">
        <v>4119</v>
      </c>
      <c r="I1001" s="1239" t="s">
        <v>4120</v>
      </c>
      <c r="J1001" s="1421"/>
      <c r="K1001" s="1240">
        <v>9000000</v>
      </c>
      <c r="L1001" s="1419">
        <f t="shared" si="374"/>
        <v>900000</v>
      </c>
      <c r="M1001" s="1421"/>
      <c r="N1001" s="1420">
        <f t="shared" si="375"/>
        <v>9900000</v>
      </c>
      <c r="O1001" s="1245" t="s">
        <v>239</v>
      </c>
      <c r="P1001" s="1245" t="s">
        <v>103</v>
      </c>
      <c r="Q1001" s="1311"/>
      <c r="R1001" s="1311"/>
      <c r="S1001" s="1419">
        <v>0</v>
      </c>
      <c r="T1001" s="1419">
        <f t="shared" si="376"/>
        <v>-180000</v>
      </c>
      <c r="U1001" s="1429">
        <v>9720000</v>
      </c>
      <c r="V1001" s="1430"/>
      <c r="W1001" s="1431"/>
      <c r="X1001" s="1432"/>
      <c r="Y1001" s="1419"/>
      <c r="Z1001" s="1433"/>
      <c r="AA1001" s="1434"/>
      <c r="AB1001" s="1435"/>
      <c r="AC1001" s="1416"/>
      <c r="AD1001" s="1436"/>
      <c r="AE1001" s="1436"/>
      <c r="AF1001" s="1416"/>
      <c r="AG1001" s="1416"/>
      <c r="AH1001" s="1437"/>
      <c r="AI1001" s="1416"/>
      <c r="AJ1001" s="1437"/>
      <c r="AK1001" s="1438"/>
    </row>
    <row r="1002" spans="1:37" s="1439" customFormat="1" ht="12" customHeight="1">
      <c r="A1002" s="1415"/>
      <c r="B1002" s="1415" t="s">
        <v>239</v>
      </c>
      <c r="C1002" s="1415">
        <v>8</v>
      </c>
      <c r="D1002" s="1417" t="s">
        <v>95</v>
      </c>
      <c r="E1002" s="1418" t="s">
        <v>357</v>
      </c>
      <c r="F1002" s="1505" t="s">
        <v>3073</v>
      </c>
      <c r="G1002" s="1239" t="s">
        <v>379</v>
      </c>
      <c r="H1002" s="1239" t="s">
        <v>4267</v>
      </c>
      <c r="I1002" s="1239" t="s">
        <v>4268</v>
      </c>
      <c r="J1002" s="1421"/>
      <c r="K1002" s="1240">
        <v>37360400</v>
      </c>
      <c r="L1002" s="1419">
        <f t="shared" si="374"/>
        <v>3736040</v>
      </c>
      <c r="M1002" s="1421"/>
      <c r="N1002" s="1420">
        <f t="shared" si="375"/>
        <v>41096440</v>
      </c>
      <c r="O1002" s="1313" t="s">
        <v>240</v>
      </c>
      <c r="P1002" s="1313" t="s">
        <v>103</v>
      </c>
      <c r="Q1002" s="1311"/>
      <c r="R1002" s="1311"/>
      <c r="S1002" s="1419">
        <v>0</v>
      </c>
      <c r="T1002" s="1419">
        <f t="shared" ref="T1002" si="377">-K1002*2%</f>
        <v>-747208</v>
      </c>
      <c r="U1002" s="1429">
        <v>40349232</v>
      </c>
      <c r="V1002" s="1430"/>
      <c r="W1002" s="1431"/>
      <c r="X1002" s="1432"/>
      <c r="Y1002" s="1419"/>
      <c r="Z1002" s="1433"/>
      <c r="AA1002" s="1434"/>
      <c r="AB1002" s="1435"/>
      <c r="AC1002" s="1416"/>
      <c r="AD1002" s="1436"/>
      <c r="AE1002" s="1436"/>
      <c r="AF1002" s="1416"/>
      <c r="AG1002" s="1416"/>
      <c r="AH1002" s="1437"/>
      <c r="AI1002" s="1416"/>
      <c r="AJ1002" s="1437"/>
      <c r="AK1002" s="1438"/>
    </row>
    <row r="1003" spans="1:37" s="1439" customFormat="1" ht="12" customHeight="1">
      <c r="A1003" s="1415"/>
      <c r="B1003" s="1415" t="s">
        <v>239</v>
      </c>
      <c r="C1003" s="1415">
        <v>8</v>
      </c>
      <c r="D1003" s="1417" t="s">
        <v>95</v>
      </c>
      <c r="E1003" s="1418" t="s">
        <v>357</v>
      </c>
      <c r="F1003" s="1505" t="s">
        <v>3074</v>
      </c>
      <c r="G1003" s="1239" t="s">
        <v>379</v>
      </c>
      <c r="H1003" s="1239" t="s">
        <v>4269</v>
      </c>
      <c r="I1003" s="1239" t="s">
        <v>4270</v>
      </c>
      <c r="J1003" s="1421"/>
      <c r="K1003" s="1240">
        <v>16528800</v>
      </c>
      <c r="L1003" s="1419">
        <f t="shared" si="374"/>
        <v>1652880</v>
      </c>
      <c r="M1003" s="1421"/>
      <c r="N1003" s="1420">
        <f t="shared" si="375"/>
        <v>18181680</v>
      </c>
      <c r="O1003" s="1313" t="s">
        <v>240</v>
      </c>
      <c r="P1003" s="1313" t="s">
        <v>103</v>
      </c>
      <c r="Q1003" s="1311"/>
      <c r="R1003" s="1311"/>
      <c r="S1003" s="1419">
        <v>0</v>
      </c>
      <c r="T1003" s="1419">
        <f t="shared" ref="T1003" si="378">-K1003*2%</f>
        <v>-330576</v>
      </c>
      <c r="U1003" s="1429">
        <v>17851104</v>
      </c>
      <c r="V1003" s="1430"/>
      <c r="W1003" s="1431"/>
      <c r="X1003" s="1432"/>
      <c r="Y1003" s="1419"/>
      <c r="Z1003" s="1433"/>
      <c r="AA1003" s="1434"/>
      <c r="AB1003" s="1435"/>
      <c r="AC1003" s="1416"/>
      <c r="AD1003" s="1436"/>
      <c r="AE1003" s="1436"/>
      <c r="AF1003" s="1416"/>
      <c r="AG1003" s="1416"/>
      <c r="AH1003" s="1437"/>
      <c r="AI1003" s="1416"/>
      <c r="AJ1003" s="1437"/>
      <c r="AK1003" s="1438"/>
    </row>
    <row r="1004" spans="1:37" s="1439" customFormat="1" ht="12" customHeight="1">
      <c r="A1004" s="1415"/>
      <c r="B1004" s="1415" t="s">
        <v>239</v>
      </c>
      <c r="C1004" s="1415">
        <v>8</v>
      </c>
      <c r="D1004" s="1417" t="s">
        <v>95</v>
      </c>
      <c r="E1004" s="1418" t="s">
        <v>357</v>
      </c>
      <c r="F1004" s="1505" t="s">
        <v>4104</v>
      </c>
      <c r="G1004" s="1239" t="s">
        <v>379</v>
      </c>
      <c r="H1004" s="1239" t="s">
        <v>4271</v>
      </c>
      <c r="I1004" s="1239" t="s">
        <v>4272</v>
      </c>
      <c r="J1004" s="1421"/>
      <c r="K1004" s="1240">
        <v>20661000</v>
      </c>
      <c r="L1004" s="1419">
        <f t="shared" si="374"/>
        <v>2066100</v>
      </c>
      <c r="M1004" s="1421"/>
      <c r="N1004" s="1420">
        <f t="shared" si="375"/>
        <v>22727100</v>
      </c>
      <c r="O1004" s="1313" t="s">
        <v>240</v>
      </c>
      <c r="P1004" s="1313" t="s">
        <v>103</v>
      </c>
      <c r="Q1004" s="1311"/>
      <c r="R1004" s="1311"/>
      <c r="S1004" s="1419">
        <v>0</v>
      </c>
      <c r="T1004" s="1419">
        <f t="shared" ref="T1004" si="379">-K1004*2%</f>
        <v>-413220</v>
      </c>
      <c r="U1004" s="1429">
        <v>22313880</v>
      </c>
      <c r="V1004" s="1430"/>
      <c r="W1004" s="1431"/>
      <c r="X1004" s="1432"/>
      <c r="Y1004" s="1419"/>
      <c r="Z1004" s="1433"/>
      <c r="AA1004" s="1434"/>
      <c r="AB1004" s="1435"/>
      <c r="AC1004" s="1416"/>
      <c r="AD1004" s="1436"/>
      <c r="AE1004" s="1436"/>
      <c r="AF1004" s="1416"/>
      <c r="AG1004" s="1416"/>
      <c r="AH1004" s="1437"/>
      <c r="AI1004" s="1416"/>
      <c r="AJ1004" s="1437"/>
      <c r="AK1004" s="1438"/>
    </row>
    <row r="1005" spans="1:37" s="1439" customFormat="1" ht="12" customHeight="1">
      <c r="A1005" s="1415"/>
      <c r="B1005" s="1415" t="s">
        <v>239</v>
      </c>
      <c r="C1005" s="1415">
        <v>8</v>
      </c>
      <c r="D1005" s="1417" t="s">
        <v>95</v>
      </c>
      <c r="E1005" s="1418" t="s">
        <v>357</v>
      </c>
      <c r="F1005" s="1505" t="s">
        <v>3076</v>
      </c>
      <c r="G1005" s="1239" t="s">
        <v>379</v>
      </c>
      <c r="H1005" s="1239" t="s">
        <v>4273</v>
      </c>
      <c r="I1005" s="1239" t="s">
        <v>4274</v>
      </c>
      <c r="J1005" s="1421"/>
      <c r="K1005" s="1240">
        <v>17906200</v>
      </c>
      <c r="L1005" s="1419">
        <f t="shared" si="374"/>
        <v>1790620</v>
      </c>
      <c r="M1005" s="1421"/>
      <c r="N1005" s="1420">
        <f t="shared" si="375"/>
        <v>19696820</v>
      </c>
      <c r="O1005" s="1313" t="s">
        <v>240</v>
      </c>
      <c r="P1005" s="1313" t="s">
        <v>103</v>
      </c>
      <c r="Q1005" s="1311"/>
      <c r="R1005" s="1311"/>
      <c r="S1005" s="1419">
        <v>0</v>
      </c>
      <c r="T1005" s="1419">
        <f t="shared" ref="T1005" si="380">-K1005*2%</f>
        <v>-358124</v>
      </c>
      <c r="U1005" s="1429">
        <v>19338696</v>
      </c>
      <c r="V1005" s="1430"/>
      <c r="W1005" s="1431"/>
      <c r="X1005" s="1432"/>
      <c r="Y1005" s="1419"/>
      <c r="Z1005" s="1433"/>
      <c r="AA1005" s="1434"/>
      <c r="AB1005" s="1435"/>
      <c r="AC1005" s="1416"/>
      <c r="AD1005" s="1436"/>
      <c r="AE1005" s="1436"/>
      <c r="AF1005" s="1416"/>
      <c r="AG1005" s="1416"/>
      <c r="AH1005" s="1437"/>
      <c r="AI1005" s="1416"/>
      <c r="AJ1005" s="1437"/>
      <c r="AK1005" s="1438"/>
    </row>
    <row r="1006" spans="1:37" s="1439" customFormat="1" ht="12" customHeight="1">
      <c r="A1006" s="1415"/>
      <c r="B1006" s="1415" t="s">
        <v>239</v>
      </c>
      <c r="C1006" s="1415">
        <v>8</v>
      </c>
      <c r="D1006" s="1417" t="s">
        <v>95</v>
      </c>
      <c r="E1006" s="1418" t="s">
        <v>354</v>
      </c>
      <c r="F1006" s="1505" t="s">
        <v>3956</v>
      </c>
      <c r="G1006" s="1239" t="s">
        <v>4275</v>
      </c>
      <c r="H1006" s="1239" t="s">
        <v>4276</v>
      </c>
      <c r="I1006" s="1239" t="s">
        <v>4277</v>
      </c>
      <c r="J1006" s="1421"/>
      <c r="K1006" s="1240">
        <v>43907500</v>
      </c>
      <c r="L1006" s="1419">
        <f t="shared" si="374"/>
        <v>4390750</v>
      </c>
      <c r="M1006" s="1421"/>
      <c r="N1006" s="1420">
        <f t="shared" si="375"/>
        <v>48298250</v>
      </c>
      <c r="O1006" s="1313" t="s">
        <v>240</v>
      </c>
      <c r="P1006" s="1313" t="s">
        <v>103</v>
      </c>
      <c r="Q1006" s="1311"/>
      <c r="R1006" s="1311"/>
      <c r="S1006" s="1419">
        <v>0</v>
      </c>
      <c r="T1006" s="1419">
        <f t="shared" ref="T1006" si="381">-K1006*2%</f>
        <v>-878150</v>
      </c>
      <c r="U1006" s="1429">
        <v>47420100</v>
      </c>
      <c r="V1006" s="1430"/>
      <c r="W1006" s="1431"/>
      <c r="X1006" s="1432"/>
      <c r="Y1006" s="1419"/>
      <c r="Z1006" s="1433"/>
      <c r="AA1006" s="1434"/>
      <c r="AB1006" s="1435"/>
      <c r="AC1006" s="1416"/>
      <c r="AD1006" s="1436"/>
      <c r="AE1006" s="1436"/>
      <c r="AF1006" s="1416"/>
      <c r="AG1006" s="1416"/>
      <c r="AH1006" s="1437"/>
      <c r="AI1006" s="1416"/>
      <c r="AJ1006" s="1437"/>
      <c r="AK1006" s="1438"/>
    </row>
    <row r="1007" spans="1:37" s="1439" customFormat="1" ht="12" customHeight="1">
      <c r="A1007" s="1415"/>
      <c r="B1007" s="1415" t="s">
        <v>239</v>
      </c>
      <c r="C1007" s="1415">
        <v>8</v>
      </c>
      <c r="D1007" s="1417" t="s">
        <v>95</v>
      </c>
      <c r="E1007" s="1418" t="s">
        <v>354</v>
      </c>
      <c r="F1007" s="1505" t="s">
        <v>3078</v>
      </c>
      <c r="G1007" s="1239" t="s">
        <v>379</v>
      </c>
      <c r="H1007" s="1239" t="s">
        <v>4278</v>
      </c>
      <c r="I1007" s="1239" t="s">
        <v>4279</v>
      </c>
      <c r="J1007" s="1421"/>
      <c r="K1007" s="1240">
        <v>6000000</v>
      </c>
      <c r="L1007" s="1419">
        <f t="shared" si="374"/>
        <v>600000</v>
      </c>
      <c r="M1007" s="1421"/>
      <c r="N1007" s="1420">
        <f t="shared" si="375"/>
        <v>6600000</v>
      </c>
      <c r="O1007" s="1313" t="s">
        <v>240</v>
      </c>
      <c r="P1007" s="1313" t="s">
        <v>103</v>
      </c>
      <c r="Q1007" s="1311"/>
      <c r="R1007" s="1311"/>
      <c r="S1007" s="1419">
        <v>0</v>
      </c>
      <c r="T1007" s="1419">
        <f t="shared" ref="T1007:T1008" si="382">-K1007*2%</f>
        <v>-120000</v>
      </c>
      <c r="U1007" s="1429">
        <v>6480000</v>
      </c>
      <c r="V1007" s="1430"/>
      <c r="W1007" s="1431"/>
      <c r="X1007" s="1432"/>
      <c r="Y1007" s="1419"/>
      <c r="Z1007" s="1433"/>
      <c r="AA1007" s="1434"/>
      <c r="AB1007" s="1435"/>
      <c r="AC1007" s="1416"/>
      <c r="AD1007" s="1436"/>
      <c r="AE1007" s="1436"/>
      <c r="AF1007" s="1416"/>
      <c r="AG1007" s="1416"/>
      <c r="AH1007" s="1437"/>
      <c r="AI1007" s="1416"/>
      <c r="AJ1007" s="1437"/>
      <c r="AK1007" s="1438"/>
    </row>
    <row r="1008" spans="1:37" s="1439" customFormat="1" ht="12" customHeight="1">
      <c r="A1008" s="1415"/>
      <c r="B1008" s="1415" t="s">
        <v>239</v>
      </c>
      <c r="C1008" s="1415">
        <v>8</v>
      </c>
      <c r="D1008" s="1417" t="s">
        <v>95</v>
      </c>
      <c r="E1008" s="1418" t="s">
        <v>354</v>
      </c>
      <c r="F1008" s="1505" t="s">
        <v>3079</v>
      </c>
      <c r="G1008" s="1239" t="s">
        <v>379</v>
      </c>
      <c r="H1008" s="1239" t="s">
        <v>4280</v>
      </c>
      <c r="I1008" s="1239" t="s">
        <v>4281</v>
      </c>
      <c r="J1008" s="1421"/>
      <c r="K1008" s="1240">
        <v>21000000</v>
      </c>
      <c r="L1008" s="1419">
        <f t="shared" si="374"/>
        <v>2100000</v>
      </c>
      <c r="M1008" s="1421"/>
      <c r="N1008" s="1420">
        <f t="shared" si="375"/>
        <v>23100000</v>
      </c>
      <c r="O1008" s="1313" t="s">
        <v>240</v>
      </c>
      <c r="P1008" s="1313" t="s">
        <v>103</v>
      </c>
      <c r="Q1008" s="1311"/>
      <c r="R1008" s="1311"/>
      <c r="S1008" s="1419">
        <v>0</v>
      </c>
      <c r="T1008" s="1419">
        <f t="shared" si="382"/>
        <v>-420000</v>
      </c>
      <c r="U1008" s="1429">
        <v>22680000</v>
      </c>
      <c r="V1008" s="1430"/>
      <c r="W1008" s="1431"/>
      <c r="X1008" s="1432"/>
      <c r="Y1008" s="1419"/>
      <c r="Z1008" s="1433"/>
      <c r="AA1008" s="1434"/>
      <c r="AB1008" s="1435"/>
      <c r="AC1008" s="1416"/>
      <c r="AD1008" s="1436"/>
      <c r="AE1008" s="1436"/>
      <c r="AF1008" s="1416"/>
      <c r="AG1008" s="1416"/>
      <c r="AH1008" s="1437"/>
      <c r="AI1008" s="1416"/>
      <c r="AJ1008" s="1437"/>
      <c r="AK1008" s="1438"/>
    </row>
    <row r="1009" spans="1:37" s="1439" customFormat="1" ht="12" customHeight="1">
      <c r="A1009" s="1415"/>
      <c r="B1009" s="1415" t="s">
        <v>239</v>
      </c>
      <c r="C1009" s="1415">
        <v>8</v>
      </c>
      <c r="D1009" s="1417" t="s">
        <v>95</v>
      </c>
      <c r="E1009" s="1418" t="s">
        <v>354</v>
      </c>
      <c r="F1009" s="1505" t="s">
        <v>3080</v>
      </c>
      <c r="G1009" s="1239" t="s">
        <v>5</v>
      </c>
      <c r="H1009" s="1239" t="s">
        <v>4282</v>
      </c>
      <c r="I1009" s="1239" t="s">
        <v>4283</v>
      </c>
      <c r="J1009" s="1421"/>
      <c r="K1009" s="1240">
        <v>6000000</v>
      </c>
      <c r="L1009" s="1419">
        <f t="shared" si="374"/>
        <v>600000</v>
      </c>
      <c r="M1009" s="1421"/>
      <c r="N1009" s="1420">
        <f t="shared" si="375"/>
        <v>6600000</v>
      </c>
      <c r="O1009" s="1313" t="s">
        <v>240</v>
      </c>
      <c r="P1009" s="1313" t="s">
        <v>103</v>
      </c>
      <c r="Q1009" s="1311"/>
      <c r="R1009" s="1311"/>
      <c r="S1009" s="1419">
        <v>0</v>
      </c>
      <c r="T1009" s="1419">
        <f t="shared" ref="T1009" si="383">-K1009*2%</f>
        <v>-120000</v>
      </c>
      <c r="U1009" s="1429">
        <v>6480000</v>
      </c>
      <c r="V1009" s="1430"/>
      <c r="W1009" s="1431"/>
      <c r="X1009" s="1432"/>
      <c r="Y1009" s="1419"/>
      <c r="Z1009" s="1433"/>
      <c r="AA1009" s="1434"/>
      <c r="AB1009" s="1435"/>
      <c r="AC1009" s="1416"/>
      <c r="AD1009" s="1436"/>
      <c r="AE1009" s="1436"/>
      <c r="AF1009" s="1416"/>
      <c r="AG1009" s="1416"/>
      <c r="AH1009" s="1437"/>
      <c r="AI1009" s="1416"/>
      <c r="AJ1009" s="1437"/>
      <c r="AK1009" s="1438"/>
    </row>
    <row r="1010" spans="1:37" s="1439" customFormat="1" ht="12" customHeight="1">
      <c r="A1010" s="1415"/>
      <c r="B1010" s="1415" t="s">
        <v>239</v>
      </c>
      <c r="C1010" s="1415">
        <v>8</v>
      </c>
      <c r="D1010" s="1417" t="s">
        <v>95</v>
      </c>
      <c r="E1010" s="1418" t="s">
        <v>354</v>
      </c>
      <c r="F1010" s="1505" t="s">
        <v>3966</v>
      </c>
      <c r="G1010" s="1239" t="s">
        <v>4284</v>
      </c>
      <c r="H1010" s="1239" t="s">
        <v>4285</v>
      </c>
      <c r="I1010" s="1239" t="s">
        <v>4286</v>
      </c>
      <c r="J1010" s="1421"/>
      <c r="K1010" s="1240">
        <v>9000000</v>
      </c>
      <c r="L1010" s="1419">
        <f t="shared" si="374"/>
        <v>900000</v>
      </c>
      <c r="M1010" s="1421"/>
      <c r="N1010" s="1420">
        <f t="shared" si="375"/>
        <v>9900000</v>
      </c>
      <c r="O1010" s="1313" t="s">
        <v>240</v>
      </c>
      <c r="P1010" s="1313" t="s">
        <v>91</v>
      </c>
      <c r="Q1010" s="1311"/>
      <c r="R1010" s="1311"/>
      <c r="S1010" s="1419">
        <v>0</v>
      </c>
      <c r="T1010" s="1419">
        <f t="shared" ref="T1010" si="384">-K1010*2%</f>
        <v>-180000</v>
      </c>
      <c r="U1010" s="1429">
        <v>9720000</v>
      </c>
      <c r="V1010" s="1430"/>
      <c r="W1010" s="1431"/>
      <c r="X1010" s="1432"/>
      <c r="Y1010" s="1419"/>
      <c r="Z1010" s="1433"/>
      <c r="AA1010" s="1434"/>
      <c r="AB1010" s="1435"/>
      <c r="AC1010" s="1416"/>
      <c r="AD1010" s="1436"/>
      <c r="AE1010" s="1436"/>
      <c r="AF1010" s="1416"/>
      <c r="AG1010" s="1416"/>
      <c r="AH1010" s="1437"/>
      <c r="AI1010" s="1416"/>
      <c r="AJ1010" s="1437"/>
      <c r="AK1010" s="1438"/>
    </row>
    <row r="1011" spans="1:37" s="1439" customFormat="1" ht="12" customHeight="1">
      <c r="A1011" s="1415"/>
      <c r="B1011" s="1415" t="s">
        <v>240</v>
      </c>
      <c r="C1011" s="1415">
        <v>4</v>
      </c>
      <c r="D1011" s="1417" t="s">
        <v>95</v>
      </c>
      <c r="E1011" s="1418" t="s">
        <v>357</v>
      </c>
      <c r="F1011" s="1505" t="s">
        <v>3073</v>
      </c>
      <c r="G1011" s="1239" t="s">
        <v>5</v>
      </c>
      <c r="H1011" s="1239" t="s">
        <v>4377</v>
      </c>
      <c r="I1011" s="1239" t="s">
        <v>4378</v>
      </c>
      <c r="J1011" s="1421"/>
      <c r="K1011" s="1240">
        <v>37360400</v>
      </c>
      <c r="L1011" s="1419">
        <f t="shared" si="374"/>
        <v>3736040</v>
      </c>
      <c r="M1011" s="1421"/>
      <c r="N1011" s="1420">
        <f t="shared" si="375"/>
        <v>41096440</v>
      </c>
      <c r="O1011" s="1313" t="s">
        <v>58</v>
      </c>
      <c r="P1011" s="1313" t="s">
        <v>116</v>
      </c>
      <c r="Q1011" s="1311"/>
      <c r="R1011" s="1311"/>
      <c r="S1011" s="1419">
        <v>0</v>
      </c>
      <c r="T1011" s="1419">
        <f t="shared" ref="T1011" si="385">-K1011*2%</f>
        <v>-747208</v>
      </c>
      <c r="U1011" s="1429">
        <v>40349232</v>
      </c>
      <c r="V1011" s="1430"/>
      <c r="W1011" s="1431"/>
      <c r="X1011" s="1432"/>
      <c r="Y1011" s="1419"/>
      <c r="Z1011" s="1433"/>
      <c r="AA1011" s="1434"/>
      <c r="AB1011" s="1435"/>
      <c r="AC1011" s="1416"/>
      <c r="AD1011" s="1436"/>
      <c r="AE1011" s="1436"/>
      <c r="AF1011" s="1416"/>
      <c r="AG1011" s="1416"/>
      <c r="AH1011" s="1437"/>
      <c r="AI1011" s="1416"/>
      <c r="AJ1011" s="1437"/>
      <c r="AK1011" s="1438"/>
    </row>
    <row r="1012" spans="1:37" s="1439" customFormat="1" ht="12" customHeight="1">
      <c r="A1012" s="1415"/>
      <c r="B1012" s="1415" t="s">
        <v>240</v>
      </c>
      <c r="C1012" s="1415">
        <v>4</v>
      </c>
      <c r="D1012" s="1417" t="s">
        <v>95</v>
      </c>
      <c r="E1012" s="1418" t="s">
        <v>357</v>
      </c>
      <c r="F1012" s="1505" t="s">
        <v>3074</v>
      </c>
      <c r="G1012" s="1239" t="s">
        <v>5</v>
      </c>
      <c r="H1012" s="1239" t="s">
        <v>4379</v>
      </c>
      <c r="I1012" s="1239" t="s">
        <v>4380</v>
      </c>
      <c r="J1012" s="1421"/>
      <c r="K1012" s="1240">
        <v>16512000</v>
      </c>
      <c r="L1012" s="1419">
        <f t="shared" si="374"/>
        <v>1651200</v>
      </c>
      <c r="M1012" s="1421"/>
      <c r="N1012" s="1420">
        <f t="shared" si="375"/>
        <v>18163200</v>
      </c>
      <c r="O1012" s="1313" t="s">
        <v>58</v>
      </c>
      <c r="P1012" s="1313" t="s">
        <v>116</v>
      </c>
      <c r="Q1012" s="1311"/>
      <c r="R1012" s="1311"/>
      <c r="S1012" s="1419">
        <v>0</v>
      </c>
      <c r="T1012" s="1419">
        <f t="shared" ref="T1012:T1018" si="386">-K1012*2%</f>
        <v>-330240</v>
      </c>
      <c r="U1012" s="1429">
        <v>17832960</v>
      </c>
      <c r="V1012" s="1430"/>
      <c r="W1012" s="1431"/>
      <c r="X1012" s="1432"/>
      <c r="Y1012" s="1419"/>
      <c r="Z1012" s="1433"/>
      <c r="AA1012" s="1434"/>
      <c r="AB1012" s="1435"/>
      <c r="AC1012" s="1416"/>
      <c r="AD1012" s="1436"/>
      <c r="AE1012" s="1436"/>
      <c r="AF1012" s="1416"/>
      <c r="AG1012" s="1416"/>
      <c r="AH1012" s="1437"/>
      <c r="AI1012" s="1416"/>
      <c r="AJ1012" s="1437"/>
      <c r="AK1012" s="1438"/>
    </row>
    <row r="1013" spans="1:37" s="1439" customFormat="1" ht="12" customHeight="1">
      <c r="A1013" s="1415"/>
      <c r="B1013" s="1415" t="s">
        <v>240</v>
      </c>
      <c r="C1013" s="1415">
        <v>4</v>
      </c>
      <c r="D1013" s="1417" t="s">
        <v>95</v>
      </c>
      <c r="E1013" s="1418" t="s">
        <v>357</v>
      </c>
      <c r="F1013" s="1505" t="s">
        <v>4104</v>
      </c>
      <c r="G1013" s="1239" t="s">
        <v>5</v>
      </c>
      <c r="H1013" s="1239" t="s">
        <v>4381</v>
      </c>
      <c r="I1013" s="1239" t="s">
        <v>4382</v>
      </c>
      <c r="J1013" s="1421"/>
      <c r="K1013" s="1240">
        <v>20640000</v>
      </c>
      <c r="L1013" s="1419">
        <f t="shared" si="374"/>
        <v>2064000</v>
      </c>
      <c r="M1013" s="1421"/>
      <c r="N1013" s="1420">
        <f t="shared" si="375"/>
        <v>22704000</v>
      </c>
      <c r="O1013" s="1313" t="s">
        <v>58</v>
      </c>
      <c r="P1013" s="1313" t="s">
        <v>116</v>
      </c>
      <c r="Q1013" s="1311"/>
      <c r="R1013" s="1311"/>
      <c r="S1013" s="1419">
        <v>0</v>
      </c>
      <c r="T1013" s="1419">
        <f t="shared" si="386"/>
        <v>-412800</v>
      </c>
      <c r="U1013" s="1429">
        <v>22291200</v>
      </c>
      <c r="V1013" s="1430"/>
      <c r="W1013" s="1431"/>
      <c r="X1013" s="1432"/>
      <c r="Y1013" s="1419"/>
      <c r="Z1013" s="1433"/>
      <c r="AA1013" s="1434"/>
      <c r="AB1013" s="1435"/>
      <c r="AC1013" s="1416"/>
      <c r="AD1013" s="1436"/>
      <c r="AE1013" s="1436"/>
      <c r="AF1013" s="1416"/>
      <c r="AG1013" s="1416"/>
      <c r="AH1013" s="1437"/>
      <c r="AI1013" s="1416"/>
      <c r="AJ1013" s="1437"/>
      <c r="AK1013" s="1438"/>
    </row>
    <row r="1014" spans="1:37" s="1439" customFormat="1" ht="12" customHeight="1">
      <c r="A1014" s="1415"/>
      <c r="B1014" s="1415" t="s">
        <v>240</v>
      </c>
      <c r="C1014" s="1415">
        <v>4</v>
      </c>
      <c r="D1014" s="1417" t="s">
        <v>95</v>
      </c>
      <c r="E1014" s="1418" t="s">
        <v>357</v>
      </c>
      <c r="F1014" s="1505" t="s">
        <v>3076</v>
      </c>
      <c r="G1014" s="1239" t="s">
        <v>5</v>
      </c>
      <c r="H1014" s="1239" t="s">
        <v>4383</v>
      </c>
      <c r="I1014" s="1239" t="s">
        <v>4384</v>
      </c>
      <c r="J1014" s="1421"/>
      <c r="K1014" s="1240">
        <v>17888000</v>
      </c>
      <c r="L1014" s="1419">
        <f t="shared" si="374"/>
        <v>1788800</v>
      </c>
      <c r="M1014" s="1421"/>
      <c r="N1014" s="1420">
        <f t="shared" si="375"/>
        <v>19676800</v>
      </c>
      <c r="O1014" s="1313" t="s">
        <v>58</v>
      </c>
      <c r="P1014" s="1313" t="s">
        <v>116</v>
      </c>
      <c r="Q1014" s="1311"/>
      <c r="R1014" s="1311"/>
      <c r="S1014" s="1419">
        <v>0</v>
      </c>
      <c r="T1014" s="1419">
        <f t="shared" si="386"/>
        <v>-357760</v>
      </c>
      <c r="U1014" s="1429">
        <v>19319040</v>
      </c>
      <c r="V1014" s="1430"/>
      <c r="W1014" s="1431"/>
      <c r="X1014" s="1432"/>
      <c r="Y1014" s="1419"/>
      <c r="Z1014" s="1433"/>
      <c r="AA1014" s="1434"/>
      <c r="AB1014" s="1435"/>
      <c r="AC1014" s="1416"/>
      <c r="AD1014" s="1436"/>
      <c r="AE1014" s="1436"/>
      <c r="AF1014" s="1416"/>
      <c r="AG1014" s="1416"/>
      <c r="AH1014" s="1437"/>
      <c r="AI1014" s="1416"/>
      <c r="AJ1014" s="1437"/>
      <c r="AK1014" s="1438"/>
    </row>
    <row r="1015" spans="1:37" s="1439" customFormat="1" ht="12" customHeight="1">
      <c r="A1015" s="1415"/>
      <c r="B1015" s="1415" t="s">
        <v>240</v>
      </c>
      <c r="C1015" s="1415">
        <v>4</v>
      </c>
      <c r="D1015" s="1417" t="s">
        <v>95</v>
      </c>
      <c r="E1015" s="1418" t="s">
        <v>354</v>
      </c>
      <c r="F1015" s="1505" t="s">
        <v>3956</v>
      </c>
      <c r="G1015" s="1239" t="s">
        <v>4385</v>
      </c>
      <c r="H1015" s="1239" t="s">
        <v>4386</v>
      </c>
      <c r="I1015" s="1239" t="s">
        <v>4387</v>
      </c>
      <c r="J1015" s="1421"/>
      <c r="K1015" s="1240">
        <v>43907500</v>
      </c>
      <c r="L1015" s="1419">
        <f t="shared" si="374"/>
        <v>4390750</v>
      </c>
      <c r="M1015" s="1421"/>
      <c r="N1015" s="1420">
        <f t="shared" si="375"/>
        <v>48298250</v>
      </c>
      <c r="O1015" s="1313" t="s">
        <v>58</v>
      </c>
      <c r="P1015" s="1313" t="s">
        <v>116</v>
      </c>
      <c r="Q1015" s="1311"/>
      <c r="R1015" s="1311"/>
      <c r="S1015" s="1419">
        <v>0</v>
      </c>
      <c r="T1015" s="1419">
        <f t="shared" si="386"/>
        <v>-878150</v>
      </c>
      <c r="U1015" s="1429">
        <v>47420100</v>
      </c>
      <c r="V1015" s="1430"/>
      <c r="W1015" s="1431"/>
      <c r="X1015" s="1432"/>
      <c r="Y1015" s="1419"/>
      <c r="Z1015" s="1433"/>
      <c r="AA1015" s="1434"/>
      <c r="AB1015" s="1435"/>
      <c r="AC1015" s="1416"/>
      <c r="AD1015" s="1436"/>
      <c r="AE1015" s="1436"/>
      <c r="AF1015" s="1416"/>
      <c r="AG1015" s="1416"/>
      <c r="AH1015" s="1437"/>
      <c r="AI1015" s="1416"/>
      <c r="AJ1015" s="1437"/>
      <c r="AK1015" s="1438"/>
    </row>
    <row r="1016" spans="1:37" s="1439" customFormat="1" ht="12" customHeight="1">
      <c r="A1016" s="1415"/>
      <c r="B1016" s="1415" t="s">
        <v>240</v>
      </c>
      <c r="C1016" s="1415">
        <v>4</v>
      </c>
      <c r="D1016" s="1417" t="s">
        <v>95</v>
      </c>
      <c r="E1016" s="1418" t="s">
        <v>354</v>
      </c>
      <c r="F1016" s="1505" t="s">
        <v>3078</v>
      </c>
      <c r="G1016" s="1239" t="s">
        <v>5</v>
      </c>
      <c r="H1016" s="1239" t="s">
        <v>4388</v>
      </c>
      <c r="I1016" s="1239" t="s">
        <v>4389</v>
      </c>
      <c r="J1016" s="1421"/>
      <c r="K1016" s="1240">
        <v>6000000</v>
      </c>
      <c r="L1016" s="1419">
        <f t="shared" si="374"/>
        <v>600000</v>
      </c>
      <c r="M1016" s="1421"/>
      <c r="N1016" s="1420">
        <f t="shared" si="375"/>
        <v>6600000</v>
      </c>
      <c r="O1016" s="1313" t="s">
        <v>58</v>
      </c>
      <c r="P1016" s="1313" t="s">
        <v>116</v>
      </c>
      <c r="Q1016" s="1311"/>
      <c r="R1016" s="1311"/>
      <c r="S1016" s="1419">
        <v>0</v>
      </c>
      <c r="T1016" s="1419">
        <f t="shared" si="386"/>
        <v>-120000</v>
      </c>
      <c r="U1016" s="1429">
        <v>6480000</v>
      </c>
      <c r="V1016" s="1430"/>
      <c r="W1016" s="1431"/>
      <c r="X1016" s="1432"/>
      <c r="Y1016" s="1419"/>
      <c r="Z1016" s="1433"/>
      <c r="AA1016" s="1434"/>
      <c r="AB1016" s="1435"/>
      <c r="AC1016" s="1416"/>
      <c r="AD1016" s="1436"/>
      <c r="AE1016" s="1436"/>
      <c r="AF1016" s="1416"/>
      <c r="AG1016" s="1416"/>
      <c r="AH1016" s="1437"/>
      <c r="AI1016" s="1416"/>
      <c r="AJ1016" s="1437"/>
      <c r="AK1016" s="1438"/>
    </row>
    <row r="1017" spans="1:37" s="1439" customFormat="1" ht="12" customHeight="1">
      <c r="A1017" s="1415"/>
      <c r="B1017" s="1415" t="s">
        <v>240</v>
      </c>
      <c r="C1017" s="1415">
        <v>4</v>
      </c>
      <c r="D1017" s="1417" t="s">
        <v>95</v>
      </c>
      <c r="E1017" s="1418" t="s">
        <v>354</v>
      </c>
      <c r="F1017" s="1505" t="s">
        <v>3079</v>
      </c>
      <c r="G1017" s="1239" t="s">
        <v>5</v>
      </c>
      <c r="H1017" s="1239" t="s">
        <v>4390</v>
      </c>
      <c r="I1017" s="1239" t="s">
        <v>4391</v>
      </c>
      <c r="J1017" s="1421"/>
      <c r="K1017" s="1240">
        <v>21000000</v>
      </c>
      <c r="L1017" s="1419">
        <f t="shared" si="374"/>
        <v>2100000</v>
      </c>
      <c r="M1017" s="1421"/>
      <c r="N1017" s="1420">
        <f t="shared" si="375"/>
        <v>23100000</v>
      </c>
      <c r="O1017" s="1313" t="s">
        <v>58</v>
      </c>
      <c r="P1017" s="1313" t="s">
        <v>116</v>
      </c>
      <c r="Q1017" s="1311"/>
      <c r="R1017" s="1311"/>
      <c r="S1017" s="1419">
        <v>0</v>
      </c>
      <c r="T1017" s="1419">
        <f t="shared" si="386"/>
        <v>-420000</v>
      </c>
      <c r="U1017" s="1429">
        <v>22680000</v>
      </c>
      <c r="V1017" s="1430"/>
      <c r="W1017" s="1431"/>
      <c r="X1017" s="1432"/>
      <c r="Y1017" s="1419"/>
      <c r="Z1017" s="1433"/>
      <c r="AA1017" s="1434"/>
      <c r="AB1017" s="1435"/>
      <c r="AC1017" s="1416"/>
      <c r="AD1017" s="1436"/>
      <c r="AE1017" s="1436"/>
      <c r="AF1017" s="1416"/>
      <c r="AG1017" s="1416"/>
      <c r="AH1017" s="1437"/>
      <c r="AI1017" s="1416"/>
      <c r="AJ1017" s="1437"/>
      <c r="AK1017" s="1438"/>
    </row>
    <row r="1018" spans="1:37" s="1439" customFormat="1" ht="12" customHeight="1">
      <c r="A1018" s="1415"/>
      <c r="B1018" s="1415" t="s">
        <v>240</v>
      </c>
      <c r="C1018" s="1415">
        <v>4</v>
      </c>
      <c r="D1018" s="1417" t="s">
        <v>95</v>
      </c>
      <c r="E1018" s="1418" t="s">
        <v>354</v>
      </c>
      <c r="F1018" s="1505" t="s">
        <v>3080</v>
      </c>
      <c r="G1018" s="1239" t="s">
        <v>57</v>
      </c>
      <c r="H1018" s="1239" t="s">
        <v>4392</v>
      </c>
      <c r="I1018" s="1239" t="s">
        <v>4393</v>
      </c>
      <c r="J1018" s="1421"/>
      <c r="K1018" s="1240">
        <v>6000000</v>
      </c>
      <c r="L1018" s="1419">
        <f t="shared" si="374"/>
        <v>600000</v>
      </c>
      <c r="M1018" s="1421"/>
      <c r="N1018" s="1420">
        <f t="shared" si="375"/>
        <v>6600000</v>
      </c>
      <c r="O1018" s="1313" t="s">
        <v>58</v>
      </c>
      <c r="P1018" s="1313" t="s">
        <v>116</v>
      </c>
      <c r="Q1018" s="1311"/>
      <c r="R1018" s="1311"/>
      <c r="S1018" s="1419">
        <v>0</v>
      </c>
      <c r="T1018" s="1419">
        <f t="shared" si="386"/>
        <v>-120000</v>
      </c>
      <c r="U1018" s="1429">
        <v>6480000</v>
      </c>
      <c r="V1018" s="1430"/>
      <c r="W1018" s="1431"/>
      <c r="X1018" s="1432"/>
      <c r="Y1018" s="1419"/>
      <c r="Z1018" s="1433"/>
      <c r="AA1018" s="1434"/>
      <c r="AB1018" s="1435"/>
      <c r="AC1018" s="1416"/>
      <c r="AD1018" s="1436"/>
      <c r="AE1018" s="1436"/>
      <c r="AF1018" s="1416"/>
      <c r="AG1018" s="1416"/>
      <c r="AH1018" s="1437"/>
      <c r="AI1018" s="1416"/>
      <c r="AJ1018" s="1437"/>
      <c r="AK1018" s="1438"/>
    </row>
    <row r="1019" spans="1:37" s="1439" customFormat="1" ht="12" customHeight="1">
      <c r="A1019" s="1415"/>
      <c r="B1019" s="1415" t="s">
        <v>240</v>
      </c>
      <c r="C1019" s="1415">
        <v>4</v>
      </c>
      <c r="D1019" s="1417" t="s">
        <v>95</v>
      </c>
      <c r="E1019" s="1418" t="s">
        <v>354</v>
      </c>
      <c r="F1019" s="1505" t="s">
        <v>3966</v>
      </c>
      <c r="G1019" s="1239" t="s">
        <v>4394</v>
      </c>
      <c r="H1019" s="1239" t="s">
        <v>4395</v>
      </c>
      <c r="I1019" s="1239" t="s">
        <v>4396</v>
      </c>
      <c r="J1019" s="1421"/>
      <c r="K1019" s="1240">
        <v>9000000</v>
      </c>
      <c r="L1019" s="1419">
        <f t="shared" si="374"/>
        <v>900000</v>
      </c>
      <c r="M1019" s="1421"/>
      <c r="N1019" s="1420">
        <f t="shared" si="375"/>
        <v>9900000</v>
      </c>
      <c r="O1019" s="1313" t="s">
        <v>58</v>
      </c>
      <c r="P1019" s="1313" t="s">
        <v>93</v>
      </c>
      <c r="Q1019" s="1311"/>
      <c r="R1019" s="1311"/>
      <c r="S1019" s="1419">
        <v>0</v>
      </c>
      <c r="T1019" s="1419">
        <f t="shared" ref="T1019" si="387">-K1019*2%</f>
        <v>-180000</v>
      </c>
      <c r="U1019" s="1429">
        <v>9720000</v>
      </c>
      <c r="V1019" s="1430"/>
      <c r="W1019" s="1431"/>
      <c r="X1019" s="1432"/>
      <c r="Y1019" s="1419"/>
      <c r="Z1019" s="1433"/>
      <c r="AA1019" s="1434"/>
      <c r="AB1019" s="1435"/>
      <c r="AC1019" s="1416"/>
      <c r="AD1019" s="1436"/>
      <c r="AE1019" s="1436"/>
      <c r="AF1019" s="1416"/>
      <c r="AG1019" s="1416"/>
      <c r="AH1019" s="1437"/>
      <c r="AI1019" s="1416"/>
      <c r="AJ1019" s="1437"/>
      <c r="AK1019" s="1438"/>
    </row>
    <row r="1020" spans="1:37" s="1439" customFormat="1" ht="12" customHeight="1">
      <c r="A1020" s="1415"/>
      <c r="B1020" s="1415" t="s">
        <v>240</v>
      </c>
      <c r="C1020" s="1415">
        <v>4</v>
      </c>
      <c r="D1020" s="1417" t="s">
        <v>95</v>
      </c>
      <c r="E1020" s="1418" t="s">
        <v>354</v>
      </c>
      <c r="F1020" s="1505" t="s">
        <v>4408</v>
      </c>
      <c r="G1020" s="1239" t="s">
        <v>4409</v>
      </c>
      <c r="H1020" s="1239" t="s">
        <v>4410</v>
      </c>
      <c r="I1020" s="1239" t="s">
        <v>4411</v>
      </c>
      <c r="J1020" s="1421"/>
      <c r="K1020" s="1240">
        <v>3500000</v>
      </c>
      <c r="L1020" s="1419">
        <f t="shared" si="374"/>
        <v>350000</v>
      </c>
      <c r="M1020" s="1421"/>
      <c r="N1020" s="1420">
        <f t="shared" si="375"/>
        <v>3850000</v>
      </c>
      <c r="O1020" s="1313" t="s">
        <v>58</v>
      </c>
      <c r="P1020" s="1313" t="s">
        <v>116</v>
      </c>
      <c r="Q1020" s="1311"/>
      <c r="R1020" s="1311"/>
      <c r="S1020" s="1419">
        <v>0</v>
      </c>
      <c r="T1020" s="1419">
        <f t="shared" ref="T1020" si="388">-K1020*2%</f>
        <v>-70000</v>
      </c>
      <c r="U1020" s="1429">
        <v>3780000</v>
      </c>
      <c r="V1020" s="1430"/>
      <c r="W1020" s="1431"/>
      <c r="X1020" s="1432"/>
      <c r="Y1020" s="1419"/>
      <c r="Z1020" s="1433"/>
      <c r="AA1020" s="1434"/>
      <c r="AB1020" s="1435"/>
      <c r="AC1020" s="1416"/>
      <c r="AD1020" s="1436"/>
      <c r="AE1020" s="1436"/>
      <c r="AF1020" s="1416"/>
      <c r="AG1020" s="1416"/>
      <c r="AH1020" s="1437"/>
      <c r="AI1020" s="1416"/>
      <c r="AJ1020" s="1437"/>
      <c r="AK1020" s="1438"/>
    </row>
    <row r="1021" spans="1:37" s="1439" customFormat="1" ht="12" customHeight="1">
      <c r="A1021" s="1415"/>
      <c r="B1021" s="1415" t="s">
        <v>240</v>
      </c>
      <c r="C1021" s="1415">
        <v>4</v>
      </c>
      <c r="D1021" s="1417" t="s">
        <v>95</v>
      </c>
      <c r="E1021" s="1418" t="s">
        <v>62</v>
      </c>
      <c r="F1021" s="1505" t="s">
        <v>4412</v>
      </c>
      <c r="G1021" s="1239" t="s">
        <v>4413</v>
      </c>
      <c r="H1021" s="1239" t="s">
        <v>4414</v>
      </c>
      <c r="I1021" s="1457" t="s">
        <v>14</v>
      </c>
      <c r="J1021" s="1421"/>
      <c r="K1021" s="1240">
        <v>1013000</v>
      </c>
      <c r="L1021" s="1419">
        <v>0</v>
      </c>
      <c r="M1021" s="1421"/>
      <c r="N1021" s="1420">
        <f t="shared" si="375"/>
        <v>1013000</v>
      </c>
      <c r="O1021" s="1313" t="s">
        <v>58</v>
      </c>
      <c r="P1021" s="1313" t="s">
        <v>116</v>
      </c>
      <c r="Q1021" s="1311"/>
      <c r="R1021" s="1311"/>
      <c r="S1021" s="1419">
        <v>0</v>
      </c>
      <c r="T1021" s="1419">
        <v>0</v>
      </c>
      <c r="U1021" s="1429">
        <v>1013000</v>
      </c>
      <c r="V1021" s="1430"/>
      <c r="W1021" s="1431"/>
      <c r="X1021" s="1432"/>
      <c r="Y1021" s="1419"/>
      <c r="Z1021" s="1433"/>
      <c r="AA1021" s="1434"/>
      <c r="AB1021" s="1435"/>
      <c r="AC1021" s="1416"/>
      <c r="AD1021" s="1436"/>
      <c r="AE1021" s="1436"/>
      <c r="AF1021" s="1416"/>
      <c r="AG1021" s="1416"/>
      <c r="AH1021" s="1437"/>
      <c r="AI1021" s="1416"/>
      <c r="AJ1021" s="1437"/>
      <c r="AK1021" s="1438"/>
    </row>
    <row r="1022" spans="1:37" s="1439" customFormat="1" ht="12" customHeight="1">
      <c r="A1022" s="1415"/>
      <c r="B1022" s="1390" t="s">
        <v>58</v>
      </c>
      <c r="C1022" s="1390">
        <v>3</v>
      </c>
      <c r="D1022" s="1401" t="s">
        <v>95</v>
      </c>
      <c r="E1022" s="1409" t="s">
        <v>357</v>
      </c>
      <c r="F1022" s="1506" t="s">
        <v>3073</v>
      </c>
      <c r="G1022" s="953" t="s">
        <v>57</v>
      </c>
      <c r="H1022" s="953" t="s">
        <v>4563</v>
      </c>
      <c r="I1022" s="953" t="s">
        <v>4564</v>
      </c>
      <c r="J1022" s="1403"/>
      <c r="K1022" s="1244">
        <v>37360400</v>
      </c>
      <c r="L1022" s="1413">
        <f t="shared" ref="L1022:L1030" si="389">K1022*10%</f>
        <v>3736040</v>
      </c>
      <c r="M1022" s="1403"/>
      <c r="N1022" s="1410">
        <f t="shared" ref="N1022:N1030" si="390">K1022+L1022</f>
        <v>41096440</v>
      </c>
      <c r="O1022" s="1313"/>
      <c r="P1022" s="1313"/>
      <c r="Q1022" s="1311"/>
      <c r="R1022" s="1311"/>
      <c r="S1022" s="1419"/>
      <c r="T1022" s="1419"/>
      <c r="U1022" s="1429"/>
      <c r="V1022" s="1430"/>
      <c r="W1022" s="1431"/>
      <c r="X1022" s="1432"/>
      <c r="Y1022" s="1419"/>
      <c r="Z1022" s="1433"/>
      <c r="AA1022" s="1434"/>
      <c r="AB1022" s="1435"/>
      <c r="AC1022" s="1416"/>
      <c r="AD1022" s="1436"/>
      <c r="AE1022" s="1436"/>
      <c r="AF1022" s="1416"/>
      <c r="AG1022" s="1416"/>
      <c r="AH1022" s="1437"/>
      <c r="AI1022" s="1416"/>
      <c r="AJ1022" s="1437"/>
      <c r="AK1022" s="1438"/>
    </row>
    <row r="1023" spans="1:37" s="1439" customFormat="1" ht="12" customHeight="1">
      <c r="A1023" s="1415"/>
      <c r="B1023" s="1390" t="s">
        <v>58</v>
      </c>
      <c r="C1023" s="1390">
        <v>3</v>
      </c>
      <c r="D1023" s="1401" t="s">
        <v>95</v>
      </c>
      <c r="E1023" s="1409" t="s">
        <v>357</v>
      </c>
      <c r="F1023" s="1506" t="s">
        <v>3074</v>
      </c>
      <c r="G1023" s="953" t="s">
        <v>57</v>
      </c>
      <c r="H1023" s="953" t="s">
        <v>4565</v>
      </c>
      <c r="I1023" s="953" t="s">
        <v>4566</v>
      </c>
      <c r="J1023" s="1403"/>
      <c r="K1023" s="1244">
        <v>16758000</v>
      </c>
      <c r="L1023" s="1413">
        <f t="shared" si="389"/>
        <v>1675800</v>
      </c>
      <c r="M1023" s="1403"/>
      <c r="N1023" s="1410">
        <f t="shared" si="390"/>
        <v>18433800</v>
      </c>
      <c r="O1023" s="1313"/>
      <c r="P1023" s="1313"/>
      <c r="Q1023" s="1311"/>
      <c r="R1023" s="1311"/>
      <c r="S1023" s="1419"/>
      <c r="T1023" s="1419"/>
      <c r="U1023" s="1429"/>
      <c r="V1023" s="1430"/>
      <c r="W1023" s="1431"/>
      <c r="X1023" s="1432"/>
      <c r="Y1023" s="1419"/>
      <c r="Z1023" s="1433"/>
      <c r="AA1023" s="1434"/>
      <c r="AB1023" s="1435"/>
      <c r="AC1023" s="1416"/>
      <c r="AD1023" s="1436"/>
      <c r="AE1023" s="1436"/>
      <c r="AF1023" s="1416"/>
      <c r="AG1023" s="1416"/>
      <c r="AH1023" s="1437"/>
      <c r="AI1023" s="1416"/>
      <c r="AJ1023" s="1437"/>
      <c r="AK1023" s="1438"/>
    </row>
    <row r="1024" spans="1:37" s="1439" customFormat="1" ht="12" customHeight="1">
      <c r="A1024" s="1415"/>
      <c r="B1024" s="1390" t="s">
        <v>58</v>
      </c>
      <c r="C1024" s="1390">
        <v>3</v>
      </c>
      <c r="D1024" s="1401" t="s">
        <v>95</v>
      </c>
      <c r="E1024" s="1409" t="s">
        <v>357</v>
      </c>
      <c r="F1024" s="1506" t="s">
        <v>4104</v>
      </c>
      <c r="G1024" s="953" t="s">
        <v>57</v>
      </c>
      <c r="H1024" s="953" t="s">
        <v>4567</v>
      </c>
      <c r="I1024" s="953" t="s">
        <v>4568</v>
      </c>
      <c r="J1024" s="1403"/>
      <c r="K1024" s="1244">
        <v>20947500</v>
      </c>
      <c r="L1024" s="1413">
        <f t="shared" si="389"/>
        <v>2094750</v>
      </c>
      <c r="M1024" s="1403"/>
      <c r="N1024" s="1410">
        <f t="shared" si="390"/>
        <v>23042250</v>
      </c>
      <c r="O1024" s="1313"/>
      <c r="P1024" s="1313"/>
      <c r="Q1024" s="1311"/>
      <c r="R1024" s="1311"/>
      <c r="S1024" s="1419"/>
      <c r="T1024" s="1419"/>
      <c r="U1024" s="1429"/>
      <c r="V1024" s="1430"/>
      <c r="W1024" s="1431"/>
      <c r="X1024" s="1432"/>
      <c r="Y1024" s="1419"/>
      <c r="Z1024" s="1433"/>
      <c r="AA1024" s="1434"/>
      <c r="AB1024" s="1435"/>
      <c r="AC1024" s="1416"/>
      <c r="AD1024" s="1436"/>
      <c r="AE1024" s="1436"/>
      <c r="AF1024" s="1416"/>
      <c r="AG1024" s="1416"/>
      <c r="AH1024" s="1437"/>
      <c r="AI1024" s="1416"/>
      <c r="AJ1024" s="1437"/>
      <c r="AK1024" s="1438"/>
    </row>
    <row r="1025" spans="1:37" s="1439" customFormat="1" ht="12" customHeight="1">
      <c r="A1025" s="1415"/>
      <c r="B1025" s="1390" t="s">
        <v>58</v>
      </c>
      <c r="C1025" s="1390">
        <v>3</v>
      </c>
      <c r="D1025" s="1401" t="s">
        <v>95</v>
      </c>
      <c r="E1025" s="1409" t="s">
        <v>357</v>
      </c>
      <c r="F1025" s="1506" t="s">
        <v>3076</v>
      </c>
      <c r="G1025" s="953" t="s">
        <v>57</v>
      </c>
      <c r="H1025" s="953" t="s">
        <v>4569</v>
      </c>
      <c r="I1025" s="953" t="s">
        <v>4570</v>
      </c>
      <c r="J1025" s="1403"/>
      <c r="K1025" s="1244">
        <v>18154500</v>
      </c>
      <c r="L1025" s="1413">
        <f t="shared" si="389"/>
        <v>1815450</v>
      </c>
      <c r="M1025" s="1403"/>
      <c r="N1025" s="1410">
        <f t="shared" si="390"/>
        <v>19969950</v>
      </c>
      <c r="O1025" s="1313"/>
      <c r="P1025" s="1313"/>
      <c r="Q1025" s="1311"/>
      <c r="R1025" s="1311"/>
      <c r="S1025" s="1419"/>
      <c r="T1025" s="1419"/>
      <c r="U1025" s="1429"/>
      <c r="V1025" s="1430"/>
      <c r="W1025" s="1431"/>
      <c r="X1025" s="1432"/>
      <c r="Y1025" s="1419"/>
      <c r="Z1025" s="1433"/>
      <c r="AA1025" s="1434"/>
      <c r="AB1025" s="1435"/>
      <c r="AC1025" s="1416"/>
      <c r="AD1025" s="1436"/>
      <c r="AE1025" s="1436"/>
      <c r="AF1025" s="1416"/>
      <c r="AG1025" s="1416"/>
      <c r="AH1025" s="1437"/>
      <c r="AI1025" s="1416"/>
      <c r="AJ1025" s="1437"/>
      <c r="AK1025" s="1438"/>
    </row>
    <row r="1026" spans="1:37" s="1439" customFormat="1" ht="12" customHeight="1">
      <c r="A1026" s="1415"/>
      <c r="B1026" s="1390" t="s">
        <v>58</v>
      </c>
      <c r="C1026" s="1390">
        <v>3</v>
      </c>
      <c r="D1026" s="1401" t="s">
        <v>95</v>
      </c>
      <c r="E1026" s="1409" t="s">
        <v>354</v>
      </c>
      <c r="F1026" s="1506" t="s">
        <v>3956</v>
      </c>
      <c r="G1026" s="953" t="s">
        <v>4571</v>
      </c>
      <c r="H1026" s="953" t="s">
        <v>4572</v>
      </c>
      <c r="I1026" s="953" t="s">
        <v>4573</v>
      </c>
      <c r="J1026" s="1403"/>
      <c r="K1026" s="1244">
        <v>43907500</v>
      </c>
      <c r="L1026" s="1413">
        <f t="shared" si="389"/>
        <v>4390750</v>
      </c>
      <c r="M1026" s="1403"/>
      <c r="N1026" s="1410">
        <f t="shared" si="390"/>
        <v>48298250</v>
      </c>
      <c r="O1026" s="1313"/>
      <c r="P1026" s="1313"/>
      <c r="Q1026" s="1311"/>
      <c r="R1026" s="1311"/>
      <c r="S1026" s="1419"/>
      <c r="T1026" s="1419"/>
      <c r="U1026" s="1429"/>
      <c r="V1026" s="1430"/>
      <c r="W1026" s="1431"/>
      <c r="X1026" s="1432"/>
      <c r="Y1026" s="1419"/>
      <c r="Z1026" s="1433"/>
      <c r="AA1026" s="1434"/>
      <c r="AB1026" s="1435"/>
      <c r="AC1026" s="1416"/>
      <c r="AD1026" s="1436"/>
      <c r="AE1026" s="1436"/>
      <c r="AF1026" s="1416"/>
      <c r="AG1026" s="1416"/>
      <c r="AH1026" s="1437"/>
      <c r="AI1026" s="1416"/>
      <c r="AJ1026" s="1437"/>
      <c r="AK1026" s="1438"/>
    </row>
    <row r="1027" spans="1:37" s="1439" customFormat="1" ht="12" customHeight="1">
      <c r="A1027" s="1415"/>
      <c r="B1027" s="1390" t="s">
        <v>58</v>
      </c>
      <c r="C1027" s="1390">
        <v>3</v>
      </c>
      <c r="D1027" s="1401" t="s">
        <v>95</v>
      </c>
      <c r="E1027" s="1409" t="s">
        <v>354</v>
      </c>
      <c r="F1027" s="1506" t="s">
        <v>3078</v>
      </c>
      <c r="G1027" s="953" t="s">
        <v>57</v>
      </c>
      <c r="H1027" s="953" t="s">
        <v>4574</v>
      </c>
      <c r="I1027" s="953" t="s">
        <v>4575</v>
      </c>
      <c r="J1027" s="1403"/>
      <c r="K1027" s="1244">
        <v>6000000</v>
      </c>
      <c r="L1027" s="1413">
        <f t="shared" si="389"/>
        <v>600000</v>
      </c>
      <c r="M1027" s="1403"/>
      <c r="N1027" s="1410">
        <f t="shared" si="390"/>
        <v>6600000</v>
      </c>
      <c r="O1027" s="1313"/>
      <c r="P1027" s="1313"/>
      <c r="Q1027" s="1311"/>
      <c r="R1027" s="1311"/>
      <c r="S1027" s="1419"/>
      <c r="T1027" s="1419"/>
      <c r="U1027" s="1429"/>
      <c r="V1027" s="1430"/>
      <c r="W1027" s="1431"/>
      <c r="X1027" s="1432"/>
      <c r="Y1027" s="1419"/>
      <c r="Z1027" s="1433"/>
      <c r="AA1027" s="1434"/>
      <c r="AB1027" s="1435"/>
      <c r="AC1027" s="1416"/>
      <c r="AD1027" s="1436"/>
      <c r="AE1027" s="1436"/>
      <c r="AF1027" s="1416"/>
      <c r="AG1027" s="1416"/>
      <c r="AH1027" s="1437"/>
      <c r="AI1027" s="1416"/>
      <c r="AJ1027" s="1437"/>
      <c r="AK1027" s="1438"/>
    </row>
    <row r="1028" spans="1:37" s="1439" customFormat="1" ht="12" customHeight="1">
      <c r="A1028" s="1415"/>
      <c r="B1028" s="1390" t="s">
        <v>58</v>
      </c>
      <c r="C1028" s="1390">
        <v>3</v>
      </c>
      <c r="D1028" s="1401" t="s">
        <v>95</v>
      </c>
      <c r="E1028" s="1409" t="s">
        <v>354</v>
      </c>
      <c r="F1028" s="1506" t="s">
        <v>3079</v>
      </c>
      <c r="G1028" s="953" t="s">
        <v>57</v>
      </c>
      <c r="H1028" s="953" t="s">
        <v>4576</v>
      </c>
      <c r="I1028" s="953" t="s">
        <v>4577</v>
      </c>
      <c r="J1028" s="1403"/>
      <c r="K1028" s="1244">
        <v>21000000</v>
      </c>
      <c r="L1028" s="1413">
        <f t="shared" si="389"/>
        <v>2100000</v>
      </c>
      <c r="M1028" s="1403"/>
      <c r="N1028" s="1410">
        <f t="shared" si="390"/>
        <v>23100000</v>
      </c>
      <c r="O1028" s="1313"/>
      <c r="P1028" s="1313"/>
      <c r="Q1028" s="1311"/>
      <c r="R1028" s="1311"/>
      <c r="S1028" s="1419"/>
      <c r="T1028" s="1419"/>
      <c r="U1028" s="1429"/>
      <c r="V1028" s="1430"/>
      <c r="W1028" s="1431"/>
      <c r="X1028" s="1432"/>
      <c r="Y1028" s="1419"/>
      <c r="Z1028" s="1433"/>
      <c r="AA1028" s="1434"/>
      <c r="AB1028" s="1435"/>
      <c r="AC1028" s="1416"/>
      <c r="AD1028" s="1436"/>
      <c r="AE1028" s="1436"/>
      <c r="AF1028" s="1416"/>
      <c r="AG1028" s="1416"/>
      <c r="AH1028" s="1437"/>
      <c r="AI1028" s="1416"/>
      <c r="AJ1028" s="1437"/>
      <c r="AK1028" s="1438"/>
    </row>
    <row r="1029" spans="1:37" s="1439" customFormat="1" ht="12" customHeight="1">
      <c r="A1029" s="1415"/>
      <c r="B1029" s="1390" t="s">
        <v>58</v>
      </c>
      <c r="C1029" s="1390">
        <v>3</v>
      </c>
      <c r="D1029" s="1401" t="s">
        <v>95</v>
      </c>
      <c r="E1029" s="1409" t="s">
        <v>354</v>
      </c>
      <c r="F1029" s="1506" t="s">
        <v>3080</v>
      </c>
      <c r="G1029" s="953" t="s">
        <v>58</v>
      </c>
      <c r="H1029" s="953" t="s">
        <v>4578</v>
      </c>
      <c r="I1029" s="953" t="s">
        <v>4579</v>
      </c>
      <c r="J1029" s="1403"/>
      <c r="K1029" s="1244">
        <v>6000000</v>
      </c>
      <c r="L1029" s="1413">
        <f t="shared" si="389"/>
        <v>600000</v>
      </c>
      <c r="M1029" s="1403"/>
      <c r="N1029" s="1410">
        <f t="shared" si="390"/>
        <v>6600000</v>
      </c>
      <c r="O1029" s="1313"/>
      <c r="P1029" s="1313"/>
      <c r="Q1029" s="1311"/>
      <c r="R1029" s="1311"/>
      <c r="S1029" s="1419"/>
      <c r="T1029" s="1419"/>
      <c r="U1029" s="1429"/>
      <c r="V1029" s="1430"/>
      <c r="W1029" s="1431"/>
      <c r="X1029" s="1432"/>
      <c r="Y1029" s="1419"/>
      <c r="Z1029" s="1433"/>
      <c r="AA1029" s="1434"/>
      <c r="AB1029" s="1435"/>
      <c r="AC1029" s="1416"/>
      <c r="AD1029" s="1436"/>
      <c r="AE1029" s="1436"/>
      <c r="AF1029" s="1416"/>
      <c r="AG1029" s="1416"/>
      <c r="AH1029" s="1437"/>
      <c r="AI1029" s="1416"/>
      <c r="AJ1029" s="1437"/>
      <c r="AK1029" s="1438"/>
    </row>
    <row r="1030" spans="1:37" s="1439" customFormat="1" ht="12" customHeight="1">
      <c r="A1030" s="1415"/>
      <c r="B1030" s="1390" t="s">
        <v>58</v>
      </c>
      <c r="C1030" s="1390">
        <v>3</v>
      </c>
      <c r="D1030" s="1401" t="s">
        <v>95</v>
      </c>
      <c r="E1030" s="1409" t="s">
        <v>354</v>
      </c>
      <c r="F1030" s="1506" t="s">
        <v>3966</v>
      </c>
      <c r="G1030" s="953" t="s">
        <v>4580</v>
      </c>
      <c r="H1030" s="953" t="s">
        <v>4581</v>
      </c>
      <c r="I1030" s="953" t="s">
        <v>4582</v>
      </c>
      <c r="J1030" s="1403"/>
      <c r="K1030" s="1244">
        <v>9000000</v>
      </c>
      <c r="L1030" s="1413">
        <f t="shared" si="389"/>
        <v>900000</v>
      </c>
      <c r="M1030" s="1403"/>
      <c r="N1030" s="1410">
        <f t="shared" si="390"/>
        <v>9900000</v>
      </c>
      <c r="O1030" s="1313"/>
      <c r="P1030" s="1313"/>
      <c r="Q1030" s="1311"/>
      <c r="R1030" s="1311"/>
      <c r="S1030" s="1419"/>
      <c r="T1030" s="1419"/>
      <c r="U1030" s="1429"/>
      <c r="V1030" s="1430"/>
      <c r="W1030" s="1431"/>
      <c r="X1030" s="1432"/>
      <c r="Y1030" s="1419"/>
      <c r="Z1030" s="1433"/>
      <c r="AA1030" s="1434"/>
      <c r="AB1030" s="1435"/>
      <c r="AC1030" s="1416"/>
      <c r="AD1030" s="1436"/>
      <c r="AE1030" s="1436"/>
      <c r="AF1030" s="1416"/>
      <c r="AG1030" s="1416"/>
      <c r="AH1030" s="1437"/>
      <c r="AI1030" s="1416"/>
      <c r="AJ1030" s="1437"/>
      <c r="AK1030" s="1438"/>
    </row>
    <row r="1031" spans="1:37" s="114" customFormat="1" ht="12" customHeight="1">
      <c r="A1031" s="53"/>
      <c r="B1031" s="1390" t="s">
        <v>140</v>
      </c>
      <c r="C1031" s="1400">
        <v>12</v>
      </c>
      <c r="D1031" s="1401" t="s">
        <v>96</v>
      </c>
      <c r="E1031" s="1409" t="s">
        <v>354</v>
      </c>
      <c r="F1031" s="1506" t="s">
        <v>3722</v>
      </c>
      <c r="G1031" s="1409" t="s">
        <v>3723</v>
      </c>
      <c r="H1031" s="1409" t="s">
        <v>3724</v>
      </c>
      <c r="I1031" s="1409" t="s">
        <v>3725</v>
      </c>
      <c r="J1031" s="1403"/>
      <c r="K1031" s="1413">
        <v>58000000</v>
      </c>
      <c r="L1031" s="1413">
        <f t="shared" si="366"/>
        <v>5800000</v>
      </c>
      <c r="M1031" s="1403"/>
      <c r="N1031" s="1410">
        <f t="shared" si="367"/>
        <v>63800000</v>
      </c>
      <c r="O1031" s="1397"/>
      <c r="P1031" s="1397"/>
      <c r="Q1031" s="1382"/>
      <c r="R1031" s="1382"/>
      <c r="S1031" s="1381"/>
      <c r="T1031" s="1381"/>
      <c r="U1031" s="1381"/>
      <c r="V1031" s="1386"/>
      <c r="W1031" s="1380"/>
      <c r="X1031" s="1383"/>
      <c r="Y1031" s="1381"/>
      <c r="Z1031" s="1384"/>
      <c r="AA1031" s="1389"/>
      <c r="AB1031" s="1385"/>
      <c r="AC1031" s="1378"/>
      <c r="AD1031" s="1387"/>
      <c r="AE1031" s="1387"/>
      <c r="AF1031" s="1378"/>
      <c r="AG1031" s="1378"/>
      <c r="AH1031" s="1388"/>
      <c r="AI1031" s="1378"/>
      <c r="AJ1031" s="1388"/>
      <c r="AK1031" s="1379"/>
    </row>
    <row r="1032" spans="1:37" s="114" customFormat="1" ht="12" customHeight="1">
      <c r="A1032" s="53"/>
      <c r="B1032" s="1390" t="s">
        <v>241</v>
      </c>
      <c r="C1032" s="1390">
        <v>21</v>
      </c>
      <c r="D1032" s="1401" t="s">
        <v>95</v>
      </c>
      <c r="E1032" s="1409" t="s">
        <v>357</v>
      </c>
      <c r="F1032" s="1506" t="s">
        <v>3073</v>
      </c>
      <c r="G1032" s="953" t="s">
        <v>58</v>
      </c>
      <c r="H1032" s="953" t="s">
        <v>4714</v>
      </c>
      <c r="I1032" s="953" t="s">
        <v>4715</v>
      </c>
      <c r="J1032" s="1403"/>
      <c r="K1032" s="1086">
        <v>37360400</v>
      </c>
      <c r="L1032" s="1413">
        <f t="shared" si="366"/>
        <v>3736040</v>
      </c>
      <c r="M1032" s="1403"/>
      <c r="N1032" s="1410">
        <f t="shared" si="367"/>
        <v>41096440</v>
      </c>
      <c r="O1032" s="1245"/>
      <c r="P1032" s="1245"/>
      <c r="Q1032" s="677"/>
      <c r="R1032" s="677"/>
      <c r="S1032" s="1381"/>
      <c r="T1032" s="1381"/>
      <c r="U1032" s="675"/>
      <c r="V1032" s="1386"/>
      <c r="W1032" s="1380"/>
      <c r="X1032" s="679"/>
      <c r="Y1032" s="1381"/>
      <c r="Z1032" s="1384"/>
      <c r="AA1032" s="1389"/>
      <c r="AB1032" s="1385"/>
      <c r="AC1032" s="1378"/>
      <c r="AD1032" s="1387"/>
      <c r="AE1032" s="1387"/>
      <c r="AF1032" s="1378"/>
      <c r="AG1032" s="1378"/>
      <c r="AH1032" s="1388"/>
      <c r="AI1032" s="1378"/>
      <c r="AJ1032" s="1388"/>
      <c r="AK1032" s="1379"/>
    </row>
    <row r="1033" spans="1:37" s="114" customFormat="1" ht="12" customHeight="1">
      <c r="A1033" s="53"/>
      <c r="B1033" s="1390" t="s">
        <v>241</v>
      </c>
      <c r="C1033" s="1390">
        <v>21</v>
      </c>
      <c r="D1033" s="1401" t="s">
        <v>95</v>
      </c>
      <c r="E1033" s="1409" t="s">
        <v>357</v>
      </c>
      <c r="F1033" s="1506" t="s">
        <v>3074</v>
      </c>
      <c r="G1033" s="953" t="s">
        <v>58</v>
      </c>
      <c r="H1033" s="953" t="s">
        <v>4716</v>
      </c>
      <c r="I1033" s="953" t="s">
        <v>4717</v>
      </c>
      <c r="J1033" s="1403"/>
      <c r="K1033" s="1086">
        <v>16908000</v>
      </c>
      <c r="L1033" s="1413">
        <f t="shared" si="366"/>
        <v>1690800</v>
      </c>
      <c r="M1033" s="1403"/>
      <c r="N1033" s="1410">
        <f t="shared" si="367"/>
        <v>18598800</v>
      </c>
      <c r="O1033" s="1245"/>
      <c r="P1033" s="1245"/>
      <c r="Q1033" s="677"/>
      <c r="R1033" s="677"/>
      <c r="S1033" s="1381"/>
      <c r="T1033" s="1381"/>
      <c r="U1033" s="675"/>
      <c r="V1033" s="1386"/>
      <c r="W1033" s="1380"/>
      <c r="X1033" s="679"/>
      <c r="Y1033" s="1381"/>
      <c r="Z1033" s="1384"/>
      <c r="AA1033" s="1389"/>
      <c r="AB1033" s="1385"/>
      <c r="AC1033" s="1378"/>
      <c r="AD1033" s="1387"/>
      <c r="AE1033" s="1387"/>
      <c r="AF1033" s="1378"/>
      <c r="AG1033" s="1378"/>
      <c r="AH1033" s="1388"/>
      <c r="AI1033" s="1378"/>
      <c r="AJ1033" s="1388"/>
      <c r="AK1033" s="1379"/>
    </row>
    <row r="1034" spans="1:37" s="114" customFormat="1" ht="12" customHeight="1">
      <c r="A1034" s="53"/>
      <c r="B1034" s="1390" t="s">
        <v>241</v>
      </c>
      <c r="C1034" s="1390">
        <v>21</v>
      </c>
      <c r="D1034" s="1401" t="s">
        <v>95</v>
      </c>
      <c r="E1034" s="1409" t="s">
        <v>357</v>
      </c>
      <c r="F1034" s="1506" t="s">
        <v>4104</v>
      </c>
      <c r="G1034" s="953" t="s">
        <v>58</v>
      </c>
      <c r="H1034" s="953" t="s">
        <v>4718</v>
      </c>
      <c r="I1034" s="953" t="s">
        <v>4719</v>
      </c>
      <c r="J1034" s="1403"/>
      <c r="K1034" s="1086">
        <v>21135000</v>
      </c>
      <c r="L1034" s="1413">
        <f t="shared" si="366"/>
        <v>2113500</v>
      </c>
      <c r="M1034" s="1403"/>
      <c r="N1034" s="1410">
        <f t="shared" si="367"/>
        <v>23248500</v>
      </c>
      <c r="O1034" s="1245"/>
      <c r="P1034" s="1245"/>
      <c r="Q1034" s="677"/>
      <c r="R1034" s="677"/>
      <c r="S1034" s="1381"/>
      <c r="T1034" s="1381"/>
      <c r="U1034" s="675"/>
      <c r="V1034" s="1386"/>
      <c r="W1034" s="1380"/>
      <c r="X1034" s="679"/>
      <c r="Y1034" s="1381"/>
      <c r="Z1034" s="1384"/>
      <c r="AA1034" s="1389"/>
      <c r="AB1034" s="1385"/>
      <c r="AC1034" s="1378"/>
      <c r="AD1034" s="1387"/>
      <c r="AE1034" s="1387"/>
      <c r="AF1034" s="1378"/>
      <c r="AG1034" s="1378"/>
      <c r="AH1034" s="1388"/>
      <c r="AI1034" s="1378"/>
      <c r="AJ1034" s="1388"/>
      <c r="AK1034" s="1379"/>
    </row>
    <row r="1035" spans="1:37" s="114" customFormat="1" ht="12" customHeight="1">
      <c r="A1035" s="53"/>
      <c r="B1035" s="1390" t="s">
        <v>241</v>
      </c>
      <c r="C1035" s="1390">
        <v>21</v>
      </c>
      <c r="D1035" s="1401" t="s">
        <v>95</v>
      </c>
      <c r="E1035" s="1409" t="s">
        <v>357</v>
      </c>
      <c r="F1035" s="1506" t="s">
        <v>3076</v>
      </c>
      <c r="G1035" s="953" t="s">
        <v>58</v>
      </c>
      <c r="H1035" s="953" t="s">
        <v>4720</v>
      </c>
      <c r="I1035" s="953" t="s">
        <v>4721</v>
      </c>
      <c r="J1035" s="1403"/>
      <c r="K1035" s="1086">
        <v>18317000</v>
      </c>
      <c r="L1035" s="1413">
        <f t="shared" si="366"/>
        <v>1831700</v>
      </c>
      <c r="M1035" s="1403"/>
      <c r="N1035" s="1410">
        <f t="shared" si="367"/>
        <v>20148700</v>
      </c>
      <c r="O1035" s="1245"/>
      <c r="P1035" s="1245"/>
      <c r="Q1035" s="677"/>
      <c r="R1035" s="677"/>
      <c r="S1035" s="1381"/>
      <c r="T1035" s="1381"/>
      <c r="U1035" s="675"/>
      <c r="V1035" s="1386"/>
      <c r="W1035" s="1380"/>
      <c r="X1035" s="679"/>
      <c r="Y1035" s="1381"/>
      <c r="Z1035" s="1384"/>
      <c r="AA1035" s="1389"/>
      <c r="AB1035" s="1385"/>
      <c r="AC1035" s="1378"/>
      <c r="AD1035" s="1387"/>
      <c r="AE1035" s="1387"/>
      <c r="AF1035" s="1378"/>
      <c r="AG1035" s="1378"/>
      <c r="AH1035" s="1388"/>
      <c r="AI1035" s="1378"/>
      <c r="AJ1035" s="1388"/>
      <c r="AK1035" s="1379"/>
    </row>
    <row r="1036" spans="1:37" s="114" customFormat="1" ht="12" customHeight="1">
      <c r="A1036" s="53"/>
      <c r="B1036" s="1390" t="s">
        <v>241</v>
      </c>
      <c r="C1036" s="1390">
        <v>21</v>
      </c>
      <c r="D1036" s="1401" t="s">
        <v>95</v>
      </c>
      <c r="E1036" s="1409" t="s">
        <v>354</v>
      </c>
      <c r="F1036" s="1506" t="s">
        <v>3956</v>
      </c>
      <c r="G1036" s="953" t="s">
        <v>4722</v>
      </c>
      <c r="H1036" s="953" t="s">
        <v>4723</v>
      </c>
      <c r="I1036" s="953" t="s">
        <v>4724</v>
      </c>
      <c r="J1036" s="1403"/>
      <c r="K1036" s="1086">
        <v>43907500</v>
      </c>
      <c r="L1036" s="1413">
        <f t="shared" si="366"/>
        <v>4390750</v>
      </c>
      <c r="M1036" s="1403"/>
      <c r="N1036" s="1410">
        <f t="shared" si="367"/>
        <v>48298250</v>
      </c>
      <c r="O1036" s="1245"/>
      <c r="P1036" s="1245"/>
      <c r="Q1036" s="677"/>
      <c r="R1036" s="677"/>
      <c r="S1036" s="1381"/>
      <c r="T1036" s="1381"/>
      <c r="U1036" s="675"/>
      <c r="V1036" s="1386"/>
      <c r="W1036" s="1380"/>
      <c r="X1036" s="679"/>
      <c r="Y1036" s="1381"/>
      <c r="Z1036" s="1384"/>
      <c r="AA1036" s="1389"/>
      <c r="AB1036" s="1385"/>
      <c r="AC1036" s="1378"/>
      <c r="AD1036" s="1387"/>
      <c r="AE1036" s="1387"/>
      <c r="AF1036" s="1378"/>
      <c r="AG1036" s="1378"/>
      <c r="AH1036" s="1388"/>
      <c r="AI1036" s="1378"/>
      <c r="AJ1036" s="1388"/>
      <c r="AK1036" s="1379"/>
    </row>
    <row r="1037" spans="1:37" s="114" customFormat="1" ht="12" customHeight="1">
      <c r="A1037" s="53"/>
      <c r="B1037" s="1390" t="s">
        <v>241</v>
      </c>
      <c r="C1037" s="1390">
        <v>21</v>
      </c>
      <c r="D1037" s="1401" t="s">
        <v>95</v>
      </c>
      <c r="E1037" s="1409" t="s">
        <v>354</v>
      </c>
      <c r="F1037" s="1506" t="s">
        <v>3078</v>
      </c>
      <c r="G1037" s="953" t="s">
        <v>58</v>
      </c>
      <c r="H1037" s="953" t="s">
        <v>4725</v>
      </c>
      <c r="I1037" s="953" t="s">
        <v>4726</v>
      </c>
      <c r="J1037" s="1403"/>
      <c r="K1037" s="1086">
        <v>6000000</v>
      </c>
      <c r="L1037" s="1413">
        <f t="shared" si="366"/>
        <v>600000</v>
      </c>
      <c r="M1037" s="1403"/>
      <c r="N1037" s="1410">
        <f t="shared" si="367"/>
        <v>6600000</v>
      </c>
      <c r="O1037" s="1245"/>
      <c r="P1037" s="1245"/>
      <c r="Q1037" s="677"/>
      <c r="R1037" s="677"/>
      <c r="S1037" s="1381"/>
      <c r="T1037" s="1381"/>
      <c r="U1037" s="675"/>
      <c r="V1037" s="1386"/>
      <c r="W1037" s="1380"/>
      <c r="X1037" s="679"/>
      <c r="Y1037" s="1381"/>
      <c r="Z1037" s="1384"/>
      <c r="AA1037" s="1389"/>
      <c r="AB1037" s="1385"/>
      <c r="AC1037" s="1378"/>
      <c r="AD1037" s="1387"/>
      <c r="AE1037" s="1387"/>
      <c r="AF1037" s="1378"/>
      <c r="AG1037" s="1378"/>
      <c r="AH1037" s="1388"/>
      <c r="AI1037" s="1378"/>
      <c r="AJ1037" s="1388"/>
      <c r="AK1037" s="1379"/>
    </row>
    <row r="1038" spans="1:37" s="114" customFormat="1" ht="12" customHeight="1">
      <c r="A1038" s="53"/>
      <c r="B1038" s="1390" t="s">
        <v>241</v>
      </c>
      <c r="C1038" s="1390">
        <v>21</v>
      </c>
      <c r="D1038" s="1401" t="s">
        <v>95</v>
      </c>
      <c r="E1038" s="1409" t="s">
        <v>354</v>
      </c>
      <c r="F1038" s="1506" t="s">
        <v>3079</v>
      </c>
      <c r="G1038" s="953" t="s">
        <v>58</v>
      </c>
      <c r="H1038" s="953" t="s">
        <v>4727</v>
      </c>
      <c r="I1038" s="953" t="s">
        <v>4728</v>
      </c>
      <c r="J1038" s="1403"/>
      <c r="K1038" s="1086">
        <v>21000000</v>
      </c>
      <c r="L1038" s="1413">
        <f t="shared" si="366"/>
        <v>2100000</v>
      </c>
      <c r="M1038" s="1403"/>
      <c r="N1038" s="1410">
        <f t="shared" si="367"/>
        <v>23100000</v>
      </c>
      <c r="O1038" s="1245"/>
      <c r="P1038" s="1245"/>
      <c r="Q1038" s="677"/>
      <c r="R1038" s="677"/>
      <c r="S1038" s="1381"/>
      <c r="T1038" s="1381"/>
      <c r="U1038" s="675"/>
      <c r="V1038" s="1386"/>
      <c r="W1038" s="1380"/>
      <c r="X1038" s="679"/>
      <c r="Y1038" s="1381"/>
      <c r="Z1038" s="1384"/>
      <c r="AA1038" s="1389"/>
      <c r="AB1038" s="1385"/>
      <c r="AC1038" s="1378"/>
      <c r="AD1038" s="1387"/>
      <c r="AE1038" s="1387"/>
      <c r="AF1038" s="1378"/>
      <c r="AG1038" s="1378"/>
      <c r="AH1038" s="1388"/>
      <c r="AI1038" s="1378"/>
      <c r="AJ1038" s="1388"/>
      <c r="AK1038" s="1379"/>
    </row>
    <row r="1039" spans="1:37" s="114" customFormat="1" ht="12" customHeight="1">
      <c r="A1039" s="53"/>
      <c r="B1039" s="1390" t="s">
        <v>241</v>
      </c>
      <c r="C1039" s="1390">
        <v>21</v>
      </c>
      <c r="D1039" s="1401" t="s">
        <v>95</v>
      </c>
      <c r="E1039" s="1409" t="s">
        <v>354</v>
      </c>
      <c r="F1039" s="1506" t="s">
        <v>3080</v>
      </c>
      <c r="G1039" s="953" t="s">
        <v>59</v>
      </c>
      <c r="H1039" s="953" t="s">
        <v>4729</v>
      </c>
      <c r="I1039" s="953" t="s">
        <v>4730</v>
      </c>
      <c r="J1039" s="1403"/>
      <c r="K1039" s="1086">
        <v>6000000</v>
      </c>
      <c r="L1039" s="1413">
        <f t="shared" si="366"/>
        <v>600000</v>
      </c>
      <c r="M1039" s="1403"/>
      <c r="N1039" s="1410">
        <f t="shared" si="367"/>
        <v>6600000</v>
      </c>
      <c r="O1039" s="1245"/>
      <c r="P1039" s="1245"/>
      <c r="Q1039" s="677"/>
      <c r="R1039" s="677"/>
      <c r="S1039" s="1381"/>
      <c r="T1039" s="1381"/>
      <c r="U1039" s="675"/>
      <c r="V1039" s="1386"/>
      <c r="W1039" s="1380"/>
      <c r="X1039" s="679"/>
      <c r="Y1039" s="1381"/>
      <c r="Z1039" s="1384"/>
      <c r="AA1039" s="1389"/>
      <c r="AB1039" s="1385"/>
      <c r="AC1039" s="1378"/>
      <c r="AD1039" s="1387"/>
      <c r="AE1039" s="1387"/>
      <c r="AF1039" s="1378"/>
      <c r="AG1039" s="1378"/>
      <c r="AH1039" s="1388"/>
      <c r="AI1039" s="1378"/>
      <c r="AJ1039" s="1388"/>
      <c r="AK1039" s="1379"/>
    </row>
    <row r="1040" spans="1:37" s="114" customFormat="1" ht="12" customHeight="1">
      <c r="A1040" s="53"/>
      <c r="B1040" s="1390" t="s">
        <v>241</v>
      </c>
      <c r="C1040" s="1390">
        <v>21</v>
      </c>
      <c r="D1040" s="1401" t="s">
        <v>95</v>
      </c>
      <c r="E1040" s="1409" t="s">
        <v>354</v>
      </c>
      <c r="F1040" s="1506" t="s">
        <v>3966</v>
      </c>
      <c r="G1040" s="953" t="s">
        <v>4731</v>
      </c>
      <c r="H1040" s="953" t="s">
        <v>4732</v>
      </c>
      <c r="I1040" s="953" t="s">
        <v>4733</v>
      </c>
      <c r="J1040" s="1403"/>
      <c r="K1040" s="1086">
        <v>9000000</v>
      </c>
      <c r="L1040" s="1413">
        <f t="shared" si="366"/>
        <v>900000</v>
      </c>
      <c r="M1040" s="1403"/>
      <c r="N1040" s="1410">
        <f t="shared" si="367"/>
        <v>9900000</v>
      </c>
      <c r="O1040" s="1245"/>
      <c r="P1040" s="1245"/>
      <c r="Q1040" s="677"/>
      <c r="R1040" s="677"/>
      <c r="S1040" s="1381"/>
      <c r="T1040" s="1381"/>
      <c r="U1040" s="675"/>
      <c r="V1040" s="1386"/>
      <c r="W1040" s="1380"/>
      <c r="X1040" s="679"/>
      <c r="Y1040" s="1381"/>
      <c r="Z1040" s="1384"/>
      <c r="AA1040" s="1389"/>
      <c r="AB1040" s="1385"/>
      <c r="AC1040" s="1378"/>
      <c r="AD1040" s="1387"/>
      <c r="AE1040" s="1387"/>
      <c r="AF1040" s="1378"/>
      <c r="AG1040" s="1378"/>
      <c r="AH1040" s="1388"/>
      <c r="AI1040" s="1378"/>
      <c r="AJ1040" s="1388"/>
      <c r="AK1040" s="1379"/>
    </row>
    <row r="1041" spans="1:37" s="114" customFormat="1" ht="12" customHeight="1">
      <c r="A1041" s="1415"/>
      <c r="B1041" s="1415" t="s">
        <v>194</v>
      </c>
      <c r="C1041" s="1415">
        <v>26</v>
      </c>
      <c r="D1041" s="1417" t="s">
        <v>96</v>
      </c>
      <c r="E1041" s="1239" t="s">
        <v>354</v>
      </c>
      <c r="F1041" s="1520" t="s">
        <v>3931</v>
      </c>
      <c r="G1041" s="1239">
        <v>43042</v>
      </c>
      <c r="H1041" s="1239" t="s">
        <v>3932</v>
      </c>
      <c r="I1041" s="1239" t="s">
        <v>3933</v>
      </c>
      <c r="J1041" s="1421"/>
      <c r="K1041" s="1240">
        <v>3500000</v>
      </c>
      <c r="L1041" s="1419">
        <f t="shared" si="366"/>
        <v>350000</v>
      </c>
      <c r="M1041" s="1421"/>
      <c r="N1041" s="1420">
        <f t="shared" si="367"/>
        <v>3850000</v>
      </c>
      <c r="O1041" s="1245" t="s">
        <v>239</v>
      </c>
      <c r="P1041" s="1245" t="s">
        <v>87</v>
      </c>
      <c r="Q1041" s="677"/>
      <c r="R1041" s="677"/>
      <c r="S1041" s="1413">
        <v>0</v>
      </c>
      <c r="T1041" s="1413">
        <f t="shared" ref="T1041:T1050" si="391">-K1041*2%</f>
        <v>-70000</v>
      </c>
      <c r="U1041" s="194">
        <v>3780000</v>
      </c>
      <c r="V1041" s="1386"/>
      <c r="W1041" s="1380"/>
      <c r="X1041" s="679"/>
      <c r="Y1041" s="1381"/>
      <c r="Z1041" s="1384"/>
      <c r="AA1041" s="1389"/>
      <c r="AB1041" s="1385"/>
      <c r="AC1041" s="1378"/>
      <c r="AD1041" s="1387"/>
      <c r="AE1041" s="1065"/>
      <c r="AF1041" s="1378"/>
      <c r="AG1041" s="1378"/>
      <c r="AH1041" s="1388"/>
      <c r="AI1041" s="1378"/>
      <c r="AJ1041" s="1388"/>
      <c r="AK1041" s="1379"/>
    </row>
    <row r="1042" spans="1:37" s="1439" customFormat="1" ht="12" customHeight="1">
      <c r="A1042" s="1415"/>
      <c r="B1042" s="1390" t="s">
        <v>194</v>
      </c>
      <c r="C1042" s="1390">
        <v>26</v>
      </c>
      <c r="D1042" s="1401" t="s">
        <v>96</v>
      </c>
      <c r="E1042" s="1409" t="s">
        <v>354</v>
      </c>
      <c r="F1042" s="1506" t="s">
        <v>3717</v>
      </c>
      <c r="G1042" s="953" t="s">
        <v>1617</v>
      </c>
      <c r="H1042" s="953" t="s">
        <v>3934</v>
      </c>
      <c r="I1042" s="953" t="s">
        <v>3935</v>
      </c>
      <c r="J1042" s="1403"/>
      <c r="K1042" s="1244">
        <v>29000000</v>
      </c>
      <c r="L1042" s="1413">
        <f t="shared" si="366"/>
        <v>2900000</v>
      </c>
      <c r="M1042" s="1403"/>
      <c r="N1042" s="1410">
        <f t="shared" si="367"/>
        <v>31900000</v>
      </c>
      <c r="O1042" s="1313"/>
      <c r="P1042" s="1313"/>
      <c r="Q1042" s="1311"/>
      <c r="R1042" s="1311"/>
      <c r="S1042" s="1419">
        <v>0</v>
      </c>
      <c r="T1042" s="1419">
        <f t="shared" si="391"/>
        <v>-580000</v>
      </c>
      <c r="U1042" s="1429">
        <v>31320000</v>
      </c>
      <c r="V1042" s="1430"/>
      <c r="W1042" s="1431"/>
      <c r="X1042" s="1432"/>
      <c r="Y1042" s="1419"/>
      <c r="Z1042" s="1433"/>
      <c r="AA1042" s="1434"/>
      <c r="AB1042" s="1435"/>
      <c r="AC1042" s="1416"/>
      <c r="AD1042" s="1436"/>
      <c r="AE1042" s="1436"/>
      <c r="AF1042" s="1416"/>
      <c r="AG1042" s="1416"/>
      <c r="AH1042" s="1437"/>
      <c r="AI1042" s="1416"/>
      <c r="AJ1042" s="1437"/>
      <c r="AK1042" s="1438"/>
    </row>
    <row r="1043" spans="1:37" s="114" customFormat="1" ht="12" customHeight="1">
      <c r="A1043" s="1415"/>
      <c r="B1043" s="1415" t="s">
        <v>194</v>
      </c>
      <c r="C1043" s="1415">
        <v>26</v>
      </c>
      <c r="D1043" s="1417" t="s">
        <v>96</v>
      </c>
      <c r="E1043" s="1418" t="s">
        <v>354</v>
      </c>
      <c r="F1043" s="1505" t="s">
        <v>3071</v>
      </c>
      <c r="G1043" s="1239" t="s">
        <v>1617</v>
      </c>
      <c r="H1043" s="1239" t="s">
        <v>3936</v>
      </c>
      <c r="I1043" s="1239" t="s">
        <v>3937</v>
      </c>
      <c r="J1043" s="1421"/>
      <c r="K1043" s="1240">
        <v>21000000</v>
      </c>
      <c r="L1043" s="1419">
        <f t="shared" si="366"/>
        <v>2100000</v>
      </c>
      <c r="M1043" s="1421"/>
      <c r="N1043" s="1420">
        <f t="shared" si="367"/>
        <v>23100000</v>
      </c>
      <c r="O1043" s="1245" t="s">
        <v>239</v>
      </c>
      <c r="P1043" s="1245" t="s">
        <v>87</v>
      </c>
      <c r="Q1043" s="677"/>
      <c r="R1043" s="677"/>
      <c r="S1043" s="1413">
        <v>0</v>
      </c>
      <c r="T1043" s="1413">
        <f t="shared" si="391"/>
        <v>-420000</v>
      </c>
      <c r="U1043" s="194">
        <v>22680000</v>
      </c>
      <c r="V1043" s="1386"/>
      <c r="W1043" s="1380"/>
      <c r="X1043" s="679"/>
      <c r="Y1043" s="1381"/>
      <c r="Z1043" s="1384"/>
      <c r="AA1043" s="1389"/>
      <c r="AB1043" s="1385"/>
      <c r="AC1043" s="1378"/>
      <c r="AD1043" s="1387"/>
      <c r="AE1043" s="1065"/>
      <c r="AF1043" s="1378"/>
      <c r="AG1043" s="1378"/>
      <c r="AH1043" s="1388"/>
      <c r="AI1043" s="1378"/>
      <c r="AJ1043" s="1388"/>
      <c r="AK1043" s="1379"/>
    </row>
    <row r="1044" spans="1:37" s="114" customFormat="1" ht="12" customHeight="1">
      <c r="A1044" s="1415"/>
      <c r="B1044" s="1415" t="s">
        <v>194</v>
      </c>
      <c r="C1044" s="1415">
        <v>26</v>
      </c>
      <c r="D1044" s="1417" t="s">
        <v>96</v>
      </c>
      <c r="E1044" s="1418" t="s">
        <v>354</v>
      </c>
      <c r="F1044" s="1505" t="s">
        <v>3072</v>
      </c>
      <c r="G1044" s="1239" t="s">
        <v>1617</v>
      </c>
      <c r="H1044" s="1239" t="s">
        <v>3938</v>
      </c>
      <c r="I1044" s="1239" t="s">
        <v>3939</v>
      </c>
      <c r="J1044" s="1421"/>
      <c r="K1044" s="1240">
        <v>29000000</v>
      </c>
      <c r="L1044" s="1419">
        <f t="shared" si="366"/>
        <v>2900000</v>
      </c>
      <c r="M1044" s="1421"/>
      <c r="N1044" s="1420">
        <f t="shared" si="367"/>
        <v>31900000</v>
      </c>
      <c r="O1044" s="1245" t="s">
        <v>239</v>
      </c>
      <c r="P1044" s="1245" t="s">
        <v>87</v>
      </c>
      <c r="Q1044" s="677"/>
      <c r="R1044" s="677"/>
      <c r="S1044" s="1413">
        <v>0</v>
      </c>
      <c r="T1044" s="1413">
        <f t="shared" si="391"/>
        <v>-580000</v>
      </c>
      <c r="U1044" s="194">
        <v>31320000</v>
      </c>
      <c r="V1044" s="1386"/>
      <c r="W1044" s="1380"/>
      <c r="X1044" s="679"/>
      <c r="Y1044" s="1381"/>
      <c r="Z1044" s="1384"/>
      <c r="AA1044" s="1389"/>
      <c r="AB1044" s="1385"/>
      <c r="AC1044" s="1378"/>
      <c r="AD1044" s="1387"/>
      <c r="AE1044" s="1065"/>
      <c r="AF1044" s="1378"/>
      <c r="AG1044" s="1378"/>
      <c r="AH1044" s="1388"/>
      <c r="AI1044" s="1378"/>
      <c r="AJ1044" s="1388"/>
      <c r="AK1044" s="1379"/>
    </row>
    <row r="1045" spans="1:37" s="114" customFormat="1" ht="12" customHeight="1">
      <c r="A1045" s="1415"/>
      <c r="B1045" s="1415" t="s">
        <v>194</v>
      </c>
      <c r="C1045" s="1415">
        <v>26</v>
      </c>
      <c r="D1045" s="1417" t="s">
        <v>96</v>
      </c>
      <c r="E1045" s="1239" t="s">
        <v>354</v>
      </c>
      <c r="F1045" s="1520" t="s">
        <v>3940</v>
      </c>
      <c r="G1045" s="1239">
        <v>43114</v>
      </c>
      <c r="H1045" s="1239" t="s">
        <v>3941</v>
      </c>
      <c r="I1045" s="1239" t="s">
        <v>3942</v>
      </c>
      <c r="J1045" s="1421"/>
      <c r="K1045" s="1240">
        <v>3500000</v>
      </c>
      <c r="L1045" s="1419">
        <f t="shared" si="366"/>
        <v>350000</v>
      </c>
      <c r="M1045" s="1421"/>
      <c r="N1045" s="1420">
        <f t="shared" si="367"/>
        <v>3850000</v>
      </c>
      <c r="O1045" s="1245" t="s">
        <v>239</v>
      </c>
      <c r="P1045" s="1245" t="s">
        <v>87</v>
      </c>
      <c r="Q1045" s="677"/>
      <c r="R1045" s="677"/>
      <c r="S1045" s="1413">
        <v>0</v>
      </c>
      <c r="T1045" s="1413">
        <f t="shared" si="391"/>
        <v>-70000</v>
      </c>
      <c r="U1045" s="194">
        <v>3780000</v>
      </c>
      <c r="V1045" s="1386"/>
      <c r="W1045" s="1380"/>
      <c r="X1045" s="679"/>
      <c r="Y1045" s="1381"/>
      <c r="Z1045" s="1384"/>
      <c r="AA1045" s="1389"/>
      <c r="AB1045" s="1385"/>
      <c r="AC1045" s="1378"/>
      <c r="AD1045" s="1387"/>
      <c r="AE1045" s="1065"/>
      <c r="AF1045" s="1378"/>
      <c r="AG1045" s="1378"/>
      <c r="AH1045" s="1388"/>
      <c r="AI1045" s="1378"/>
      <c r="AJ1045" s="1388"/>
      <c r="AK1045" s="1379"/>
    </row>
    <row r="1046" spans="1:37" s="114" customFormat="1" ht="12" customHeight="1">
      <c r="A1046" s="1415"/>
      <c r="B1046" s="1415" t="s">
        <v>194</v>
      </c>
      <c r="C1046" s="1415">
        <v>26</v>
      </c>
      <c r="D1046" s="1417" t="s">
        <v>96</v>
      </c>
      <c r="E1046" s="1239" t="s">
        <v>62</v>
      </c>
      <c r="F1046" s="1520" t="s">
        <v>3943</v>
      </c>
      <c r="G1046" s="1239" t="s">
        <v>3944</v>
      </c>
      <c r="H1046" s="1239" t="s">
        <v>3945</v>
      </c>
      <c r="I1046" s="1457" t="s">
        <v>14</v>
      </c>
      <c r="J1046" s="1421"/>
      <c r="K1046" s="1240">
        <v>610000</v>
      </c>
      <c r="L1046" s="1419">
        <v>0</v>
      </c>
      <c r="M1046" s="1421"/>
      <c r="N1046" s="1420">
        <f t="shared" si="367"/>
        <v>610000</v>
      </c>
      <c r="O1046" s="1245" t="s">
        <v>239</v>
      </c>
      <c r="P1046" s="1245" t="s">
        <v>87</v>
      </c>
      <c r="Q1046" s="677"/>
      <c r="R1046" s="677"/>
      <c r="S1046" s="1413">
        <v>0</v>
      </c>
      <c r="T1046" s="1413">
        <f t="shared" si="391"/>
        <v>-12200</v>
      </c>
      <c r="U1046" s="194">
        <v>610000</v>
      </c>
      <c r="V1046" s="1386"/>
      <c r="W1046" s="1380"/>
      <c r="X1046" s="679"/>
      <c r="Y1046" s="1381"/>
      <c r="Z1046" s="1384"/>
      <c r="AA1046" s="1389"/>
      <c r="AB1046" s="1385"/>
      <c r="AC1046" s="1378"/>
      <c r="AD1046" s="1387"/>
      <c r="AE1046" s="1065"/>
      <c r="AF1046" s="1378"/>
      <c r="AG1046" s="1378"/>
      <c r="AH1046" s="1388"/>
      <c r="AI1046" s="1378"/>
      <c r="AJ1046" s="1388"/>
      <c r="AK1046" s="1379"/>
    </row>
    <row r="1047" spans="1:37" s="114" customFormat="1" ht="12" customHeight="1">
      <c r="A1047" s="1415"/>
      <c r="B1047" s="1415" t="s">
        <v>194</v>
      </c>
      <c r="C1047" s="1415">
        <v>26</v>
      </c>
      <c r="D1047" s="1417" t="s">
        <v>96</v>
      </c>
      <c r="E1047" s="1239" t="s">
        <v>62</v>
      </c>
      <c r="F1047" s="1520" t="s">
        <v>3943</v>
      </c>
      <c r="G1047" s="1239" t="s">
        <v>3946</v>
      </c>
      <c r="H1047" s="1239" t="s">
        <v>3947</v>
      </c>
      <c r="I1047" s="1457" t="s">
        <v>14</v>
      </c>
      <c r="J1047" s="1421"/>
      <c r="K1047" s="1240">
        <v>743000</v>
      </c>
      <c r="L1047" s="1419">
        <v>0</v>
      </c>
      <c r="M1047" s="1421"/>
      <c r="N1047" s="1420">
        <f t="shared" si="367"/>
        <v>743000</v>
      </c>
      <c r="O1047" s="1245" t="s">
        <v>239</v>
      </c>
      <c r="P1047" s="1245" t="s">
        <v>87</v>
      </c>
      <c r="Q1047" s="677"/>
      <c r="R1047" s="677"/>
      <c r="S1047" s="1413">
        <v>0</v>
      </c>
      <c r="T1047" s="1413">
        <f t="shared" si="391"/>
        <v>-14860</v>
      </c>
      <c r="U1047" s="194">
        <v>743000</v>
      </c>
      <c r="V1047" s="1386"/>
      <c r="W1047" s="1380"/>
      <c r="X1047" s="679"/>
      <c r="Y1047" s="1381"/>
      <c r="Z1047" s="1384"/>
      <c r="AA1047" s="1389"/>
      <c r="AB1047" s="1385"/>
      <c r="AC1047" s="1378"/>
      <c r="AD1047" s="1387"/>
      <c r="AE1047" s="1065"/>
      <c r="AF1047" s="1378"/>
      <c r="AG1047" s="1378"/>
      <c r="AH1047" s="1388"/>
      <c r="AI1047" s="1378"/>
      <c r="AJ1047" s="1388"/>
      <c r="AK1047" s="1379"/>
    </row>
    <row r="1048" spans="1:37" s="1439" customFormat="1" ht="12" customHeight="1">
      <c r="A1048" s="1415"/>
      <c r="B1048" s="1415" t="s">
        <v>195</v>
      </c>
      <c r="C1048" s="1415">
        <v>19</v>
      </c>
      <c r="D1048" s="1417" t="s">
        <v>96</v>
      </c>
      <c r="E1048" s="1418" t="s">
        <v>354</v>
      </c>
      <c r="F1048" s="1505" t="s">
        <v>3717</v>
      </c>
      <c r="G1048" s="1239" t="s">
        <v>4</v>
      </c>
      <c r="H1048" s="1239" t="s">
        <v>4093</v>
      </c>
      <c r="I1048" s="1239" t="s">
        <v>4094</v>
      </c>
      <c r="J1048" s="1421"/>
      <c r="K1048" s="1240">
        <v>29000000</v>
      </c>
      <c r="L1048" s="1419">
        <f t="shared" ref="L1048" si="392">K1048*10%</f>
        <v>2900000</v>
      </c>
      <c r="M1048" s="1421"/>
      <c r="N1048" s="1420">
        <f t="shared" ref="N1048" si="393">K1048+L1048</f>
        <v>31900000</v>
      </c>
      <c r="O1048" s="1313" t="s">
        <v>240</v>
      </c>
      <c r="P1048" s="1313" t="s">
        <v>38</v>
      </c>
      <c r="Q1048" s="1311"/>
      <c r="R1048" s="1311"/>
      <c r="S1048" s="1413">
        <v>0</v>
      </c>
      <c r="T1048" s="1419">
        <f t="shared" si="391"/>
        <v>-580000</v>
      </c>
      <c r="U1048" s="1429">
        <v>31320000</v>
      </c>
      <c r="V1048" s="1430"/>
      <c r="W1048" s="1431"/>
      <c r="X1048" s="1432"/>
      <c r="Y1048" s="1419"/>
      <c r="Z1048" s="1433"/>
      <c r="AA1048" s="1434"/>
      <c r="AB1048" s="1435"/>
      <c r="AC1048" s="1416"/>
      <c r="AD1048" s="1436"/>
      <c r="AE1048" s="1436"/>
      <c r="AF1048" s="1416"/>
      <c r="AG1048" s="1416"/>
      <c r="AH1048" s="1437"/>
      <c r="AI1048" s="1416"/>
      <c r="AJ1048" s="1437"/>
      <c r="AK1048" s="1438"/>
    </row>
    <row r="1049" spans="1:37" s="1439" customFormat="1" ht="12" customHeight="1">
      <c r="A1049" s="1415"/>
      <c r="B1049" s="1415" t="s">
        <v>195</v>
      </c>
      <c r="C1049" s="1415">
        <v>19</v>
      </c>
      <c r="D1049" s="1417" t="s">
        <v>96</v>
      </c>
      <c r="E1049" s="1418" t="s">
        <v>354</v>
      </c>
      <c r="F1049" s="1505" t="s">
        <v>3071</v>
      </c>
      <c r="G1049" s="1239" t="s">
        <v>4</v>
      </c>
      <c r="H1049" s="1239" t="s">
        <v>4095</v>
      </c>
      <c r="I1049" s="1239" t="s">
        <v>4096</v>
      </c>
      <c r="J1049" s="1421"/>
      <c r="K1049" s="1240">
        <v>21000000</v>
      </c>
      <c r="L1049" s="1419">
        <f t="shared" ref="L1049" si="394">K1049*10%</f>
        <v>2100000</v>
      </c>
      <c r="M1049" s="1421"/>
      <c r="N1049" s="1420">
        <f t="shared" ref="N1049" si="395">K1049+L1049</f>
        <v>23100000</v>
      </c>
      <c r="O1049" s="1313" t="s">
        <v>240</v>
      </c>
      <c r="P1049" s="1313" t="s">
        <v>38</v>
      </c>
      <c r="Q1049" s="1311"/>
      <c r="R1049" s="1311"/>
      <c r="S1049" s="1413">
        <v>0</v>
      </c>
      <c r="T1049" s="1419">
        <f t="shared" si="391"/>
        <v>-420000</v>
      </c>
      <c r="U1049" s="1429">
        <v>22680000</v>
      </c>
      <c r="V1049" s="1430"/>
      <c r="W1049" s="1431"/>
      <c r="X1049" s="1432"/>
      <c r="Y1049" s="1419"/>
      <c r="Z1049" s="1433"/>
      <c r="AA1049" s="1434"/>
      <c r="AB1049" s="1435"/>
      <c r="AC1049" s="1416"/>
      <c r="AD1049" s="1436"/>
      <c r="AE1049" s="1436"/>
      <c r="AF1049" s="1416"/>
      <c r="AG1049" s="1416"/>
      <c r="AH1049" s="1437"/>
      <c r="AI1049" s="1416"/>
      <c r="AJ1049" s="1437"/>
      <c r="AK1049" s="1438"/>
    </row>
    <row r="1050" spans="1:37" s="1439" customFormat="1" ht="12" customHeight="1">
      <c r="A1050" s="1415"/>
      <c r="B1050" s="1415" t="s">
        <v>195</v>
      </c>
      <c r="C1050" s="1415">
        <v>19</v>
      </c>
      <c r="D1050" s="1417" t="s">
        <v>96</v>
      </c>
      <c r="E1050" s="1418" t="s">
        <v>354</v>
      </c>
      <c r="F1050" s="1505" t="s">
        <v>3072</v>
      </c>
      <c r="G1050" s="1239" t="s">
        <v>4</v>
      </c>
      <c r="H1050" s="1239" t="s">
        <v>4097</v>
      </c>
      <c r="I1050" s="1239" t="s">
        <v>4098</v>
      </c>
      <c r="J1050" s="1421"/>
      <c r="K1050" s="1240">
        <v>29000000</v>
      </c>
      <c r="L1050" s="1419">
        <f t="shared" ref="L1050" si="396">K1050*10%</f>
        <v>2900000</v>
      </c>
      <c r="M1050" s="1421"/>
      <c r="N1050" s="1420">
        <f t="shared" ref="N1050" si="397">K1050+L1050</f>
        <v>31900000</v>
      </c>
      <c r="O1050" s="1313" t="s">
        <v>240</v>
      </c>
      <c r="P1050" s="1313" t="s">
        <v>38</v>
      </c>
      <c r="Q1050" s="1311"/>
      <c r="R1050" s="1311"/>
      <c r="S1050" s="1413">
        <v>0</v>
      </c>
      <c r="T1050" s="1419">
        <f t="shared" si="391"/>
        <v>-580000</v>
      </c>
      <c r="U1050" s="1429">
        <v>31320000</v>
      </c>
      <c r="V1050" s="1430"/>
      <c r="W1050" s="1431"/>
      <c r="X1050" s="1432"/>
      <c r="Y1050" s="1419"/>
      <c r="Z1050" s="1433"/>
      <c r="AA1050" s="1434"/>
      <c r="AB1050" s="1435"/>
      <c r="AC1050" s="1416"/>
      <c r="AD1050" s="1436"/>
      <c r="AE1050" s="1436"/>
      <c r="AF1050" s="1416"/>
      <c r="AG1050" s="1416"/>
      <c r="AH1050" s="1437"/>
      <c r="AI1050" s="1416"/>
      <c r="AJ1050" s="1437"/>
      <c r="AK1050" s="1438"/>
    </row>
    <row r="1051" spans="1:37" s="1439" customFormat="1" ht="12" customHeight="1">
      <c r="A1051" s="1415"/>
      <c r="B1051" s="1415" t="s">
        <v>239</v>
      </c>
      <c r="C1051" s="1415">
        <v>7</v>
      </c>
      <c r="D1051" s="1417" t="s">
        <v>96</v>
      </c>
      <c r="E1051" s="1418" t="s">
        <v>354</v>
      </c>
      <c r="F1051" s="1505" t="s">
        <v>3717</v>
      </c>
      <c r="G1051" s="1239" t="s">
        <v>379</v>
      </c>
      <c r="H1051" s="1239" t="s">
        <v>4259</v>
      </c>
      <c r="I1051" s="1239" t="s">
        <v>4260</v>
      </c>
      <c r="J1051" s="1421"/>
      <c r="K1051" s="1240">
        <v>29000000</v>
      </c>
      <c r="L1051" s="1419">
        <f t="shared" ref="L1051:L1062" si="398">K1051*10%</f>
        <v>2900000</v>
      </c>
      <c r="M1051" s="1421"/>
      <c r="N1051" s="1420">
        <f t="shared" ref="N1051:N1062" si="399">K1051+L1051</f>
        <v>31900000</v>
      </c>
      <c r="O1051" s="1313" t="s">
        <v>58</v>
      </c>
      <c r="P1051" s="1313" t="s">
        <v>94</v>
      </c>
      <c r="Q1051" s="1311"/>
      <c r="R1051" s="1311"/>
      <c r="S1051" s="1413">
        <v>0</v>
      </c>
      <c r="T1051" s="1419">
        <f t="shared" ref="T1051:T1053" si="400">-K1051*2%</f>
        <v>-580000</v>
      </c>
      <c r="U1051" s="1429">
        <v>31320000</v>
      </c>
      <c r="V1051" s="1430"/>
      <c r="W1051" s="1431"/>
      <c r="X1051" s="1432"/>
      <c r="Y1051" s="1419"/>
      <c r="Z1051" s="1433"/>
      <c r="AA1051" s="1434"/>
      <c r="AB1051" s="1435"/>
      <c r="AC1051" s="1416"/>
      <c r="AD1051" s="1436"/>
      <c r="AE1051" s="1436"/>
      <c r="AF1051" s="1416"/>
      <c r="AG1051" s="1416"/>
      <c r="AH1051" s="1437"/>
      <c r="AI1051" s="1416"/>
      <c r="AJ1051" s="1437"/>
      <c r="AK1051" s="1438"/>
    </row>
    <row r="1052" spans="1:37" s="1439" customFormat="1" ht="12" customHeight="1">
      <c r="A1052" s="1415"/>
      <c r="B1052" s="1415" t="s">
        <v>239</v>
      </c>
      <c r="C1052" s="1415">
        <v>7</v>
      </c>
      <c r="D1052" s="1417" t="s">
        <v>96</v>
      </c>
      <c r="E1052" s="1418" t="s">
        <v>354</v>
      </c>
      <c r="F1052" s="1505" t="s">
        <v>3071</v>
      </c>
      <c r="G1052" s="1239" t="s">
        <v>379</v>
      </c>
      <c r="H1052" s="1239" t="s">
        <v>4261</v>
      </c>
      <c r="I1052" s="1239" t="s">
        <v>4262</v>
      </c>
      <c r="J1052" s="1421"/>
      <c r="K1052" s="1240">
        <v>21000000</v>
      </c>
      <c r="L1052" s="1419">
        <f t="shared" si="398"/>
        <v>2100000</v>
      </c>
      <c r="M1052" s="1421"/>
      <c r="N1052" s="1420">
        <f t="shared" si="399"/>
        <v>23100000</v>
      </c>
      <c r="O1052" s="1313" t="s">
        <v>58</v>
      </c>
      <c r="P1052" s="1313" t="s">
        <v>94</v>
      </c>
      <c r="Q1052" s="1311"/>
      <c r="R1052" s="1311"/>
      <c r="S1052" s="1413">
        <v>0</v>
      </c>
      <c r="T1052" s="1419">
        <f t="shared" si="400"/>
        <v>-420000</v>
      </c>
      <c r="U1052" s="1429">
        <v>22680000</v>
      </c>
      <c r="V1052" s="1430"/>
      <c r="W1052" s="1431"/>
      <c r="X1052" s="1432"/>
      <c r="Y1052" s="1419"/>
      <c r="Z1052" s="1433"/>
      <c r="AA1052" s="1434"/>
      <c r="AB1052" s="1435"/>
      <c r="AC1052" s="1416"/>
      <c r="AD1052" s="1436"/>
      <c r="AE1052" s="1436"/>
      <c r="AF1052" s="1416"/>
      <c r="AG1052" s="1416"/>
      <c r="AH1052" s="1437"/>
      <c r="AI1052" s="1416"/>
      <c r="AJ1052" s="1437"/>
      <c r="AK1052" s="1438"/>
    </row>
    <row r="1053" spans="1:37" s="1439" customFormat="1" ht="12" customHeight="1">
      <c r="A1053" s="1415"/>
      <c r="B1053" s="1415" t="s">
        <v>239</v>
      </c>
      <c r="C1053" s="1415">
        <v>7</v>
      </c>
      <c r="D1053" s="1417" t="s">
        <v>96</v>
      </c>
      <c r="E1053" s="1418" t="s">
        <v>354</v>
      </c>
      <c r="F1053" s="1505" t="s">
        <v>3072</v>
      </c>
      <c r="G1053" s="1239" t="s">
        <v>379</v>
      </c>
      <c r="H1053" s="1239" t="s">
        <v>4263</v>
      </c>
      <c r="I1053" s="1239" t="s">
        <v>4264</v>
      </c>
      <c r="J1053" s="1421"/>
      <c r="K1053" s="1240">
        <v>29000000</v>
      </c>
      <c r="L1053" s="1419">
        <f t="shared" si="398"/>
        <v>2900000</v>
      </c>
      <c r="M1053" s="1421"/>
      <c r="N1053" s="1420">
        <f t="shared" si="399"/>
        <v>31900000</v>
      </c>
      <c r="O1053" s="1313" t="s">
        <v>58</v>
      </c>
      <c r="P1053" s="1313" t="s">
        <v>94</v>
      </c>
      <c r="Q1053" s="1311"/>
      <c r="R1053" s="1311"/>
      <c r="S1053" s="1413">
        <v>0</v>
      </c>
      <c r="T1053" s="1419">
        <f t="shared" si="400"/>
        <v>-580000</v>
      </c>
      <c r="U1053" s="1429">
        <v>31320000</v>
      </c>
      <c r="V1053" s="1430"/>
      <c r="W1053" s="1431"/>
      <c r="X1053" s="1432"/>
      <c r="Y1053" s="1419"/>
      <c r="Z1053" s="1433"/>
      <c r="AA1053" s="1434"/>
      <c r="AB1053" s="1435"/>
      <c r="AC1053" s="1416"/>
      <c r="AD1053" s="1436"/>
      <c r="AE1053" s="1436"/>
      <c r="AF1053" s="1416"/>
      <c r="AG1053" s="1416"/>
      <c r="AH1053" s="1437"/>
      <c r="AI1053" s="1416"/>
      <c r="AJ1053" s="1437"/>
      <c r="AK1053" s="1438"/>
    </row>
    <row r="1054" spans="1:37" s="1439" customFormat="1" ht="12" customHeight="1">
      <c r="A1054" s="1415"/>
      <c r="B1054" s="1415" t="s">
        <v>240</v>
      </c>
      <c r="C1054" s="1415">
        <v>5</v>
      </c>
      <c r="D1054" s="1417" t="s">
        <v>96</v>
      </c>
      <c r="E1054" s="1418" t="s">
        <v>354</v>
      </c>
      <c r="F1054" s="1505" t="s">
        <v>3717</v>
      </c>
      <c r="G1054" s="1239" t="s">
        <v>5</v>
      </c>
      <c r="H1054" s="1239" t="s">
        <v>4397</v>
      </c>
      <c r="I1054" s="1239" t="s">
        <v>4400</v>
      </c>
      <c r="J1054" s="1421"/>
      <c r="K1054" s="1240">
        <v>29000000</v>
      </c>
      <c r="L1054" s="1419">
        <f t="shared" si="398"/>
        <v>2900000</v>
      </c>
      <c r="M1054" s="1421"/>
      <c r="N1054" s="1420">
        <f t="shared" si="399"/>
        <v>31900000</v>
      </c>
      <c r="O1054" s="1313" t="s">
        <v>59</v>
      </c>
      <c r="P1054" s="1313" t="s">
        <v>97</v>
      </c>
      <c r="Q1054" s="1311"/>
      <c r="R1054" s="1311"/>
      <c r="S1054" s="1413">
        <v>0</v>
      </c>
      <c r="T1054" s="1419">
        <f t="shared" ref="T1054:T1056" si="401">-K1054*2%</f>
        <v>-580000</v>
      </c>
      <c r="U1054" s="1429">
        <v>31320000</v>
      </c>
      <c r="V1054" s="1430"/>
      <c r="W1054" s="1431"/>
      <c r="X1054" s="1432"/>
      <c r="Y1054" s="1419"/>
      <c r="Z1054" s="1433"/>
      <c r="AA1054" s="1434"/>
      <c r="AB1054" s="1435"/>
      <c r="AC1054" s="1416"/>
      <c r="AD1054" s="1436"/>
      <c r="AE1054" s="1436"/>
      <c r="AF1054" s="1416"/>
      <c r="AG1054" s="1416"/>
      <c r="AH1054" s="1437"/>
      <c r="AI1054" s="1416"/>
      <c r="AJ1054" s="1437"/>
      <c r="AK1054" s="1438"/>
    </row>
    <row r="1055" spans="1:37" s="1439" customFormat="1" ht="12" customHeight="1">
      <c r="A1055" s="1415"/>
      <c r="B1055" s="1415" t="s">
        <v>240</v>
      </c>
      <c r="C1055" s="1415">
        <v>5</v>
      </c>
      <c r="D1055" s="1417" t="s">
        <v>96</v>
      </c>
      <c r="E1055" s="1418" t="s">
        <v>354</v>
      </c>
      <c r="F1055" s="1505" t="s">
        <v>3071</v>
      </c>
      <c r="G1055" s="1239" t="s">
        <v>5</v>
      </c>
      <c r="H1055" s="1239" t="s">
        <v>4398</v>
      </c>
      <c r="I1055" s="1239" t="s">
        <v>4401</v>
      </c>
      <c r="J1055" s="1421"/>
      <c r="K1055" s="1240">
        <v>21000000</v>
      </c>
      <c r="L1055" s="1419">
        <f t="shared" si="398"/>
        <v>2100000</v>
      </c>
      <c r="M1055" s="1421"/>
      <c r="N1055" s="1420">
        <f t="shared" si="399"/>
        <v>23100000</v>
      </c>
      <c r="O1055" s="1313" t="s">
        <v>59</v>
      </c>
      <c r="P1055" s="1313" t="s">
        <v>97</v>
      </c>
      <c r="Q1055" s="1311"/>
      <c r="R1055" s="1311"/>
      <c r="S1055" s="1413">
        <v>0</v>
      </c>
      <c r="T1055" s="1419">
        <f t="shared" si="401"/>
        <v>-420000</v>
      </c>
      <c r="U1055" s="1429">
        <v>22680000</v>
      </c>
      <c r="V1055" s="1430"/>
      <c r="W1055" s="1431"/>
      <c r="X1055" s="1432"/>
      <c r="Y1055" s="1419"/>
      <c r="Z1055" s="1433"/>
      <c r="AA1055" s="1434"/>
      <c r="AB1055" s="1435"/>
      <c r="AC1055" s="1416"/>
      <c r="AD1055" s="1436"/>
      <c r="AE1055" s="1436"/>
      <c r="AF1055" s="1416"/>
      <c r="AG1055" s="1416"/>
      <c r="AH1055" s="1437"/>
      <c r="AI1055" s="1416"/>
      <c r="AJ1055" s="1437"/>
      <c r="AK1055" s="1438"/>
    </row>
    <row r="1056" spans="1:37" s="1439" customFormat="1" ht="12" customHeight="1">
      <c r="A1056" s="1415"/>
      <c r="B1056" s="1415" t="s">
        <v>240</v>
      </c>
      <c r="C1056" s="1415">
        <v>5</v>
      </c>
      <c r="D1056" s="1417" t="s">
        <v>96</v>
      </c>
      <c r="E1056" s="1418" t="s">
        <v>354</v>
      </c>
      <c r="F1056" s="1505" t="s">
        <v>3072</v>
      </c>
      <c r="G1056" s="1239" t="s">
        <v>5</v>
      </c>
      <c r="H1056" s="1239" t="s">
        <v>4399</v>
      </c>
      <c r="I1056" s="1239" t="s">
        <v>4402</v>
      </c>
      <c r="J1056" s="1421"/>
      <c r="K1056" s="1240">
        <v>29000000</v>
      </c>
      <c r="L1056" s="1419">
        <f t="shared" si="398"/>
        <v>2900000</v>
      </c>
      <c r="M1056" s="1421"/>
      <c r="N1056" s="1420">
        <f t="shared" si="399"/>
        <v>31900000</v>
      </c>
      <c r="O1056" s="1313" t="s">
        <v>59</v>
      </c>
      <c r="P1056" s="1313" t="s">
        <v>97</v>
      </c>
      <c r="Q1056" s="1311"/>
      <c r="R1056" s="1311"/>
      <c r="S1056" s="1413">
        <v>0</v>
      </c>
      <c r="T1056" s="1419">
        <f t="shared" si="401"/>
        <v>-580000</v>
      </c>
      <c r="U1056" s="1429">
        <v>31320000</v>
      </c>
      <c r="V1056" s="1430"/>
      <c r="W1056" s="1431"/>
      <c r="X1056" s="1432"/>
      <c r="Y1056" s="1419"/>
      <c r="Z1056" s="1433"/>
      <c r="AA1056" s="1434"/>
      <c r="AB1056" s="1435"/>
      <c r="AC1056" s="1416"/>
      <c r="AD1056" s="1436"/>
      <c r="AE1056" s="1436"/>
      <c r="AF1056" s="1416"/>
      <c r="AG1056" s="1416"/>
      <c r="AH1056" s="1437"/>
      <c r="AI1056" s="1416"/>
      <c r="AJ1056" s="1437"/>
      <c r="AK1056" s="1438"/>
    </row>
    <row r="1057" spans="1:37" s="1439" customFormat="1" ht="12" customHeight="1">
      <c r="A1057" s="1415"/>
      <c r="B1057" s="1390" t="s">
        <v>58</v>
      </c>
      <c r="C1057" s="1390">
        <v>3</v>
      </c>
      <c r="D1057" s="1401" t="s">
        <v>96</v>
      </c>
      <c r="E1057" s="1409" t="s">
        <v>354</v>
      </c>
      <c r="F1057" s="1506" t="s">
        <v>3717</v>
      </c>
      <c r="G1057" s="953" t="s">
        <v>57</v>
      </c>
      <c r="H1057" s="953" t="s">
        <v>4583</v>
      </c>
      <c r="I1057" s="953" t="s">
        <v>4584</v>
      </c>
      <c r="J1057" s="1403"/>
      <c r="K1057" s="1244">
        <v>29000000</v>
      </c>
      <c r="L1057" s="1413">
        <f t="shared" si="398"/>
        <v>2900000</v>
      </c>
      <c r="M1057" s="1403"/>
      <c r="N1057" s="1410">
        <f t="shared" si="399"/>
        <v>31900000</v>
      </c>
      <c r="O1057" s="1313"/>
      <c r="P1057" s="1313"/>
      <c r="Q1057" s="1311"/>
      <c r="R1057" s="1311"/>
      <c r="S1057" s="1419"/>
      <c r="T1057" s="1419"/>
      <c r="U1057" s="1429"/>
      <c r="V1057" s="1430"/>
      <c r="W1057" s="1431"/>
      <c r="X1057" s="1432"/>
      <c r="Y1057" s="1419"/>
      <c r="Z1057" s="1433"/>
      <c r="AA1057" s="1434"/>
      <c r="AB1057" s="1435"/>
      <c r="AC1057" s="1416"/>
      <c r="AD1057" s="1436"/>
      <c r="AE1057" s="1436"/>
      <c r="AF1057" s="1416"/>
      <c r="AG1057" s="1416"/>
      <c r="AH1057" s="1437"/>
      <c r="AI1057" s="1416"/>
      <c r="AJ1057" s="1437"/>
      <c r="AK1057" s="1438"/>
    </row>
    <row r="1058" spans="1:37" s="1439" customFormat="1" ht="12" customHeight="1">
      <c r="A1058" s="1415"/>
      <c r="B1058" s="1390" t="s">
        <v>58</v>
      </c>
      <c r="C1058" s="1390">
        <v>3</v>
      </c>
      <c r="D1058" s="1401" t="s">
        <v>96</v>
      </c>
      <c r="E1058" s="1409" t="s">
        <v>354</v>
      </c>
      <c r="F1058" s="1506" t="s">
        <v>3071</v>
      </c>
      <c r="G1058" s="953" t="s">
        <v>57</v>
      </c>
      <c r="H1058" s="953" t="s">
        <v>4585</v>
      </c>
      <c r="I1058" s="953" t="s">
        <v>4586</v>
      </c>
      <c r="J1058" s="1403"/>
      <c r="K1058" s="1244">
        <v>21000000</v>
      </c>
      <c r="L1058" s="1413">
        <f t="shared" si="398"/>
        <v>2100000</v>
      </c>
      <c r="M1058" s="1403"/>
      <c r="N1058" s="1410">
        <f t="shared" si="399"/>
        <v>23100000</v>
      </c>
      <c r="O1058" s="1313"/>
      <c r="P1058" s="1313"/>
      <c r="Q1058" s="1311"/>
      <c r="R1058" s="1311"/>
      <c r="S1058" s="1419"/>
      <c r="T1058" s="1419"/>
      <c r="U1058" s="1429"/>
      <c r="V1058" s="1430"/>
      <c r="W1058" s="1431"/>
      <c r="X1058" s="1432"/>
      <c r="Y1058" s="1419"/>
      <c r="Z1058" s="1433"/>
      <c r="AA1058" s="1434"/>
      <c r="AB1058" s="1435"/>
      <c r="AC1058" s="1416"/>
      <c r="AD1058" s="1436"/>
      <c r="AE1058" s="1436"/>
      <c r="AF1058" s="1416"/>
      <c r="AG1058" s="1416"/>
      <c r="AH1058" s="1437"/>
      <c r="AI1058" s="1416"/>
      <c r="AJ1058" s="1437"/>
      <c r="AK1058" s="1438"/>
    </row>
    <row r="1059" spans="1:37" s="1439" customFormat="1" ht="12" customHeight="1">
      <c r="A1059" s="1415"/>
      <c r="B1059" s="1390" t="s">
        <v>58</v>
      </c>
      <c r="C1059" s="1390">
        <v>3</v>
      </c>
      <c r="D1059" s="1401" t="s">
        <v>96</v>
      </c>
      <c r="E1059" s="1409" t="s">
        <v>354</v>
      </c>
      <c r="F1059" s="1506" t="s">
        <v>3072</v>
      </c>
      <c r="G1059" s="953" t="s">
        <v>57</v>
      </c>
      <c r="H1059" s="953" t="s">
        <v>4587</v>
      </c>
      <c r="I1059" s="953" t="s">
        <v>4588</v>
      </c>
      <c r="J1059" s="1403"/>
      <c r="K1059" s="1244">
        <v>29000000</v>
      </c>
      <c r="L1059" s="1413">
        <f t="shared" si="398"/>
        <v>2900000</v>
      </c>
      <c r="M1059" s="1403"/>
      <c r="N1059" s="1410">
        <f t="shared" si="399"/>
        <v>31900000</v>
      </c>
      <c r="O1059" s="1313"/>
      <c r="P1059" s="1313"/>
      <c r="Q1059" s="1311"/>
      <c r="R1059" s="1311"/>
      <c r="S1059" s="1419"/>
      <c r="T1059" s="1419"/>
      <c r="U1059" s="1429"/>
      <c r="V1059" s="1430"/>
      <c r="W1059" s="1431"/>
      <c r="X1059" s="1432"/>
      <c r="Y1059" s="1419"/>
      <c r="Z1059" s="1433"/>
      <c r="AA1059" s="1434"/>
      <c r="AB1059" s="1435"/>
      <c r="AC1059" s="1416"/>
      <c r="AD1059" s="1436"/>
      <c r="AE1059" s="1436"/>
      <c r="AF1059" s="1416"/>
      <c r="AG1059" s="1416"/>
      <c r="AH1059" s="1437"/>
      <c r="AI1059" s="1416"/>
      <c r="AJ1059" s="1437"/>
      <c r="AK1059" s="1438"/>
    </row>
    <row r="1060" spans="1:37" s="114" customFormat="1" ht="12" customHeight="1">
      <c r="A1060" s="53"/>
      <c r="B1060" s="1390" t="s">
        <v>241</v>
      </c>
      <c r="C1060" s="1390">
        <v>21</v>
      </c>
      <c r="D1060" s="1401" t="s">
        <v>96</v>
      </c>
      <c r="E1060" s="1409" t="s">
        <v>354</v>
      </c>
      <c r="F1060" s="1506" t="s">
        <v>3717</v>
      </c>
      <c r="G1060" s="953" t="s">
        <v>58</v>
      </c>
      <c r="H1060" s="953" t="s">
        <v>4708</v>
      </c>
      <c r="I1060" s="953" t="s">
        <v>4709</v>
      </c>
      <c r="J1060" s="1403"/>
      <c r="K1060" s="1244">
        <v>29000000</v>
      </c>
      <c r="L1060" s="1413">
        <f t="shared" si="398"/>
        <v>2900000</v>
      </c>
      <c r="M1060" s="1403"/>
      <c r="N1060" s="1410">
        <f t="shared" si="399"/>
        <v>31900000</v>
      </c>
      <c r="O1060" s="1245"/>
      <c r="P1060" s="1245"/>
      <c r="Q1060" s="677"/>
      <c r="R1060" s="677"/>
      <c r="S1060" s="1381"/>
      <c r="T1060" s="1381"/>
      <c r="U1060" s="194"/>
      <c r="V1060" s="1386"/>
      <c r="W1060" s="1380"/>
      <c r="X1060" s="679"/>
      <c r="Y1060" s="1381"/>
      <c r="Z1060" s="1384"/>
      <c r="AA1060" s="1389"/>
      <c r="AB1060" s="1385"/>
      <c r="AC1060" s="1378"/>
      <c r="AD1060" s="1387"/>
      <c r="AE1060" s="1065"/>
      <c r="AF1060" s="1378"/>
      <c r="AG1060" s="1378"/>
      <c r="AH1060" s="1388"/>
      <c r="AI1060" s="1378"/>
      <c r="AJ1060" s="1388"/>
      <c r="AK1060" s="1379"/>
    </row>
    <row r="1061" spans="1:37" s="114" customFormat="1" ht="12" customHeight="1">
      <c r="A1061" s="53"/>
      <c r="B1061" s="1390" t="s">
        <v>241</v>
      </c>
      <c r="C1061" s="1390">
        <v>21</v>
      </c>
      <c r="D1061" s="1401" t="s">
        <v>96</v>
      </c>
      <c r="E1061" s="1409" t="s">
        <v>354</v>
      </c>
      <c r="F1061" s="1506" t="s">
        <v>3071</v>
      </c>
      <c r="G1061" s="953" t="s">
        <v>58</v>
      </c>
      <c r="H1061" s="953" t="s">
        <v>4710</v>
      </c>
      <c r="I1061" s="953" t="s">
        <v>4711</v>
      </c>
      <c r="J1061" s="1403"/>
      <c r="K1061" s="1244">
        <v>21000000</v>
      </c>
      <c r="L1061" s="1413">
        <f t="shared" si="398"/>
        <v>2100000</v>
      </c>
      <c r="M1061" s="1403"/>
      <c r="N1061" s="1410">
        <f t="shared" si="399"/>
        <v>23100000</v>
      </c>
      <c r="O1061" s="1245"/>
      <c r="P1061" s="1245"/>
      <c r="Q1061" s="677"/>
      <c r="R1061" s="677"/>
      <c r="S1061" s="1381"/>
      <c r="T1061" s="1381"/>
      <c r="U1061" s="194"/>
      <c r="V1061" s="1386"/>
      <c r="W1061" s="1380"/>
      <c r="X1061" s="679"/>
      <c r="Y1061" s="1381"/>
      <c r="Z1061" s="1384"/>
      <c r="AA1061" s="1389"/>
      <c r="AB1061" s="1385"/>
      <c r="AC1061" s="1378"/>
      <c r="AD1061" s="1387"/>
      <c r="AE1061" s="1065"/>
      <c r="AF1061" s="1378"/>
      <c r="AG1061" s="1378"/>
      <c r="AH1061" s="1388"/>
      <c r="AI1061" s="1378"/>
      <c r="AJ1061" s="1388"/>
      <c r="AK1061" s="1379"/>
    </row>
    <row r="1062" spans="1:37" s="114" customFormat="1" ht="12" customHeight="1">
      <c r="A1062" s="53"/>
      <c r="B1062" s="1390" t="s">
        <v>241</v>
      </c>
      <c r="C1062" s="1390">
        <v>21</v>
      </c>
      <c r="D1062" s="1401" t="s">
        <v>96</v>
      </c>
      <c r="E1062" s="1409" t="s">
        <v>354</v>
      </c>
      <c r="F1062" s="1506" t="s">
        <v>3072</v>
      </c>
      <c r="G1062" s="953" t="s">
        <v>58</v>
      </c>
      <c r="H1062" s="953" t="s">
        <v>4712</v>
      </c>
      <c r="I1062" s="953" t="s">
        <v>4713</v>
      </c>
      <c r="J1062" s="1403"/>
      <c r="K1062" s="1244">
        <v>29000000</v>
      </c>
      <c r="L1062" s="1413">
        <f t="shared" si="398"/>
        <v>2900000</v>
      </c>
      <c r="M1062" s="1403"/>
      <c r="N1062" s="1410">
        <f t="shared" si="399"/>
        <v>31900000</v>
      </c>
      <c r="O1062" s="1245"/>
      <c r="P1062" s="1245"/>
      <c r="Q1062" s="677"/>
      <c r="R1062" s="677"/>
      <c r="S1062" s="1381"/>
      <c r="T1062" s="1381"/>
      <c r="U1062" s="194"/>
      <c r="V1062" s="1386"/>
      <c r="W1062" s="1380"/>
      <c r="X1062" s="679"/>
      <c r="Y1062" s="1381"/>
      <c r="Z1062" s="1384"/>
      <c r="AA1062" s="1389"/>
      <c r="AB1062" s="1385"/>
      <c r="AC1062" s="1378"/>
      <c r="AD1062" s="1387"/>
      <c r="AE1062" s="1065"/>
      <c r="AF1062" s="1378"/>
      <c r="AG1062" s="1378"/>
      <c r="AH1062" s="1388"/>
      <c r="AI1062" s="1378"/>
      <c r="AJ1062" s="1388"/>
      <c r="AK1062" s="1379"/>
    </row>
    <row r="1063" spans="1:37" s="1211" customFormat="1" ht="12" customHeight="1">
      <c r="A1063" s="1415"/>
      <c r="B1063" s="1415" t="s">
        <v>140</v>
      </c>
      <c r="C1063" s="1416">
        <v>4</v>
      </c>
      <c r="D1063" s="1417" t="s">
        <v>206</v>
      </c>
      <c r="E1063" s="1418" t="s">
        <v>354</v>
      </c>
      <c r="F1063" s="1520" t="s">
        <v>3876</v>
      </c>
      <c r="G1063" s="1418" t="s">
        <v>1616</v>
      </c>
      <c r="H1063" s="1418" t="s">
        <v>3624</v>
      </c>
      <c r="I1063" s="1418" t="s">
        <v>3625</v>
      </c>
      <c r="J1063" s="1421"/>
      <c r="K1063" s="1419">
        <v>22000000</v>
      </c>
      <c r="L1063" s="1419">
        <f t="shared" si="366"/>
        <v>2200000</v>
      </c>
      <c r="M1063" s="1421"/>
      <c r="N1063" s="1420">
        <f t="shared" si="367"/>
        <v>24200000</v>
      </c>
      <c r="O1063" s="1414" t="s">
        <v>195</v>
      </c>
      <c r="P1063" s="1414" t="s">
        <v>19</v>
      </c>
      <c r="Q1063" s="1308"/>
      <c r="R1063" s="1214"/>
      <c r="S1063" s="1413">
        <v>0</v>
      </c>
      <c r="T1063" s="1413">
        <f t="shared" ref="T1063:T1066" si="402">-K1063*2%</f>
        <v>-440000</v>
      </c>
      <c r="U1063" s="116">
        <v>23760000</v>
      </c>
      <c r="V1063" s="1215"/>
      <c r="W1063" s="1203"/>
      <c r="X1063" s="1411" t="s">
        <v>237</v>
      </c>
      <c r="Y1063" s="762"/>
      <c r="Z1063" s="1205"/>
      <c r="AA1063" s="1206"/>
      <c r="AB1063" s="1207"/>
      <c r="AC1063" s="759"/>
      <c r="AD1063" s="1208"/>
      <c r="AE1063" s="1208"/>
      <c r="AF1063" s="759"/>
      <c r="AG1063" s="759"/>
      <c r="AH1063" s="1209"/>
      <c r="AI1063" s="759"/>
      <c r="AJ1063" s="1209"/>
      <c r="AK1063" s="1210"/>
    </row>
    <row r="1064" spans="1:37" s="1211" customFormat="1" ht="12" customHeight="1">
      <c r="A1064" s="1415"/>
      <c r="B1064" s="1415" t="s">
        <v>140</v>
      </c>
      <c r="C1064" s="1416">
        <v>4</v>
      </c>
      <c r="D1064" s="1417" t="s">
        <v>206</v>
      </c>
      <c r="E1064" s="1418" t="s">
        <v>354</v>
      </c>
      <c r="F1064" s="1520" t="s">
        <v>3879</v>
      </c>
      <c r="G1064" s="1418" t="s">
        <v>1616</v>
      </c>
      <c r="H1064" s="1418" t="s">
        <v>3626</v>
      </c>
      <c r="I1064" s="1418" t="s">
        <v>3627</v>
      </c>
      <c r="J1064" s="1421"/>
      <c r="K1064" s="1419">
        <v>22000000</v>
      </c>
      <c r="L1064" s="1419">
        <f t="shared" si="366"/>
        <v>2200000</v>
      </c>
      <c r="M1064" s="1421"/>
      <c r="N1064" s="1420">
        <f t="shared" si="367"/>
        <v>24200000</v>
      </c>
      <c r="O1064" s="1414" t="s">
        <v>195</v>
      </c>
      <c r="P1064" s="1414" t="s">
        <v>19</v>
      </c>
      <c r="Q1064" s="1308"/>
      <c r="R1064" s="1214"/>
      <c r="S1064" s="1413">
        <v>0</v>
      </c>
      <c r="T1064" s="1413">
        <f t="shared" si="402"/>
        <v>-440000</v>
      </c>
      <c r="U1064" s="1381">
        <v>23760000</v>
      </c>
      <c r="V1064" s="1215"/>
      <c r="W1064" s="1203"/>
      <c r="X1064" s="1411" t="s">
        <v>237</v>
      </c>
      <c r="Y1064" s="762"/>
      <c r="Z1064" s="1205"/>
      <c r="AA1064" s="1206"/>
      <c r="AB1064" s="1207"/>
      <c r="AC1064" s="759"/>
      <c r="AD1064" s="1208"/>
      <c r="AE1064" s="1208"/>
      <c r="AF1064" s="759"/>
      <c r="AG1064" s="759"/>
      <c r="AH1064" s="1209"/>
      <c r="AI1064" s="759"/>
      <c r="AJ1064" s="1209"/>
      <c r="AK1064" s="1210"/>
    </row>
    <row r="1065" spans="1:37" s="1211" customFormat="1" ht="12" customHeight="1">
      <c r="A1065" s="1415"/>
      <c r="B1065" s="1415" t="s">
        <v>140</v>
      </c>
      <c r="C1065" s="1416">
        <v>4</v>
      </c>
      <c r="D1065" s="1417" t="s">
        <v>206</v>
      </c>
      <c r="E1065" s="1418" t="s">
        <v>354</v>
      </c>
      <c r="F1065" s="1520" t="s">
        <v>3882</v>
      </c>
      <c r="G1065" s="1418" t="s">
        <v>1616</v>
      </c>
      <c r="H1065" s="1418" t="s">
        <v>3628</v>
      </c>
      <c r="I1065" s="1418" t="s">
        <v>3629</v>
      </c>
      <c r="J1065" s="1421"/>
      <c r="K1065" s="1419">
        <v>22000000</v>
      </c>
      <c r="L1065" s="1419">
        <f t="shared" si="366"/>
        <v>2200000</v>
      </c>
      <c r="M1065" s="1421"/>
      <c r="N1065" s="1420">
        <f t="shared" si="367"/>
        <v>24200000</v>
      </c>
      <c r="O1065" s="1414" t="s">
        <v>195</v>
      </c>
      <c r="P1065" s="1414" t="s">
        <v>19</v>
      </c>
      <c r="Q1065" s="1308"/>
      <c r="R1065" s="1214"/>
      <c r="S1065" s="1413">
        <v>0</v>
      </c>
      <c r="T1065" s="1413">
        <f t="shared" si="402"/>
        <v>-440000</v>
      </c>
      <c r="U1065" s="1381">
        <v>23760000</v>
      </c>
      <c r="V1065" s="1215"/>
      <c r="W1065" s="1203"/>
      <c r="X1065" s="1411" t="s">
        <v>237</v>
      </c>
      <c r="Y1065" s="762"/>
      <c r="Z1065" s="1205"/>
      <c r="AA1065" s="1206"/>
      <c r="AB1065" s="1207"/>
      <c r="AC1065" s="759"/>
      <c r="AD1065" s="1208"/>
      <c r="AE1065" s="1208"/>
      <c r="AF1065" s="759"/>
      <c r="AG1065" s="759"/>
      <c r="AH1065" s="1209"/>
      <c r="AI1065" s="759"/>
      <c r="AJ1065" s="1209"/>
      <c r="AK1065" s="1210"/>
    </row>
    <row r="1066" spans="1:37" s="1211" customFormat="1" ht="12" customHeight="1">
      <c r="A1066" s="1415"/>
      <c r="B1066" s="1415" t="s">
        <v>140</v>
      </c>
      <c r="C1066" s="1416">
        <v>4</v>
      </c>
      <c r="D1066" s="1417" t="s">
        <v>206</v>
      </c>
      <c r="E1066" s="1418" t="s">
        <v>354</v>
      </c>
      <c r="F1066" s="1520" t="s">
        <v>3885</v>
      </c>
      <c r="G1066" s="1418" t="s">
        <v>1616</v>
      </c>
      <c r="H1066" s="1418" t="s">
        <v>3630</v>
      </c>
      <c r="I1066" s="1418" t="s">
        <v>3631</v>
      </c>
      <c r="J1066" s="1421"/>
      <c r="K1066" s="1419">
        <v>22000000</v>
      </c>
      <c r="L1066" s="1419">
        <f t="shared" si="366"/>
        <v>2200000</v>
      </c>
      <c r="M1066" s="1421"/>
      <c r="N1066" s="1420">
        <f t="shared" si="367"/>
        <v>24200000</v>
      </c>
      <c r="O1066" s="1414" t="s">
        <v>195</v>
      </c>
      <c r="P1066" s="1414" t="s">
        <v>19</v>
      </c>
      <c r="Q1066" s="1308"/>
      <c r="R1066" s="1214"/>
      <c r="S1066" s="1413">
        <v>0</v>
      </c>
      <c r="T1066" s="1413">
        <f t="shared" si="402"/>
        <v>-440000</v>
      </c>
      <c r="U1066" s="1381">
        <v>23760000</v>
      </c>
      <c r="V1066" s="1215"/>
      <c r="W1066" s="1203"/>
      <c r="X1066" s="1411" t="s">
        <v>237</v>
      </c>
      <c r="Y1066" s="762"/>
      <c r="Z1066" s="1205"/>
      <c r="AA1066" s="1206"/>
      <c r="AB1066" s="1207"/>
      <c r="AC1066" s="759"/>
      <c r="AD1066" s="1208"/>
      <c r="AE1066" s="1208"/>
      <c r="AF1066" s="759"/>
      <c r="AG1066" s="759"/>
      <c r="AH1066" s="1209"/>
      <c r="AI1066" s="759"/>
      <c r="AJ1066" s="1209"/>
      <c r="AK1066" s="1210"/>
    </row>
    <row r="1067" spans="1:37" s="114" customFormat="1" ht="12" customHeight="1">
      <c r="A1067" s="1415"/>
      <c r="B1067" s="1415" t="s">
        <v>194</v>
      </c>
      <c r="C1067" s="1415">
        <v>15</v>
      </c>
      <c r="D1067" s="1238" t="s">
        <v>206</v>
      </c>
      <c r="E1067" s="1239" t="s">
        <v>354</v>
      </c>
      <c r="F1067" s="1520" t="s">
        <v>3876</v>
      </c>
      <c r="G1067" s="1239" t="s">
        <v>1617</v>
      </c>
      <c r="H1067" s="1239" t="s">
        <v>3877</v>
      </c>
      <c r="I1067" s="1239" t="s">
        <v>3878</v>
      </c>
      <c r="J1067" s="1421"/>
      <c r="K1067" s="1240">
        <v>22000000</v>
      </c>
      <c r="L1067" s="1419">
        <f t="shared" si="366"/>
        <v>2200000</v>
      </c>
      <c r="M1067" s="1421"/>
      <c r="N1067" s="1420">
        <f t="shared" si="367"/>
        <v>24200000</v>
      </c>
      <c r="O1067" s="1245" t="s">
        <v>239</v>
      </c>
      <c r="P1067" s="1245" t="s">
        <v>38</v>
      </c>
      <c r="Q1067" s="677"/>
      <c r="R1067" s="677"/>
      <c r="S1067" s="1413">
        <v>0</v>
      </c>
      <c r="T1067" s="1413">
        <f t="shared" ref="T1067:T1069" si="403">-K1067*2%</f>
        <v>-440000</v>
      </c>
      <c r="U1067" s="1381">
        <v>23760000</v>
      </c>
      <c r="V1067" s="210"/>
      <c r="W1067" s="115"/>
      <c r="X1067" s="679"/>
      <c r="Y1067" s="116"/>
      <c r="Z1067" s="185"/>
      <c r="AA1067" s="592"/>
      <c r="AB1067" s="186"/>
      <c r="AC1067" s="9"/>
      <c r="AD1067" s="297"/>
      <c r="AE1067" s="1065"/>
      <c r="AF1067" s="9"/>
      <c r="AG1067" s="9"/>
      <c r="AH1067" s="300"/>
      <c r="AI1067" s="9"/>
      <c r="AJ1067" s="300"/>
      <c r="AK1067" s="73"/>
    </row>
    <row r="1068" spans="1:37" s="114" customFormat="1" ht="12" customHeight="1">
      <c r="A1068" s="1415"/>
      <c r="B1068" s="1415" t="s">
        <v>194</v>
      </c>
      <c r="C1068" s="1415">
        <v>15</v>
      </c>
      <c r="D1068" s="1238" t="s">
        <v>206</v>
      </c>
      <c r="E1068" s="1239" t="s">
        <v>354</v>
      </c>
      <c r="F1068" s="1520" t="s">
        <v>3879</v>
      </c>
      <c r="G1068" s="1239" t="s">
        <v>1617</v>
      </c>
      <c r="H1068" s="1239" t="s">
        <v>3880</v>
      </c>
      <c r="I1068" s="1239" t="s">
        <v>3881</v>
      </c>
      <c r="J1068" s="1421"/>
      <c r="K1068" s="1240">
        <v>22000000</v>
      </c>
      <c r="L1068" s="1419">
        <f t="shared" si="366"/>
        <v>2200000</v>
      </c>
      <c r="M1068" s="1421"/>
      <c r="N1068" s="1420">
        <f t="shared" si="367"/>
        <v>24200000</v>
      </c>
      <c r="O1068" s="1245" t="s">
        <v>239</v>
      </c>
      <c r="P1068" s="1245" t="s">
        <v>38</v>
      </c>
      <c r="Q1068" s="677"/>
      <c r="R1068" s="677"/>
      <c r="S1068" s="1413">
        <v>0</v>
      </c>
      <c r="T1068" s="1413">
        <f t="shared" si="403"/>
        <v>-440000</v>
      </c>
      <c r="U1068" s="1381">
        <v>23760000</v>
      </c>
      <c r="V1068" s="210"/>
      <c r="W1068" s="115"/>
      <c r="X1068" s="679"/>
      <c r="Y1068" s="116"/>
      <c r="Z1068" s="185"/>
      <c r="AA1068" s="592"/>
      <c r="AB1068" s="186"/>
      <c r="AC1068" s="9"/>
      <c r="AD1068" s="297"/>
      <c r="AE1068" s="1065"/>
      <c r="AF1068" s="9"/>
      <c r="AG1068" s="9"/>
      <c r="AH1068" s="300"/>
      <c r="AI1068" s="9"/>
      <c r="AJ1068" s="300"/>
      <c r="AK1068" s="73"/>
    </row>
    <row r="1069" spans="1:37" s="114" customFormat="1" ht="12" customHeight="1">
      <c r="A1069" s="1415"/>
      <c r="B1069" s="1415" t="s">
        <v>194</v>
      </c>
      <c r="C1069" s="1415">
        <v>15</v>
      </c>
      <c r="D1069" s="1238" t="s">
        <v>206</v>
      </c>
      <c r="E1069" s="1239" t="s">
        <v>354</v>
      </c>
      <c r="F1069" s="1520" t="s">
        <v>3882</v>
      </c>
      <c r="G1069" s="1239" t="s">
        <v>1617</v>
      </c>
      <c r="H1069" s="1239" t="s">
        <v>3883</v>
      </c>
      <c r="I1069" s="1239" t="s">
        <v>3884</v>
      </c>
      <c r="J1069" s="1421"/>
      <c r="K1069" s="1240">
        <v>22000000</v>
      </c>
      <c r="L1069" s="1419">
        <f t="shared" si="366"/>
        <v>2200000</v>
      </c>
      <c r="M1069" s="1421"/>
      <c r="N1069" s="1420">
        <f t="shared" si="367"/>
        <v>24200000</v>
      </c>
      <c r="O1069" s="1245" t="s">
        <v>239</v>
      </c>
      <c r="P1069" s="1245" t="s">
        <v>38</v>
      </c>
      <c r="Q1069" s="677"/>
      <c r="R1069" s="677"/>
      <c r="S1069" s="1413">
        <v>0</v>
      </c>
      <c r="T1069" s="1413">
        <f t="shared" si="403"/>
        <v>-440000</v>
      </c>
      <c r="U1069" s="1381">
        <v>23760000</v>
      </c>
      <c r="V1069" s="210"/>
      <c r="W1069" s="115"/>
      <c r="X1069" s="679"/>
      <c r="Y1069" s="116"/>
      <c r="Z1069" s="185"/>
      <c r="AA1069" s="592"/>
      <c r="AB1069" s="186"/>
      <c r="AC1069" s="9"/>
      <c r="AD1069" s="297"/>
      <c r="AE1069" s="1065"/>
      <c r="AF1069" s="9"/>
      <c r="AG1069" s="9"/>
      <c r="AH1069" s="300"/>
      <c r="AI1069" s="9"/>
      <c r="AJ1069" s="300"/>
      <c r="AK1069" s="73"/>
    </row>
    <row r="1070" spans="1:37" s="114" customFormat="1" ht="12" customHeight="1">
      <c r="A1070" s="1415"/>
      <c r="B1070" s="1415" t="s">
        <v>194</v>
      </c>
      <c r="C1070" s="1415">
        <v>15</v>
      </c>
      <c r="D1070" s="1238" t="s">
        <v>206</v>
      </c>
      <c r="E1070" s="1239" t="s">
        <v>354</v>
      </c>
      <c r="F1070" s="1520" t="s">
        <v>3885</v>
      </c>
      <c r="G1070" s="1239" t="s">
        <v>1617</v>
      </c>
      <c r="H1070" s="1239" t="s">
        <v>3886</v>
      </c>
      <c r="I1070" s="1239" t="s">
        <v>3887</v>
      </c>
      <c r="J1070" s="1421"/>
      <c r="K1070" s="1240">
        <v>22000000</v>
      </c>
      <c r="L1070" s="1419">
        <f t="shared" si="366"/>
        <v>2200000</v>
      </c>
      <c r="M1070" s="1421"/>
      <c r="N1070" s="1420">
        <f t="shared" si="367"/>
        <v>24200000</v>
      </c>
      <c r="O1070" s="1245" t="s">
        <v>239</v>
      </c>
      <c r="P1070" s="1245" t="s">
        <v>38</v>
      </c>
      <c r="Q1070" s="677"/>
      <c r="R1070" s="677"/>
      <c r="S1070" s="1413">
        <v>0</v>
      </c>
      <c r="T1070" s="1413">
        <f t="shared" ref="T1070:T1072" si="404">-K1070*2%</f>
        <v>-440000</v>
      </c>
      <c r="U1070" s="1381">
        <v>23760000</v>
      </c>
      <c r="V1070" s="210"/>
      <c r="W1070" s="115"/>
      <c r="X1070" s="679"/>
      <c r="Y1070" s="116"/>
      <c r="Z1070" s="185"/>
      <c r="AA1070" s="592"/>
      <c r="AB1070" s="186"/>
      <c r="AC1070" s="9"/>
      <c r="AD1070" s="297"/>
      <c r="AE1070" s="1065"/>
      <c r="AF1070" s="9"/>
      <c r="AG1070" s="9"/>
      <c r="AH1070" s="300"/>
      <c r="AI1070" s="9"/>
      <c r="AJ1070" s="300"/>
      <c r="AK1070" s="73"/>
    </row>
    <row r="1071" spans="1:37" s="114" customFormat="1" ht="12" customHeight="1">
      <c r="A1071" s="1415"/>
      <c r="B1071" s="1415" t="s">
        <v>195</v>
      </c>
      <c r="C1071" s="1415">
        <v>12</v>
      </c>
      <c r="D1071" s="1238" t="s">
        <v>206</v>
      </c>
      <c r="E1071" s="1239" t="s">
        <v>354</v>
      </c>
      <c r="F1071" s="1520" t="s">
        <v>3876</v>
      </c>
      <c r="G1071" s="1239" t="s">
        <v>4</v>
      </c>
      <c r="H1071" s="1239" t="s">
        <v>4044</v>
      </c>
      <c r="I1071" s="1239" t="s">
        <v>4045</v>
      </c>
      <c r="J1071" s="1421"/>
      <c r="K1071" s="1240">
        <v>22000000</v>
      </c>
      <c r="L1071" s="1419">
        <f t="shared" si="366"/>
        <v>2200000</v>
      </c>
      <c r="M1071" s="1421"/>
      <c r="N1071" s="1420">
        <f t="shared" si="367"/>
        <v>24200000</v>
      </c>
      <c r="O1071" s="1245" t="s">
        <v>239</v>
      </c>
      <c r="P1071" s="1245" t="s">
        <v>38</v>
      </c>
      <c r="Q1071" s="677"/>
      <c r="R1071" s="677"/>
      <c r="S1071" s="1413">
        <v>0</v>
      </c>
      <c r="T1071" s="1413">
        <f t="shared" si="404"/>
        <v>-440000</v>
      </c>
      <c r="U1071" s="1381">
        <v>23760000</v>
      </c>
      <c r="V1071" s="1386"/>
      <c r="W1071" s="1380"/>
      <c r="X1071" s="679"/>
      <c r="Y1071" s="1381"/>
      <c r="Z1071" s="1384"/>
      <c r="AA1071" s="1389"/>
      <c r="AB1071" s="1385"/>
      <c r="AC1071" s="1378"/>
      <c r="AD1071" s="1387"/>
      <c r="AE1071" s="1065"/>
      <c r="AF1071" s="1378"/>
      <c r="AG1071" s="1378"/>
      <c r="AH1071" s="1388"/>
      <c r="AI1071" s="1378"/>
      <c r="AJ1071" s="1388"/>
      <c r="AK1071" s="1379"/>
    </row>
    <row r="1072" spans="1:37" s="114" customFormat="1" ht="12" customHeight="1">
      <c r="A1072" s="1415"/>
      <c r="B1072" s="1415" t="s">
        <v>195</v>
      </c>
      <c r="C1072" s="1415">
        <v>12</v>
      </c>
      <c r="D1072" s="1238" t="s">
        <v>206</v>
      </c>
      <c r="E1072" s="1239" t="s">
        <v>354</v>
      </c>
      <c r="F1072" s="1520" t="s">
        <v>3879</v>
      </c>
      <c r="G1072" s="1239" t="s">
        <v>4</v>
      </c>
      <c r="H1072" s="1239" t="s">
        <v>4046</v>
      </c>
      <c r="I1072" s="1239" t="s">
        <v>4047</v>
      </c>
      <c r="J1072" s="1421"/>
      <c r="K1072" s="1240">
        <v>22000000</v>
      </c>
      <c r="L1072" s="1419">
        <f t="shared" si="366"/>
        <v>2200000</v>
      </c>
      <c r="M1072" s="1421"/>
      <c r="N1072" s="1420">
        <f t="shared" si="367"/>
        <v>24200000</v>
      </c>
      <c r="O1072" s="1245" t="s">
        <v>239</v>
      </c>
      <c r="P1072" s="1245" t="s">
        <v>38</v>
      </c>
      <c r="Q1072" s="677"/>
      <c r="R1072" s="677"/>
      <c r="S1072" s="1413">
        <v>0</v>
      </c>
      <c r="T1072" s="1413">
        <f t="shared" si="404"/>
        <v>-440000</v>
      </c>
      <c r="U1072" s="1381">
        <v>23760000</v>
      </c>
      <c r="V1072" s="1386"/>
      <c r="W1072" s="1380"/>
      <c r="X1072" s="679"/>
      <c r="Y1072" s="1381"/>
      <c r="Z1072" s="1384"/>
      <c r="AA1072" s="1389"/>
      <c r="AB1072" s="1385"/>
      <c r="AC1072" s="1378"/>
      <c r="AD1072" s="1387"/>
      <c r="AE1072" s="1065"/>
      <c r="AF1072" s="1378"/>
      <c r="AG1072" s="1378"/>
      <c r="AH1072" s="1388"/>
      <c r="AI1072" s="1378"/>
      <c r="AJ1072" s="1388"/>
      <c r="AK1072" s="1379"/>
    </row>
    <row r="1073" spans="1:37" s="114" customFormat="1" ht="12" customHeight="1">
      <c r="A1073" s="1415"/>
      <c r="B1073" s="1415" t="s">
        <v>195</v>
      </c>
      <c r="C1073" s="1415">
        <v>12</v>
      </c>
      <c r="D1073" s="1238" t="s">
        <v>206</v>
      </c>
      <c r="E1073" s="1239" t="s">
        <v>354</v>
      </c>
      <c r="F1073" s="1520" t="s">
        <v>3882</v>
      </c>
      <c r="G1073" s="1239" t="s">
        <v>4</v>
      </c>
      <c r="H1073" s="1239" t="s">
        <v>4048</v>
      </c>
      <c r="I1073" s="1239" t="s">
        <v>4049</v>
      </c>
      <c r="J1073" s="1421"/>
      <c r="K1073" s="1240">
        <v>22000000</v>
      </c>
      <c r="L1073" s="1419">
        <f t="shared" ref="L1073" si="405">K1073*10%</f>
        <v>2200000</v>
      </c>
      <c r="M1073" s="1421"/>
      <c r="N1073" s="1420">
        <f t="shared" ref="N1073" si="406">K1073+L1073</f>
        <v>24200000</v>
      </c>
      <c r="O1073" s="1245" t="s">
        <v>240</v>
      </c>
      <c r="P1073" s="1245" t="s">
        <v>19</v>
      </c>
      <c r="Q1073" s="677"/>
      <c r="R1073" s="677"/>
      <c r="S1073" s="1413">
        <v>0</v>
      </c>
      <c r="T1073" s="1413">
        <f t="shared" ref="T1073:T1082" si="407">-K1073*2%</f>
        <v>-440000</v>
      </c>
      <c r="U1073" s="1381">
        <v>23760000</v>
      </c>
      <c r="V1073" s="1386"/>
      <c r="W1073" s="1380"/>
      <c r="X1073" s="679"/>
      <c r="Y1073" s="1381"/>
      <c r="Z1073" s="1384"/>
      <c r="AA1073" s="1389"/>
      <c r="AB1073" s="1385"/>
      <c r="AC1073" s="1378"/>
      <c r="AD1073" s="1387"/>
      <c r="AE1073" s="1065"/>
      <c r="AF1073" s="1378"/>
      <c r="AG1073" s="1378"/>
      <c r="AH1073" s="1388"/>
      <c r="AI1073" s="1378"/>
      <c r="AJ1073" s="1388"/>
      <c r="AK1073" s="1379"/>
    </row>
    <row r="1074" spans="1:37" s="114" customFormat="1" ht="12" customHeight="1">
      <c r="A1074" s="1415"/>
      <c r="B1074" s="1415" t="s">
        <v>195</v>
      </c>
      <c r="C1074" s="1415">
        <v>12</v>
      </c>
      <c r="D1074" s="1238" t="s">
        <v>206</v>
      </c>
      <c r="E1074" s="1239" t="s">
        <v>354</v>
      </c>
      <c r="F1074" s="1520" t="s">
        <v>3885</v>
      </c>
      <c r="G1074" s="1239" t="s">
        <v>4</v>
      </c>
      <c r="H1074" s="1239" t="s">
        <v>4050</v>
      </c>
      <c r="I1074" s="1239" t="s">
        <v>4051</v>
      </c>
      <c r="J1074" s="1421"/>
      <c r="K1074" s="1240">
        <v>22000000</v>
      </c>
      <c r="L1074" s="1419">
        <f t="shared" ref="L1074:L1079" si="408">K1074*10%</f>
        <v>2200000</v>
      </c>
      <c r="M1074" s="1421"/>
      <c r="N1074" s="1420">
        <f t="shared" ref="N1074:N1079" si="409">K1074+L1074</f>
        <v>24200000</v>
      </c>
      <c r="O1074" s="1245" t="s">
        <v>240</v>
      </c>
      <c r="P1074" s="1245" t="s">
        <v>19</v>
      </c>
      <c r="Q1074" s="677"/>
      <c r="R1074" s="677"/>
      <c r="S1074" s="1413">
        <v>0</v>
      </c>
      <c r="T1074" s="1413">
        <f t="shared" si="407"/>
        <v>-440000</v>
      </c>
      <c r="U1074" s="1381">
        <v>23760000</v>
      </c>
      <c r="V1074" s="1386"/>
      <c r="W1074" s="1380"/>
      <c r="X1074" s="679"/>
      <c r="Y1074" s="1381"/>
      <c r="Z1074" s="1384"/>
      <c r="AA1074" s="1389"/>
      <c r="AB1074" s="1385"/>
      <c r="AC1074" s="1378"/>
      <c r="AD1074" s="1387"/>
      <c r="AE1074" s="1065"/>
      <c r="AF1074" s="1378"/>
      <c r="AG1074" s="1378"/>
      <c r="AH1074" s="1388"/>
      <c r="AI1074" s="1378"/>
      <c r="AJ1074" s="1388"/>
      <c r="AK1074" s="1379"/>
    </row>
    <row r="1075" spans="1:37" s="114" customFormat="1" ht="12" customHeight="1">
      <c r="A1075" s="1415"/>
      <c r="B1075" s="1415" t="s">
        <v>239</v>
      </c>
      <c r="C1075" s="1415">
        <v>2</v>
      </c>
      <c r="D1075" s="1238" t="s">
        <v>206</v>
      </c>
      <c r="E1075" s="1239" t="s">
        <v>354</v>
      </c>
      <c r="F1075" s="1520" t="s">
        <v>3876</v>
      </c>
      <c r="G1075" s="1239" t="s">
        <v>379</v>
      </c>
      <c r="H1075" s="1239" t="s">
        <v>4223</v>
      </c>
      <c r="I1075" s="1239" t="s">
        <v>4227</v>
      </c>
      <c r="J1075" s="1421"/>
      <c r="K1075" s="1240">
        <v>22000000</v>
      </c>
      <c r="L1075" s="1419">
        <f t="shared" si="408"/>
        <v>2200000</v>
      </c>
      <c r="M1075" s="1421"/>
      <c r="N1075" s="1420">
        <f t="shared" si="409"/>
        <v>24200000</v>
      </c>
      <c r="O1075" s="1245" t="s">
        <v>240</v>
      </c>
      <c r="P1075" s="1245" t="s">
        <v>19</v>
      </c>
      <c r="Q1075" s="677"/>
      <c r="R1075" s="677"/>
      <c r="S1075" s="1413">
        <v>0</v>
      </c>
      <c r="T1075" s="1413">
        <f t="shared" si="407"/>
        <v>-440000</v>
      </c>
      <c r="U1075" s="1381">
        <v>23760000</v>
      </c>
      <c r="V1075" s="1386"/>
      <c r="W1075" s="1380"/>
      <c r="X1075" s="679"/>
      <c r="Y1075" s="1381"/>
      <c r="Z1075" s="1384"/>
      <c r="AA1075" s="1389"/>
      <c r="AB1075" s="1385"/>
      <c r="AC1075" s="1378"/>
      <c r="AD1075" s="1387"/>
      <c r="AE1075" s="1065"/>
      <c r="AF1075" s="1378"/>
      <c r="AG1075" s="1378"/>
      <c r="AH1075" s="1388"/>
      <c r="AI1075" s="1378"/>
      <c r="AJ1075" s="1388"/>
      <c r="AK1075" s="1379"/>
    </row>
    <row r="1076" spans="1:37" s="114" customFormat="1" ht="12" customHeight="1">
      <c r="A1076" s="1415"/>
      <c r="B1076" s="1415" t="s">
        <v>239</v>
      </c>
      <c r="C1076" s="1415">
        <v>2</v>
      </c>
      <c r="D1076" s="1238" t="s">
        <v>206</v>
      </c>
      <c r="E1076" s="1239" t="s">
        <v>354</v>
      </c>
      <c r="F1076" s="1520" t="s">
        <v>3879</v>
      </c>
      <c r="G1076" s="1239" t="s">
        <v>379</v>
      </c>
      <c r="H1076" s="1239" t="s">
        <v>4224</v>
      </c>
      <c r="I1076" s="1239" t="s">
        <v>4228</v>
      </c>
      <c r="J1076" s="1421"/>
      <c r="K1076" s="1240">
        <v>22000000</v>
      </c>
      <c r="L1076" s="1419">
        <f t="shared" si="408"/>
        <v>2200000</v>
      </c>
      <c r="M1076" s="1421"/>
      <c r="N1076" s="1420">
        <f t="shared" si="409"/>
        <v>24200000</v>
      </c>
      <c r="O1076" s="1245" t="s">
        <v>240</v>
      </c>
      <c r="P1076" s="1245" t="s">
        <v>19</v>
      </c>
      <c r="Q1076" s="677"/>
      <c r="R1076" s="677"/>
      <c r="S1076" s="1413">
        <v>0</v>
      </c>
      <c r="T1076" s="1413">
        <f t="shared" si="407"/>
        <v>-440000</v>
      </c>
      <c r="U1076" s="1381">
        <v>23760000</v>
      </c>
      <c r="V1076" s="1386"/>
      <c r="W1076" s="1380"/>
      <c r="X1076" s="679"/>
      <c r="Y1076" s="1381"/>
      <c r="Z1076" s="1384"/>
      <c r="AA1076" s="1389"/>
      <c r="AB1076" s="1385"/>
      <c r="AC1076" s="1378"/>
      <c r="AD1076" s="1387"/>
      <c r="AE1076" s="1065"/>
      <c r="AF1076" s="1378"/>
      <c r="AG1076" s="1378"/>
      <c r="AH1076" s="1388"/>
      <c r="AI1076" s="1378"/>
      <c r="AJ1076" s="1388"/>
      <c r="AK1076" s="1379"/>
    </row>
    <row r="1077" spans="1:37" s="114" customFormat="1" ht="12" customHeight="1">
      <c r="A1077" s="1415"/>
      <c r="B1077" s="1415" t="s">
        <v>239</v>
      </c>
      <c r="C1077" s="1415">
        <v>2</v>
      </c>
      <c r="D1077" s="1238" t="s">
        <v>206</v>
      </c>
      <c r="E1077" s="1239" t="s">
        <v>354</v>
      </c>
      <c r="F1077" s="1520" t="s">
        <v>3882</v>
      </c>
      <c r="G1077" s="1239" t="s">
        <v>379</v>
      </c>
      <c r="H1077" s="1239" t="s">
        <v>4225</v>
      </c>
      <c r="I1077" s="1239" t="s">
        <v>4229</v>
      </c>
      <c r="J1077" s="1421"/>
      <c r="K1077" s="1240">
        <v>22000000</v>
      </c>
      <c r="L1077" s="1419">
        <f t="shared" si="408"/>
        <v>2200000</v>
      </c>
      <c r="M1077" s="1421"/>
      <c r="N1077" s="1420">
        <f t="shared" si="409"/>
        <v>24200000</v>
      </c>
      <c r="O1077" s="1245" t="s">
        <v>240</v>
      </c>
      <c r="P1077" s="1245" t="s">
        <v>19</v>
      </c>
      <c r="Q1077" s="677"/>
      <c r="R1077" s="677"/>
      <c r="S1077" s="1413">
        <v>0</v>
      </c>
      <c r="T1077" s="1413">
        <f t="shared" si="407"/>
        <v>-440000</v>
      </c>
      <c r="U1077" s="1381">
        <v>23760000</v>
      </c>
      <c r="V1077" s="1386"/>
      <c r="W1077" s="1380"/>
      <c r="X1077" s="679"/>
      <c r="Y1077" s="1381"/>
      <c r="Z1077" s="1384"/>
      <c r="AA1077" s="1389"/>
      <c r="AB1077" s="1385"/>
      <c r="AC1077" s="1378"/>
      <c r="AD1077" s="1387"/>
      <c r="AE1077" s="1065"/>
      <c r="AF1077" s="1378"/>
      <c r="AG1077" s="1378"/>
      <c r="AH1077" s="1388"/>
      <c r="AI1077" s="1378"/>
      <c r="AJ1077" s="1388"/>
      <c r="AK1077" s="1379"/>
    </row>
    <row r="1078" spans="1:37" s="114" customFormat="1" ht="12" customHeight="1">
      <c r="A1078" s="1415"/>
      <c r="B1078" s="1415" t="s">
        <v>239</v>
      </c>
      <c r="C1078" s="1415">
        <v>2</v>
      </c>
      <c r="D1078" s="1238" t="s">
        <v>206</v>
      </c>
      <c r="E1078" s="1239" t="s">
        <v>354</v>
      </c>
      <c r="F1078" s="1520" t="s">
        <v>3885</v>
      </c>
      <c r="G1078" s="1239" t="s">
        <v>379</v>
      </c>
      <c r="H1078" s="1239" t="s">
        <v>4226</v>
      </c>
      <c r="I1078" s="1239" t="s">
        <v>4230</v>
      </c>
      <c r="J1078" s="1421"/>
      <c r="K1078" s="1240">
        <v>22000000</v>
      </c>
      <c r="L1078" s="1419">
        <f t="shared" si="408"/>
        <v>2200000</v>
      </c>
      <c r="M1078" s="1421"/>
      <c r="N1078" s="1420">
        <f t="shared" si="409"/>
        <v>24200000</v>
      </c>
      <c r="O1078" s="1245" t="s">
        <v>240</v>
      </c>
      <c r="P1078" s="1245" t="s">
        <v>114</v>
      </c>
      <c r="Q1078" s="677"/>
      <c r="R1078" s="677"/>
      <c r="S1078" s="1413">
        <v>0</v>
      </c>
      <c r="T1078" s="1413">
        <f t="shared" si="407"/>
        <v>-440000</v>
      </c>
      <c r="U1078" s="1381">
        <v>23760000</v>
      </c>
      <c r="V1078" s="1386"/>
      <c r="W1078" s="1380"/>
      <c r="X1078" s="679"/>
      <c r="Y1078" s="1381"/>
      <c r="Z1078" s="1384"/>
      <c r="AA1078" s="1389"/>
      <c r="AB1078" s="1385"/>
      <c r="AC1078" s="1378"/>
      <c r="AD1078" s="1387"/>
      <c r="AE1078" s="1065"/>
      <c r="AF1078" s="1378"/>
      <c r="AG1078" s="1378"/>
      <c r="AH1078" s="1388"/>
      <c r="AI1078" s="1378"/>
      <c r="AJ1078" s="1388"/>
      <c r="AK1078" s="1379"/>
    </row>
    <row r="1079" spans="1:37" s="1439" customFormat="1" ht="12" customHeight="1">
      <c r="A1079" s="1415"/>
      <c r="B1079" s="1415" t="s">
        <v>240</v>
      </c>
      <c r="C1079" s="1415">
        <v>10</v>
      </c>
      <c r="D1079" s="1238" t="s">
        <v>206</v>
      </c>
      <c r="E1079" s="1239" t="s">
        <v>354</v>
      </c>
      <c r="F1079" s="1520" t="s">
        <v>3876</v>
      </c>
      <c r="G1079" s="1239" t="s">
        <v>5</v>
      </c>
      <c r="H1079" s="1239" t="s">
        <v>4458</v>
      </c>
      <c r="I1079" s="1239" t="s">
        <v>4459</v>
      </c>
      <c r="J1079" s="1421"/>
      <c r="K1079" s="1240">
        <v>22000000</v>
      </c>
      <c r="L1079" s="1419">
        <f t="shared" si="408"/>
        <v>2200000</v>
      </c>
      <c r="M1079" s="1421"/>
      <c r="N1079" s="1420">
        <f t="shared" si="409"/>
        <v>24200000</v>
      </c>
      <c r="O1079" s="1313" t="s">
        <v>58</v>
      </c>
      <c r="P1079" s="1313" t="s">
        <v>101</v>
      </c>
      <c r="Q1079" s="1311"/>
      <c r="R1079" s="1311"/>
      <c r="S1079" s="1413">
        <v>0</v>
      </c>
      <c r="T1079" s="1419">
        <f t="shared" si="407"/>
        <v>-440000</v>
      </c>
      <c r="U1079" s="1381">
        <v>23760000</v>
      </c>
      <c r="V1079" s="1430"/>
      <c r="W1079" s="1431"/>
      <c r="X1079" s="1432"/>
      <c r="Y1079" s="1419"/>
      <c r="Z1079" s="1433"/>
      <c r="AA1079" s="1434"/>
      <c r="AB1079" s="1435"/>
      <c r="AC1079" s="1416"/>
      <c r="AD1079" s="1436"/>
      <c r="AE1079" s="1436"/>
      <c r="AF1079" s="1416"/>
      <c r="AG1079" s="1416"/>
      <c r="AH1079" s="1437"/>
      <c r="AI1079" s="1416"/>
      <c r="AJ1079" s="1437"/>
      <c r="AK1079" s="1438"/>
    </row>
    <row r="1080" spans="1:37" s="1439" customFormat="1" ht="12" customHeight="1">
      <c r="A1080" s="1415"/>
      <c r="B1080" s="1415" t="s">
        <v>240</v>
      </c>
      <c r="C1080" s="1415">
        <v>10</v>
      </c>
      <c r="D1080" s="1238" t="s">
        <v>206</v>
      </c>
      <c r="E1080" s="1239" t="s">
        <v>354</v>
      </c>
      <c r="F1080" s="1520" t="s">
        <v>3879</v>
      </c>
      <c r="G1080" s="1239" t="s">
        <v>5</v>
      </c>
      <c r="H1080" s="1239" t="s">
        <v>4460</v>
      </c>
      <c r="I1080" s="1239" t="s">
        <v>4461</v>
      </c>
      <c r="J1080" s="1421"/>
      <c r="K1080" s="1240">
        <v>22000000</v>
      </c>
      <c r="L1080" s="1419">
        <f t="shared" ref="L1080" si="410">K1080*10%</f>
        <v>2200000</v>
      </c>
      <c r="M1080" s="1421"/>
      <c r="N1080" s="1420">
        <f t="shared" ref="N1080" si="411">K1080+L1080</f>
        <v>24200000</v>
      </c>
      <c r="O1080" s="1313" t="s">
        <v>58</v>
      </c>
      <c r="P1080" s="1313" t="s">
        <v>101</v>
      </c>
      <c r="Q1080" s="1311"/>
      <c r="R1080" s="1311"/>
      <c r="S1080" s="1413">
        <v>0</v>
      </c>
      <c r="T1080" s="1419">
        <f t="shared" si="407"/>
        <v>-440000</v>
      </c>
      <c r="U1080" s="1381">
        <v>23760000</v>
      </c>
      <c r="V1080" s="1430"/>
      <c r="W1080" s="1431"/>
      <c r="X1080" s="1432"/>
      <c r="Y1080" s="1419"/>
      <c r="Z1080" s="1433"/>
      <c r="AA1080" s="1434"/>
      <c r="AB1080" s="1435"/>
      <c r="AC1080" s="1416"/>
      <c r="AD1080" s="1436"/>
      <c r="AE1080" s="1436"/>
      <c r="AF1080" s="1416"/>
      <c r="AG1080" s="1416"/>
      <c r="AH1080" s="1437"/>
      <c r="AI1080" s="1416"/>
      <c r="AJ1080" s="1437"/>
      <c r="AK1080" s="1438"/>
    </row>
    <row r="1081" spans="1:37" s="1439" customFormat="1" ht="12" customHeight="1">
      <c r="A1081" s="1415"/>
      <c r="B1081" s="1415" t="s">
        <v>240</v>
      </c>
      <c r="C1081" s="1415">
        <v>10</v>
      </c>
      <c r="D1081" s="1238" t="s">
        <v>206</v>
      </c>
      <c r="E1081" s="1239" t="s">
        <v>354</v>
      </c>
      <c r="F1081" s="1520" t="s">
        <v>3882</v>
      </c>
      <c r="G1081" s="1239" t="s">
        <v>5</v>
      </c>
      <c r="H1081" s="1239" t="s">
        <v>4462</v>
      </c>
      <c r="I1081" s="1239" t="s">
        <v>4463</v>
      </c>
      <c r="J1081" s="1421"/>
      <c r="K1081" s="1240">
        <v>22000000</v>
      </c>
      <c r="L1081" s="1419">
        <f t="shared" ref="L1081" si="412">K1081*10%</f>
        <v>2200000</v>
      </c>
      <c r="M1081" s="1421"/>
      <c r="N1081" s="1420">
        <f t="shared" ref="N1081" si="413">K1081+L1081</f>
        <v>24200000</v>
      </c>
      <c r="O1081" s="1313" t="s">
        <v>58</v>
      </c>
      <c r="P1081" s="1313" t="s">
        <v>101</v>
      </c>
      <c r="Q1081" s="1311"/>
      <c r="R1081" s="1311"/>
      <c r="S1081" s="1413">
        <v>0</v>
      </c>
      <c r="T1081" s="1419">
        <f t="shared" si="407"/>
        <v>-440000</v>
      </c>
      <c r="U1081" s="1381">
        <v>23760000</v>
      </c>
      <c r="V1081" s="1430"/>
      <c r="W1081" s="1431"/>
      <c r="X1081" s="1432"/>
      <c r="Y1081" s="1419"/>
      <c r="Z1081" s="1433"/>
      <c r="AA1081" s="1434"/>
      <c r="AB1081" s="1435"/>
      <c r="AC1081" s="1416"/>
      <c r="AD1081" s="1436"/>
      <c r="AE1081" s="1436"/>
      <c r="AF1081" s="1416"/>
      <c r="AG1081" s="1416"/>
      <c r="AH1081" s="1437"/>
      <c r="AI1081" s="1416"/>
      <c r="AJ1081" s="1437"/>
      <c r="AK1081" s="1438"/>
    </row>
    <row r="1082" spans="1:37" s="1439" customFormat="1" ht="12" customHeight="1">
      <c r="A1082" s="1415"/>
      <c r="B1082" s="1415" t="s">
        <v>240</v>
      </c>
      <c r="C1082" s="1415">
        <v>10</v>
      </c>
      <c r="D1082" s="1238" t="s">
        <v>206</v>
      </c>
      <c r="E1082" s="1239" t="s">
        <v>354</v>
      </c>
      <c r="F1082" s="1520" t="s">
        <v>3885</v>
      </c>
      <c r="G1082" s="1239" t="s">
        <v>5</v>
      </c>
      <c r="H1082" s="1239" t="s">
        <v>4464</v>
      </c>
      <c r="I1082" s="1239" t="s">
        <v>4465</v>
      </c>
      <c r="J1082" s="1421"/>
      <c r="K1082" s="1240">
        <v>22000000</v>
      </c>
      <c r="L1082" s="1419">
        <f t="shared" ref="L1082:L1090" si="414">K1082*10%</f>
        <v>2200000</v>
      </c>
      <c r="M1082" s="1421"/>
      <c r="N1082" s="1420">
        <f t="shared" ref="N1082:N1090" si="415">K1082+L1082</f>
        <v>24200000</v>
      </c>
      <c r="O1082" s="1313" t="s">
        <v>58</v>
      </c>
      <c r="P1082" s="1313" t="s">
        <v>101</v>
      </c>
      <c r="Q1082" s="1311"/>
      <c r="R1082" s="1311"/>
      <c r="S1082" s="1413">
        <v>0</v>
      </c>
      <c r="T1082" s="1419">
        <f t="shared" si="407"/>
        <v>-440000</v>
      </c>
      <c r="U1082" s="1381">
        <v>23760000</v>
      </c>
      <c r="V1082" s="1430"/>
      <c r="W1082" s="1431"/>
      <c r="X1082" s="1432"/>
      <c r="Y1082" s="1419"/>
      <c r="Z1082" s="1433"/>
      <c r="AA1082" s="1434"/>
      <c r="AB1082" s="1435"/>
      <c r="AC1082" s="1416"/>
      <c r="AD1082" s="1436"/>
      <c r="AE1082" s="1436"/>
      <c r="AF1082" s="1416"/>
      <c r="AG1082" s="1416"/>
      <c r="AH1082" s="1437"/>
      <c r="AI1082" s="1416"/>
      <c r="AJ1082" s="1437"/>
      <c r="AK1082" s="1438"/>
    </row>
    <row r="1083" spans="1:37" s="1439" customFormat="1" ht="12" customHeight="1">
      <c r="A1083" s="1415"/>
      <c r="B1083" s="1390" t="s">
        <v>58</v>
      </c>
      <c r="C1083" s="1390">
        <v>17</v>
      </c>
      <c r="D1083" s="1243" t="s">
        <v>206</v>
      </c>
      <c r="E1083" s="953" t="s">
        <v>354</v>
      </c>
      <c r="F1083" s="1519" t="s">
        <v>3876</v>
      </c>
      <c r="G1083" s="953" t="s">
        <v>57</v>
      </c>
      <c r="H1083" s="953" t="s">
        <v>4627</v>
      </c>
      <c r="I1083" s="953" t="s">
        <v>4628</v>
      </c>
      <c r="J1083" s="1403"/>
      <c r="K1083" s="1244">
        <v>22000000</v>
      </c>
      <c r="L1083" s="1413">
        <f t="shared" si="414"/>
        <v>2200000</v>
      </c>
      <c r="M1083" s="1403"/>
      <c r="N1083" s="1410">
        <f t="shared" si="415"/>
        <v>24200000</v>
      </c>
      <c r="O1083" s="1313"/>
      <c r="P1083" s="1313"/>
      <c r="Q1083" s="1311"/>
      <c r="R1083" s="1311"/>
      <c r="S1083" s="1419"/>
      <c r="T1083" s="1419"/>
      <c r="U1083" s="1241"/>
      <c r="V1083" s="1430"/>
      <c r="W1083" s="1431"/>
      <c r="X1083" s="1432"/>
      <c r="Y1083" s="1419"/>
      <c r="Z1083" s="1433"/>
      <c r="AA1083" s="1434"/>
      <c r="AB1083" s="1435"/>
      <c r="AC1083" s="1416"/>
      <c r="AD1083" s="1436"/>
      <c r="AE1083" s="1436"/>
      <c r="AF1083" s="1416"/>
      <c r="AG1083" s="1416"/>
      <c r="AH1083" s="1437"/>
      <c r="AI1083" s="1416"/>
      <c r="AJ1083" s="1437"/>
      <c r="AK1083" s="1438"/>
    </row>
    <row r="1084" spans="1:37" s="1439" customFormat="1" ht="12" customHeight="1">
      <c r="A1084" s="1415"/>
      <c r="B1084" s="1390" t="s">
        <v>58</v>
      </c>
      <c r="C1084" s="1390">
        <v>17</v>
      </c>
      <c r="D1084" s="1243" t="s">
        <v>206</v>
      </c>
      <c r="E1084" s="953" t="s">
        <v>354</v>
      </c>
      <c r="F1084" s="1519" t="s">
        <v>3879</v>
      </c>
      <c r="G1084" s="953" t="s">
        <v>57</v>
      </c>
      <c r="H1084" s="953" t="s">
        <v>4629</v>
      </c>
      <c r="I1084" s="953" t="s">
        <v>4630</v>
      </c>
      <c r="J1084" s="1403"/>
      <c r="K1084" s="1244">
        <v>22000000</v>
      </c>
      <c r="L1084" s="1413">
        <f t="shared" si="414"/>
        <v>2200000</v>
      </c>
      <c r="M1084" s="1403"/>
      <c r="N1084" s="1410">
        <f t="shared" si="415"/>
        <v>24200000</v>
      </c>
      <c r="O1084" s="1313"/>
      <c r="P1084" s="1313"/>
      <c r="Q1084" s="1311"/>
      <c r="R1084" s="1311"/>
      <c r="S1084" s="1419"/>
      <c r="T1084" s="1419"/>
      <c r="U1084" s="1241"/>
      <c r="V1084" s="1430"/>
      <c r="W1084" s="1431"/>
      <c r="X1084" s="1432"/>
      <c r="Y1084" s="1419"/>
      <c r="Z1084" s="1433"/>
      <c r="AA1084" s="1434"/>
      <c r="AB1084" s="1435"/>
      <c r="AC1084" s="1416"/>
      <c r="AD1084" s="1436"/>
      <c r="AE1084" s="1436"/>
      <c r="AF1084" s="1416"/>
      <c r="AG1084" s="1416"/>
      <c r="AH1084" s="1437"/>
      <c r="AI1084" s="1416"/>
      <c r="AJ1084" s="1437"/>
      <c r="AK1084" s="1438"/>
    </row>
    <row r="1085" spans="1:37" s="1439" customFormat="1" ht="12" customHeight="1">
      <c r="A1085" s="1415"/>
      <c r="B1085" s="1390" t="s">
        <v>58</v>
      </c>
      <c r="C1085" s="1390">
        <v>17</v>
      </c>
      <c r="D1085" s="1243" t="s">
        <v>206</v>
      </c>
      <c r="E1085" s="953" t="s">
        <v>354</v>
      </c>
      <c r="F1085" s="1519" t="s">
        <v>3882</v>
      </c>
      <c r="G1085" s="953" t="s">
        <v>57</v>
      </c>
      <c r="H1085" s="953" t="s">
        <v>4631</v>
      </c>
      <c r="I1085" s="953" t="s">
        <v>4632</v>
      </c>
      <c r="J1085" s="1403"/>
      <c r="K1085" s="1244">
        <v>22000000</v>
      </c>
      <c r="L1085" s="1413">
        <f t="shared" si="414"/>
        <v>2200000</v>
      </c>
      <c r="M1085" s="1403"/>
      <c r="N1085" s="1410">
        <f t="shared" si="415"/>
        <v>24200000</v>
      </c>
      <c r="O1085" s="1313"/>
      <c r="P1085" s="1313"/>
      <c r="Q1085" s="1311"/>
      <c r="R1085" s="1311"/>
      <c r="S1085" s="1419"/>
      <c r="T1085" s="1419"/>
      <c r="U1085" s="1241"/>
      <c r="V1085" s="1430"/>
      <c r="W1085" s="1431"/>
      <c r="X1085" s="1432"/>
      <c r="Y1085" s="1419"/>
      <c r="Z1085" s="1433"/>
      <c r="AA1085" s="1434"/>
      <c r="AB1085" s="1435"/>
      <c r="AC1085" s="1416"/>
      <c r="AD1085" s="1436"/>
      <c r="AE1085" s="1436"/>
      <c r="AF1085" s="1416"/>
      <c r="AG1085" s="1416"/>
      <c r="AH1085" s="1437"/>
      <c r="AI1085" s="1416"/>
      <c r="AJ1085" s="1437"/>
      <c r="AK1085" s="1438"/>
    </row>
    <row r="1086" spans="1:37" s="1439" customFormat="1" ht="12" customHeight="1">
      <c r="A1086" s="1415"/>
      <c r="B1086" s="1390" t="s">
        <v>58</v>
      </c>
      <c r="C1086" s="1390">
        <v>17</v>
      </c>
      <c r="D1086" s="1243" t="s">
        <v>206</v>
      </c>
      <c r="E1086" s="953" t="s">
        <v>354</v>
      </c>
      <c r="F1086" s="1519" t="s">
        <v>3885</v>
      </c>
      <c r="G1086" s="953" t="s">
        <v>57</v>
      </c>
      <c r="H1086" s="953" t="s">
        <v>4633</v>
      </c>
      <c r="I1086" s="953" t="s">
        <v>4634</v>
      </c>
      <c r="J1086" s="1403"/>
      <c r="K1086" s="1244">
        <v>22000000</v>
      </c>
      <c r="L1086" s="1413">
        <f t="shared" si="414"/>
        <v>2200000</v>
      </c>
      <c r="M1086" s="1403"/>
      <c r="N1086" s="1410">
        <f t="shared" si="415"/>
        <v>24200000</v>
      </c>
      <c r="O1086" s="1313"/>
      <c r="P1086" s="1313"/>
      <c r="Q1086" s="1311"/>
      <c r="R1086" s="1311"/>
      <c r="S1086" s="1419"/>
      <c r="T1086" s="1419"/>
      <c r="U1086" s="1241"/>
      <c r="V1086" s="1430"/>
      <c r="W1086" s="1431"/>
      <c r="X1086" s="1432"/>
      <c r="Y1086" s="1419"/>
      <c r="Z1086" s="1433"/>
      <c r="AA1086" s="1434"/>
      <c r="AB1086" s="1435"/>
      <c r="AC1086" s="1416"/>
      <c r="AD1086" s="1436"/>
      <c r="AE1086" s="1436"/>
      <c r="AF1086" s="1416"/>
      <c r="AG1086" s="1416"/>
      <c r="AH1086" s="1437"/>
      <c r="AI1086" s="1416"/>
      <c r="AJ1086" s="1437"/>
      <c r="AK1086" s="1438"/>
    </row>
    <row r="1087" spans="1:37" s="1405" customFormat="1" ht="12" customHeight="1">
      <c r="A1087" s="1390"/>
      <c r="B1087" s="1390" t="s">
        <v>241</v>
      </c>
      <c r="C1087" s="1390">
        <v>26</v>
      </c>
      <c r="D1087" s="1243" t="s">
        <v>206</v>
      </c>
      <c r="E1087" s="953" t="s">
        <v>354</v>
      </c>
      <c r="F1087" s="1519" t="s">
        <v>3876</v>
      </c>
      <c r="G1087" s="953" t="s">
        <v>58</v>
      </c>
      <c r="H1087" s="953" t="s">
        <v>4796</v>
      </c>
      <c r="I1087" s="953" t="s">
        <v>4797</v>
      </c>
      <c r="J1087" s="1403"/>
      <c r="K1087" s="1244">
        <v>22000000</v>
      </c>
      <c r="L1087" s="1413">
        <f t="shared" si="414"/>
        <v>2200000</v>
      </c>
      <c r="M1087" s="1403"/>
      <c r="N1087" s="1410">
        <f t="shared" si="415"/>
        <v>24200000</v>
      </c>
      <c r="O1087" s="1245"/>
      <c r="P1087" s="1245"/>
      <c r="Q1087" s="1246"/>
      <c r="R1087" s="1246"/>
      <c r="S1087" s="1413"/>
      <c r="T1087" s="1413"/>
      <c r="U1087" s="1086"/>
      <c r="V1087" s="1215"/>
      <c r="W1087" s="1203"/>
      <c r="X1087" s="1248"/>
      <c r="Y1087" s="1413"/>
      <c r="Z1087" s="1205"/>
      <c r="AA1087" s="1206"/>
      <c r="AB1087" s="1207"/>
      <c r="AC1087" s="1400"/>
      <c r="AD1087" s="1208"/>
      <c r="AE1087" s="1208"/>
      <c r="AF1087" s="1400"/>
      <c r="AG1087" s="1400"/>
      <c r="AH1087" s="1209"/>
      <c r="AI1087" s="1400"/>
      <c r="AJ1087" s="1209"/>
      <c r="AK1087" s="1404"/>
    </row>
    <row r="1088" spans="1:37" s="1405" customFormat="1" ht="12" customHeight="1">
      <c r="A1088" s="1390"/>
      <c r="B1088" s="1390" t="s">
        <v>241</v>
      </c>
      <c r="C1088" s="1390">
        <v>26</v>
      </c>
      <c r="D1088" s="1243" t="s">
        <v>206</v>
      </c>
      <c r="E1088" s="953" t="s">
        <v>354</v>
      </c>
      <c r="F1088" s="1519" t="s">
        <v>3879</v>
      </c>
      <c r="G1088" s="953" t="s">
        <v>58</v>
      </c>
      <c r="H1088" s="953" t="s">
        <v>4798</v>
      </c>
      <c r="I1088" s="953" t="s">
        <v>4799</v>
      </c>
      <c r="J1088" s="1403"/>
      <c r="K1088" s="1244">
        <v>22000000</v>
      </c>
      <c r="L1088" s="1413">
        <f t="shared" si="414"/>
        <v>2200000</v>
      </c>
      <c r="M1088" s="1403"/>
      <c r="N1088" s="1410">
        <f t="shared" si="415"/>
        <v>24200000</v>
      </c>
      <c r="O1088" s="1245"/>
      <c r="P1088" s="1245"/>
      <c r="Q1088" s="1246"/>
      <c r="R1088" s="1246"/>
      <c r="S1088" s="1413"/>
      <c r="T1088" s="1413"/>
      <c r="U1088" s="1086"/>
      <c r="V1088" s="1215"/>
      <c r="W1088" s="1203"/>
      <c r="X1088" s="1248"/>
      <c r="Y1088" s="1413"/>
      <c r="Z1088" s="1205"/>
      <c r="AA1088" s="1206"/>
      <c r="AB1088" s="1207"/>
      <c r="AC1088" s="1400"/>
      <c r="AD1088" s="1208"/>
      <c r="AE1088" s="1208"/>
      <c r="AF1088" s="1400"/>
      <c r="AG1088" s="1400"/>
      <c r="AH1088" s="1209"/>
      <c r="AI1088" s="1400"/>
      <c r="AJ1088" s="1209"/>
      <c r="AK1088" s="1404"/>
    </row>
    <row r="1089" spans="1:37" s="1405" customFormat="1" ht="12" customHeight="1">
      <c r="A1089" s="1390"/>
      <c r="B1089" s="1390" t="s">
        <v>241</v>
      </c>
      <c r="C1089" s="1390">
        <v>26</v>
      </c>
      <c r="D1089" s="1243" t="s">
        <v>206</v>
      </c>
      <c r="E1089" s="953" t="s">
        <v>354</v>
      </c>
      <c r="F1089" s="1519" t="s">
        <v>3882</v>
      </c>
      <c r="G1089" s="953" t="s">
        <v>58</v>
      </c>
      <c r="H1089" s="953" t="s">
        <v>4800</v>
      </c>
      <c r="I1089" s="953" t="s">
        <v>4801</v>
      </c>
      <c r="J1089" s="1403"/>
      <c r="K1089" s="1244">
        <v>22000000</v>
      </c>
      <c r="L1089" s="1413">
        <f t="shared" si="414"/>
        <v>2200000</v>
      </c>
      <c r="M1089" s="1403"/>
      <c r="N1089" s="1410">
        <f t="shared" si="415"/>
        <v>24200000</v>
      </c>
      <c r="O1089" s="1245"/>
      <c r="P1089" s="1245"/>
      <c r="Q1089" s="1246"/>
      <c r="R1089" s="1246"/>
      <c r="S1089" s="1413"/>
      <c r="T1089" s="1413"/>
      <c r="U1089" s="1086"/>
      <c r="V1089" s="1215"/>
      <c r="W1089" s="1203"/>
      <c r="X1089" s="1248"/>
      <c r="Y1089" s="1413"/>
      <c r="Z1089" s="1205"/>
      <c r="AA1089" s="1206"/>
      <c r="AB1089" s="1207"/>
      <c r="AC1089" s="1400"/>
      <c r="AD1089" s="1208"/>
      <c r="AE1089" s="1208"/>
      <c r="AF1089" s="1400"/>
      <c r="AG1089" s="1400"/>
      <c r="AH1089" s="1209"/>
      <c r="AI1089" s="1400"/>
      <c r="AJ1089" s="1209"/>
      <c r="AK1089" s="1404"/>
    </row>
    <row r="1090" spans="1:37" s="1405" customFormat="1" ht="12" customHeight="1">
      <c r="A1090" s="1390"/>
      <c r="B1090" s="1390" t="s">
        <v>241</v>
      </c>
      <c r="C1090" s="1390">
        <v>26</v>
      </c>
      <c r="D1090" s="1243" t="s">
        <v>206</v>
      </c>
      <c r="E1090" s="953" t="s">
        <v>354</v>
      </c>
      <c r="F1090" s="1519" t="s">
        <v>3885</v>
      </c>
      <c r="G1090" s="953" t="s">
        <v>58</v>
      </c>
      <c r="H1090" s="953" t="s">
        <v>4802</v>
      </c>
      <c r="I1090" s="953" t="s">
        <v>4803</v>
      </c>
      <c r="J1090" s="1403"/>
      <c r="K1090" s="1244">
        <v>22000000</v>
      </c>
      <c r="L1090" s="1413">
        <f t="shared" si="414"/>
        <v>2200000</v>
      </c>
      <c r="M1090" s="1403"/>
      <c r="N1090" s="1410">
        <f t="shared" si="415"/>
        <v>24200000</v>
      </c>
      <c r="O1090" s="1245"/>
      <c r="P1090" s="1245"/>
      <c r="Q1090" s="1246"/>
      <c r="R1090" s="1246"/>
      <c r="S1090" s="1413"/>
      <c r="T1090" s="1413"/>
      <c r="U1090" s="1086"/>
      <c r="V1090" s="1215"/>
      <c r="W1090" s="1203"/>
      <c r="X1090" s="1248"/>
      <c r="Y1090" s="1413"/>
      <c r="Z1090" s="1205"/>
      <c r="AA1090" s="1206"/>
      <c r="AB1090" s="1207"/>
      <c r="AC1090" s="1400"/>
      <c r="AD1090" s="1208"/>
      <c r="AE1090" s="1208"/>
      <c r="AF1090" s="1400"/>
      <c r="AG1090" s="1400"/>
      <c r="AH1090" s="1209"/>
      <c r="AI1090" s="1400"/>
      <c r="AJ1090" s="1209"/>
      <c r="AK1090" s="1404"/>
    </row>
    <row r="1091" spans="1:37" s="114" customFormat="1" ht="12" customHeight="1">
      <c r="A1091" s="1415"/>
      <c r="B1091" s="1415" t="s">
        <v>140</v>
      </c>
      <c r="C1091" s="1416">
        <v>8</v>
      </c>
      <c r="D1091" s="1417" t="s">
        <v>121</v>
      </c>
      <c r="E1091" s="1418" t="s">
        <v>355</v>
      </c>
      <c r="F1091" s="1505" t="s">
        <v>3414</v>
      </c>
      <c r="G1091" s="1418" t="s">
        <v>641</v>
      </c>
      <c r="H1091" s="1418" t="s">
        <v>3699</v>
      </c>
      <c r="I1091" s="1418" t="s">
        <v>3700</v>
      </c>
      <c r="J1091" s="1421"/>
      <c r="K1091" s="1419">
        <v>18000000</v>
      </c>
      <c r="L1091" s="1419">
        <f t="shared" si="366"/>
        <v>1800000</v>
      </c>
      <c r="M1091" s="1421"/>
      <c r="N1091" s="1420">
        <f t="shared" si="367"/>
        <v>19800000</v>
      </c>
      <c r="O1091" s="1245" t="s">
        <v>195</v>
      </c>
      <c r="P1091" s="1245" t="s">
        <v>102</v>
      </c>
      <c r="Q1091" s="677"/>
      <c r="R1091" s="677"/>
      <c r="S1091" s="1413">
        <v>0</v>
      </c>
      <c r="T1091" s="1413">
        <f t="shared" ref="T1091:T1093" si="416">-K1091*2%</f>
        <v>-360000</v>
      </c>
      <c r="U1091" s="194">
        <v>19440000</v>
      </c>
      <c r="V1091" s="1386"/>
      <c r="W1091" s="1380"/>
      <c r="X1091" s="1411" t="s">
        <v>237</v>
      </c>
      <c r="Y1091" s="1381"/>
      <c r="Z1091" s="1384"/>
      <c r="AA1091" s="1389"/>
      <c r="AB1091" s="1385"/>
      <c r="AC1091" s="1378"/>
      <c r="AD1091" s="1387"/>
      <c r="AE1091" s="1065"/>
      <c r="AF1091" s="1378"/>
      <c r="AG1091" s="1378"/>
      <c r="AH1091" s="1388"/>
      <c r="AI1091" s="1378"/>
      <c r="AJ1091" s="1388"/>
      <c r="AK1091" s="1379"/>
    </row>
    <row r="1092" spans="1:37" s="114" customFormat="1" ht="12" customHeight="1">
      <c r="A1092" s="1415"/>
      <c r="B1092" s="1415" t="s">
        <v>140</v>
      </c>
      <c r="C1092" s="1416">
        <v>8</v>
      </c>
      <c r="D1092" s="1417" t="s">
        <v>121</v>
      </c>
      <c r="E1092" s="1418" t="s">
        <v>355</v>
      </c>
      <c r="F1092" s="1505" t="s">
        <v>3234</v>
      </c>
      <c r="G1092" s="1418" t="s">
        <v>1616</v>
      </c>
      <c r="H1092" s="1418" t="s">
        <v>3701</v>
      </c>
      <c r="I1092" s="1418" t="s">
        <v>3702</v>
      </c>
      <c r="J1092" s="1421"/>
      <c r="K1092" s="1419">
        <v>39250000</v>
      </c>
      <c r="L1092" s="1419">
        <f t="shared" si="366"/>
        <v>3925000</v>
      </c>
      <c r="M1092" s="1421"/>
      <c r="N1092" s="1420">
        <f t="shared" si="367"/>
        <v>43175000</v>
      </c>
      <c r="O1092" s="1245" t="s">
        <v>195</v>
      </c>
      <c r="P1092" s="1245" t="s">
        <v>102</v>
      </c>
      <c r="Q1092" s="677"/>
      <c r="R1092" s="677"/>
      <c r="S1092" s="1413">
        <v>0</v>
      </c>
      <c r="T1092" s="1413">
        <f t="shared" si="416"/>
        <v>-785000</v>
      </c>
      <c r="U1092" s="194">
        <v>42390000</v>
      </c>
      <c r="V1092" s="1386"/>
      <c r="W1092" s="1380"/>
      <c r="X1092" s="1411" t="s">
        <v>237</v>
      </c>
      <c r="Y1092" s="1381"/>
      <c r="Z1092" s="1384"/>
      <c r="AA1092" s="1389"/>
      <c r="AB1092" s="1385"/>
      <c r="AC1092" s="1378"/>
      <c r="AD1092" s="1387"/>
      <c r="AE1092" s="1065"/>
      <c r="AF1092" s="1378"/>
      <c r="AG1092" s="1378"/>
      <c r="AH1092" s="1388"/>
      <c r="AI1092" s="1378"/>
      <c r="AJ1092" s="1388"/>
      <c r="AK1092" s="1379"/>
    </row>
    <row r="1093" spans="1:37" s="114" customFormat="1" ht="12" customHeight="1">
      <c r="A1093" s="1415"/>
      <c r="B1093" s="1415" t="s">
        <v>140</v>
      </c>
      <c r="C1093" s="1416">
        <v>8</v>
      </c>
      <c r="D1093" s="1417" t="s">
        <v>121</v>
      </c>
      <c r="E1093" s="1418" t="s">
        <v>355</v>
      </c>
      <c r="F1093" s="1505" t="s">
        <v>3753</v>
      </c>
      <c r="G1093" s="1418" t="s">
        <v>3703</v>
      </c>
      <c r="H1093" s="1418" t="s">
        <v>3704</v>
      </c>
      <c r="I1093" s="1418" t="s">
        <v>3705</v>
      </c>
      <c r="J1093" s="1421"/>
      <c r="K1093" s="1419">
        <v>46500000</v>
      </c>
      <c r="L1093" s="1419">
        <f t="shared" si="366"/>
        <v>4650000</v>
      </c>
      <c r="M1093" s="1421"/>
      <c r="N1093" s="1420">
        <f t="shared" si="367"/>
        <v>51150000</v>
      </c>
      <c r="O1093" s="1245" t="s">
        <v>195</v>
      </c>
      <c r="P1093" s="1245" t="s">
        <v>102</v>
      </c>
      <c r="Q1093" s="677"/>
      <c r="R1093" s="677"/>
      <c r="S1093" s="1413">
        <v>0</v>
      </c>
      <c r="T1093" s="1413">
        <f t="shared" si="416"/>
        <v>-930000</v>
      </c>
      <c r="U1093" s="194">
        <v>50220000</v>
      </c>
      <c r="V1093" s="1386"/>
      <c r="W1093" s="1380"/>
      <c r="X1093" s="1411" t="s">
        <v>237</v>
      </c>
      <c r="Y1093" s="1381"/>
      <c r="Z1093" s="1384"/>
      <c r="AA1093" s="1389"/>
      <c r="AB1093" s="1385"/>
      <c r="AC1093" s="1378"/>
      <c r="AD1093" s="1387"/>
      <c r="AE1093" s="1065"/>
      <c r="AF1093" s="1378"/>
      <c r="AG1093" s="1378"/>
      <c r="AH1093" s="1388"/>
      <c r="AI1093" s="1378"/>
      <c r="AJ1093" s="1388"/>
      <c r="AK1093" s="1379"/>
    </row>
    <row r="1094" spans="1:37" s="1439" customFormat="1" ht="12" customHeight="1">
      <c r="A1094" s="1415"/>
      <c r="B1094" s="1390" t="s">
        <v>140</v>
      </c>
      <c r="C1094" s="1400">
        <v>8</v>
      </c>
      <c r="D1094" s="1401" t="s">
        <v>121</v>
      </c>
      <c r="E1094" s="1409" t="s">
        <v>355</v>
      </c>
      <c r="F1094" s="1506" t="s">
        <v>3414</v>
      </c>
      <c r="G1094" s="1409" t="s">
        <v>1616</v>
      </c>
      <c r="H1094" s="1409" t="s">
        <v>3706</v>
      </c>
      <c r="I1094" s="1409" t="s">
        <v>3707</v>
      </c>
      <c r="J1094" s="1396"/>
      <c r="K1094" s="1413">
        <v>18000000</v>
      </c>
      <c r="L1094" s="1413">
        <f t="shared" si="366"/>
        <v>1800000</v>
      </c>
      <c r="M1094" s="1396"/>
      <c r="N1094" s="1410">
        <f t="shared" si="367"/>
        <v>19800000</v>
      </c>
      <c r="O1094" s="1313"/>
      <c r="P1094" s="1313"/>
      <c r="Q1094" s="1311"/>
      <c r="R1094" s="1311"/>
      <c r="S1094" s="1419">
        <v>0</v>
      </c>
      <c r="T1094" s="1419">
        <f t="shared" ref="T1094:T1117" si="417">-K1094*2%</f>
        <v>-360000</v>
      </c>
      <c r="U1094" s="1429">
        <v>19440000</v>
      </c>
      <c r="V1094" s="1430"/>
      <c r="W1094" s="1431"/>
      <c r="X1094" s="1432"/>
      <c r="Y1094" s="1419"/>
      <c r="Z1094" s="1433"/>
      <c r="AA1094" s="1434"/>
      <c r="AB1094" s="1435"/>
      <c r="AC1094" s="1416"/>
      <c r="AD1094" s="1436"/>
      <c r="AE1094" s="1436"/>
      <c r="AF1094" s="1416"/>
      <c r="AG1094" s="1416"/>
      <c r="AH1094" s="1437"/>
      <c r="AI1094" s="1416"/>
      <c r="AJ1094" s="1437"/>
      <c r="AK1094" s="1438"/>
    </row>
    <row r="1095" spans="1:37" s="1439" customFormat="1" ht="12" customHeight="1">
      <c r="A1095" s="1415"/>
      <c r="B1095" s="1415" t="s">
        <v>194</v>
      </c>
      <c r="C1095" s="1415">
        <v>15</v>
      </c>
      <c r="D1095" s="1417" t="s">
        <v>121</v>
      </c>
      <c r="E1095" s="1418" t="s">
        <v>355</v>
      </c>
      <c r="F1095" s="1505" t="s">
        <v>3234</v>
      </c>
      <c r="G1095" s="1239" t="s">
        <v>1617</v>
      </c>
      <c r="H1095" s="1239" t="s">
        <v>3906</v>
      </c>
      <c r="I1095" s="1239" t="s">
        <v>3907</v>
      </c>
      <c r="J1095" s="1421"/>
      <c r="K1095" s="1240">
        <v>39250000</v>
      </c>
      <c r="L1095" s="1419">
        <f t="shared" si="366"/>
        <v>3925000</v>
      </c>
      <c r="M1095" s="1421"/>
      <c r="N1095" s="1420">
        <f t="shared" si="367"/>
        <v>43175000</v>
      </c>
      <c r="O1095" s="1313" t="s">
        <v>239</v>
      </c>
      <c r="P1095" s="1313" t="s">
        <v>48</v>
      </c>
      <c r="Q1095" s="1311"/>
      <c r="R1095" s="1311"/>
      <c r="S1095" s="1413">
        <v>0</v>
      </c>
      <c r="T1095" s="1413">
        <f t="shared" si="417"/>
        <v>-785000</v>
      </c>
      <c r="U1095" s="1429">
        <v>42390000</v>
      </c>
      <c r="V1095" s="1430"/>
      <c r="W1095" s="1431"/>
      <c r="X1095" s="1432"/>
      <c r="Y1095" s="1419"/>
      <c r="Z1095" s="1433"/>
      <c r="AA1095" s="1434"/>
      <c r="AB1095" s="1435"/>
      <c r="AC1095" s="1416"/>
      <c r="AD1095" s="1436"/>
      <c r="AE1095" s="1436"/>
      <c r="AF1095" s="1416"/>
      <c r="AG1095" s="1416"/>
      <c r="AH1095" s="1437"/>
      <c r="AI1095" s="1416"/>
      <c r="AJ1095" s="1437"/>
      <c r="AK1095" s="1438"/>
    </row>
    <row r="1096" spans="1:37" s="1439" customFormat="1" ht="12" customHeight="1">
      <c r="A1096" s="1415"/>
      <c r="B1096" s="1415" t="s">
        <v>194</v>
      </c>
      <c r="C1096" s="1415">
        <v>15</v>
      </c>
      <c r="D1096" s="1417" t="s">
        <v>121</v>
      </c>
      <c r="E1096" s="1239" t="s">
        <v>355</v>
      </c>
      <c r="F1096" s="1520" t="s">
        <v>3908</v>
      </c>
      <c r="G1096" s="1239" t="s">
        <v>3909</v>
      </c>
      <c r="H1096" s="1239" t="s">
        <v>3910</v>
      </c>
      <c r="I1096" s="1239" t="s">
        <v>3911</v>
      </c>
      <c r="J1096" s="1421"/>
      <c r="K1096" s="1240">
        <v>24500000</v>
      </c>
      <c r="L1096" s="1419">
        <f t="shared" si="366"/>
        <v>2450000</v>
      </c>
      <c r="M1096" s="1421"/>
      <c r="N1096" s="1420">
        <f t="shared" si="367"/>
        <v>26950000</v>
      </c>
      <c r="O1096" s="1313" t="s">
        <v>239</v>
      </c>
      <c r="P1096" s="1313" t="s">
        <v>48</v>
      </c>
      <c r="Q1096" s="1311"/>
      <c r="R1096" s="1311"/>
      <c r="S1096" s="1413">
        <v>0</v>
      </c>
      <c r="T1096" s="1413">
        <f t="shared" si="417"/>
        <v>-490000</v>
      </c>
      <c r="U1096" s="1429">
        <v>26460000</v>
      </c>
      <c r="V1096" s="1430"/>
      <c r="W1096" s="1431"/>
      <c r="X1096" s="1432"/>
      <c r="Y1096" s="1419"/>
      <c r="Z1096" s="1433"/>
      <c r="AA1096" s="1434"/>
      <c r="AB1096" s="1435"/>
      <c r="AC1096" s="1416"/>
      <c r="AD1096" s="1436"/>
      <c r="AE1096" s="1436"/>
      <c r="AF1096" s="1416"/>
      <c r="AG1096" s="1416"/>
      <c r="AH1096" s="1437"/>
      <c r="AI1096" s="1416"/>
      <c r="AJ1096" s="1437"/>
      <c r="AK1096" s="1438"/>
    </row>
    <row r="1097" spans="1:37" s="1439" customFormat="1" ht="12" customHeight="1">
      <c r="A1097" s="1415"/>
      <c r="B1097" s="1415" t="s">
        <v>194</v>
      </c>
      <c r="C1097" s="1415">
        <v>15</v>
      </c>
      <c r="D1097" s="1417" t="s">
        <v>121</v>
      </c>
      <c r="E1097" s="1239" t="s">
        <v>355</v>
      </c>
      <c r="F1097" s="1505" t="s">
        <v>3414</v>
      </c>
      <c r="G1097" s="1239" t="s">
        <v>1617</v>
      </c>
      <c r="H1097" s="1239" t="s">
        <v>3912</v>
      </c>
      <c r="I1097" s="1239" t="s">
        <v>3913</v>
      </c>
      <c r="J1097" s="1421"/>
      <c r="K1097" s="1240">
        <v>18000000</v>
      </c>
      <c r="L1097" s="1419">
        <f t="shared" si="366"/>
        <v>1800000</v>
      </c>
      <c r="M1097" s="1421"/>
      <c r="N1097" s="1420">
        <f t="shared" si="367"/>
        <v>19800000</v>
      </c>
      <c r="O1097" s="1313" t="s">
        <v>239</v>
      </c>
      <c r="P1097" s="1313" t="s">
        <v>48</v>
      </c>
      <c r="Q1097" s="1311"/>
      <c r="R1097" s="1311"/>
      <c r="S1097" s="1413">
        <v>0</v>
      </c>
      <c r="T1097" s="1413">
        <f t="shared" si="417"/>
        <v>-360000</v>
      </c>
      <c r="U1097" s="194">
        <v>19440000</v>
      </c>
      <c r="V1097" s="1430"/>
      <c r="W1097" s="1431"/>
      <c r="X1097" s="1432"/>
      <c r="Y1097" s="1419"/>
      <c r="Z1097" s="1433"/>
      <c r="AA1097" s="1434"/>
      <c r="AB1097" s="1435"/>
      <c r="AC1097" s="1416"/>
      <c r="AD1097" s="1436"/>
      <c r="AE1097" s="1436"/>
      <c r="AF1097" s="1416"/>
      <c r="AG1097" s="1416"/>
      <c r="AH1097" s="1437"/>
      <c r="AI1097" s="1416"/>
      <c r="AJ1097" s="1437"/>
      <c r="AK1097" s="1438"/>
    </row>
    <row r="1098" spans="1:37" s="1439" customFormat="1" ht="12" customHeight="1">
      <c r="A1098" s="1415"/>
      <c r="B1098" s="1415" t="s">
        <v>195</v>
      </c>
      <c r="C1098" s="1415">
        <v>22</v>
      </c>
      <c r="D1098" s="1417" t="s">
        <v>121</v>
      </c>
      <c r="E1098" s="1239" t="s">
        <v>355</v>
      </c>
      <c r="F1098" s="1520" t="s">
        <v>4176</v>
      </c>
      <c r="G1098" s="1239" t="s">
        <v>4</v>
      </c>
      <c r="H1098" s="1239" t="s">
        <v>4177</v>
      </c>
      <c r="I1098" s="1239" t="s">
        <v>4178</v>
      </c>
      <c r="J1098" s="1421"/>
      <c r="K1098" s="1240">
        <v>17000000</v>
      </c>
      <c r="L1098" s="1419">
        <f t="shared" si="366"/>
        <v>1700000</v>
      </c>
      <c r="M1098" s="1421"/>
      <c r="N1098" s="1420">
        <f t="shared" si="367"/>
        <v>18700000</v>
      </c>
      <c r="O1098" s="1313" t="s">
        <v>58</v>
      </c>
      <c r="P1098" s="1313" t="s">
        <v>97</v>
      </c>
      <c r="Q1098" s="1311"/>
      <c r="R1098" s="1311"/>
      <c r="S1098" s="1413">
        <v>0</v>
      </c>
      <c r="T1098" s="1413">
        <f t="shared" si="417"/>
        <v>-340000</v>
      </c>
      <c r="U1098" s="1429">
        <v>18360000</v>
      </c>
      <c r="V1098" s="1430"/>
      <c r="W1098" s="1431"/>
      <c r="X1098" s="1432"/>
      <c r="Y1098" s="1419"/>
      <c r="Z1098" s="1433"/>
      <c r="AA1098" s="1434"/>
      <c r="AB1098" s="1435"/>
      <c r="AC1098" s="1416"/>
      <c r="AD1098" s="1436"/>
      <c r="AE1098" s="1436"/>
      <c r="AF1098" s="1416"/>
      <c r="AG1098" s="1416"/>
      <c r="AH1098" s="1437"/>
      <c r="AI1098" s="1416"/>
      <c r="AJ1098" s="1437"/>
      <c r="AK1098" s="1438"/>
    </row>
    <row r="1099" spans="1:37" s="1439" customFormat="1" ht="12" customHeight="1">
      <c r="A1099" s="1415"/>
      <c r="B1099" s="1415" t="s">
        <v>195</v>
      </c>
      <c r="C1099" s="1415">
        <v>22</v>
      </c>
      <c r="D1099" s="1417" t="s">
        <v>121</v>
      </c>
      <c r="E1099" s="1239" t="s">
        <v>355</v>
      </c>
      <c r="F1099" s="1520" t="s">
        <v>4179</v>
      </c>
      <c r="G1099" s="1239" t="s">
        <v>4</v>
      </c>
      <c r="H1099" s="1239" t="s">
        <v>4180</v>
      </c>
      <c r="I1099" s="1239" t="s">
        <v>4181</v>
      </c>
      <c r="J1099" s="1421"/>
      <c r="K1099" s="1240">
        <v>11000000</v>
      </c>
      <c r="L1099" s="1419">
        <f t="shared" si="366"/>
        <v>1100000</v>
      </c>
      <c r="M1099" s="1421"/>
      <c r="N1099" s="1420">
        <f t="shared" si="367"/>
        <v>12100000</v>
      </c>
      <c r="O1099" s="1313" t="s">
        <v>58</v>
      </c>
      <c r="P1099" s="1313" t="s">
        <v>97</v>
      </c>
      <c r="Q1099" s="1311"/>
      <c r="R1099" s="1311"/>
      <c r="S1099" s="1413">
        <v>0</v>
      </c>
      <c r="T1099" s="1413">
        <f t="shared" si="417"/>
        <v>-220000</v>
      </c>
      <c r="U1099" s="1429">
        <v>11880000</v>
      </c>
      <c r="V1099" s="1430"/>
      <c r="W1099" s="1431"/>
      <c r="X1099" s="1432"/>
      <c r="Y1099" s="1419"/>
      <c r="Z1099" s="1433"/>
      <c r="AA1099" s="1434"/>
      <c r="AB1099" s="1435"/>
      <c r="AC1099" s="1416"/>
      <c r="AD1099" s="1436"/>
      <c r="AE1099" s="1436"/>
      <c r="AF1099" s="1416"/>
      <c r="AG1099" s="1416"/>
      <c r="AH1099" s="1437"/>
      <c r="AI1099" s="1416"/>
      <c r="AJ1099" s="1437"/>
      <c r="AK1099" s="1438"/>
    </row>
    <row r="1100" spans="1:37" s="1439" customFormat="1" ht="12" customHeight="1">
      <c r="A1100" s="1415"/>
      <c r="B1100" s="1415" t="s">
        <v>195</v>
      </c>
      <c r="C1100" s="1415">
        <v>22</v>
      </c>
      <c r="D1100" s="1417" t="s">
        <v>121</v>
      </c>
      <c r="E1100" s="1239" t="s">
        <v>355</v>
      </c>
      <c r="F1100" s="1520" t="s">
        <v>4182</v>
      </c>
      <c r="G1100" s="1239" t="s">
        <v>4</v>
      </c>
      <c r="H1100" s="1239" t="s">
        <v>4183</v>
      </c>
      <c r="I1100" s="1239" t="s">
        <v>4184</v>
      </c>
      <c r="J1100" s="1421"/>
      <c r="K1100" s="1240">
        <v>16750000</v>
      </c>
      <c r="L1100" s="1419">
        <f t="shared" si="366"/>
        <v>1675000</v>
      </c>
      <c r="M1100" s="1421"/>
      <c r="N1100" s="1420">
        <f t="shared" si="367"/>
        <v>18425000</v>
      </c>
      <c r="O1100" s="1313" t="s">
        <v>58</v>
      </c>
      <c r="P1100" s="1313" t="s">
        <v>97</v>
      </c>
      <c r="Q1100" s="1311"/>
      <c r="R1100" s="1311"/>
      <c r="S1100" s="1413">
        <v>0</v>
      </c>
      <c r="T1100" s="1413">
        <f t="shared" si="417"/>
        <v>-335000</v>
      </c>
      <c r="U1100" s="1429">
        <v>18090000</v>
      </c>
      <c r="V1100" s="1430"/>
      <c r="W1100" s="1431"/>
      <c r="X1100" s="1432"/>
      <c r="Y1100" s="1419"/>
      <c r="Z1100" s="1433"/>
      <c r="AA1100" s="1434"/>
      <c r="AB1100" s="1435"/>
      <c r="AC1100" s="1416"/>
      <c r="AD1100" s="1436"/>
      <c r="AE1100" s="1436"/>
      <c r="AF1100" s="1416"/>
      <c r="AG1100" s="1416"/>
      <c r="AH1100" s="1437"/>
      <c r="AI1100" s="1416"/>
      <c r="AJ1100" s="1437"/>
      <c r="AK1100" s="1438"/>
    </row>
    <row r="1101" spans="1:37" s="1439" customFormat="1" ht="12" customHeight="1">
      <c r="A1101" s="1415"/>
      <c r="B1101" s="1415" t="s">
        <v>195</v>
      </c>
      <c r="C1101" s="1415">
        <v>22</v>
      </c>
      <c r="D1101" s="1417" t="s">
        <v>121</v>
      </c>
      <c r="E1101" s="1239" t="s">
        <v>355</v>
      </c>
      <c r="F1101" s="1520" t="s">
        <v>3908</v>
      </c>
      <c r="G1101" s="1239" t="s">
        <v>4185</v>
      </c>
      <c r="H1101" s="1239" t="s">
        <v>4186</v>
      </c>
      <c r="I1101" s="1239" t="s">
        <v>4187</v>
      </c>
      <c r="J1101" s="1421"/>
      <c r="K1101" s="1240">
        <v>24500000</v>
      </c>
      <c r="L1101" s="1419">
        <f t="shared" si="366"/>
        <v>2450000</v>
      </c>
      <c r="M1101" s="1421"/>
      <c r="N1101" s="1420">
        <f t="shared" si="367"/>
        <v>26950000</v>
      </c>
      <c r="O1101" s="1313" t="s">
        <v>58</v>
      </c>
      <c r="P1101" s="1313" t="s">
        <v>97</v>
      </c>
      <c r="Q1101" s="1311"/>
      <c r="R1101" s="1311"/>
      <c r="S1101" s="1413">
        <v>0</v>
      </c>
      <c r="T1101" s="1413">
        <f t="shared" si="417"/>
        <v>-490000</v>
      </c>
      <c r="U1101" s="1429">
        <v>26460000</v>
      </c>
      <c r="V1101" s="1430"/>
      <c r="W1101" s="1431"/>
      <c r="X1101" s="1432"/>
      <c r="Y1101" s="1419"/>
      <c r="Z1101" s="1433"/>
      <c r="AA1101" s="1434"/>
      <c r="AB1101" s="1435"/>
      <c r="AC1101" s="1416"/>
      <c r="AD1101" s="1436"/>
      <c r="AE1101" s="1436"/>
      <c r="AF1101" s="1416"/>
      <c r="AG1101" s="1416"/>
      <c r="AH1101" s="1437"/>
      <c r="AI1101" s="1416"/>
      <c r="AJ1101" s="1437"/>
      <c r="AK1101" s="1438"/>
    </row>
    <row r="1102" spans="1:37" s="1439" customFormat="1" ht="12" customHeight="1">
      <c r="A1102" s="1415"/>
      <c r="B1102" s="1415" t="s">
        <v>195</v>
      </c>
      <c r="C1102" s="1415">
        <v>22</v>
      </c>
      <c r="D1102" s="1417" t="s">
        <v>121</v>
      </c>
      <c r="E1102" s="1239" t="s">
        <v>355</v>
      </c>
      <c r="F1102" s="1505" t="s">
        <v>3414</v>
      </c>
      <c r="G1102" s="1239" t="s">
        <v>4</v>
      </c>
      <c r="H1102" s="1239" t="s">
        <v>4188</v>
      </c>
      <c r="I1102" s="1239" t="s">
        <v>4189</v>
      </c>
      <c r="J1102" s="1421"/>
      <c r="K1102" s="1240">
        <v>18000000</v>
      </c>
      <c r="L1102" s="1419">
        <f t="shared" si="366"/>
        <v>1800000</v>
      </c>
      <c r="M1102" s="1421"/>
      <c r="N1102" s="1420">
        <f t="shared" si="367"/>
        <v>19800000</v>
      </c>
      <c r="O1102" s="1313" t="s">
        <v>58</v>
      </c>
      <c r="P1102" s="1313" t="s">
        <v>97</v>
      </c>
      <c r="Q1102" s="1311"/>
      <c r="R1102" s="1311"/>
      <c r="S1102" s="1413">
        <v>0</v>
      </c>
      <c r="T1102" s="1413">
        <f t="shared" si="417"/>
        <v>-360000</v>
      </c>
      <c r="U1102" s="1429">
        <v>19440000</v>
      </c>
      <c r="V1102" s="1430"/>
      <c r="W1102" s="1431"/>
      <c r="X1102" s="1432"/>
      <c r="Y1102" s="1419"/>
      <c r="Z1102" s="1433"/>
      <c r="AA1102" s="1434"/>
      <c r="AB1102" s="1435"/>
      <c r="AC1102" s="1416"/>
      <c r="AD1102" s="1436"/>
      <c r="AE1102" s="1436"/>
      <c r="AF1102" s="1416"/>
      <c r="AG1102" s="1416"/>
      <c r="AH1102" s="1437"/>
      <c r="AI1102" s="1416"/>
      <c r="AJ1102" s="1437"/>
      <c r="AK1102" s="1438"/>
    </row>
    <row r="1103" spans="1:37" s="1439" customFormat="1" ht="12" customHeight="1">
      <c r="A1103" s="1415"/>
      <c r="B1103" s="1415" t="s">
        <v>239</v>
      </c>
      <c r="C1103" s="1415">
        <v>9</v>
      </c>
      <c r="D1103" s="1417" t="s">
        <v>121</v>
      </c>
      <c r="E1103" s="1239" t="s">
        <v>355</v>
      </c>
      <c r="F1103" s="1520" t="s">
        <v>4176</v>
      </c>
      <c r="G1103" s="1239" t="s">
        <v>379</v>
      </c>
      <c r="H1103" s="1239" t="s">
        <v>4287</v>
      </c>
      <c r="I1103" s="1239" t="s">
        <v>4288</v>
      </c>
      <c r="J1103" s="1421"/>
      <c r="K1103" s="1240">
        <v>17000000</v>
      </c>
      <c r="L1103" s="1419">
        <f t="shared" si="366"/>
        <v>1700000</v>
      </c>
      <c r="M1103" s="1421"/>
      <c r="N1103" s="1420">
        <f t="shared" si="367"/>
        <v>18700000</v>
      </c>
      <c r="O1103" s="1313" t="s">
        <v>58</v>
      </c>
      <c r="P1103" s="1313" t="s">
        <v>97</v>
      </c>
      <c r="Q1103" s="1311"/>
      <c r="R1103" s="1311"/>
      <c r="S1103" s="1413">
        <v>0</v>
      </c>
      <c r="T1103" s="1413">
        <f t="shared" si="417"/>
        <v>-340000</v>
      </c>
      <c r="U1103" s="1429">
        <v>18360000</v>
      </c>
      <c r="V1103" s="1430"/>
      <c r="W1103" s="1431"/>
      <c r="X1103" s="1432"/>
      <c r="Y1103" s="1419"/>
      <c r="Z1103" s="1433"/>
      <c r="AA1103" s="1434"/>
      <c r="AB1103" s="1435"/>
      <c r="AC1103" s="1416"/>
      <c r="AD1103" s="1436"/>
      <c r="AE1103" s="1436"/>
      <c r="AF1103" s="1416"/>
      <c r="AG1103" s="1416"/>
      <c r="AH1103" s="1437"/>
      <c r="AI1103" s="1416"/>
      <c r="AJ1103" s="1437"/>
      <c r="AK1103" s="1438"/>
    </row>
    <row r="1104" spans="1:37" s="1439" customFormat="1" ht="12" customHeight="1">
      <c r="A1104" s="1415"/>
      <c r="B1104" s="1415" t="s">
        <v>239</v>
      </c>
      <c r="C1104" s="1415">
        <v>9</v>
      </c>
      <c r="D1104" s="1417" t="s">
        <v>121</v>
      </c>
      <c r="E1104" s="1239" t="s">
        <v>355</v>
      </c>
      <c r="F1104" s="1520" t="s">
        <v>4179</v>
      </c>
      <c r="G1104" s="1239" t="s">
        <v>379</v>
      </c>
      <c r="H1104" s="1239" t="s">
        <v>4289</v>
      </c>
      <c r="I1104" s="1239" t="s">
        <v>4290</v>
      </c>
      <c r="J1104" s="1421"/>
      <c r="K1104" s="1240">
        <v>11000000</v>
      </c>
      <c r="L1104" s="1419">
        <f t="shared" si="366"/>
        <v>1100000</v>
      </c>
      <c r="M1104" s="1421"/>
      <c r="N1104" s="1420">
        <f t="shared" si="367"/>
        <v>12100000</v>
      </c>
      <c r="O1104" s="1313" t="s">
        <v>58</v>
      </c>
      <c r="P1104" s="1313" t="s">
        <v>97</v>
      </c>
      <c r="Q1104" s="1311"/>
      <c r="R1104" s="1311"/>
      <c r="S1104" s="1413">
        <v>0</v>
      </c>
      <c r="T1104" s="1413">
        <f t="shared" si="417"/>
        <v>-220000</v>
      </c>
      <c r="U1104" s="1429">
        <v>11880000</v>
      </c>
      <c r="V1104" s="1430"/>
      <c r="W1104" s="1431"/>
      <c r="X1104" s="1432"/>
      <c r="Y1104" s="1419"/>
      <c r="Z1104" s="1433"/>
      <c r="AA1104" s="1434"/>
      <c r="AB1104" s="1435"/>
      <c r="AC1104" s="1416"/>
      <c r="AD1104" s="1436"/>
      <c r="AE1104" s="1436"/>
      <c r="AF1104" s="1416"/>
      <c r="AG1104" s="1416"/>
      <c r="AH1104" s="1437"/>
      <c r="AI1104" s="1416"/>
      <c r="AJ1104" s="1437"/>
      <c r="AK1104" s="1438"/>
    </row>
    <row r="1105" spans="1:37" s="1439" customFormat="1" ht="12" customHeight="1">
      <c r="A1105" s="1415"/>
      <c r="B1105" s="1415" t="s">
        <v>239</v>
      </c>
      <c r="C1105" s="1415">
        <v>9</v>
      </c>
      <c r="D1105" s="1417" t="s">
        <v>121</v>
      </c>
      <c r="E1105" s="1239" t="s">
        <v>355</v>
      </c>
      <c r="F1105" s="1520" t="s">
        <v>4182</v>
      </c>
      <c r="G1105" s="1239" t="s">
        <v>379</v>
      </c>
      <c r="H1105" s="1239" t="s">
        <v>4291</v>
      </c>
      <c r="I1105" s="1239" t="s">
        <v>4292</v>
      </c>
      <c r="J1105" s="1421"/>
      <c r="K1105" s="1240">
        <v>16750000</v>
      </c>
      <c r="L1105" s="1419">
        <f t="shared" si="366"/>
        <v>1675000</v>
      </c>
      <c r="M1105" s="1421"/>
      <c r="N1105" s="1420">
        <f t="shared" si="367"/>
        <v>18425000</v>
      </c>
      <c r="O1105" s="1313" t="s">
        <v>58</v>
      </c>
      <c r="P1105" s="1313" t="s">
        <v>97</v>
      </c>
      <c r="Q1105" s="1311"/>
      <c r="R1105" s="1311"/>
      <c r="S1105" s="1413">
        <v>0</v>
      </c>
      <c r="T1105" s="1413">
        <f t="shared" si="417"/>
        <v>-335000</v>
      </c>
      <c r="U1105" s="1429">
        <v>18090000</v>
      </c>
      <c r="V1105" s="1430"/>
      <c r="W1105" s="1431"/>
      <c r="X1105" s="1432"/>
      <c r="Y1105" s="1419"/>
      <c r="Z1105" s="1433"/>
      <c r="AA1105" s="1434"/>
      <c r="AB1105" s="1435"/>
      <c r="AC1105" s="1416"/>
      <c r="AD1105" s="1436"/>
      <c r="AE1105" s="1436"/>
      <c r="AF1105" s="1416"/>
      <c r="AG1105" s="1416"/>
      <c r="AH1105" s="1437"/>
      <c r="AI1105" s="1416"/>
      <c r="AJ1105" s="1437"/>
      <c r="AK1105" s="1438"/>
    </row>
    <row r="1106" spans="1:37" s="1439" customFormat="1" ht="12" customHeight="1">
      <c r="A1106" s="1415"/>
      <c r="B1106" s="1415" t="s">
        <v>239</v>
      </c>
      <c r="C1106" s="1415">
        <v>9</v>
      </c>
      <c r="D1106" s="1417" t="s">
        <v>121</v>
      </c>
      <c r="E1106" s="1239" t="s">
        <v>355</v>
      </c>
      <c r="F1106" s="1520" t="s">
        <v>3908</v>
      </c>
      <c r="G1106" s="1239" t="s">
        <v>4293</v>
      </c>
      <c r="H1106" s="1239" t="s">
        <v>4294</v>
      </c>
      <c r="I1106" s="1239" t="s">
        <v>4295</v>
      </c>
      <c r="J1106" s="1421"/>
      <c r="K1106" s="1240">
        <v>24500000</v>
      </c>
      <c r="L1106" s="1419">
        <f t="shared" si="366"/>
        <v>2450000</v>
      </c>
      <c r="M1106" s="1421"/>
      <c r="N1106" s="1420">
        <f t="shared" si="367"/>
        <v>26950000</v>
      </c>
      <c r="O1106" s="1313" t="s">
        <v>58</v>
      </c>
      <c r="P1106" s="1313" t="s">
        <v>97</v>
      </c>
      <c r="Q1106" s="1311"/>
      <c r="R1106" s="1311"/>
      <c r="S1106" s="1413">
        <v>0</v>
      </c>
      <c r="T1106" s="1413">
        <f t="shared" si="417"/>
        <v>-490000</v>
      </c>
      <c r="U1106" s="1429">
        <v>26460000</v>
      </c>
      <c r="V1106" s="1430"/>
      <c r="W1106" s="1431"/>
      <c r="X1106" s="1432"/>
      <c r="Y1106" s="1419"/>
      <c r="Z1106" s="1433"/>
      <c r="AA1106" s="1434"/>
      <c r="AB1106" s="1435"/>
      <c r="AC1106" s="1416"/>
      <c r="AD1106" s="1436"/>
      <c r="AE1106" s="1436"/>
      <c r="AF1106" s="1416"/>
      <c r="AG1106" s="1416"/>
      <c r="AH1106" s="1437"/>
      <c r="AI1106" s="1416"/>
      <c r="AJ1106" s="1437"/>
      <c r="AK1106" s="1438"/>
    </row>
    <row r="1107" spans="1:37" s="1439" customFormat="1" ht="12" customHeight="1">
      <c r="A1107" s="1415"/>
      <c r="B1107" s="1415" t="s">
        <v>239</v>
      </c>
      <c r="C1107" s="1415">
        <v>9</v>
      </c>
      <c r="D1107" s="1417" t="s">
        <v>121</v>
      </c>
      <c r="E1107" s="1239" t="s">
        <v>355</v>
      </c>
      <c r="F1107" s="1505" t="s">
        <v>3414</v>
      </c>
      <c r="G1107" s="1239" t="s">
        <v>379</v>
      </c>
      <c r="H1107" s="1239" t="s">
        <v>4296</v>
      </c>
      <c r="I1107" s="1239" t="s">
        <v>4297</v>
      </c>
      <c r="J1107" s="1421"/>
      <c r="K1107" s="1240">
        <v>18000000</v>
      </c>
      <c r="L1107" s="1419">
        <f t="shared" si="366"/>
        <v>1800000</v>
      </c>
      <c r="M1107" s="1421"/>
      <c r="N1107" s="1420">
        <f t="shared" si="367"/>
        <v>19800000</v>
      </c>
      <c r="O1107" s="1313" t="s">
        <v>58</v>
      </c>
      <c r="P1107" s="1313" t="s">
        <v>97</v>
      </c>
      <c r="Q1107" s="1311"/>
      <c r="R1107" s="1311"/>
      <c r="S1107" s="1413">
        <v>0</v>
      </c>
      <c r="T1107" s="1413">
        <f t="shared" si="417"/>
        <v>-360000</v>
      </c>
      <c r="U1107" s="1429">
        <v>19440000</v>
      </c>
      <c r="V1107" s="1430"/>
      <c r="W1107" s="1431"/>
      <c r="X1107" s="1432"/>
      <c r="Y1107" s="1419"/>
      <c r="Z1107" s="1433"/>
      <c r="AA1107" s="1434"/>
      <c r="AB1107" s="1435"/>
      <c r="AC1107" s="1416"/>
      <c r="AD1107" s="1436"/>
      <c r="AE1107" s="1436"/>
      <c r="AF1107" s="1416"/>
      <c r="AG1107" s="1416"/>
      <c r="AH1107" s="1437"/>
      <c r="AI1107" s="1416"/>
      <c r="AJ1107" s="1437"/>
      <c r="AK1107" s="1438"/>
    </row>
    <row r="1108" spans="1:37" s="1439" customFormat="1" ht="12" customHeight="1">
      <c r="A1108" s="1415"/>
      <c r="B1108" s="1390" t="s">
        <v>240</v>
      </c>
      <c r="C1108" s="1390">
        <v>20</v>
      </c>
      <c r="D1108" s="1401" t="s">
        <v>121</v>
      </c>
      <c r="E1108" s="953" t="s">
        <v>355</v>
      </c>
      <c r="F1108" s="1519" t="s">
        <v>4176</v>
      </c>
      <c r="G1108" s="953" t="s">
        <v>5</v>
      </c>
      <c r="H1108" s="953" t="s">
        <v>4511</v>
      </c>
      <c r="I1108" s="953" t="s">
        <v>4512</v>
      </c>
      <c r="J1108" s="1403"/>
      <c r="K1108" s="1244">
        <v>17000000</v>
      </c>
      <c r="L1108" s="1413">
        <f t="shared" si="366"/>
        <v>1700000</v>
      </c>
      <c r="M1108" s="1403"/>
      <c r="N1108" s="1410">
        <f t="shared" si="367"/>
        <v>18700000</v>
      </c>
      <c r="O1108" s="1313"/>
      <c r="P1108" s="1313"/>
      <c r="Q1108" s="1311"/>
      <c r="R1108" s="1311"/>
      <c r="S1108" s="1419">
        <v>0</v>
      </c>
      <c r="T1108" s="1419">
        <f t="shared" si="417"/>
        <v>-340000</v>
      </c>
      <c r="U1108" s="1429"/>
      <c r="V1108" s="1430"/>
      <c r="W1108" s="1431"/>
      <c r="X1108" s="1432"/>
      <c r="Y1108" s="1419"/>
      <c r="Z1108" s="1433"/>
      <c r="AA1108" s="1434"/>
      <c r="AB1108" s="1435"/>
      <c r="AC1108" s="1416"/>
      <c r="AD1108" s="1436"/>
      <c r="AE1108" s="1436"/>
      <c r="AF1108" s="1416"/>
      <c r="AG1108" s="1416"/>
      <c r="AH1108" s="1437"/>
      <c r="AI1108" s="1416"/>
      <c r="AJ1108" s="1437"/>
      <c r="AK1108" s="1438"/>
    </row>
    <row r="1109" spans="1:37" s="1439" customFormat="1" ht="12" customHeight="1">
      <c r="A1109" s="1415"/>
      <c r="B1109" s="1390" t="s">
        <v>240</v>
      </c>
      <c r="C1109" s="1390">
        <v>20</v>
      </c>
      <c r="D1109" s="1401" t="s">
        <v>121</v>
      </c>
      <c r="E1109" s="953" t="s">
        <v>355</v>
      </c>
      <c r="F1109" s="1519" t="s">
        <v>4179</v>
      </c>
      <c r="G1109" s="953" t="s">
        <v>5</v>
      </c>
      <c r="H1109" s="953" t="s">
        <v>4513</v>
      </c>
      <c r="I1109" s="953" t="s">
        <v>4514</v>
      </c>
      <c r="J1109" s="1403"/>
      <c r="K1109" s="1244">
        <v>11000000</v>
      </c>
      <c r="L1109" s="1413">
        <f t="shared" si="366"/>
        <v>1100000</v>
      </c>
      <c r="M1109" s="1403"/>
      <c r="N1109" s="1410">
        <f t="shared" si="367"/>
        <v>12100000</v>
      </c>
      <c r="O1109" s="1313"/>
      <c r="P1109" s="1313"/>
      <c r="Q1109" s="1311"/>
      <c r="R1109" s="1311"/>
      <c r="S1109" s="1419">
        <v>0</v>
      </c>
      <c r="T1109" s="1419">
        <f t="shared" si="417"/>
        <v>-220000</v>
      </c>
      <c r="U1109" s="1429"/>
      <c r="V1109" s="1430"/>
      <c r="W1109" s="1431"/>
      <c r="X1109" s="1432"/>
      <c r="Y1109" s="1419"/>
      <c r="Z1109" s="1433"/>
      <c r="AA1109" s="1434"/>
      <c r="AB1109" s="1435"/>
      <c r="AC1109" s="1416"/>
      <c r="AD1109" s="1436"/>
      <c r="AE1109" s="1436"/>
      <c r="AF1109" s="1416"/>
      <c r="AG1109" s="1416"/>
      <c r="AH1109" s="1437"/>
      <c r="AI1109" s="1416"/>
      <c r="AJ1109" s="1437"/>
      <c r="AK1109" s="1438"/>
    </row>
    <row r="1110" spans="1:37" s="1439" customFormat="1" ht="12" customHeight="1">
      <c r="A1110" s="1415"/>
      <c r="B1110" s="1390" t="s">
        <v>240</v>
      </c>
      <c r="C1110" s="1390">
        <v>20</v>
      </c>
      <c r="D1110" s="1401" t="s">
        <v>121</v>
      </c>
      <c r="E1110" s="953" t="s">
        <v>355</v>
      </c>
      <c r="F1110" s="1519" t="s">
        <v>4182</v>
      </c>
      <c r="G1110" s="953" t="s">
        <v>5</v>
      </c>
      <c r="H1110" s="953" t="s">
        <v>4515</v>
      </c>
      <c r="I1110" s="953" t="s">
        <v>4516</v>
      </c>
      <c r="J1110" s="1403"/>
      <c r="K1110" s="1244">
        <v>16750000</v>
      </c>
      <c r="L1110" s="1413">
        <f t="shared" si="366"/>
        <v>1675000</v>
      </c>
      <c r="M1110" s="1403"/>
      <c r="N1110" s="1410">
        <f t="shared" si="367"/>
        <v>18425000</v>
      </c>
      <c r="O1110" s="1313"/>
      <c r="P1110" s="1313"/>
      <c r="Q1110" s="1311"/>
      <c r="R1110" s="1311"/>
      <c r="S1110" s="1419">
        <v>0</v>
      </c>
      <c r="T1110" s="1419">
        <f t="shared" si="417"/>
        <v>-335000</v>
      </c>
      <c r="U1110" s="1429"/>
      <c r="V1110" s="1430"/>
      <c r="W1110" s="1431"/>
      <c r="X1110" s="1432"/>
      <c r="Y1110" s="1419"/>
      <c r="Z1110" s="1433"/>
      <c r="AA1110" s="1434"/>
      <c r="AB1110" s="1435"/>
      <c r="AC1110" s="1416"/>
      <c r="AD1110" s="1436"/>
      <c r="AE1110" s="1436"/>
      <c r="AF1110" s="1416"/>
      <c r="AG1110" s="1416"/>
      <c r="AH1110" s="1437"/>
      <c r="AI1110" s="1416"/>
      <c r="AJ1110" s="1437"/>
      <c r="AK1110" s="1438"/>
    </row>
    <row r="1111" spans="1:37" s="1439" customFormat="1" ht="12" customHeight="1">
      <c r="A1111" s="1415"/>
      <c r="B1111" s="1390" t="s">
        <v>240</v>
      </c>
      <c r="C1111" s="1390">
        <v>20</v>
      </c>
      <c r="D1111" s="1401" t="s">
        <v>121</v>
      </c>
      <c r="E1111" s="953" t="s">
        <v>355</v>
      </c>
      <c r="F1111" s="1519" t="s">
        <v>3908</v>
      </c>
      <c r="G1111" s="953" t="s">
        <v>5</v>
      </c>
      <c r="H1111" s="953" t="s">
        <v>4517</v>
      </c>
      <c r="I1111" s="953" t="s">
        <v>4518</v>
      </c>
      <c r="J1111" s="1403"/>
      <c r="K1111" s="1244">
        <v>24500000</v>
      </c>
      <c r="L1111" s="1413">
        <f t="shared" si="366"/>
        <v>2450000</v>
      </c>
      <c r="M1111" s="1403"/>
      <c r="N1111" s="1410">
        <f t="shared" si="367"/>
        <v>26950000</v>
      </c>
      <c r="O1111" s="1313"/>
      <c r="P1111" s="1313"/>
      <c r="Q1111" s="1311"/>
      <c r="R1111" s="1311"/>
      <c r="S1111" s="1419">
        <v>0</v>
      </c>
      <c r="T1111" s="1419">
        <f t="shared" si="417"/>
        <v>-490000</v>
      </c>
      <c r="U1111" s="1429"/>
      <c r="V1111" s="1430"/>
      <c r="W1111" s="1431"/>
      <c r="X1111" s="1432"/>
      <c r="Y1111" s="1419"/>
      <c r="Z1111" s="1433"/>
      <c r="AA1111" s="1434"/>
      <c r="AB1111" s="1435"/>
      <c r="AC1111" s="1416"/>
      <c r="AD1111" s="1436"/>
      <c r="AE1111" s="1436"/>
      <c r="AF1111" s="1416"/>
      <c r="AG1111" s="1416"/>
      <c r="AH1111" s="1437"/>
      <c r="AI1111" s="1416"/>
      <c r="AJ1111" s="1437"/>
      <c r="AK1111" s="1438"/>
    </row>
    <row r="1112" spans="1:37" s="1439" customFormat="1" ht="12" customHeight="1">
      <c r="A1112" s="1415"/>
      <c r="B1112" s="1390" t="s">
        <v>240</v>
      </c>
      <c r="C1112" s="1390">
        <v>20</v>
      </c>
      <c r="D1112" s="1401" t="s">
        <v>121</v>
      </c>
      <c r="E1112" s="953" t="s">
        <v>355</v>
      </c>
      <c r="F1112" s="1506" t="s">
        <v>3414</v>
      </c>
      <c r="G1112" s="953" t="s">
        <v>5</v>
      </c>
      <c r="H1112" s="953" t="s">
        <v>4519</v>
      </c>
      <c r="I1112" s="953" t="s">
        <v>4520</v>
      </c>
      <c r="J1112" s="1403"/>
      <c r="K1112" s="1244">
        <v>18000000</v>
      </c>
      <c r="L1112" s="1413">
        <f t="shared" si="366"/>
        <v>1800000</v>
      </c>
      <c r="M1112" s="1403"/>
      <c r="N1112" s="1410">
        <f t="shared" si="367"/>
        <v>19800000</v>
      </c>
      <c r="O1112" s="1313"/>
      <c r="P1112" s="1313"/>
      <c r="Q1112" s="1311"/>
      <c r="R1112" s="1311"/>
      <c r="S1112" s="1419">
        <v>0</v>
      </c>
      <c r="T1112" s="1419">
        <f t="shared" si="417"/>
        <v>-360000</v>
      </c>
      <c r="U1112" s="1429"/>
      <c r="V1112" s="1430"/>
      <c r="W1112" s="1431"/>
      <c r="X1112" s="1432"/>
      <c r="Y1112" s="1419"/>
      <c r="Z1112" s="1433"/>
      <c r="AA1112" s="1434"/>
      <c r="AB1112" s="1435"/>
      <c r="AC1112" s="1416"/>
      <c r="AD1112" s="1436"/>
      <c r="AE1112" s="1436"/>
      <c r="AF1112" s="1416"/>
      <c r="AG1112" s="1416"/>
      <c r="AH1112" s="1437"/>
      <c r="AI1112" s="1416"/>
      <c r="AJ1112" s="1437"/>
      <c r="AK1112" s="1438"/>
    </row>
    <row r="1113" spans="1:37" s="114" customFormat="1" ht="12" customHeight="1">
      <c r="A1113" s="53"/>
      <c r="B1113" s="1390" t="s">
        <v>58</v>
      </c>
      <c r="C1113" s="1390">
        <v>24</v>
      </c>
      <c r="D1113" s="1401" t="s">
        <v>121</v>
      </c>
      <c r="E1113" s="953" t="s">
        <v>355</v>
      </c>
      <c r="F1113" s="1519" t="s">
        <v>4176</v>
      </c>
      <c r="G1113" s="953" t="s">
        <v>57</v>
      </c>
      <c r="H1113" s="953" t="s">
        <v>4664</v>
      </c>
      <c r="I1113" s="953" t="s">
        <v>4665</v>
      </c>
      <c r="J1113" s="1403"/>
      <c r="K1113" s="1244">
        <v>17000000</v>
      </c>
      <c r="L1113" s="1413">
        <f t="shared" si="366"/>
        <v>1700000</v>
      </c>
      <c r="M1113" s="1403"/>
      <c r="N1113" s="1410">
        <f t="shared" si="367"/>
        <v>18700000</v>
      </c>
      <c r="O1113" s="1245"/>
      <c r="P1113" s="1245"/>
      <c r="Q1113" s="677"/>
      <c r="R1113" s="677"/>
      <c r="S1113" s="1413"/>
      <c r="T1113" s="1413">
        <f t="shared" si="417"/>
        <v>-340000</v>
      </c>
      <c r="U1113" s="194"/>
      <c r="V1113" s="1386"/>
      <c r="W1113" s="1380"/>
      <c r="X1113" s="679"/>
      <c r="Y1113" s="1381"/>
      <c r="Z1113" s="1384"/>
      <c r="AA1113" s="1389"/>
      <c r="AB1113" s="1385"/>
      <c r="AC1113" s="1378"/>
      <c r="AD1113" s="1387"/>
      <c r="AE1113" s="1065"/>
      <c r="AF1113" s="1378"/>
      <c r="AG1113" s="1378"/>
      <c r="AH1113" s="1388"/>
      <c r="AI1113" s="1378"/>
      <c r="AJ1113" s="1388"/>
      <c r="AK1113" s="1379"/>
    </row>
    <row r="1114" spans="1:37" s="114" customFormat="1" ht="12" customHeight="1">
      <c r="A1114" s="53"/>
      <c r="B1114" s="1390" t="s">
        <v>58</v>
      </c>
      <c r="C1114" s="1390">
        <v>24</v>
      </c>
      <c r="D1114" s="1401" t="s">
        <v>121</v>
      </c>
      <c r="E1114" s="953" t="s">
        <v>355</v>
      </c>
      <c r="F1114" s="1519" t="s">
        <v>4179</v>
      </c>
      <c r="G1114" s="953" t="s">
        <v>57</v>
      </c>
      <c r="H1114" s="953" t="s">
        <v>4666</v>
      </c>
      <c r="I1114" s="953" t="s">
        <v>4667</v>
      </c>
      <c r="J1114" s="1403"/>
      <c r="K1114" s="1244">
        <v>11000000</v>
      </c>
      <c r="L1114" s="1413">
        <f t="shared" si="366"/>
        <v>1100000</v>
      </c>
      <c r="M1114" s="1403"/>
      <c r="N1114" s="1410">
        <f t="shared" si="367"/>
        <v>12100000</v>
      </c>
      <c r="O1114" s="1245"/>
      <c r="P1114" s="1245"/>
      <c r="Q1114" s="677"/>
      <c r="R1114" s="677"/>
      <c r="S1114" s="1413"/>
      <c r="T1114" s="1413">
        <f t="shared" si="417"/>
        <v>-220000</v>
      </c>
      <c r="U1114" s="194"/>
      <c r="V1114" s="1386"/>
      <c r="W1114" s="1380"/>
      <c r="X1114" s="679"/>
      <c r="Y1114" s="1381"/>
      <c r="Z1114" s="1384"/>
      <c r="AA1114" s="1389"/>
      <c r="AB1114" s="1385"/>
      <c r="AC1114" s="1378"/>
      <c r="AD1114" s="1387"/>
      <c r="AE1114" s="1065"/>
      <c r="AF1114" s="1378"/>
      <c r="AG1114" s="1378"/>
      <c r="AH1114" s="1388"/>
      <c r="AI1114" s="1378"/>
      <c r="AJ1114" s="1388"/>
      <c r="AK1114" s="1379"/>
    </row>
    <row r="1115" spans="1:37" s="114" customFormat="1" ht="12" customHeight="1">
      <c r="A1115" s="53"/>
      <c r="B1115" s="1390" t="s">
        <v>58</v>
      </c>
      <c r="C1115" s="1390">
        <v>24</v>
      </c>
      <c r="D1115" s="1401" t="s">
        <v>121</v>
      </c>
      <c r="E1115" s="953" t="s">
        <v>355</v>
      </c>
      <c r="F1115" s="1519" t="s">
        <v>4182</v>
      </c>
      <c r="G1115" s="953" t="s">
        <v>57</v>
      </c>
      <c r="H1115" s="953" t="s">
        <v>4668</v>
      </c>
      <c r="I1115" s="953"/>
      <c r="J1115" s="1403"/>
      <c r="K1115" s="1244">
        <v>16750000</v>
      </c>
      <c r="L1115" s="1413">
        <f t="shared" si="366"/>
        <v>1675000</v>
      </c>
      <c r="M1115" s="1403"/>
      <c r="N1115" s="1410">
        <f t="shared" si="367"/>
        <v>18425000</v>
      </c>
      <c r="O1115" s="1245"/>
      <c r="P1115" s="1245"/>
      <c r="Q1115" s="677"/>
      <c r="R1115" s="677"/>
      <c r="S1115" s="1413"/>
      <c r="T1115" s="1413">
        <f t="shared" si="417"/>
        <v>-335000</v>
      </c>
      <c r="U1115" s="194"/>
      <c r="V1115" s="1386"/>
      <c r="W1115" s="1380"/>
      <c r="X1115" s="679"/>
      <c r="Y1115" s="1381"/>
      <c r="Z1115" s="1384"/>
      <c r="AA1115" s="1389"/>
      <c r="AB1115" s="1385"/>
      <c r="AC1115" s="1378"/>
      <c r="AD1115" s="1387"/>
      <c r="AE1115" s="1065"/>
      <c r="AF1115" s="1378"/>
      <c r="AG1115" s="1378"/>
      <c r="AH1115" s="1388"/>
      <c r="AI1115" s="1378"/>
      <c r="AJ1115" s="1388"/>
      <c r="AK1115" s="1379"/>
    </row>
    <row r="1116" spans="1:37" s="114" customFormat="1" ht="12" customHeight="1">
      <c r="A1116" s="53"/>
      <c r="B1116" s="1390" t="s">
        <v>58</v>
      </c>
      <c r="C1116" s="1390">
        <v>24</v>
      </c>
      <c r="D1116" s="1401" t="s">
        <v>121</v>
      </c>
      <c r="E1116" s="953" t="s">
        <v>355</v>
      </c>
      <c r="F1116" s="1519" t="s">
        <v>3908</v>
      </c>
      <c r="G1116" s="953" t="s">
        <v>57</v>
      </c>
      <c r="H1116" s="953" t="s">
        <v>4669</v>
      </c>
      <c r="I1116" s="953" t="s">
        <v>4670</v>
      </c>
      <c r="J1116" s="1403"/>
      <c r="K1116" s="1244">
        <v>24500000</v>
      </c>
      <c r="L1116" s="1413">
        <f t="shared" si="366"/>
        <v>2450000</v>
      </c>
      <c r="M1116" s="1403"/>
      <c r="N1116" s="1410">
        <f t="shared" si="367"/>
        <v>26950000</v>
      </c>
      <c r="O1116" s="1245"/>
      <c r="P1116" s="1245"/>
      <c r="Q1116" s="677"/>
      <c r="R1116" s="677"/>
      <c r="S1116" s="1413"/>
      <c r="T1116" s="1413">
        <f t="shared" si="417"/>
        <v>-490000</v>
      </c>
      <c r="U1116" s="194"/>
      <c r="V1116" s="1386"/>
      <c r="W1116" s="1380"/>
      <c r="X1116" s="679"/>
      <c r="Y1116" s="1381"/>
      <c r="Z1116" s="1384"/>
      <c r="AA1116" s="1389"/>
      <c r="AB1116" s="1385"/>
      <c r="AC1116" s="1378"/>
      <c r="AD1116" s="1387"/>
      <c r="AE1116" s="1065"/>
      <c r="AF1116" s="1378"/>
      <c r="AG1116" s="1378"/>
      <c r="AH1116" s="1388"/>
      <c r="AI1116" s="1378"/>
      <c r="AJ1116" s="1388"/>
      <c r="AK1116" s="1379"/>
    </row>
    <row r="1117" spans="1:37" s="114" customFormat="1" ht="12" customHeight="1">
      <c r="A1117" s="53"/>
      <c r="B1117" s="1390" t="s">
        <v>58</v>
      </c>
      <c r="C1117" s="1390">
        <v>24</v>
      </c>
      <c r="D1117" s="1401" t="s">
        <v>121</v>
      </c>
      <c r="E1117" s="953" t="s">
        <v>355</v>
      </c>
      <c r="F1117" s="1506" t="s">
        <v>3414</v>
      </c>
      <c r="G1117" s="953" t="s">
        <v>57</v>
      </c>
      <c r="H1117" s="953" t="s">
        <v>4671</v>
      </c>
      <c r="I1117" s="953" t="s">
        <v>4672</v>
      </c>
      <c r="J1117" s="1403"/>
      <c r="K1117" s="1244">
        <v>18000000</v>
      </c>
      <c r="L1117" s="1413">
        <f t="shared" si="366"/>
        <v>1800000</v>
      </c>
      <c r="M1117" s="1403"/>
      <c r="N1117" s="1410">
        <f t="shared" si="367"/>
        <v>19800000</v>
      </c>
      <c r="O1117" s="1245"/>
      <c r="P1117" s="1245"/>
      <c r="Q1117" s="677"/>
      <c r="R1117" s="677"/>
      <c r="S1117" s="1413"/>
      <c r="T1117" s="1413">
        <f t="shared" si="417"/>
        <v>-360000</v>
      </c>
      <c r="U1117" s="194"/>
      <c r="V1117" s="1386"/>
      <c r="W1117" s="1380"/>
      <c r="X1117" s="679"/>
      <c r="Y1117" s="1381"/>
      <c r="Z1117" s="1384"/>
      <c r="AA1117" s="1389"/>
      <c r="AB1117" s="1385"/>
      <c r="AC1117" s="1378"/>
      <c r="AD1117" s="1387"/>
      <c r="AE1117" s="1065"/>
      <c r="AF1117" s="1378"/>
      <c r="AG1117" s="1378"/>
      <c r="AH1117" s="1388"/>
      <c r="AI1117" s="1378"/>
      <c r="AJ1117" s="1388"/>
      <c r="AK1117" s="1379"/>
    </row>
    <row r="1118" spans="1:37" s="114" customFormat="1" ht="12" customHeight="1">
      <c r="A1118" s="53"/>
      <c r="B1118" s="1390" t="s">
        <v>240</v>
      </c>
      <c r="C1118" s="1390">
        <v>16</v>
      </c>
      <c r="D1118" s="1243" t="s">
        <v>4479</v>
      </c>
      <c r="E1118" s="953" t="s">
        <v>354</v>
      </c>
      <c r="F1118" s="1519" t="s">
        <v>4480</v>
      </c>
      <c r="G1118" s="953" t="s">
        <v>4481</v>
      </c>
      <c r="H1118" s="953" t="s">
        <v>4482</v>
      </c>
      <c r="I1118" s="953" t="s">
        <v>4483</v>
      </c>
      <c r="J1118" s="1403"/>
      <c r="K1118" s="1244">
        <v>110400000</v>
      </c>
      <c r="L1118" s="1413">
        <f t="shared" si="366"/>
        <v>11040000</v>
      </c>
      <c r="M1118" s="1403"/>
      <c r="N1118" s="1410">
        <f t="shared" si="367"/>
        <v>121440000</v>
      </c>
      <c r="O1118" s="1245"/>
      <c r="P1118" s="1245"/>
      <c r="Q1118" s="677"/>
      <c r="R1118" s="677"/>
      <c r="S1118" s="1381"/>
      <c r="T1118" s="1381"/>
      <c r="U1118" s="194"/>
      <c r="V1118" s="1386"/>
      <c r="W1118" s="1380"/>
      <c r="X1118" s="679"/>
      <c r="Y1118" s="1381"/>
      <c r="Z1118" s="1384"/>
      <c r="AA1118" s="1389"/>
      <c r="AB1118" s="1385"/>
      <c r="AC1118" s="1378"/>
      <c r="AD1118" s="1387"/>
      <c r="AE1118" s="1065"/>
      <c r="AF1118" s="1378"/>
      <c r="AG1118" s="1378"/>
      <c r="AH1118" s="1388"/>
      <c r="AI1118" s="1378"/>
      <c r="AJ1118" s="1388"/>
      <c r="AK1118" s="1379"/>
    </row>
    <row r="1119" spans="1:37" s="114" customFormat="1" ht="12" customHeight="1">
      <c r="A1119" s="53"/>
      <c r="B1119" s="1390" t="s">
        <v>58</v>
      </c>
      <c r="C1119" s="1390">
        <v>24</v>
      </c>
      <c r="D1119" s="1243" t="s">
        <v>4479</v>
      </c>
      <c r="E1119" s="953" t="s">
        <v>354</v>
      </c>
      <c r="F1119" s="1519" t="s">
        <v>4480</v>
      </c>
      <c r="G1119" s="953" t="s">
        <v>4661</v>
      </c>
      <c r="H1119" s="953" t="s">
        <v>4662</v>
      </c>
      <c r="I1119" s="953" t="s">
        <v>4663</v>
      </c>
      <c r="J1119" s="1403"/>
      <c r="K1119" s="1244">
        <v>73600000</v>
      </c>
      <c r="L1119" s="1413">
        <f t="shared" si="366"/>
        <v>7360000</v>
      </c>
      <c r="M1119" s="1403"/>
      <c r="N1119" s="1410">
        <f t="shared" si="367"/>
        <v>80960000</v>
      </c>
      <c r="O1119" s="1245"/>
      <c r="P1119" s="1245"/>
      <c r="Q1119" s="677"/>
      <c r="R1119" s="677"/>
      <c r="S1119" s="1381"/>
      <c r="T1119" s="1381"/>
      <c r="U1119" s="194"/>
      <c r="V1119" s="1386"/>
      <c r="W1119" s="1380"/>
      <c r="X1119" s="679"/>
      <c r="Y1119" s="1381"/>
      <c r="Z1119" s="1384"/>
      <c r="AA1119" s="1389"/>
      <c r="AB1119" s="1385"/>
      <c r="AC1119" s="1378"/>
      <c r="AD1119" s="1387"/>
      <c r="AE1119" s="1065"/>
      <c r="AF1119" s="1378"/>
      <c r="AG1119" s="1378"/>
      <c r="AH1119" s="1388"/>
      <c r="AI1119" s="1378"/>
      <c r="AJ1119" s="1388"/>
      <c r="AK1119" s="1379"/>
    </row>
    <row r="1120" spans="1:37" s="114" customFormat="1" ht="12" customHeight="1">
      <c r="A1120" s="53"/>
      <c r="B1120" s="1390" t="s">
        <v>58</v>
      </c>
      <c r="C1120" s="1390">
        <v>24</v>
      </c>
      <c r="D1120" s="1243" t="s">
        <v>4656</v>
      </c>
      <c r="E1120" s="953" t="s">
        <v>354</v>
      </c>
      <c r="F1120" s="1519" t="s">
        <v>4657</v>
      </c>
      <c r="G1120" s="953" t="s">
        <v>4658</v>
      </c>
      <c r="H1120" s="953" t="s">
        <v>4659</v>
      </c>
      <c r="I1120" s="953" t="s">
        <v>4660</v>
      </c>
      <c r="J1120" s="1403"/>
      <c r="K1120" s="1244">
        <v>40000000</v>
      </c>
      <c r="L1120" s="1413">
        <f t="shared" si="366"/>
        <v>4000000</v>
      </c>
      <c r="M1120" s="1403"/>
      <c r="N1120" s="1410">
        <f t="shared" si="367"/>
        <v>44000000</v>
      </c>
      <c r="O1120" s="1245"/>
      <c r="P1120" s="1245"/>
      <c r="Q1120" s="677"/>
      <c r="R1120" s="677"/>
      <c r="S1120" s="1413">
        <v>0</v>
      </c>
      <c r="T1120" s="1413">
        <f t="shared" ref="T1120" si="418">-K1120*2%</f>
        <v>-800000</v>
      </c>
      <c r="U1120" s="194"/>
      <c r="V1120" s="1386"/>
      <c r="W1120" s="1380"/>
      <c r="X1120" s="679"/>
      <c r="Y1120" s="1381"/>
      <c r="Z1120" s="1384"/>
      <c r="AA1120" s="1389"/>
      <c r="AB1120" s="1385"/>
      <c r="AC1120" s="1378"/>
      <c r="AD1120" s="1387"/>
      <c r="AE1120" s="1065"/>
      <c r="AF1120" s="1378"/>
      <c r="AG1120" s="1378"/>
      <c r="AH1120" s="1388"/>
      <c r="AI1120" s="1378"/>
      <c r="AJ1120" s="1388"/>
      <c r="AK1120" s="1379"/>
    </row>
    <row r="1121" spans="1:37" s="114" customFormat="1" ht="12" customHeight="1">
      <c r="A1121" s="1415"/>
      <c r="B1121" s="1415" t="s">
        <v>194</v>
      </c>
      <c r="C1121" s="1415">
        <v>15</v>
      </c>
      <c r="D1121" s="1238" t="s">
        <v>151</v>
      </c>
      <c r="E1121" s="1239" t="s">
        <v>354</v>
      </c>
      <c r="F1121" s="1520" t="s">
        <v>3892</v>
      </c>
      <c r="G1121" s="1239" t="s">
        <v>1617</v>
      </c>
      <c r="H1121" s="1239" t="s">
        <v>3893</v>
      </c>
      <c r="I1121" s="1239" t="s">
        <v>3894</v>
      </c>
      <c r="J1121" s="1421"/>
      <c r="K1121" s="1240">
        <v>22000000</v>
      </c>
      <c r="L1121" s="1419">
        <f t="shared" si="366"/>
        <v>2200000</v>
      </c>
      <c r="M1121" s="1421"/>
      <c r="N1121" s="1420">
        <f t="shared" si="367"/>
        <v>24200000</v>
      </c>
      <c r="O1121" s="1245" t="s">
        <v>239</v>
      </c>
      <c r="P1121" s="1245" t="s">
        <v>19</v>
      </c>
      <c r="Q1121" s="677"/>
      <c r="R1121" s="677"/>
      <c r="S1121" s="1413">
        <v>0</v>
      </c>
      <c r="T1121" s="1413">
        <f t="shared" ref="T1121" si="419">-K1121*2%</f>
        <v>-440000</v>
      </c>
      <c r="U1121" s="1413">
        <v>23760000</v>
      </c>
      <c r="V1121" s="210"/>
      <c r="W1121" s="115"/>
      <c r="X1121" s="679"/>
      <c r="Y1121" s="116"/>
      <c r="Z1121" s="185"/>
      <c r="AA1121" s="592"/>
      <c r="AB1121" s="186"/>
      <c r="AC1121" s="9"/>
      <c r="AD1121" s="297"/>
      <c r="AE1121" s="1065"/>
      <c r="AF1121" s="9"/>
      <c r="AG1121" s="9"/>
      <c r="AH1121" s="300"/>
      <c r="AI1121" s="9"/>
      <c r="AJ1121" s="300"/>
      <c r="AK1121" s="73"/>
    </row>
    <row r="1122" spans="1:37" s="114" customFormat="1" ht="12" customHeight="1">
      <c r="A1122" s="1415"/>
      <c r="B1122" s="1415" t="s">
        <v>195</v>
      </c>
      <c r="C1122" s="1415">
        <v>12</v>
      </c>
      <c r="D1122" s="1238" t="s">
        <v>151</v>
      </c>
      <c r="E1122" s="1239" t="s">
        <v>354</v>
      </c>
      <c r="F1122" s="1520" t="s">
        <v>3892</v>
      </c>
      <c r="G1122" s="1239" t="s">
        <v>4</v>
      </c>
      <c r="H1122" s="1239" t="s">
        <v>4060</v>
      </c>
      <c r="I1122" s="1239" t="s">
        <v>4061</v>
      </c>
      <c r="J1122" s="1421"/>
      <c r="K1122" s="1240">
        <v>22000000</v>
      </c>
      <c r="L1122" s="1419">
        <f t="shared" si="366"/>
        <v>2200000</v>
      </c>
      <c r="M1122" s="1421"/>
      <c r="N1122" s="1420">
        <f t="shared" si="367"/>
        <v>24200000</v>
      </c>
      <c r="O1122" s="1245" t="s">
        <v>239</v>
      </c>
      <c r="P1122" s="1245" t="s">
        <v>88</v>
      </c>
      <c r="Q1122" s="677"/>
      <c r="R1122" s="677"/>
      <c r="S1122" s="1413">
        <v>0</v>
      </c>
      <c r="T1122" s="1413">
        <f t="shared" ref="T1122" si="420">-K1122*2%</f>
        <v>-440000</v>
      </c>
      <c r="U1122" s="1413">
        <v>23760000</v>
      </c>
      <c r="V1122" s="1386"/>
      <c r="W1122" s="1380"/>
      <c r="X1122" s="679"/>
      <c r="Y1122" s="1381"/>
      <c r="Z1122" s="1384"/>
      <c r="AA1122" s="1389"/>
      <c r="AB1122" s="1385"/>
      <c r="AC1122" s="1378"/>
      <c r="AD1122" s="1387"/>
      <c r="AE1122" s="1065"/>
      <c r="AF1122" s="1378"/>
      <c r="AG1122" s="1378"/>
      <c r="AH1122" s="1388"/>
      <c r="AI1122" s="1378"/>
      <c r="AJ1122" s="1388"/>
      <c r="AK1122" s="1379"/>
    </row>
    <row r="1123" spans="1:37" s="114" customFormat="1" ht="12" customHeight="1">
      <c r="A1123" s="1415"/>
      <c r="B1123" s="1415" t="s">
        <v>239</v>
      </c>
      <c r="C1123" s="1415">
        <v>2</v>
      </c>
      <c r="D1123" s="1238" t="s">
        <v>151</v>
      </c>
      <c r="E1123" s="1239" t="s">
        <v>354</v>
      </c>
      <c r="F1123" s="1520" t="s">
        <v>3892</v>
      </c>
      <c r="G1123" s="1239" t="s">
        <v>379</v>
      </c>
      <c r="H1123" s="1239" t="s">
        <v>4221</v>
      </c>
      <c r="I1123" s="1239" t="s">
        <v>4222</v>
      </c>
      <c r="J1123" s="1421"/>
      <c r="K1123" s="1240">
        <v>22000000</v>
      </c>
      <c r="L1123" s="1419">
        <f t="shared" si="366"/>
        <v>2200000</v>
      </c>
      <c r="M1123" s="1421"/>
      <c r="N1123" s="1420">
        <f t="shared" si="367"/>
        <v>24200000</v>
      </c>
      <c r="O1123" s="1245" t="s">
        <v>240</v>
      </c>
      <c r="P1123" s="1245" t="s">
        <v>114</v>
      </c>
      <c r="Q1123" s="677"/>
      <c r="R1123" s="677"/>
      <c r="S1123" s="1413">
        <v>0</v>
      </c>
      <c r="T1123" s="1413">
        <f t="shared" ref="T1123" si="421">-K1123*2%</f>
        <v>-440000</v>
      </c>
      <c r="U1123" s="1413">
        <v>23760000</v>
      </c>
      <c r="V1123" s="1386"/>
      <c r="W1123" s="1380"/>
      <c r="X1123" s="679"/>
      <c r="Y1123" s="1381"/>
      <c r="Z1123" s="1384"/>
      <c r="AA1123" s="1389"/>
      <c r="AB1123" s="1385"/>
      <c r="AC1123" s="1378"/>
      <c r="AD1123" s="1387"/>
      <c r="AE1123" s="1065"/>
      <c r="AF1123" s="1378"/>
      <c r="AG1123" s="1378"/>
      <c r="AH1123" s="1388"/>
      <c r="AI1123" s="1378"/>
      <c r="AJ1123" s="1388"/>
      <c r="AK1123" s="1379"/>
    </row>
    <row r="1124" spans="1:37" s="1439" customFormat="1" ht="12" customHeight="1">
      <c r="A1124" s="1415"/>
      <c r="B1124" s="1415" t="s">
        <v>240</v>
      </c>
      <c r="C1124" s="1415">
        <v>10</v>
      </c>
      <c r="D1124" s="1238" t="s">
        <v>151</v>
      </c>
      <c r="E1124" s="1239" t="s">
        <v>354</v>
      </c>
      <c r="F1124" s="1520" t="s">
        <v>3892</v>
      </c>
      <c r="G1124" s="1239" t="s">
        <v>5</v>
      </c>
      <c r="H1124" s="1239" t="s">
        <v>4476</v>
      </c>
      <c r="I1124" s="1239" t="s">
        <v>4477</v>
      </c>
      <c r="J1124" s="1421"/>
      <c r="K1124" s="1240">
        <v>22000000</v>
      </c>
      <c r="L1124" s="1419">
        <f t="shared" si="366"/>
        <v>2200000</v>
      </c>
      <c r="M1124" s="1421"/>
      <c r="N1124" s="1420">
        <f t="shared" si="367"/>
        <v>24200000</v>
      </c>
      <c r="O1124" s="1313" t="s">
        <v>59</v>
      </c>
      <c r="P1124" s="1313" t="s">
        <v>42</v>
      </c>
      <c r="Q1124" s="1311"/>
      <c r="R1124" s="1311"/>
      <c r="S1124" s="1413">
        <v>0</v>
      </c>
      <c r="T1124" s="1413">
        <f t="shared" ref="T1124" si="422">-K1124*2%</f>
        <v>-440000</v>
      </c>
      <c r="U1124" s="1413">
        <v>23760000</v>
      </c>
      <c r="V1124" s="1430"/>
      <c r="W1124" s="1431"/>
      <c r="X1124" s="1432"/>
      <c r="Y1124" s="1419"/>
      <c r="Z1124" s="1433"/>
      <c r="AA1124" s="1434"/>
      <c r="AB1124" s="1435"/>
      <c r="AC1124" s="1416"/>
      <c r="AD1124" s="1436"/>
      <c r="AE1124" s="1436"/>
      <c r="AF1124" s="1416"/>
      <c r="AG1124" s="1416"/>
      <c r="AH1124" s="1437"/>
      <c r="AI1124" s="1416"/>
      <c r="AJ1124" s="1437"/>
      <c r="AK1124" s="1438"/>
    </row>
    <row r="1125" spans="1:37" s="1439" customFormat="1" ht="12" customHeight="1">
      <c r="A1125" s="1415"/>
      <c r="B1125" s="1390" t="s">
        <v>58</v>
      </c>
      <c r="C1125" s="1390">
        <v>17</v>
      </c>
      <c r="D1125" s="1243" t="s">
        <v>151</v>
      </c>
      <c r="E1125" s="953" t="s">
        <v>354</v>
      </c>
      <c r="F1125" s="1519" t="s">
        <v>3892</v>
      </c>
      <c r="G1125" s="953" t="s">
        <v>57</v>
      </c>
      <c r="H1125" s="953" t="s">
        <v>4639</v>
      </c>
      <c r="I1125" s="953" t="s">
        <v>4640</v>
      </c>
      <c r="J1125" s="1403"/>
      <c r="K1125" s="1244">
        <v>22000000</v>
      </c>
      <c r="L1125" s="1413">
        <f t="shared" si="366"/>
        <v>2200000</v>
      </c>
      <c r="M1125" s="1403"/>
      <c r="N1125" s="1410">
        <f t="shared" si="367"/>
        <v>24200000</v>
      </c>
      <c r="O1125" s="1313"/>
      <c r="P1125" s="1313"/>
      <c r="Q1125" s="1311"/>
      <c r="R1125" s="1311"/>
      <c r="S1125" s="1419"/>
      <c r="T1125" s="1419"/>
      <c r="U1125" s="1419"/>
      <c r="V1125" s="1430"/>
      <c r="W1125" s="1431"/>
      <c r="X1125" s="1432"/>
      <c r="Y1125" s="1419"/>
      <c r="Z1125" s="1433"/>
      <c r="AA1125" s="1434"/>
      <c r="AB1125" s="1435"/>
      <c r="AC1125" s="1416"/>
      <c r="AD1125" s="1436"/>
      <c r="AE1125" s="1436"/>
      <c r="AF1125" s="1416"/>
      <c r="AG1125" s="1416"/>
      <c r="AH1125" s="1437"/>
      <c r="AI1125" s="1416"/>
      <c r="AJ1125" s="1437"/>
      <c r="AK1125" s="1438"/>
    </row>
    <row r="1126" spans="1:37" s="1405" customFormat="1" ht="12" customHeight="1">
      <c r="A1126" s="1390"/>
      <c r="B1126" s="1390" t="s">
        <v>241</v>
      </c>
      <c r="C1126" s="1390">
        <v>26</v>
      </c>
      <c r="D1126" s="1243" t="s">
        <v>151</v>
      </c>
      <c r="E1126" s="953" t="s">
        <v>354</v>
      </c>
      <c r="F1126" s="1519" t="s">
        <v>3892</v>
      </c>
      <c r="G1126" s="953" t="s">
        <v>58</v>
      </c>
      <c r="H1126" s="953" t="s">
        <v>4811</v>
      </c>
      <c r="I1126" s="953" t="s">
        <v>4812</v>
      </c>
      <c r="J1126" s="1403"/>
      <c r="K1126" s="1244">
        <v>22000000</v>
      </c>
      <c r="L1126" s="1413">
        <f t="shared" si="366"/>
        <v>2200000</v>
      </c>
      <c r="M1126" s="1403"/>
      <c r="N1126" s="1410">
        <f t="shared" si="367"/>
        <v>24200000</v>
      </c>
      <c r="O1126" s="1245"/>
      <c r="P1126" s="1245"/>
      <c r="Q1126" s="1246"/>
      <c r="R1126" s="1246"/>
      <c r="S1126" s="1413"/>
      <c r="T1126" s="1413"/>
      <c r="U1126" s="1413"/>
      <c r="V1126" s="1215"/>
      <c r="W1126" s="1203"/>
      <c r="X1126" s="1248"/>
      <c r="Y1126" s="1413"/>
      <c r="Z1126" s="1205"/>
      <c r="AA1126" s="1206"/>
      <c r="AB1126" s="1207"/>
      <c r="AC1126" s="1400"/>
      <c r="AD1126" s="1208"/>
      <c r="AE1126" s="1208"/>
      <c r="AF1126" s="1400"/>
      <c r="AG1126" s="1400"/>
      <c r="AH1126" s="1209"/>
      <c r="AI1126" s="1400"/>
      <c r="AJ1126" s="1209"/>
      <c r="AK1126" s="1404"/>
    </row>
    <row r="1127" spans="1:37" s="1211" customFormat="1" ht="12" customHeight="1">
      <c r="A1127" s="1415"/>
      <c r="B1127" s="1415" t="s">
        <v>140</v>
      </c>
      <c r="C1127" s="1416">
        <v>4</v>
      </c>
      <c r="D1127" s="1417" t="s">
        <v>117</v>
      </c>
      <c r="E1127" s="1418" t="s">
        <v>354</v>
      </c>
      <c r="F1127" s="1505" t="s">
        <v>3114</v>
      </c>
      <c r="G1127" s="1418" t="s">
        <v>1616</v>
      </c>
      <c r="H1127" s="1418" t="s">
        <v>3634</v>
      </c>
      <c r="I1127" s="1418" t="s">
        <v>3635</v>
      </c>
      <c r="J1127" s="1421"/>
      <c r="K1127" s="1419">
        <v>22000000</v>
      </c>
      <c r="L1127" s="1419">
        <f t="shared" si="366"/>
        <v>2200000</v>
      </c>
      <c r="M1127" s="1421"/>
      <c r="N1127" s="1420">
        <f t="shared" si="367"/>
        <v>24200000</v>
      </c>
      <c r="O1127" s="1414" t="s">
        <v>194</v>
      </c>
      <c r="P1127" s="1414" t="s">
        <v>18</v>
      </c>
      <c r="Q1127" s="1308"/>
      <c r="R1127" s="1214"/>
      <c r="S1127" s="1402">
        <v>0</v>
      </c>
      <c r="T1127" s="1402">
        <f t="shared" ref="T1127" si="423">-K1127*2%</f>
        <v>-440000</v>
      </c>
      <c r="U1127" s="762">
        <v>23760000</v>
      </c>
      <c r="V1127" s="1215"/>
      <c r="W1127" s="1203"/>
      <c r="X1127" s="1411" t="s">
        <v>237</v>
      </c>
      <c r="Y1127" s="762"/>
      <c r="Z1127" s="1205"/>
      <c r="AA1127" s="1206"/>
      <c r="AB1127" s="1207"/>
      <c r="AC1127" s="759"/>
      <c r="AD1127" s="1208"/>
      <c r="AE1127" s="1208"/>
      <c r="AF1127" s="759"/>
      <c r="AG1127" s="759"/>
      <c r="AH1127" s="1209"/>
      <c r="AI1127" s="759"/>
      <c r="AJ1127" s="1209"/>
      <c r="AK1127" s="1210"/>
    </row>
    <row r="1128" spans="1:37" s="1211" customFormat="1" ht="12" customHeight="1">
      <c r="A1128" s="1415"/>
      <c r="B1128" s="1415" t="s">
        <v>140</v>
      </c>
      <c r="C1128" s="1416">
        <v>4</v>
      </c>
      <c r="D1128" s="1417" t="s">
        <v>117</v>
      </c>
      <c r="E1128" s="1418" t="s">
        <v>354</v>
      </c>
      <c r="F1128" s="1505" t="s">
        <v>3115</v>
      </c>
      <c r="G1128" s="1418" t="s">
        <v>1616</v>
      </c>
      <c r="H1128" s="1418" t="s">
        <v>3636</v>
      </c>
      <c r="I1128" s="1418" t="s">
        <v>3637</v>
      </c>
      <c r="J1128" s="1421"/>
      <c r="K1128" s="1419">
        <v>22000000</v>
      </c>
      <c r="L1128" s="1419">
        <f t="shared" si="366"/>
        <v>2200000</v>
      </c>
      <c r="M1128" s="1421"/>
      <c r="N1128" s="1420">
        <f t="shared" si="367"/>
        <v>24200000</v>
      </c>
      <c r="O1128" s="1414" t="s">
        <v>194</v>
      </c>
      <c r="P1128" s="1414" t="s">
        <v>18</v>
      </c>
      <c r="Q1128" s="1308"/>
      <c r="R1128" s="1214"/>
      <c r="S1128" s="1402">
        <v>0</v>
      </c>
      <c r="T1128" s="1402">
        <f t="shared" ref="T1128" si="424">-K1128*2%</f>
        <v>-440000</v>
      </c>
      <c r="U1128" s="1413">
        <v>23760000</v>
      </c>
      <c r="V1128" s="1215"/>
      <c r="W1128" s="1203"/>
      <c r="X1128" s="1411" t="s">
        <v>237</v>
      </c>
      <c r="Y1128" s="762"/>
      <c r="Z1128" s="1205"/>
      <c r="AA1128" s="1206"/>
      <c r="AB1128" s="1207"/>
      <c r="AC1128" s="759"/>
      <c r="AD1128" s="1208"/>
      <c r="AE1128" s="1208"/>
      <c r="AF1128" s="759"/>
      <c r="AG1128" s="759"/>
      <c r="AH1128" s="1209"/>
      <c r="AI1128" s="759"/>
      <c r="AJ1128" s="1209"/>
      <c r="AK1128" s="1210"/>
    </row>
    <row r="1129" spans="1:37" s="114" customFormat="1" ht="12" customHeight="1">
      <c r="A1129" s="1415"/>
      <c r="B1129" s="1415" t="s">
        <v>194</v>
      </c>
      <c r="C1129" s="1415">
        <v>15</v>
      </c>
      <c r="D1129" s="1417" t="s">
        <v>117</v>
      </c>
      <c r="E1129" s="1418" t="s">
        <v>354</v>
      </c>
      <c r="F1129" s="1505" t="s">
        <v>3114</v>
      </c>
      <c r="G1129" s="1239" t="s">
        <v>1617</v>
      </c>
      <c r="H1129" s="1239" t="s">
        <v>3888</v>
      </c>
      <c r="I1129" s="1239" t="s">
        <v>3889</v>
      </c>
      <c r="J1129" s="1421"/>
      <c r="K1129" s="1240">
        <v>22000000</v>
      </c>
      <c r="L1129" s="1419">
        <f t="shared" si="366"/>
        <v>2200000</v>
      </c>
      <c r="M1129" s="1421"/>
      <c r="N1129" s="1420">
        <f t="shared" si="367"/>
        <v>24200000</v>
      </c>
      <c r="O1129" s="1245" t="s">
        <v>239</v>
      </c>
      <c r="P1129" s="1245" t="s">
        <v>19</v>
      </c>
      <c r="Q1129" s="677"/>
      <c r="R1129" s="677"/>
      <c r="S1129" s="1413">
        <v>0</v>
      </c>
      <c r="T1129" s="1413">
        <f t="shared" ref="T1129:T1130" si="425">-K1129*2%</f>
        <v>-440000</v>
      </c>
      <c r="U1129" s="1413">
        <v>23760000</v>
      </c>
      <c r="V1129" s="210"/>
      <c r="W1129" s="115"/>
      <c r="X1129" s="679"/>
      <c r="Y1129" s="116"/>
      <c r="Z1129" s="185"/>
      <c r="AA1129" s="592"/>
      <c r="AB1129" s="186"/>
      <c r="AC1129" s="9"/>
      <c r="AD1129" s="297"/>
      <c r="AE1129" s="1065"/>
      <c r="AF1129" s="9"/>
      <c r="AG1129" s="9"/>
      <c r="AH1129" s="300"/>
      <c r="AI1129" s="9"/>
      <c r="AJ1129" s="300"/>
      <c r="AK1129" s="73"/>
    </row>
    <row r="1130" spans="1:37" s="114" customFormat="1" ht="12" customHeight="1">
      <c r="A1130" s="1415"/>
      <c r="B1130" s="1415" t="s">
        <v>194</v>
      </c>
      <c r="C1130" s="1415">
        <v>15</v>
      </c>
      <c r="D1130" s="1417" t="s">
        <v>117</v>
      </c>
      <c r="E1130" s="1418" t="s">
        <v>354</v>
      </c>
      <c r="F1130" s="1505" t="s">
        <v>3115</v>
      </c>
      <c r="G1130" s="1239" t="s">
        <v>1617</v>
      </c>
      <c r="H1130" s="1239" t="s">
        <v>3890</v>
      </c>
      <c r="I1130" s="1239" t="s">
        <v>3891</v>
      </c>
      <c r="J1130" s="1421"/>
      <c r="K1130" s="1240">
        <v>22000000</v>
      </c>
      <c r="L1130" s="1419">
        <f t="shared" si="366"/>
        <v>2200000</v>
      </c>
      <c r="M1130" s="1421"/>
      <c r="N1130" s="1420">
        <f t="shared" si="367"/>
        <v>24200000</v>
      </c>
      <c r="O1130" s="1245" t="s">
        <v>239</v>
      </c>
      <c r="P1130" s="1245" t="s">
        <v>19</v>
      </c>
      <c r="Q1130" s="677"/>
      <c r="R1130" s="677"/>
      <c r="S1130" s="1413">
        <v>0</v>
      </c>
      <c r="T1130" s="1413">
        <f t="shared" si="425"/>
        <v>-440000</v>
      </c>
      <c r="U1130" s="1413">
        <v>23760000</v>
      </c>
      <c r="V1130" s="210"/>
      <c r="W1130" s="115"/>
      <c r="X1130" s="679"/>
      <c r="Y1130" s="116"/>
      <c r="Z1130" s="185"/>
      <c r="AA1130" s="592"/>
      <c r="AB1130" s="186"/>
      <c r="AC1130" s="9"/>
      <c r="AD1130" s="297"/>
      <c r="AE1130" s="1065"/>
      <c r="AF1130" s="9"/>
      <c r="AG1130" s="9"/>
      <c r="AH1130" s="300"/>
      <c r="AI1130" s="9"/>
      <c r="AJ1130" s="300"/>
      <c r="AK1130" s="73"/>
    </row>
    <row r="1131" spans="1:37" s="114" customFormat="1" ht="12" customHeight="1">
      <c r="A1131" s="1415"/>
      <c r="B1131" s="1415" t="s">
        <v>195</v>
      </c>
      <c r="C1131" s="1415">
        <v>12</v>
      </c>
      <c r="D1131" s="1417" t="s">
        <v>117</v>
      </c>
      <c r="E1131" s="1418" t="s">
        <v>354</v>
      </c>
      <c r="F1131" s="1505" t="s">
        <v>3114</v>
      </c>
      <c r="G1131" s="1239" t="s">
        <v>4</v>
      </c>
      <c r="H1131" s="1239" t="s">
        <v>4052</v>
      </c>
      <c r="I1131" s="1239" t="s">
        <v>4053</v>
      </c>
      <c r="J1131" s="1421"/>
      <c r="K1131" s="1240">
        <v>22000000</v>
      </c>
      <c r="L1131" s="1419">
        <f t="shared" si="366"/>
        <v>2200000</v>
      </c>
      <c r="M1131" s="1421"/>
      <c r="N1131" s="1420">
        <f t="shared" si="367"/>
        <v>24200000</v>
      </c>
      <c r="O1131" s="1245" t="s">
        <v>239</v>
      </c>
      <c r="P1131" s="1245" t="s">
        <v>31</v>
      </c>
      <c r="Q1131" s="677"/>
      <c r="R1131" s="677"/>
      <c r="S1131" s="1413">
        <v>0</v>
      </c>
      <c r="T1131" s="1413">
        <f t="shared" ref="T1131:T1132" si="426">-K1131*2%</f>
        <v>-440000</v>
      </c>
      <c r="U1131" s="1413">
        <v>23760000</v>
      </c>
      <c r="V1131" s="1386"/>
      <c r="W1131" s="1380"/>
      <c r="X1131" s="679"/>
      <c r="Y1131" s="1381"/>
      <c r="Z1131" s="1384"/>
      <c r="AA1131" s="1389"/>
      <c r="AB1131" s="1385"/>
      <c r="AC1131" s="1378"/>
      <c r="AD1131" s="1387"/>
      <c r="AE1131" s="1065"/>
      <c r="AF1131" s="1378"/>
      <c r="AG1131" s="1378"/>
      <c r="AH1131" s="1388"/>
      <c r="AI1131" s="1378"/>
      <c r="AJ1131" s="1388"/>
      <c r="AK1131" s="1379"/>
    </row>
    <row r="1132" spans="1:37" s="114" customFormat="1" ht="12" customHeight="1">
      <c r="A1132" s="1415"/>
      <c r="B1132" s="1415" t="s">
        <v>195</v>
      </c>
      <c r="C1132" s="1415">
        <v>12</v>
      </c>
      <c r="D1132" s="1417" t="s">
        <v>117</v>
      </c>
      <c r="E1132" s="1418" t="s">
        <v>354</v>
      </c>
      <c r="F1132" s="1505" t="s">
        <v>3115</v>
      </c>
      <c r="G1132" s="1239" t="s">
        <v>4</v>
      </c>
      <c r="H1132" s="1239" t="s">
        <v>4054</v>
      </c>
      <c r="I1132" s="1239" t="s">
        <v>4055</v>
      </c>
      <c r="J1132" s="1421"/>
      <c r="K1132" s="1240">
        <v>22000000</v>
      </c>
      <c r="L1132" s="1419">
        <f t="shared" ref="L1132:L1133" si="427">K1132*10%</f>
        <v>2200000</v>
      </c>
      <c r="M1132" s="1421"/>
      <c r="N1132" s="1420">
        <f t="shared" ref="N1132:N1133" si="428">K1132+L1132</f>
        <v>24200000</v>
      </c>
      <c r="O1132" s="1245" t="s">
        <v>239</v>
      </c>
      <c r="P1132" s="1245" t="s">
        <v>31</v>
      </c>
      <c r="Q1132" s="677"/>
      <c r="R1132" s="677"/>
      <c r="S1132" s="1413">
        <v>0</v>
      </c>
      <c r="T1132" s="1413">
        <f t="shared" si="426"/>
        <v>-440000</v>
      </c>
      <c r="U1132" s="1413">
        <v>23760000</v>
      </c>
      <c r="V1132" s="1386"/>
      <c r="W1132" s="1380"/>
      <c r="X1132" s="679"/>
      <c r="Y1132" s="1381"/>
      <c r="Z1132" s="1384"/>
      <c r="AA1132" s="1389"/>
      <c r="AB1132" s="1385"/>
      <c r="AC1132" s="1378"/>
      <c r="AD1132" s="1387"/>
      <c r="AE1132" s="1065"/>
      <c r="AF1132" s="1378"/>
      <c r="AG1132" s="1378"/>
      <c r="AH1132" s="1388"/>
      <c r="AI1132" s="1378"/>
      <c r="AJ1132" s="1388"/>
      <c r="AK1132" s="1379"/>
    </row>
    <row r="1133" spans="1:37" s="114" customFormat="1" ht="12" customHeight="1">
      <c r="A1133" s="53"/>
      <c r="B1133" s="1415" t="s">
        <v>239</v>
      </c>
      <c r="C1133" s="1415">
        <v>2</v>
      </c>
      <c r="D1133" s="1417" t="s">
        <v>117</v>
      </c>
      <c r="E1133" s="1418" t="s">
        <v>354</v>
      </c>
      <c r="F1133" s="1505" t="s">
        <v>3114</v>
      </c>
      <c r="G1133" s="1239" t="s">
        <v>379</v>
      </c>
      <c r="H1133" s="1239" t="s">
        <v>4231</v>
      </c>
      <c r="I1133" s="1239" t="s">
        <v>4232</v>
      </c>
      <c r="J1133" s="1421"/>
      <c r="K1133" s="1240">
        <v>22000000</v>
      </c>
      <c r="L1133" s="1419">
        <f t="shared" si="427"/>
        <v>2200000</v>
      </c>
      <c r="M1133" s="1421"/>
      <c r="N1133" s="1420">
        <f t="shared" si="428"/>
        <v>24200000</v>
      </c>
      <c r="O1133" s="1245" t="s">
        <v>240</v>
      </c>
      <c r="P1133" s="1245" t="s">
        <v>114</v>
      </c>
      <c r="Q1133" s="677"/>
      <c r="R1133" s="677"/>
      <c r="S1133" s="1413">
        <v>0</v>
      </c>
      <c r="T1133" s="1413">
        <f t="shared" ref="T1133:T1140" si="429">-K1133*2%</f>
        <v>-440000</v>
      </c>
      <c r="U1133" s="1413">
        <v>23760000</v>
      </c>
      <c r="V1133" s="1386"/>
      <c r="W1133" s="1380"/>
      <c r="X1133" s="679"/>
      <c r="Y1133" s="1381"/>
      <c r="Z1133" s="1384"/>
      <c r="AA1133" s="1389"/>
      <c r="AB1133" s="1385"/>
      <c r="AC1133" s="1378"/>
      <c r="AD1133" s="1387"/>
      <c r="AE1133" s="1065"/>
      <c r="AF1133" s="1378"/>
      <c r="AG1133" s="1378"/>
      <c r="AH1133" s="1388"/>
      <c r="AI1133" s="1378"/>
      <c r="AJ1133" s="1388"/>
      <c r="AK1133" s="1379"/>
    </row>
    <row r="1134" spans="1:37" s="114" customFormat="1" ht="12" customHeight="1">
      <c r="A1134" s="53"/>
      <c r="B1134" s="1415" t="s">
        <v>239</v>
      </c>
      <c r="C1134" s="1415">
        <v>2</v>
      </c>
      <c r="D1134" s="1417" t="s">
        <v>117</v>
      </c>
      <c r="E1134" s="1418" t="s">
        <v>354</v>
      </c>
      <c r="F1134" s="1505" t="s">
        <v>3115</v>
      </c>
      <c r="G1134" s="1239" t="s">
        <v>379</v>
      </c>
      <c r="H1134" s="1239" t="s">
        <v>4233</v>
      </c>
      <c r="I1134" s="1239" t="s">
        <v>4234</v>
      </c>
      <c r="J1134" s="1421"/>
      <c r="K1134" s="1240">
        <v>22000000</v>
      </c>
      <c r="L1134" s="1419">
        <f t="shared" ref="L1134:L1140" si="430">K1134*10%</f>
        <v>2200000</v>
      </c>
      <c r="M1134" s="1421"/>
      <c r="N1134" s="1420">
        <f t="shared" ref="N1134:N1140" si="431">K1134+L1134</f>
        <v>24200000</v>
      </c>
      <c r="O1134" s="1245" t="s">
        <v>240</v>
      </c>
      <c r="P1134" s="1245" t="s">
        <v>114</v>
      </c>
      <c r="Q1134" s="677"/>
      <c r="R1134" s="677"/>
      <c r="S1134" s="1413">
        <v>0</v>
      </c>
      <c r="T1134" s="1413">
        <f t="shared" si="429"/>
        <v>-440000</v>
      </c>
      <c r="U1134" s="1413">
        <v>23760000</v>
      </c>
      <c r="V1134" s="1386"/>
      <c r="W1134" s="1380"/>
      <c r="X1134" s="679"/>
      <c r="Y1134" s="1381"/>
      <c r="Z1134" s="1384"/>
      <c r="AA1134" s="1389"/>
      <c r="AB1134" s="1385"/>
      <c r="AC1134" s="1378"/>
      <c r="AD1134" s="1387"/>
      <c r="AE1134" s="1065"/>
      <c r="AF1134" s="1378"/>
      <c r="AG1134" s="1378"/>
      <c r="AH1134" s="1388"/>
      <c r="AI1134" s="1378"/>
      <c r="AJ1134" s="1388"/>
      <c r="AK1134" s="1379"/>
    </row>
    <row r="1135" spans="1:37" s="1405" customFormat="1" ht="12" customHeight="1">
      <c r="A1135" s="1415"/>
      <c r="B1135" s="1415" t="s">
        <v>240</v>
      </c>
      <c r="C1135" s="1415">
        <v>10</v>
      </c>
      <c r="D1135" s="1417" t="s">
        <v>117</v>
      </c>
      <c r="E1135" s="1418" t="s">
        <v>354</v>
      </c>
      <c r="F1135" s="1505" t="s">
        <v>3114</v>
      </c>
      <c r="G1135" s="1239" t="s">
        <v>5</v>
      </c>
      <c r="H1135" s="1239" t="s">
        <v>4468</v>
      </c>
      <c r="I1135" s="1239" t="s">
        <v>4469</v>
      </c>
      <c r="J1135" s="1536"/>
      <c r="K1135" s="1216">
        <v>22000000</v>
      </c>
      <c r="L1135" s="1419">
        <f t="shared" si="430"/>
        <v>2200000</v>
      </c>
      <c r="M1135" s="1536"/>
      <c r="N1135" s="1420">
        <f t="shared" si="431"/>
        <v>24200000</v>
      </c>
      <c r="O1135" s="1245" t="s">
        <v>58</v>
      </c>
      <c r="P1135" s="1245" t="s">
        <v>99</v>
      </c>
      <c r="Q1135" s="1246"/>
      <c r="R1135" s="1246"/>
      <c r="S1135" s="1413">
        <v>0</v>
      </c>
      <c r="T1135" s="1413">
        <f t="shared" si="429"/>
        <v>-440000</v>
      </c>
      <c r="U1135" s="1413">
        <v>23760000</v>
      </c>
      <c r="V1135" s="1215"/>
      <c r="W1135" s="1203"/>
      <c r="X1135" s="1248"/>
      <c r="Y1135" s="1413"/>
      <c r="Z1135" s="1205"/>
      <c r="AA1135" s="1206"/>
      <c r="AB1135" s="1207"/>
      <c r="AC1135" s="1400"/>
      <c r="AD1135" s="1208"/>
      <c r="AE1135" s="1208"/>
      <c r="AF1135" s="1400"/>
      <c r="AG1135" s="1400"/>
      <c r="AH1135" s="1209"/>
      <c r="AI1135" s="1400"/>
      <c r="AJ1135" s="1209"/>
      <c r="AK1135" s="1404"/>
    </row>
    <row r="1136" spans="1:37" s="1405" customFormat="1" ht="12" customHeight="1">
      <c r="A1136" s="1415"/>
      <c r="B1136" s="1415" t="s">
        <v>240</v>
      </c>
      <c r="C1136" s="1415">
        <v>10</v>
      </c>
      <c r="D1136" s="1417" t="s">
        <v>117</v>
      </c>
      <c r="E1136" s="1418" t="s">
        <v>354</v>
      </c>
      <c r="F1136" s="1505" t="s">
        <v>3115</v>
      </c>
      <c r="G1136" s="1239" t="s">
        <v>5</v>
      </c>
      <c r="H1136" s="1239" t="s">
        <v>4470</v>
      </c>
      <c r="I1136" s="1239" t="s">
        <v>4471</v>
      </c>
      <c r="J1136" s="1536"/>
      <c r="K1136" s="1216">
        <v>22000000</v>
      </c>
      <c r="L1136" s="1419">
        <f t="shared" si="430"/>
        <v>2200000</v>
      </c>
      <c r="M1136" s="1536"/>
      <c r="N1136" s="1420">
        <f t="shared" si="431"/>
        <v>24200000</v>
      </c>
      <c r="O1136" s="1245" t="s">
        <v>58</v>
      </c>
      <c r="P1136" s="1245" t="s">
        <v>99</v>
      </c>
      <c r="Q1136" s="1246"/>
      <c r="R1136" s="1246"/>
      <c r="S1136" s="1413">
        <v>0</v>
      </c>
      <c r="T1136" s="1413">
        <f t="shared" si="429"/>
        <v>-440000</v>
      </c>
      <c r="U1136" s="1413">
        <v>23760000</v>
      </c>
      <c r="V1136" s="1215"/>
      <c r="W1136" s="1203"/>
      <c r="X1136" s="1248"/>
      <c r="Y1136" s="1413"/>
      <c r="Z1136" s="1205"/>
      <c r="AA1136" s="1206"/>
      <c r="AB1136" s="1207"/>
      <c r="AC1136" s="1400"/>
      <c r="AD1136" s="1208"/>
      <c r="AE1136" s="1208"/>
      <c r="AF1136" s="1400"/>
      <c r="AG1136" s="1400"/>
      <c r="AH1136" s="1209"/>
      <c r="AI1136" s="1400"/>
      <c r="AJ1136" s="1209"/>
      <c r="AK1136" s="1404"/>
    </row>
    <row r="1137" spans="1:37" s="1439" customFormat="1" ht="12" customHeight="1">
      <c r="A1137" s="1415"/>
      <c r="B1137" s="1390" t="s">
        <v>58</v>
      </c>
      <c r="C1137" s="1390">
        <v>17</v>
      </c>
      <c r="D1137" s="1401" t="s">
        <v>117</v>
      </c>
      <c r="E1137" s="1409" t="s">
        <v>354</v>
      </c>
      <c r="F1137" s="1506" t="s">
        <v>3114</v>
      </c>
      <c r="G1137" s="953" t="s">
        <v>57</v>
      </c>
      <c r="H1137" s="953" t="s">
        <v>4635</v>
      </c>
      <c r="I1137" s="953" t="s">
        <v>4636</v>
      </c>
      <c r="J1137" s="1482"/>
      <c r="K1137" s="1483">
        <v>22000000</v>
      </c>
      <c r="L1137" s="1413">
        <f t="shared" si="430"/>
        <v>2200000</v>
      </c>
      <c r="M1137" s="1482"/>
      <c r="N1137" s="1410">
        <f t="shared" si="431"/>
        <v>24200000</v>
      </c>
      <c r="O1137" s="1313"/>
      <c r="P1137" s="1313"/>
      <c r="Q1137" s="1311"/>
      <c r="R1137" s="1311"/>
      <c r="S1137" s="1419"/>
      <c r="T1137" s="1419">
        <f t="shared" si="429"/>
        <v>-440000</v>
      </c>
      <c r="U1137" s="1419"/>
      <c r="V1137" s="1430"/>
      <c r="W1137" s="1431"/>
      <c r="X1137" s="1432"/>
      <c r="Y1137" s="1419"/>
      <c r="Z1137" s="1433"/>
      <c r="AA1137" s="1434"/>
      <c r="AB1137" s="1435"/>
      <c r="AC1137" s="1416"/>
      <c r="AD1137" s="1436"/>
      <c r="AE1137" s="1436"/>
      <c r="AF1137" s="1416"/>
      <c r="AG1137" s="1416"/>
      <c r="AH1137" s="1437"/>
      <c r="AI1137" s="1416"/>
      <c r="AJ1137" s="1437"/>
      <c r="AK1137" s="1438"/>
    </row>
    <row r="1138" spans="1:37" s="1439" customFormat="1" ht="12" customHeight="1">
      <c r="A1138" s="1415"/>
      <c r="B1138" s="1390" t="s">
        <v>58</v>
      </c>
      <c r="C1138" s="1390">
        <v>17</v>
      </c>
      <c r="D1138" s="1401" t="s">
        <v>117</v>
      </c>
      <c r="E1138" s="1409" t="s">
        <v>354</v>
      </c>
      <c r="F1138" s="1506" t="s">
        <v>3115</v>
      </c>
      <c r="G1138" s="953" t="s">
        <v>57</v>
      </c>
      <c r="H1138" s="953" t="s">
        <v>4638</v>
      </c>
      <c r="I1138" s="953" t="s">
        <v>4637</v>
      </c>
      <c r="J1138" s="1482"/>
      <c r="K1138" s="1483">
        <v>22000000</v>
      </c>
      <c r="L1138" s="1413">
        <f t="shared" si="430"/>
        <v>2200000</v>
      </c>
      <c r="M1138" s="1482"/>
      <c r="N1138" s="1410">
        <f t="shared" si="431"/>
        <v>24200000</v>
      </c>
      <c r="O1138" s="1313"/>
      <c r="P1138" s="1313"/>
      <c r="Q1138" s="1311"/>
      <c r="R1138" s="1311"/>
      <c r="S1138" s="1419"/>
      <c r="T1138" s="1419">
        <f t="shared" si="429"/>
        <v>-440000</v>
      </c>
      <c r="U1138" s="1419"/>
      <c r="V1138" s="1430"/>
      <c r="W1138" s="1431"/>
      <c r="X1138" s="1432"/>
      <c r="Y1138" s="1419"/>
      <c r="Z1138" s="1433"/>
      <c r="AA1138" s="1434"/>
      <c r="AB1138" s="1435"/>
      <c r="AC1138" s="1416"/>
      <c r="AD1138" s="1436"/>
      <c r="AE1138" s="1436"/>
      <c r="AF1138" s="1416"/>
      <c r="AG1138" s="1416"/>
      <c r="AH1138" s="1437"/>
      <c r="AI1138" s="1416"/>
      <c r="AJ1138" s="1437"/>
      <c r="AK1138" s="1438"/>
    </row>
    <row r="1139" spans="1:37" s="1405" customFormat="1" ht="12" customHeight="1">
      <c r="A1139" s="1415"/>
      <c r="B1139" s="1390" t="s">
        <v>241</v>
      </c>
      <c r="C1139" s="1390">
        <v>26</v>
      </c>
      <c r="D1139" s="1401" t="s">
        <v>117</v>
      </c>
      <c r="E1139" s="1409" t="s">
        <v>354</v>
      </c>
      <c r="F1139" s="1506" t="s">
        <v>3114</v>
      </c>
      <c r="G1139" s="953" t="s">
        <v>58</v>
      </c>
      <c r="H1139" s="953" t="s">
        <v>4807</v>
      </c>
      <c r="I1139" s="953" t="s">
        <v>4808</v>
      </c>
      <c r="J1139" s="1482"/>
      <c r="K1139" s="1483">
        <v>22000000</v>
      </c>
      <c r="L1139" s="1413">
        <f t="shared" si="430"/>
        <v>2200000</v>
      </c>
      <c r="M1139" s="1482"/>
      <c r="N1139" s="1410">
        <f t="shared" si="431"/>
        <v>24200000</v>
      </c>
      <c r="O1139" s="1245"/>
      <c r="P1139" s="1245"/>
      <c r="Q1139" s="1246"/>
      <c r="R1139" s="1246"/>
      <c r="S1139" s="1413"/>
      <c r="T1139" s="1413">
        <f t="shared" si="429"/>
        <v>-440000</v>
      </c>
      <c r="U1139" s="1413"/>
      <c r="V1139" s="1215"/>
      <c r="W1139" s="1203"/>
      <c r="X1139" s="1248"/>
      <c r="Y1139" s="1413"/>
      <c r="Z1139" s="1205"/>
      <c r="AA1139" s="1206"/>
      <c r="AB1139" s="1207"/>
      <c r="AC1139" s="1400"/>
      <c r="AD1139" s="1208"/>
      <c r="AE1139" s="1208"/>
      <c r="AF1139" s="1400"/>
      <c r="AG1139" s="1400"/>
      <c r="AH1139" s="1209"/>
      <c r="AI1139" s="1400"/>
      <c r="AJ1139" s="1209"/>
      <c r="AK1139" s="1404"/>
    </row>
    <row r="1140" spans="1:37" s="1405" customFormat="1" ht="12" customHeight="1">
      <c r="A1140" s="1415"/>
      <c r="B1140" s="1390" t="s">
        <v>241</v>
      </c>
      <c r="C1140" s="1390">
        <v>26</v>
      </c>
      <c r="D1140" s="1401" t="s">
        <v>117</v>
      </c>
      <c r="E1140" s="1409" t="s">
        <v>354</v>
      </c>
      <c r="F1140" s="1506" t="s">
        <v>3115</v>
      </c>
      <c r="G1140" s="953" t="s">
        <v>58</v>
      </c>
      <c r="H1140" s="953" t="s">
        <v>4809</v>
      </c>
      <c r="I1140" s="953" t="s">
        <v>4810</v>
      </c>
      <c r="J1140" s="1482"/>
      <c r="K1140" s="1483">
        <v>22000000</v>
      </c>
      <c r="L1140" s="1413">
        <f t="shared" si="430"/>
        <v>2200000</v>
      </c>
      <c r="M1140" s="1482"/>
      <c r="N1140" s="1410">
        <f t="shared" si="431"/>
        <v>24200000</v>
      </c>
      <c r="O1140" s="1245"/>
      <c r="P1140" s="1245"/>
      <c r="Q1140" s="1246"/>
      <c r="R1140" s="1246"/>
      <c r="S1140" s="1413"/>
      <c r="T1140" s="1413">
        <f t="shared" si="429"/>
        <v>-440000</v>
      </c>
      <c r="U1140" s="1413"/>
      <c r="V1140" s="1215"/>
      <c r="W1140" s="1203"/>
      <c r="X1140" s="1248"/>
      <c r="Y1140" s="1413"/>
      <c r="Z1140" s="1205"/>
      <c r="AA1140" s="1206"/>
      <c r="AB1140" s="1207"/>
      <c r="AC1140" s="1400"/>
      <c r="AD1140" s="1208"/>
      <c r="AE1140" s="1208"/>
      <c r="AF1140" s="1400"/>
      <c r="AG1140" s="1400"/>
      <c r="AH1140" s="1209"/>
      <c r="AI1140" s="1400"/>
      <c r="AJ1140" s="1209"/>
      <c r="AK1140" s="1404"/>
    </row>
    <row r="1141" spans="1:37" s="1211" customFormat="1" ht="12" customHeight="1">
      <c r="A1141" s="1415"/>
      <c r="B1141" s="1268" t="s">
        <v>140</v>
      </c>
      <c r="C1141" s="1416">
        <v>5</v>
      </c>
      <c r="D1141" s="1417" t="s">
        <v>40</v>
      </c>
      <c r="E1141" s="1418" t="s">
        <v>364</v>
      </c>
      <c r="F1141" s="1505" t="s">
        <v>2458</v>
      </c>
      <c r="G1141" s="1418" t="s">
        <v>1617</v>
      </c>
      <c r="H1141" s="1418" t="s">
        <v>3646</v>
      </c>
      <c r="I1141" s="1418" t="s">
        <v>3647</v>
      </c>
      <c r="J1141" s="1459">
        <v>13000000</v>
      </c>
      <c r="K1141" s="1459">
        <v>13000000</v>
      </c>
      <c r="L1141" s="1420">
        <v>1300000</v>
      </c>
      <c r="M1141" s="1459">
        <v>14300000</v>
      </c>
      <c r="N1141" s="1420">
        <f t="shared" si="347"/>
        <v>14300000</v>
      </c>
      <c r="O1141" s="1414" t="s">
        <v>195</v>
      </c>
      <c r="P1141" s="1414" t="s">
        <v>91</v>
      </c>
      <c r="Q1141" s="1214"/>
      <c r="R1141" s="1214"/>
      <c r="S1141" s="762">
        <v>0</v>
      </c>
      <c r="T1141" s="1413">
        <f t="shared" ref="T1141:T1157" si="432">-K1141*2%</f>
        <v>-260000</v>
      </c>
      <c r="U1141" s="1419">
        <v>14040000</v>
      </c>
      <c r="V1141" s="1215"/>
      <c r="W1141" s="1203"/>
      <c r="X1141" s="1204"/>
      <c r="Y1141" s="762"/>
      <c r="Z1141" s="1205"/>
      <c r="AA1141" s="1206"/>
      <c r="AB1141" s="1207"/>
      <c r="AC1141" s="759"/>
      <c r="AD1141" s="1208"/>
      <c r="AE1141" s="1208"/>
      <c r="AF1141" s="759"/>
      <c r="AG1141" s="759"/>
      <c r="AH1141" s="1209"/>
      <c r="AI1141" s="759"/>
      <c r="AJ1141" s="1209"/>
      <c r="AK1141" s="1210"/>
    </row>
    <row r="1142" spans="1:37" s="1439" customFormat="1" ht="12" customHeight="1">
      <c r="A1142" s="1415"/>
      <c r="B1142" s="1268" t="s">
        <v>194</v>
      </c>
      <c r="C1142" s="1416">
        <v>15</v>
      </c>
      <c r="D1142" s="1417" t="s">
        <v>40</v>
      </c>
      <c r="E1142" s="1239" t="s">
        <v>362</v>
      </c>
      <c r="F1142" s="1520" t="s">
        <v>3872</v>
      </c>
      <c r="G1142" s="1239" t="s">
        <v>3873</v>
      </c>
      <c r="H1142" s="1418" t="s">
        <v>3874</v>
      </c>
      <c r="I1142" s="1239" t="s">
        <v>3875</v>
      </c>
      <c r="J1142" s="1421"/>
      <c r="K1142" s="1240">
        <v>46000000</v>
      </c>
      <c r="L1142" s="1419">
        <f t="shared" si="346"/>
        <v>4600000</v>
      </c>
      <c r="M1142" s="1421"/>
      <c r="N1142" s="1420">
        <f t="shared" si="347"/>
        <v>50600000</v>
      </c>
      <c r="O1142" s="1414" t="s">
        <v>195</v>
      </c>
      <c r="P1142" s="1414" t="s">
        <v>91</v>
      </c>
      <c r="Q1142" s="1311"/>
      <c r="R1142" s="1311"/>
      <c r="S1142" s="1413">
        <v>0</v>
      </c>
      <c r="T1142" s="1413">
        <f t="shared" si="432"/>
        <v>-920000</v>
      </c>
      <c r="U1142" s="1429">
        <v>50200000</v>
      </c>
      <c r="V1142" s="1430"/>
      <c r="W1142" s="1431"/>
      <c r="X1142" s="1432"/>
      <c r="Y1142" s="1419"/>
      <c r="Z1142" s="1433"/>
      <c r="AA1142" s="1434"/>
      <c r="AB1142" s="1435"/>
      <c r="AC1142" s="1416"/>
      <c r="AD1142" s="1436"/>
      <c r="AE1142" s="1436"/>
      <c r="AF1142" s="1416"/>
      <c r="AG1142" s="1416"/>
      <c r="AH1142" s="1437"/>
      <c r="AI1142" s="1416"/>
      <c r="AJ1142" s="1437"/>
      <c r="AK1142" s="1438"/>
    </row>
    <row r="1143" spans="1:37" s="1439" customFormat="1" ht="12" customHeight="1">
      <c r="A1143" s="1415"/>
      <c r="B1143" s="1268" t="s">
        <v>194</v>
      </c>
      <c r="C1143" s="1416">
        <v>15</v>
      </c>
      <c r="D1143" s="1417" t="s">
        <v>40</v>
      </c>
      <c r="E1143" s="1418" t="s">
        <v>355</v>
      </c>
      <c r="F1143" s="1505" t="s">
        <v>3821</v>
      </c>
      <c r="G1143" s="1418" t="s">
        <v>3822</v>
      </c>
      <c r="H1143" s="1418" t="s">
        <v>3823</v>
      </c>
      <c r="I1143" s="1418" t="s">
        <v>3824</v>
      </c>
      <c r="J1143" s="1419"/>
      <c r="K1143" s="1419">
        <v>13327000</v>
      </c>
      <c r="L1143" s="1420">
        <f t="shared" si="346"/>
        <v>1332700</v>
      </c>
      <c r="M1143" s="1421"/>
      <c r="N1143" s="1420">
        <f t="shared" si="347"/>
        <v>14659700</v>
      </c>
      <c r="O1143" s="1414" t="s">
        <v>195</v>
      </c>
      <c r="P1143" s="1414" t="s">
        <v>91</v>
      </c>
      <c r="Q1143" s="1308"/>
      <c r="R1143" s="1308"/>
      <c r="S1143" s="1413">
        <v>0</v>
      </c>
      <c r="T1143" s="1413">
        <f t="shared" si="432"/>
        <v>-266540</v>
      </c>
      <c r="U1143" s="1419">
        <v>14393160</v>
      </c>
      <c r="V1143" s="1430"/>
      <c r="W1143" s="1431"/>
      <c r="X1143" s="1441"/>
      <c r="Y1143" s="1419"/>
      <c r="Z1143" s="1433"/>
      <c r="AA1143" s="1434"/>
      <c r="AB1143" s="1435"/>
      <c r="AC1143" s="1416"/>
      <c r="AD1143" s="1436"/>
      <c r="AE1143" s="1436"/>
      <c r="AF1143" s="1416"/>
      <c r="AG1143" s="1416"/>
      <c r="AH1143" s="1437"/>
      <c r="AI1143" s="1416"/>
      <c r="AJ1143" s="1437"/>
      <c r="AK1143" s="1438"/>
    </row>
    <row r="1144" spans="1:37" s="1439" customFormat="1" ht="12" customHeight="1">
      <c r="A1144" s="1415"/>
      <c r="B1144" s="1268" t="s">
        <v>194</v>
      </c>
      <c r="C1144" s="1416">
        <v>15</v>
      </c>
      <c r="D1144" s="1417" t="s">
        <v>40</v>
      </c>
      <c r="E1144" s="1418" t="s">
        <v>354</v>
      </c>
      <c r="F1144" s="1505" t="s">
        <v>3825</v>
      </c>
      <c r="G1144" s="1418" t="s">
        <v>3822</v>
      </c>
      <c r="H1144" s="1418" t="s">
        <v>3826</v>
      </c>
      <c r="I1144" s="1418" t="s">
        <v>3827</v>
      </c>
      <c r="J1144" s="1419"/>
      <c r="K1144" s="1419">
        <v>13327000</v>
      </c>
      <c r="L1144" s="1420">
        <f t="shared" si="346"/>
        <v>1332700</v>
      </c>
      <c r="M1144" s="1421"/>
      <c r="N1144" s="1420">
        <f t="shared" si="347"/>
        <v>14659700</v>
      </c>
      <c r="O1144" s="1414" t="s">
        <v>195</v>
      </c>
      <c r="P1144" s="1414" t="s">
        <v>91</v>
      </c>
      <c r="Q1144" s="1308"/>
      <c r="R1144" s="1308"/>
      <c r="S1144" s="1413">
        <v>0</v>
      </c>
      <c r="T1144" s="1413">
        <f t="shared" si="432"/>
        <v>-266540</v>
      </c>
      <c r="U1144" s="1419">
        <v>14393160</v>
      </c>
      <c r="V1144" s="1430"/>
      <c r="W1144" s="1431"/>
      <c r="X1144" s="1441"/>
      <c r="Y1144" s="1419"/>
      <c r="Z1144" s="1433"/>
      <c r="AA1144" s="1434"/>
      <c r="AB1144" s="1435"/>
      <c r="AC1144" s="1416"/>
      <c r="AD1144" s="1436"/>
      <c r="AE1144" s="1436"/>
      <c r="AF1144" s="1416"/>
      <c r="AG1144" s="1416"/>
      <c r="AH1144" s="1437"/>
      <c r="AI1144" s="1416"/>
      <c r="AJ1144" s="1437"/>
      <c r="AK1144" s="1438"/>
    </row>
    <row r="1145" spans="1:37" s="1439" customFormat="1" ht="12" customHeight="1">
      <c r="A1145" s="1415"/>
      <c r="B1145" s="1268" t="s">
        <v>194</v>
      </c>
      <c r="C1145" s="1416">
        <v>15</v>
      </c>
      <c r="D1145" s="1417" t="s">
        <v>40</v>
      </c>
      <c r="E1145" s="1418" t="s">
        <v>62</v>
      </c>
      <c r="F1145" s="1505" t="s">
        <v>3828</v>
      </c>
      <c r="G1145" s="1418" t="s">
        <v>3829</v>
      </c>
      <c r="H1145" s="1418" t="s">
        <v>3830</v>
      </c>
      <c r="I1145" s="1266" t="s">
        <v>14</v>
      </c>
      <c r="J1145" s="1419"/>
      <c r="K1145" s="1419">
        <v>5689000</v>
      </c>
      <c r="L1145" s="1420">
        <v>0</v>
      </c>
      <c r="M1145" s="1421"/>
      <c r="N1145" s="1420">
        <f t="shared" si="347"/>
        <v>5689000</v>
      </c>
      <c r="O1145" s="1307" t="s">
        <v>240</v>
      </c>
      <c r="P1145" s="1307" t="s">
        <v>31</v>
      </c>
      <c r="Q1145" s="1308"/>
      <c r="R1145" s="1308"/>
      <c r="S1145" s="1419">
        <v>0</v>
      </c>
      <c r="T1145" s="1419">
        <v>0</v>
      </c>
      <c r="U1145" s="1419">
        <v>5689000</v>
      </c>
      <c r="V1145" s="1430"/>
      <c r="W1145" s="1431"/>
      <c r="X1145" s="1441"/>
      <c r="Y1145" s="1419"/>
      <c r="Z1145" s="1433"/>
      <c r="AA1145" s="1434"/>
      <c r="AB1145" s="1435"/>
      <c r="AC1145" s="1416"/>
      <c r="AD1145" s="1436"/>
      <c r="AE1145" s="1436"/>
      <c r="AF1145" s="1416"/>
      <c r="AG1145" s="1416"/>
      <c r="AH1145" s="1437"/>
      <c r="AI1145" s="1416"/>
      <c r="AJ1145" s="1437"/>
      <c r="AK1145" s="1438"/>
    </row>
    <row r="1146" spans="1:37" s="1439" customFormat="1" ht="12" customHeight="1">
      <c r="A1146" s="1415"/>
      <c r="B1146" s="1268" t="s">
        <v>194</v>
      </c>
      <c r="C1146" s="1416">
        <v>15</v>
      </c>
      <c r="D1146" s="1417" t="s">
        <v>40</v>
      </c>
      <c r="E1146" s="1418" t="s">
        <v>355</v>
      </c>
      <c r="F1146" s="1505" t="s">
        <v>3580</v>
      </c>
      <c r="G1146" s="1418" t="s">
        <v>4</v>
      </c>
      <c r="H1146" s="1418" t="s">
        <v>3831</v>
      </c>
      <c r="I1146" s="1418" t="s">
        <v>3832</v>
      </c>
      <c r="J1146" s="1419"/>
      <c r="K1146" s="1419">
        <v>27700494</v>
      </c>
      <c r="L1146" s="1420">
        <f t="shared" si="346"/>
        <v>2770049.4000000004</v>
      </c>
      <c r="M1146" s="1421"/>
      <c r="N1146" s="1420">
        <f t="shared" si="347"/>
        <v>30470543.399999999</v>
      </c>
      <c r="O1146" s="1414" t="s">
        <v>195</v>
      </c>
      <c r="P1146" s="1414" t="s">
        <v>91</v>
      </c>
      <c r="Q1146" s="1308"/>
      <c r="R1146" s="1308"/>
      <c r="S1146" s="1413">
        <v>0</v>
      </c>
      <c r="T1146" s="1413">
        <f t="shared" si="432"/>
        <v>-554009.88</v>
      </c>
      <c r="U1146" s="1419">
        <v>29916533.52</v>
      </c>
      <c r="V1146" s="1430"/>
      <c r="W1146" s="1431"/>
      <c r="X1146" s="1441"/>
      <c r="Y1146" s="1419"/>
      <c r="Z1146" s="1433"/>
      <c r="AA1146" s="1434"/>
      <c r="AB1146" s="1435"/>
      <c r="AC1146" s="1416"/>
      <c r="AD1146" s="1436"/>
      <c r="AE1146" s="1436"/>
      <c r="AF1146" s="1416"/>
      <c r="AG1146" s="1416"/>
      <c r="AH1146" s="1437"/>
      <c r="AI1146" s="1416"/>
      <c r="AJ1146" s="1437"/>
      <c r="AK1146" s="1438"/>
    </row>
    <row r="1147" spans="1:37" s="1439" customFormat="1" ht="12" customHeight="1">
      <c r="A1147" s="1415"/>
      <c r="B1147" s="1268" t="s">
        <v>194</v>
      </c>
      <c r="C1147" s="1416">
        <v>15</v>
      </c>
      <c r="D1147" s="1417" t="s">
        <v>40</v>
      </c>
      <c r="E1147" s="1418" t="s">
        <v>364</v>
      </c>
      <c r="F1147" s="1505" t="s">
        <v>3833</v>
      </c>
      <c r="G1147" s="1418" t="s">
        <v>4</v>
      </c>
      <c r="H1147" s="1418" t="s">
        <v>3834</v>
      </c>
      <c r="I1147" s="1418" t="s">
        <v>3835</v>
      </c>
      <c r="J1147" s="1419"/>
      <c r="K1147" s="1419">
        <v>13000000</v>
      </c>
      <c r="L1147" s="1420">
        <f t="shared" si="346"/>
        <v>1300000</v>
      </c>
      <c r="M1147" s="1421"/>
      <c r="N1147" s="1420">
        <f t="shared" si="347"/>
        <v>14300000</v>
      </c>
      <c r="O1147" s="1414" t="s">
        <v>195</v>
      </c>
      <c r="P1147" s="1414" t="s">
        <v>91</v>
      </c>
      <c r="Q1147" s="1308"/>
      <c r="R1147" s="1308"/>
      <c r="S1147" s="1413">
        <v>0</v>
      </c>
      <c r="T1147" s="1413">
        <f t="shared" si="432"/>
        <v>-260000</v>
      </c>
      <c r="U1147" s="1419">
        <v>14040000</v>
      </c>
      <c r="V1147" s="1430"/>
      <c r="W1147" s="1431"/>
      <c r="X1147" s="1441"/>
      <c r="Y1147" s="1419"/>
      <c r="Z1147" s="1433"/>
      <c r="AA1147" s="1434"/>
      <c r="AB1147" s="1435"/>
      <c r="AC1147" s="1416"/>
      <c r="AD1147" s="1436"/>
      <c r="AE1147" s="1436"/>
      <c r="AF1147" s="1416"/>
      <c r="AG1147" s="1416"/>
      <c r="AH1147" s="1437"/>
      <c r="AI1147" s="1416"/>
      <c r="AJ1147" s="1437"/>
      <c r="AK1147" s="1438"/>
    </row>
    <row r="1148" spans="1:37" s="1439" customFormat="1" ht="12" customHeight="1">
      <c r="A1148" s="1415"/>
      <c r="B1148" s="1268" t="s">
        <v>194</v>
      </c>
      <c r="C1148" s="1416">
        <v>15</v>
      </c>
      <c r="D1148" s="1417" t="s">
        <v>40</v>
      </c>
      <c r="E1148" s="1418" t="s">
        <v>355</v>
      </c>
      <c r="F1148" s="1505" t="s">
        <v>3585</v>
      </c>
      <c r="G1148" s="1418" t="s">
        <v>4</v>
      </c>
      <c r="H1148" s="1418" t="s">
        <v>3836</v>
      </c>
      <c r="I1148" s="1418" t="s">
        <v>3837</v>
      </c>
      <c r="J1148" s="1419"/>
      <c r="K1148" s="1419">
        <v>27700494</v>
      </c>
      <c r="L1148" s="1420">
        <f t="shared" si="346"/>
        <v>2770049.4000000004</v>
      </c>
      <c r="M1148" s="1421"/>
      <c r="N1148" s="1420">
        <f t="shared" si="347"/>
        <v>30470543.399999999</v>
      </c>
      <c r="O1148" s="1414" t="s">
        <v>195</v>
      </c>
      <c r="P1148" s="1414" t="s">
        <v>91</v>
      </c>
      <c r="Q1148" s="1308"/>
      <c r="R1148" s="1308"/>
      <c r="S1148" s="1413">
        <v>0</v>
      </c>
      <c r="T1148" s="1413">
        <f t="shared" si="432"/>
        <v>-554009.88</v>
      </c>
      <c r="U1148" s="1419">
        <v>29916533.52</v>
      </c>
      <c r="V1148" s="1430"/>
      <c r="W1148" s="1431"/>
      <c r="X1148" s="1441"/>
      <c r="Y1148" s="1419"/>
      <c r="Z1148" s="1433"/>
      <c r="AA1148" s="1434"/>
      <c r="AB1148" s="1435"/>
      <c r="AC1148" s="1416"/>
      <c r="AD1148" s="1436"/>
      <c r="AE1148" s="1436"/>
      <c r="AF1148" s="1416"/>
      <c r="AG1148" s="1416"/>
      <c r="AH1148" s="1437"/>
      <c r="AI1148" s="1416"/>
      <c r="AJ1148" s="1437"/>
      <c r="AK1148" s="1438"/>
    </row>
    <row r="1149" spans="1:37" s="1439" customFormat="1" ht="12" customHeight="1">
      <c r="A1149" s="1415"/>
      <c r="B1149" s="1268" t="s">
        <v>194</v>
      </c>
      <c r="C1149" s="1416">
        <v>15</v>
      </c>
      <c r="D1149" s="1417" t="s">
        <v>40</v>
      </c>
      <c r="E1149" s="1418" t="s">
        <v>354</v>
      </c>
      <c r="F1149" s="1505" t="s">
        <v>3838</v>
      </c>
      <c r="G1149" s="1418" t="s">
        <v>4</v>
      </c>
      <c r="H1149" s="1418" t="s">
        <v>3839</v>
      </c>
      <c r="I1149" s="1418" t="s">
        <v>3840</v>
      </c>
      <c r="J1149" s="1419"/>
      <c r="K1149" s="1419">
        <v>27077272</v>
      </c>
      <c r="L1149" s="1420">
        <f t="shared" si="346"/>
        <v>2707727.2</v>
      </c>
      <c r="M1149" s="1421"/>
      <c r="N1149" s="1420">
        <f t="shared" si="347"/>
        <v>29784999.199999999</v>
      </c>
      <c r="O1149" s="1414" t="s">
        <v>195</v>
      </c>
      <c r="P1149" s="1414" t="s">
        <v>91</v>
      </c>
      <c r="Q1149" s="1308"/>
      <c r="R1149" s="1308"/>
      <c r="S1149" s="1413">
        <v>0</v>
      </c>
      <c r="T1149" s="1413">
        <f t="shared" si="432"/>
        <v>-541545.44000000006</v>
      </c>
      <c r="U1149" s="1419">
        <v>29243453.760000002</v>
      </c>
      <c r="V1149" s="1430"/>
      <c r="W1149" s="1431"/>
      <c r="X1149" s="1441"/>
      <c r="Y1149" s="1419"/>
      <c r="Z1149" s="1433"/>
      <c r="AA1149" s="1434"/>
      <c r="AB1149" s="1435"/>
      <c r="AC1149" s="1416"/>
      <c r="AD1149" s="1436"/>
      <c r="AE1149" s="1436"/>
      <c r="AF1149" s="1416"/>
      <c r="AG1149" s="1416"/>
      <c r="AH1149" s="1437"/>
      <c r="AI1149" s="1416"/>
      <c r="AJ1149" s="1437"/>
      <c r="AK1149" s="1438"/>
    </row>
    <row r="1150" spans="1:37" s="1439" customFormat="1" ht="12" customHeight="1">
      <c r="A1150" s="1415"/>
      <c r="B1150" s="1268" t="s">
        <v>194</v>
      </c>
      <c r="C1150" s="1416">
        <v>15</v>
      </c>
      <c r="D1150" s="1417" t="s">
        <v>40</v>
      </c>
      <c r="E1150" s="1418" t="s">
        <v>354</v>
      </c>
      <c r="F1150" s="1505" t="s">
        <v>3841</v>
      </c>
      <c r="G1150" s="1418" t="s">
        <v>4</v>
      </c>
      <c r="H1150" s="1418" t="s">
        <v>3842</v>
      </c>
      <c r="I1150" s="1418" t="s">
        <v>3843</v>
      </c>
      <c r="J1150" s="1419"/>
      <c r="K1150" s="1419">
        <v>27077272</v>
      </c>
      <c r="L1150" s="1420">
        <f t="shared" si="346"/>
        <v>2707727.2</v>
      </c>
      <c r="M1150" s="1421"/>
      <c r="N1150" s="1420">
        <f t="shared" si="347"/>
        <v>29784999.199999999</v>
      </c>
      <c r="O1150" s="1414" t="s">
        <v>195</v>
      </c>
      <c r="P1150" s="1414" t="s">
        <v>91</v>
      </c>
      <c r="Q1150" s="1308"/>
      <c r="R1150" s="1308"/>
      <c r="S1150" s="1413">
        <v>0</v>
      </c>
      <c r="T1150" s="1413">
        <f t="shared" si="432"/>
        <v>-541545.44000000006</v>
      </c>
      <c r="U1150" s="1419">
        <v>29243453.760000002</v>
      </c>
      <c r="V1150" s="1430"/>
      <c r="W1150" s="1431"/>
      <c r="X1150" s="1441"/>
      <c r="Y1150" s="1419"/>
      <c r="Z1150" s="1433"/>
      <c r="AA1150" s="1434"/>
      <c r="AB1150" s="1435"/>
      <c r="AC1150" s="1416"/>
      <c r="AD1150" s="1436"/>
      <c r="AE1150" s="1436"/>
      <c r="AF1150" s="1416"/>
      <c r="AG1150" s="1416"/>
      <c r="AH1150" s="1437"/>
      <c r="AI1150" s="1416"/>
      <c r="AJ1150" s="1437"/>
      <c r="AK1150" s="1438"/>
    </row>
    <row r="1151" spans="1:37" s="1439" customFormat="1" ht="12" customHeight="1">
      <c r="A1151" s="1415"/>
      <c r="B1151" s="1268" t="s">
        <v>194</v>
      </c>
      <c r="C1151" s="1416">
        <v>15</v>
      </c>
      <c r="D1151" s="1417" t="s">
        <v>40</v>
      </c>
      <c r="E1151" s="1418" t="s">
        <v>355</v>
      </c>
      <c r="F1151" s="1505" t="s">
        <v>3594</v>
      </c>
      <c r="G1151" s="1418" t="s">
        <v>4</v>
      </c>
      <c r="H1151" s="1418" t="s">
        <v>3844</v>
      </c>
      <c r="I1151" s="1418" t="s">
        <v>3845</v>
      </c>
      <c r="J1151" s="1419"/>
      <c r="K1151" s="1419">
        <v>27700494</v>
      </c>
      <c r="L1151" s="1420">
        <f t="shared" si="346"/>
        <v>2770049.4000000004</v>
      </c>
      <c r="M1151" s="1421"/>
      <c r="N1151" s="1420">
        <f t="shared" si="347"/>
        <v>30470543.399999999</v>
      </c>
      <c r="O1151" s="1414" t="s">
        <v>195</v>
      </c>
      <c r="P1151" s="1414" t="s">
        <v>91</v>
      </c>
      <c r="Q1151" s="1308"/>
      <c r="R1151" s="1308"/>
      <c r="S1151" s="1413">
        <v>0</v>
      </c>
      <c r="T1151" s="1413">
        <f t="shared" si="432"/>
        <v>-554009.88</v>
      </c>
      <c r="U1151" s="1419">
        <v>29916533.52</v>
      </c>
      <c r="V1151" s="1430"/>
      <c r="W1151" s="1431"/>
      <c r="X1151" s="1441"/>
      <c r="Y1151" s="1419"/>
      <c r="Z1151" s="1433"/>
      <c r="AA1151" s="1434"/>
      <c r="AB1151" s="1435"/>
      <c r="AC1151" s="1416"/>
      <c r="AD1151" s="1436"/>
      <c r="AE1151" s="1436"/>
      <c r="AF1151" s="1416"/>
      <c r="AG1151" s="1416"/>
      <c r="AH1151" s="1437"/>
      <c r="AI1151" s="1416"/>
      <c r="AJ1151" s="1437"/>
      <c r="AK1151" s="1438"/>
    </row>
    <row r="1152" spans="1:37" s="1439" customFormat="1" ht="12" customHeight="1">
      <c r="A1152" s="1415"/>
      <c r="B1152" s="1268" t="s">
        <v>194</v>
      </c>
      <c r="C1152" s="1416">
        <v>15</v>
      </c>
      <c r="D1152" s="1417" t="s">
        <v>40</v>
      </c>
      <c r="E1152" s="1418" t="s">
        <v>354</v>
      </c>
      <c r="F1152" s="1505" t="s">
        <v>3846</v>
      </c>
      <c r="G1152" s="1418" t="s">
        <v>4</v>
      </c>
      <c r="H1152" s="1418" t="s">
        <v>3847</v>
      </c>
      <c r="I1152" s="1418" t="s">
        <v>3848</v>
      </c>
      <c r="J1152" s="1419"/>
      <c r="K1152" s="1419">
        <v>27077272</v>
      </c>
      <c r="L1152" s="1420">
        <f t="shared" si="346"/>
        <v>2707727.2</v>
      </c>
      <c r="M1152" s="1421"/>
      <c r="N1152" s="1420">
        <f t="shared" si="347"/>
        <v>29784999.199999999</v>
      </c>
      <c r="O1152" s="1414" t="s">
        <v>195</v>
      </c>
      <c r="P1152" s="1414" t="s">
        <v>91</v>
      </c>
      <c r="Q1152" s="1308"/>
      <c r="R1152" s="1308"/>
      <c r="S1152" s="1413">
        <v>0</v>
      </c>
      <c r="T1152" s="1413">
        <f t="shared" si="432"/>
        <v>-541545.44000000006</v>
      </c>
      <c r="U1152" s="1419">
        <v>29243453.760000002</v>
      </c>
      <c r="V1152" s="1430"/>
      <c r="W1152" s="1431"/>
      <c r="X1152" s="1441"/>
      <c r="Y1152" s="1419"/>
      <c r="Z1152" s="1433"/>
      <c r="AA1152" s="1434"/>
      <c r="AB1152" s="1435"/>
      <c r="AC1152" s="1416"/>
      <c r="AD1152" s="1436"/>
      <c r="AE1152" s="1436"/>
      <c r="AF1152" s="1416"/>
      <c r="AG1152" s="1416"/>
      <c r="AH1152" s="1437"/>
      <c r="AI1152" s="1416"/>
      <c r="AJ1152" s="1437"/>
      <c r="AK1152" s="1438"/>
    </row>
    <row r="1153" spans="1:37" s="1439" customFormat="1" ht="12" customHeight="1">
      <c r="A1153" s="1415"/>
      <c r="B1153" s="1268" t="s">
        <v>194</v>
      </c>
      <c r="C1153" s="1416">
        <v>15</v>
      </c>
      <c r="D1153" s="1417" t="s">
        <v>40</v>
      </c>
      <c r="E1153" s="1418" t="s">
        <v>355</v>
      </c>
      <c r="F1153" s="1505" t="s">
        <v>3600</v>
      </c>
      <c r="G1153" s="1418" t="s">
        <v>4</v>
      </c>
      <c r="H1153" s="1418" t="s">
        <v>3849</v>
      </c>
      <c r="I1153" s="1418" t="s">
        <v>3850</v>
      </c>
      <c r="J1153" s="1419"/>
      <c r="K1153" s="1419">
        <v>27700494</v>
      </c>
      <c r="L1153" s="1420">
        <f t="shared" si="346"/>
        <v>2770049.4000000004</v>
      </c>
      <c r="M1153" s="1421"/>
      <c r="N1153" s="1420">
        <f t="shared" si="347"/>
        <v>30470543.399999999</v>
      </c>
      <c r="O1153" s="1414" t="s">
        <v>195</v>
      </c>
      <c r="P1153" s="1414" t="s">
        <v>91</v>
      </c>
      <c r="Q1153" s="1308"/>
      <c r="R1153" s="1308"/>
      <c r="S1153" s="1413">
        <v>0</v>
      </c>
      <c r="T1153" s="1413">
        <f t="shared" si="432"/>
        <v>-554009.88</v>
      </c>
      <c r="U1153" s="1419">
        <v>29916533.52</v>
      </c>
      <c r="V1153" s="1430"/>
      <c r="W1153" s="1431"/>
      <c r="X1153" s="1441"/>
      <c r="Y1153" s="1419"/>
      <c r="Z1153" s="1433"/>
      <c r="AA1153" s="1434"/>
      <c r="AB1153" s="1435"/>
      <c r="AC1153" s="1416"/>
      <c r="AD1153" s="1436"/>
      <c r="AE1153" s="1436"/>
      <c r="AF1153" s="1416"/>
      <c r="AG1153" s="1416"/>
      <c r="AH1153" s="1437"/>
      <c r="AI1153" s="1416"/>
      <c r="AJ1153" s="1437"/>
      <c r="AK1153" s="1438"/>
    </row>
    <row r="1154" spans="1:37" s="1439" customFormat="1" ht="12" customHeight="1">
      <c r="A1154" s="1415"/>
      <c r="B1154" s="1268" t="s">
        <v>194</v>
      </c>
      <c r="C1154" s="1416">
        <v>15</v>
      </c>
      <c r="D1154" s="1417" t="s">
        <v>40</v>
      </c>
      <c r="E1154" s="1418" t="s">
        <v>355</v>
      </c>
      <c r="F1154" s="1505" t="s">
        <v>3851</v>
      </c>
      <c r="G1154" s="1418" t="s">
        <v>4</v>
      </c>
      <c r="H1154" s="1418" t="s">
        <v>3852</v>
      </c>
      <c r="I1154" s="1418" t="s">
        <v>3853</v>
      </c>
      <c r="J1154" s="1419"/>
      <c r="K1154" s="1419">
        <v>27700494</v>
      </c>
      <c r="L1154" s="1420">
        <f t="shared" ref="L1154" si="433">K1154*10%</f>
        <v>2770049.4000000004</v>
      </c>
      <c r="M1154" s="1421"/>
      <c r="N1154" s="1420">
        <f t="shared" ref="N1154" si="434">K1154+L1154</f>
        <v>30470543.399999999</v>
      </c>
      <c r="O1154" s="1414" t="s">
        <v>195</v>
      </c>
      <c r="P1154" s="1414" t="s">
        <v>91</v>
      </c>
      <c r="Q1154" s="1308"/>
      <c r="R1154" s="1308"/>
      <c r="S1154" s="1413">
        <v>0</v>
      </c>
      <c r="T1154" s="1413">
        <f t="shared" si="432"/>
        <v>-554009.88</v>
      </c>
      <c r="U1154" s="1419">
        <v>29916533.52</v>
      </c>
      <c r="V1154" s="1430"/>
      <c r="W1154" s="1431"/>
      <c r="X1154" s="1441"/>
      <c r="Y1154" s="1419"/>
      <c r="Z1154" s="1433"/>
      <c r="AA1154" s="1434"/>
      <c r="AB1154" s="1435"/>
      <c r="AC1154" s="1416"/>
      <c r="AD1154" s="1436"/>
      <c r="AE1154" s="1436"/>
      <c r="AF1154" s="1416"/>
      <c r="AG1154" s="1416"/>
      <c r="AH1154" s="1437"/>
      <c r="AI1154" s="1416"/>
      <c r="AJ1154" s="1437"/>
      <c r="AK1154" s="1438"/>
    </row>
    <row r="1155" spans="1:37" s="1439" customFormat="1" ht="12" customHeight="1">
      <c r="A1155" s="1415"/>
      <c r="B1155" s="1268" t="s">
        <v>194</v>
      </c>
      <c r="C1155" s="1416">
        <v>15</v>
      </c>
      <c r="D1155" s="1417" t="s">
        <v>40</v>
      </c>
      <c r="E1155" s="1418" t="s">
        <v>354</v>
      </c>
      <c r="F1155" s="1505" t="s">
        <v>3854</v>
      </c>
      <c r="G1155" s="1418" t="s">
        <v>4</v>
      </c>
      <c r="H1155" s="1418" t="s">
        <v>3855</v>
      </c>
      <c r="I1155" s="1418" t="s">
        <v>3856</v>
      </c>
      <c r="J1155" s="1419"/>
      <c r="K1155" s="1419">
        <v>27077272</v>
      </c>
      <c r="L1155" s="1420">
        <f t="shared" ref="L1155" si="435">K1155*10%</f>
        <v>2707727.2</v>
      </c>
      <c r="M1155" s="1421"/>
      <c r="N1155" s="1420">
        <f t="shared" ref="N1155" si="436">K1155+L1155</f>
        <v>29784999.199999999</v>
      </c>
      <c r="O1155" s="1414" t="s">
        <v>195</v>
      </c>
      <c r="P1155" s="1414" t="s">
        <v>91</v>
      </c>
      <c r="Q1155" s="1308"/>
      <c r="R1155" s="1308"/>
      <c r="S1155" s="1413">
        <v>0</v>
      </c>
      <c r="T1155" s="1413">
        <f t="shared" si="432"/>
        <v>-541545.44000000006</v>
      </c>
      <c r="U1155" s="1419">
        <v>29243453.760000002</v>
      </c>
      <c r="V1155" s="1430"/>
      <c r="W1155" s="1431"/>
      <c r="X1155" s="1441"/>
      <c r="Y1155" s="1419"/>
      <c r="Z1155" s="1433"/>
      <c r="AA1155" s="1434"/>
      <c r="AB1155" s="1435"/>
      <c r="AC1155" s="1416"/>
      <c r="AD1155" s="1436"/>
      <c r="AE1155" s="1436"/>
      <c r="AF1155" s="1416"/>
      <c r="AG1155" s="1416"/>
      <c r="AH1155" s="1437"/>
      <c r="AI1155" s="1416"/>
      <c r="AJ1155" s="1437"/>
      <c r="AK1155" s="1438"/>
    </row>
    <row r="1156" spans="1:37" s="1439" customFormat="1" ht="12" customHeight="1">
      <c r="A1156" s="1415"/>
      <c r="B1156" s="1268" t="s">
        <v>194</v>
      </c>
      <c r="C1156" s="1416">
        <v>15</v>
      </c>
      <c r="D1156" s="1417" t="s">
        <v>40</v>
      </c>
      <c r="E1156" s="1418" t="s">
        <v>354</v>
      </c>
      <c r="F1156" s="1505" t="s">
        <v>3609</v>
      </c>
      <c r="G1156" s="1418" t="s">
        <v>4</v>
      </c>
      <c r="H1156" s="1418" t="s">
        <v>3857</v>
      </c>
      <c r="I1156" s="1418" t="s">
        <v>3858</v>
      </c>
      <c r="J1156" s="1419"/>
      <c r="K1156" s="1419">
        <v>27077272</v>
      </c>
      <c r="L1156" s="1420">
        <f t="shared" ref="L1156" si="437">K1156*10%</f>
        <v>2707727.2</v>
      </c>
      <c r="M1156" s="1421"/>
      <c r="N1156" s="1420">
        <f t="shared" ref="N1156" si="438">K1156+L1156</f>
        <v>29784999.199999999</v>
      </c>
      <c r="O1156" s="1414" t="s">
        <v>195</v>
      </c>
      <c r="P1156" s="1414" t="s">
        <v>91</v>
      </c>
      <c r="Q1156" s="1308"/>
      <c r="R1156" s="1308"/>
      <c r="S1156" s="1413">
        <v>0</v>
      </c>
      <c r="T1156" s="1413">
        <f t="shared" si="432"/>
        <v>-541545.44000000006</v>
      </c>
      <c r="U1156" s="1419">
        <v>29243453.760000002</v>
      </c>
      <c r="V1156" s="1430"/>
      <c r="W1156" s="1431"/>
      <c r="X1156" s="1441"/>
      <c r="Y1156" s="1419"/>
      <c r="Z1156" s="1433"/>
      <c r="AA1156" s="1434"/>
      <c r="AB1156" s="1435"/>
      <c r="AC1156" s="1416"/>
      <c r="AD1156" s="1436"/>
      <c r="AE1156" s="1436"/>
      <c r="AF1156" s="1416"/>
      <c r="AG1156" s="1416"/>
      <c r="AH1156" s="1437"/>
      <c r="AI1156" s="1416"/>
      <c r="AJ1156" s="1437"/>
      <c r="AK1156" s="1438"/>
    </row>
    <row r="1157" spans="1:37" s="1439" customFormat="1" ht="12" customHeight="1">
      <c r="A1157" s="1415"/>
      <c r="B1157" s="1268" t="s">
        <v>194</v>
      </c>
      <c r="C1157" s="1416">
        <v>15</v>
      </c>
      <c r="D1157" s="1417" t="s">
        <v>40</v>
      </c>
      <c r="E1157" s="1418" t="s">
        <v>354</v>
      </c>
      <c r="F1157" s="1505" t="s">
        <v>3612</v>
      </c>
      <c r="G1157" s="1418" t="s">
        <v>4</v>
      </c>
      <c r="H1157" s="1418" t="s">
        <v>3859</v>
      </c>
      <c r="I1157" s="1418" t="s">
        <v>3860</v>
      </c>
      <c r="J1157" s="1419"/>
      <c r="K1157" s="1419">
        <v>27077272</v>
      </c>
      <c r="L1157" s="1420">
        <f t="shared" ref="L1157" si="439">K1157*10%</f>
        <v>2707727.2</v>
      </c>
      <c r="M1157" s="1421"/>
      <c r="N1157" s="1420">
        <f t="shared" ref="N1157" si="440">K1157+L1157</f>
        <v>29784999.199999999</v>
      </c>
      <c r="O1157" s="1414" t="s">
        <v>195</v>
      </c>
      <c r="P1157" s="1414" t="s">
        <v>91</v>
      </c>
      <c r="Q1157" s="1308"/>
      <c r="R1157" s="1308"/>
      <c r="S1157" s="1413">
        <v>0</v>
      </c>
      <c r="T1157" s="1413">
        <f t="shared" si="432"/>
        <v>-541545.44000000006</v>
      </c>
      <c r="U1157" s="1419">
        <v>29243453.760000002</v>
      </c>
      <c r="V1157" s="1430"/>
      <c r="W1157" s="1431"/>
      <c r="X1157" s="1441"/>
      <c r="Y1157" s="1419"/>
      <c r="Z1157" s="1433"/>
      <c r="AA1157" s="1434"/>
      <c r="AB1157" s="1435"/>
      <c r="AC1157" s="1416"/>
      <c r="AD1157" s="1436"/>
      <c r="AE1157" s="1436"/>
      <c r="AF1157" s="1416"/>
      <c r="AG1157" s="1416"/>
      <c r="AH1157" s="1437"/>
      <c r="AI1157" s="1416"/>
      <c r="AJ1157" s="1437"/>
      <c r="AK1157" s="1438"/>
    </row>
    <row r="1158" spans="1:37" s="1439" customFormat="1" ht="12" customHeight="1">
      <c r="A1158" s="1415"/>
      <c r="B1158" s="1268" t="s">
        <v>194</v>
      </c>
      <c r="C1158" s="1416">
        <v>15</v>
      </c>
      <c r="D1158" s="1417" t="s">
        <v>40</v>
      </c>
      <c r="E1158" s="1418" t="s">
        <v>62</v>
      </c>
      <c r="F1158" s="1505" t="s">
        <v>3861</v>
      </c>
      <c r="G1158" s="1418" t="s">
        <v>3862</v>
      </c>
      <c r="H1158" s="1418" t="s">
        <v>3863</v>
      </c>
      <c r="I1158" s="1266" t="s">
        <v>14</v>
      </c>
      <c r="J1158" s="1419"/>
      <c r="K1158" s="1419">
        <v>2051300</v>
      </c>
      <c r="L1158" s="1420">
        <v>0</v>
      </c>
      <c r="M1158" s="1421"/>
      <c r="N1158" s="1420">
        <f t="shared" ref="N1158:N1365" si="441">K1158+L1158</f>
        <v>2051300</v>
      </c>
      <c r="O1158" s="1414" t="s">
        <v>195</v>
      </c>
      <c r="P1158" s="1414" t="s">
        <v>91</v>
      </c>
      <c r="Q1158" s="1308"/>
      <c r="R1158" s="1308"/>
      <c r="S1158" s="1413">
        <v>0</v>
      </c>
      <c r="T1158" s="1413">
        <v>0</v>
      </c>
      <c r="U1158" s="1419">
        <v>2051300</v>
      </c>
      <c r="V1158" s="1430"/>
      <c r="W1158" s="1431"/>
      <c r="X1158" s="1441"/>
      <c r="Y1158" s="1419"/>
      <c r="Z1158" s="1433"/>
      <c r="AA1158" s="1434"/>
      <c r="AB1158" s="1435"/>
      <c r="AC1158" s="1416"/>
      <c r="AD1158" s="1436"/>
      <c r="AE1158" s="1436"/>
      <c r="AF1158" s="1416"/>
      <c r="AG1158" s="1416"/>
      <c r="AH1158" s="1437"/>
      <c r="AI1158" s="1416"/>
      <c r="AJ1158" s="1437"/>
      <c r="AK1158" s="1438"/>
    </row>
    <row r="1159" spans="1:37" s="1439" customFormat="1" ht="12" customHeight="1">
      <c r="A1159" s="1415"/>
      <c r="B1159" s="1268" t="s">
        <v>195</v>
      </c>
      <c r="C1159" s="1416">
        <v>13</v>
      </c>
      <c r="D1159" s="1417" t="s">
        <v>40</v>
      </c>
      <c r="E1159" s="1418" t="s">
        <v>355</v>
      </c>
      <c r="F1159" s="1505" t="s">
        <v>3594</v>
      </c>
      <c r="G1159" s="1418" t="s">
        <v>379</v>
      </c>
      <c r="H1159" s="1418" t="s">
        <v>4065</v>
      </c>
      <c r="I1159" s="1418" t="s">
        <v>4066</v>
      </c>
      <c r="J1159" s="1419"/>
      <c r="K1159" s="1419">
        <v>27964370</v>
      </c>
      <c r="L1159" s="1419">
        <f t="shared" ref="L1159" si="442">K1159*10%</f>
        <v>2796437</v>
      </c>
      <c r="M1159" s="1421"/>
      <c r="N1159" s="1420">
        <f t="shared" ref="N1159" si="443">K1159+L1159</f>
        <v>30760807</v>
      </c>
      <c r="O1159" s="1307" t="s">
        <v>240</v>
      </c>
      <c r="P1159" s="1307" t="s">
        <v>31</v>
      </c>
      <c r="Q1159" s="1308"/>
      <c r="R1159" s="1308"/>
      <c r="S1159" s="1413">
        <v>0</v>
      </c>
      <c r="T1159" s="1413">
        <f t="shared" ref="T1159:T1164" si="444">-K1159*2%</f>
        <v>-559287.4</v>
      </c>
      <c r="U1159" s="1419">
        <v>30201519.600000001</v>
      </c>
      <c r="V1159" s="1430"/>
      <c r="W1159" s="1431"/>
      <c r="X1159" s="1441"/>
      <c r="Y1159" s="1419"/>
      <c r="Z1159" s="1433"/>
      <c r="AA1159" s="1434"/>
      <c r="AB1159" s="1435"/>
      <c r="AC1159" s="1416"/>
      <c r="AD1159" s="1436"/>
      <c r="AE1159" s="1436"/>
      <c r="AF1159" s="1416"/>
      <c r="AG1159" s="1416"/>
      <c r="AH1159" s="1437"/>
      <c r="AI1159" s="1416"/>
      <c r="AJ1159" s="1437"/>
      <c r="AK1159" s="1438"/>
    </row>
    <row r="1160" spans="1:37" s="1439" customFormat="1" ht="12" customHeight="1">
      <c r="A1160" s="1415"/>
      <c r="B1160" s="1268" t="s">
        <v>195</v>
      </c>
      <c r="C1160" s="1416">
        <v>13</v>
      </c>
      <c r="D1160" s="1417" t="s">
        <v>40</v>
      </c>
      <c r="E1160" s="1418" t="s">
        <v>355</v>
      </c>
      <c r="F1160" s="1505" t="s">
        <v>3603</v>
      </c>
      <c r="G1160" s="1418" t="s">
        <v>379</v>
      </c>
      <c r="H1160" s="1418" t="s">
        <v>4067</v>
      </c>
      <c r="I1160" s="1418" t="s">
        <v>4068</v>
      </c>
      <c r="J1160" s="1419"/>
      <c r="K1160" s="1419">
        <v>27964370</v>
      </c>
      <c r="L1160" s="1419">
        <f t="shared" ref="L1160" si="445">K1160*10%</f>
        <v>2796437</v>
      </c>
      <c r="M1160" s="1421"/>
      <c r="N1160" s="1420">
        <f t="shared" ref="N1160" si="446">K1160+L1160</f>
        <v>30760807</v>
      </c>
      <c r="O1160" s="1307" t="s">
        <v>240</v>
      </c>
      <c r="P1160" s="1307" t="s">
        <v>31</v>
      </c>
      <c r="Q1160" s="1308"/>
      <c r="R1160" s="1308"/>
      <c r="S1160" s="1413">
        <v>0</v>
      </c>
      <c r="T1160" s="1413">
        <f t="shared" si="444"/>
        <v>-559287.4</v>
      </c>
      <c r="U1160" s="1419">
        <v>30201519.600000001</v>
      </c>
      <c r="V1160" s="1430"/>
      <c r="W1160" s="1431"/>
      <c r="X1160" s="1441"/>
      <c r="Y1160" s="1419"/>
      <c r="Z1160" s="1433"/>
      <c r="AA1160" s="1434"/>
      <c r="AB1160" s="1435"/>
      <c r="AC1160" s="1416"/>
      <c r="AD1160" s="1436"/>
      <c r="AE1160" s="1436"/>
      <c r="AF1160" s="1416"/>
      <c r="AG1160" s="1416"/>
      <c r="AH1160" s="1437"/>
      <c r="AI1160" s="1416"/>
      <c r="AJ1160" s="1437"/>
      <c r="AK1160" s="1438"/>
    </row>
    <row r="1161" spans="1:37" s="1439" customFormat="1" ht="12" customHeight="1">
      <c r="A1161" s="1415"/>
      <c r="B1161" s="1268" t="s">
        <v>195</v>
      </c>
      <c r="C1161" s="1416">
        <v>13</v>
      </c>
      <c r="D1161" s="1417" t="s">
        <v>40</v>
      </c>
      <c r="E1161" s="1418" t="s">
        <v>355</v>
      </c>
      <c r="F1161" s="1505" t="s">
        <v>3585</v>
      </c>
      <c r="G1161" s="1418" t="s">
        <v>379</v>
      </c>
      <c r="H1161" s="1418" t="s">
        <v>4069</v>
      </c>
      <c r="I1161" s="1418" t="s">
        <v>4070</v>
      </c>
      <c r="J1161" s="1419"/>
      <c r="K1161" s="1419">
        <v>27964370</v>
      </c>
      <c r="L1161" s="1419">
        <f t="shared" ref="L1161:L1165" si="447">K1161*10%</f>
        <v>2796437</v>
      </c>
      <c r="M1161" s="1421"/>
      <c r="N1161" s="1420">
        <f t="shared" ref="N1161:N1165" si="448">K1161+L1161</f>
        <v>30760807</v>
      </c>
      <c r="O1161" s="1307" t="s">
        <v>240</v>
      </c>
      <c r="P1161" s="1307" t="s">
        <v>31</v>
      </c>
      <c r="Q1161" s="1308"/>
      <c r="R1161" s="1308"/>
      <c r="S1161" s="1413">
        <v>0</v>
      </c>
      <c r="T1161" s="1413">
        <f t="shared" si="444"/>
        <v>-559287.4</v>
      </c>
      <c r="U1161" s="1419">
        <v>30201519.600000001</v>
      </c>
      <c r="V1161" s="1430"/>
      <c r="W1161" s="1431"/>
      <c r="X1161" s="1441"/>
      <c r="Y1161" s="1419"/>
      <c r="Z1161" s="1433"/>
      <c r="AA1161" s="1434"/>
      <c r="AB1161" s="1435"/>
      <c r="AC1161" s="1416"/>
      <c r="AD1161" s="1436"/>
      <c r="AE1161" s="1436"/>
      <c r="AF1161" s="1416"/>
      <c r="AG1161" s="1416"/>
      <c r="AH1161" s="1437"/>
      <c r="AI1161" s="1416"/>
      <c r="AJ1161" s="1437"/>
      <c r="AK1161" s="1438"/>
    </row>
    <row r="1162" spans="1:37" s="1439" customFormat="1" ht="12" customHeight="1">
      <c r="A1162" s="1415"/>
      <c r="B1162" s="1268" t="s">
        <v>195</v>
      </c>
      <c r="C1162" s="1416">
        <v>13</v>
      </c>
      <c r="D1162" s="1417" t="s">
        <v>40</v>
      </c>
      <c r="E1162" s="1418" t="s">
        <v>355</v>
      </c>
      <c r="F1162" s="1505" t="s">
        <v>3600</v>
      </c>
      <c r="G1162" s="1418" t="s">
        <v>379</v>
      </c>
      <c r="H1162" s="1418" t="s">
        <v>4071</v>
      </c>
      <c r="I1162" s="1418" t="s">
        <v>4072</v>
      </c>
      <c r="J1162" s="1419"/>
      <c r="K1162" s="1419">
        <v>27964370</v>
      </c>
      <c r="L1162" s="1419">
        <f t="shared" si="447"/>
        <v>2796437</v>
      </c>
      <c r="M1162" s="1421"/>
      <c r="N1162" s="1420">
        <f t="shared" si="448"/>
        <v>30760807</v>
      </c>
      <c r="O1162" s="1307" t="s">
        <v>240</v>
      </c>
      <c r="P1162" s="1307" t="s">
        <v>31</v>
      </c>
      <c r="Q1162" s="1308"/>
      <c r="R1162" s="1308"/>
      <c r="S1162" s="1413">
        <v>0</v>
      </c>
      <c r="T1162" s="1413">
        <f t="shared" si="444"/>
        <v>-559287.4</v>
      </c>
      <c r="U1162" s="1419">
        <v>30201519.600000001</v>
      </c>
      <c r="V1162" s="1430"/>
      <c r="W1162" s="1431"/>
      <c r="X1162" s="1441"/>
      <c r="Y1162" s="1419"/>
      <c r="Z1162" s="1433"/>
      <c r="AA1162" s="1434"/>
      <c r="AB1162" s="1435"/>
      <c r="AC1162" s="1416"/>
      <c r="AD1162" s="1436"/>
      <c r="AE1162" s="1436"/>
      <c r="AF1162" s="1416"/>
      <c r="AG1162" s="1416"/>
      <c r="AH1162" s="1437"/>
      <c r="AI1162" s="1416"/>
      <c r="AJ1162" s="1437"/>
      <c r="AK1162" s="1438"/>
    </row>
    <row r="1163" spans="1:37" s="1439" customFormat="1" ht="12" customHeight="1">
      <c r="A1163" s="1415"/>
      <c r="B1163" s="1268" t="s">
        <v>195</v>
      </c>
      <c r="C1163" s="1416">
        <v>13</v>
      </c>
      <c r="D1163" s="1417" t="s">
        <v>40</v>
      </c>
      <c r="E1163" s="1418" t="s">
        <v>355</v>
      </c>
      <c r="F1163" s="1505" t="s">
        <v>3580</v>
      </c>
      <c r="G1163" s="1418" t="s">
        <v>379</v>
      </c>
      <c r="H1163" s="1418" t="s">
        <v>4073</v>
      </c>
      <c r="I1163" s="1418" t="s">
        <v>4074</v>
      </c>
      <c r="J1163" s="1419"/>
      <c r="K1163" s="1419">
        <v>27964370</v>
      </c>
      <c r="L1163" s="1419">
        <f t="shared" si="447"/>
        <v>2796437</v>
      </c>
      <c r="M1163" s="1421"/>
      <c r="N1163" s="1420">
        <f t="shared" si="448"/>
        <v>30760807</v>
      </c>
      <c r="O1163" s="1307" t="s">
        <v>240</v>
      </c>
      <c r="P1163" s="1307" t="s">
        <v>31</v>
      </c>
      <c r="Q1163" s="1308"/>
      <c r="R1163" s="1308"/>
      <c r="S1163" s="1413">
        <v>0</v>
      </c>
      <c r="T1163" s="1413">
        <f t="shared" si="444"/>
        <v>-559287.4</v>
      </c>
      <c r="U1163" s="1419">
        <v>30201519.600000001</v>
      </c>
      <c r="V1163" s="1430"/>
      <c r="W1163" s="1431"/>
      <c r="X1163" s="1441"/>
      <c r="Y1163" s="1419"/>
      <c r="Z1163" s="1433"/>
      <c r="AA1163" s="1434"/>
      <c r="AB1163" s="1435"/>
      <c r="AC1163" s="1416"/>
      <c r="AD1163" s="1436"/>
      <c r="AE1163" s="1436"/>
      <c r="AF1163" s="1416"/>
      <c r="AG1163" s="1416"/>
      <c r="AH1163" s="1437"/>
      <c r="AI1163" s="1416"/>
      <c r="AJ1163" s="1437"/>
      <c r="AK1163" s="1438"/>
    </row>
    <row r="1164" spans="1:37" s="1439" customFormat="1" ht="12" customHeight="1">
      <c r="A1164" s="1415"/>
      <c r="B1164" s="1268" t="s">
        <v>195</v>
      </c>
      <c r="C1164" s="1416">
        <v>13</v>
      </c>
      <c r="D1164" s="1417" t="s">
        <v>40</v>
      </c>
      <c r="E1164" s="1418" t="s">
        <v>355</v>
      </c>
      <c r="F1164" s="1505" t="s">
        <v>4077</v>
      </c>
      <c r="G1164" s="1418" t="s">
        <v>379</v>
      </c>
      <c r="H1164" s="1418" t="s">
        <v>4075</v>
      </c>
      <c r="I1164" s="1418" t="s">
        <v>4076</v>
      </c>
      <c r="J1164" s="1419"/>
      <c r="K1164" s="1419">
        <v>27964370</v>
      </c>
      <c r="L1164" s="1419">
        <f t="shared" si="447"/>
        <v>2796437</v>
      </c>
      <c r="M1164" s="1421"/>
      <c r="N1164" s="1420">
        <f t="shared" si="448"/>
        <v>30760807</v>
      </c>
      <c r="O1164" s="1307" t="s">
        <v>240</v>
      </c>
      <c r="P1164" s="1307" t="s">
        <v>31</v>
      </c>
      <c r="Q1164" s="1308"/>
      <c r="R1164" s="1308"/>
      <c r="S1164" s="1413">
        <v>0</v>
      </c>
      <c r="T1164" s="1413">
        <f t="shared" si="444"/>
        <v>-559287.4</v>
      </c>
      <c r="U1164" s="1419">
        <v>30201519.600000001</v>
      </c>
      <c r="V1164" s="1430"/>
      <c r="W1164" s="1431"/>
      <c r="X1164" s="1441"/>
      <c r="Y1164" s="1419"/>
      <c r="Z1164" s="1433"/>
      <c r="AA1164" s="1434"/>
      <c r="AB1164" s="1435"/>
      <c r="AC1164" s="1416"/>
      <c r="AD1164" s="1436"/>
      <c r="AE1164" s="1436"/>
      <c r="AF1164" s="1416"/>
      <c r="AG1164" s="1416"/>
      <c r="AH1164" s="1437"/>
      <c r="AI1164" s="1416"/>
      <c r="AJ1164" s="1437"/>
      <c r="AK1164" s="1438"/>
    </row>
    <row r="1165" spans="1:37" s="1439" customFormat="1" ht="12" customHeight="1">
      <c r="A1165" s="1415"/>
      <c r="B1165" s="1268" t="s">
        <v>195</v>
      </c>
      <c r="C1165" s="1416">
        <v>9</v>
      </c>
      <c r="D1165" s="1417" t="s">
        <v>40</v>
      </c>
      <c r="E1165" s="1418" t="s">
        <v>354</v>
      </c>
      <c r="F1165" s="1505" t="s">
        <v>3609</v>
      </c>
      <c r="G1165" s="1418" t="s">
        <v>379</v>
      </c>
      <c r="H1165" s="1418" t="s">
        <v>4078</v>
      </c>
      <c r="I1165" s="1418" t="s">
        <v>4079</v>
      </c>
      <c r="J1165" s="1419"/>
      <c r="K1165" s="1419">
        <v>27335211</v>
      </c>
      <c r="L1165" s="1419">
        <f t="shared" si="447"/>
        <v>2733521.1</v>
      </c>
      <c r="M1165" s="1421"/>
      <c r="N1165" s="1420">
        <f t="shared" si="448"/>
        <v>30068732.100000001</v>
      </c>
      <c r="O1165" s="1307" t="s">
        <v>240</v>
      </c>
      <c r="P1165" s="1307" t="s">
        <v>31</v>
      </c>
      <c r="Q1165" s="1308"/>
      <c r="R1165" s="1308"/>
      <c r="S1165" s="1413">
        <v>0</v>
      </c>
      <c r="T1165" s="1413">
        <f t="shared" ref="T1165:T1170" si="449">-K1165*2%</f>
        <v>-546704.22</v>
      </c>
      <c r="U1165" s="1419">
        <v>29522027.879999999</v>
      </c>
      <c r="V1165" s="1430"/>
      <c r="W1165" s="1431"/>
      <c r="X1165" s="1441"/>
      <c r="Y1165" s="1419"/>
      <c r="Z1165" s="1433"/>
      <c r="AA1165" s="1434"/>
      <c r="AB1165" s="1435"/>
      <c r="AC1165" s="1416"/>
      <c r="AD1165" s="1436"/>
      <c r="AE1165" s="1436"/>
      <c r="AF1165" s="1416"/>
      <c r="AG1165" s="1416"/>
      <c r="AH1165" s="1437"/>
      <c r="AI1165" s="1416"/>
      <c r="AJ1165" s="1437"/>
      <c r="AK1165" s="1438"/>
    </row>
    <row r="1166" spans="1:37" s="1439" customFormat="1" ht="12" customHeight="1">
      <c r="A1166" s="1415"/>
      <c r="B1166" s="1268" t="s">
        <v>195</v>
      </c>
      <c r="C1166" s="1416">
        <v>9</v>
      </c>
      <c r="D1166" s="1417" t="s">
        <v>40</v>
      </c>
      <c r="E1166" s="1418" t="s">
        <v>354</v>
      </c>
      <c r="F1166" s="1505" t="s">
        <v>3846</v>
      </c>
      <c r="G1166" s="1418" t="s">
        <v>379</v>
      </c>
      <c r="H1166" s="1418" t="s">
        <v>4080</v>
      </c>
      <c r="I1166" s="1418" t="s">
        <v>4081</v>
      </c>
      <c r="J1166" s="1419"/>
      <c r="K1166" s="1419">
        <v>27335211</v>
      </c>
      <c r="L1166" s="1419">
        <f t="shared" ref="L1166" si="450">K1166*10%</f>
        <v>2733521.1</v>
      </c>
      <c r="M1166" s="1421"/>
      <c r="N1166" s="1420">
        <f t="shared" ref="N1166" si="451">K1166+L1166</f>
        <v>30068732.100000001</v>
      </c>
      <c r="O1166" s="1307" t="s">
        <v>240</v>
      </c>
      <c r="P1166" s="1307" t="s">
        <v>31</v>
      </c>
      <c r="Q1166" s="1308"/>
      <c r="R1166" s="1308"/>
      <c r="S1166" s="1413">
        <v>0</v>
      </c>
      <c r="T1166" s="1413">
        <f t="shared" si="449"/>
        <v>-546704.22</v>
      </c>
      <c r="U1166" s="1419">
        <v>29522027.879999999</v>
      </c>
      <c r="V1166" s="1430"/>
      <c r="W1166" s="1431"/>
      <c r="X1166" s="1441"/>
      <c r="Y1166" s="1419"/>
      <c r="Z1166" s="1433"/>
      <c r="AA1166" s="1434"/>
      <c r="AB1166" s="1435"/>
      <c r="AC1166" s="1416"/>
      <c r="AD1166" s="1436"/>
      <c r="AE1166" s="1436"/>
      <c r="AF1166" s="1416"/>
      <c r="AG1166" s="1416"/>
      <c r="AH1166" s="1437"/>
      <c r="AI1166" s="1416"/>
      <c r="AJ1166" s="1437"/>
      <c r="AK1166" s="1438"/>
    </row>
    <row r="1167" spans="1:37" s="1439" customFormat="1" ht="12" customHeight="1">
      <c r="A1167" s="1415"/>
      <c r="B1167" s="1268" t="s">
        <v>195</v>
      </c>
      <c r="C1167" s="1416">
        <v>9</v>
      </c>
      <c r="D1167" s="1417" t="s">
        <v>40</v>
      </c>
      <c r="E1167" s="1418" t="s">
        <v>354</v>
      </c>
      <c r="F1167" s="1505" t="s">
        <v>3841</v>
      </c>
      <c r="G1167" s="1418" t="s">
        <v>379</v>
      </c>
      <c r="H1167" s="1418" t="s">
        <v>4082</v>
      </c>
      <c r="I1167" s="1418" t="s">
        <v>4083</v>
      </c>
      <c r="J1167" s="1419"/>
      <c r="K1167" s="1419">
        <v>27335211</v>
      </c>
      <c r="L1167" s="1419">
        <f t="shared" ref="L1167" si="452">K1167*10%</f>
        <v>2733521.1</v>
      </c>
      <c r="M1167" s="1421"/>
      <c r="N1167" s="1420">
        <f t="shared" ref="N1167" si="453">K1167+L1167</f>
        <v>30068732.100000001</v>
      </c>
      <c r="O1167" s="1307" t="s">
        <v>240</v>
      </c>
      <c r="P1167" s="1307" t="s">
        <v>31</v>
      </c>
      <c r="Q1167" s="1308"/>
      <c r="R1167" s="1308"/>
      <c r="S1167" s="1413">
        <v>0</v>
      </c>
      <c r="T1167" s="1413">
        <f t="shared" si="449"/>
        <v>-546704.22</v>
      </c>
      <c r="U1167" s="1419">
        <v>29522027.879999999</v>
      </c>
      <c r="V1167" s="1430"/>
      <c r="W1167" s="1431"/>
      <c r="X1167" s="1441"/>
      <c r="Y1167" s="1419"/>
      <c r="Z1167" s="1433"/>
      <c r="AA1167" s="1434"/>
      <c r="AB1167" s="1435"/>
      <c r="AC1167" s="1416"/>
      <c r="AD1167" s="1436"/>
      <c r="AE1167" s="1436"/>
      <c r="AF1167" s="1416"/>
      <c r="AG1167" s="1416"/>
      <c r="AH1167" s="1437"/>
      <c r="AI1167" s="1416"/>
      <c r="AJ1167" s="1437"/>
      <c r="AK1167" s="1438"/>
    </row>
    <row r="1168" spans="1:37" s="1439" customFormat="1" ht="12" customHeight="1">
      <c r="A1168" s="1415"/>
      <c r="B1168" s="1268" t="s">
        <v>195</v>
      </c>
      <c r="C1168" s="1416">
        <v>9</v>
      </c>
      <c r="D1168" s="1417" t="s">
        <v>40</v>
      </c>
      <c r="E1168" s="1418" t="s">
        <v>354</v>
      </c>
      <c r="F1168" s="1505" t="s">
        <v>3854</v>
      </c>
      <c r="G1168" s="1418" t="s">
        <v>379</v>
      </c>
      <c r="H1168" s="1418" t="s">
        <v>4084</v>
      </c>
      <c r="I1168" s="1418" t="s">
        <v>4085</v>
      </c>
      <c r="J1168" s="1419"/>
      <c r="K1168" s="1419">
        <v>27335211</v>
      </c>
      <c r="L1168" s="1419">
        <f t="shared" ref="L1168" si="454">K1168*10%</f>
        <v>2733521.1</v>
      </c>
      <c r="M1168" s="1421"/>
      <c r="N1168" s="1420">
        <f t="shared" ref="N1168" si="455">K1168+L1168</f>
        <v>30068732.100000001</v>
      </c>
      <c r="O1168" s="1307" t="s">
        <v>240</v>
      </c>
      <c r="P1168" s="1307" t="s">
        <v>31</v>
      </c>
      <c r="Q1168" s="1308"/>
      <c r="R1168" s="1308"/>
      <c r="S1168" s="1413">
        <v>0</v>
      </c>
      <c r="T1168" s="1413">
        <f t="shared" si="449"/>
        <v>-546704.22</v>
      </c>
      <c r="U1168" s="1419">
        <v>29522027.879999999</v>
      </c>
      <c r="V1168" s="1430"/>
      <c r="W1168" s="1431"/>
      <c r="X1168" s="1441"/>
      <c r="Y1168" s="1419"/>
      <c r="Z1168" s="1433"/>
      <c r="AA1168" s="1434"/>
      <c r="AB1168" s="1435"/>
      <c r="AC1168" s="1416"/>
      <c r="AD1168" s="1436"/>
      <c r="AE1168" s="1436"/>
      <c r="AF1168" s="1416"/>
      <c r="AG1168" s="1416"/>
      <c r="AH1168" s="1437"/>
      <c r="AI1168" s="1416"/>
      <c r="AJ1168" s="1437"/>
      <c r="AK1168" s="1438"/>
    </row>
    <row r="1169" spans="1:37" s="1439" customFormat="1" ht="12" customHeight="1">
      <c r="A1169" s="1415"/>
      <c r="B1169" s="1268" t="s">
        <v>195</v>
      </c>
      <c r="C1169" s="1416">
        <v>9</v>
      </c>
      <c r="D1169" s="1417" t="s">
        <v>40</v>
      </c>
      <c r="E1169" s="1418" t="s">
        <v>354</v>
      </c>
      <c r="F1169" s="1505" t="s">
        <v>3612</v>
      </c>
      <c r="G1169" s="1418" t="s">
        <v>379</v>
      </c>
      <c r="H1169" s="1418" t="s">
        <v>4086</v>
      </c>
      <c r="I1169" s="1418" t="s">
        <v>4087</v>
      </c>
      <c r="J1169" s="1419"/>
      <c r="K1169" s="1419">
        <v>27335211</v>
      </c>
      <c r="L1169" s="1419">
        <f t="shared" ref="L1169" si="456">K1169*10%</f>
        <v>2733521.1</v>
      </c>
      <c r="M1169" s="1421"/>
      <c r="N1169" s="1420">
        <f t="shared" ref="N1169" si="457">K1169+L1169</f>
        <v>30068732.100000001</v>
      </c>
      <c r="O1169" s="1307" t="s">
        <v>240</v>
      </c>
      <c r="P1169" s="1307" t="s">
        <v>31</v>
      </c>
      <c r="Q1169" s="1308"/>
      <c r="R1169" s="1308"/>
      <c r="S1169" s="1413">
        <v>0</v>
      </c>
      <c r="T1169" s="1413">
        <f t="shared" si="449"/>
        <v>-546704.22</v>
      </c>
      <c r="U1169" s="1419">
        <v>29522027.879999999</v>
      </c>
      <c r="V1169" s="1430"/>
      <c r="W1169" s="1431"/>
      <c r="X1169" s="1441"/>
      <c r="Y1169" s="1419"/>
      <c r="Z1169" s="1433"/>
      <c r="AA1169" s="1434"/>
      <c r="AB1169" s="1435"/>
      <c r="AC1169" s="1416"/>
      <c r="AD1169" s="1436"/>
      <c r="AE1169" s="1436"/>
      <c r="AF1169" s="1416"/>
      <c r="AG1169" s="1416"/>
      <c r="AH1169" s="1437"/>
      <c r="AI1169" s="1416"/>
      <c r="AJ1169" s="1437"/>
      <c r="AK1169" s="1438"/>
    </row>
    <row r="1170" spans="1:37" s="1439" customFormat="1" ht="12" customHeight="1">
      <c r="A1170" s="1415"/>
      <c r="B1170" s="1268" t="s">
        <v>195</v>
      </c>
      <c r="C1170" s="1416">
        <v>9</v>
      </c>
      <c r="D1170" s="1417" t="s">
        <v>40</v>
      </c>
      <c r="E1170" s="1418" t="s">
        <v>364</v>
      </c>
      <c r="F1170" s="1505" t="s">
        <v>3833</v>
      </c>
      <c r="G1170" s="1418" t="s">
        <v>379</v>
      </c>
      <c r="H1170" s="1418" t="s">
        <v>4088</v>
      </c>
      <c r="I1170" s="1418" t="s">
        <v>4089</v>
      </c>
      <c r="J1170" s="1419"/>
      <c r="K1170" s="1419">
        <v>13000000</v>
      </c>
      <c r="L1170" s="1419">
        <f t="shared" ref="L1170" si="458">K1170*10%</f>
        <v>1300000</v>
      </c>
      <c r="M1170" s="1421"/>
      <c r="N1170" s="1420">
        <f t="shared" ref="N1170:N1171" si="459">K1170+L1170</f>
        <v>14300000</v>
      </c>
      <c r="O1170" s="1307" t="s">
        <v>240</v>
      </c>
      <c r="P1170" s="1307" t="s">
        <v>31</v>
      </c>
      <c r="Q1170" s="1308"/>
      <c r="R1170" s="1308"/>
      <c r="S1170" s="1413">
        <v>0</v>
      </c>
      <c r="T1170" s="1413">
        <f t="shared" si="449"/>
        <v>-260000</v>
      </c>
      <c r="U1170" s="1419">
        <v>14040000</v>
      </c>
      <c r="V1170" s="1430"/>
      <c r="W1170" s="1431"/>
      <c r="X1170" s="1441"/>
      <c r="Y1170" s="1419"/>
      <c r="Z1170" s="1433"/>
      <c r="AA1170" s="1434"/>
      <c r="AB1170" s="1435"/>
      <c r="AC1170" s="1416"/>
      <c r="AD1170" s="1436"/>
      <c r="AE1170" s="1436"/>
      <c r="AF1170" s="1416"/>
      <c r="AG1170" s="1416"/>
      <c r="AH1170" s="1437"/>
      <c r="AI1170" s="1416"/>
      <c r="AJ1170" s="1437"/>
      <c r="AK1170" s="1438"/>
    </row>
    <row r="1171" spans="1:37" s="1439" customFormat="1" ht="12" customHeight="1">
      <c r="A1171" s="1415"/>
      <c r="B1171" s="1268" t="s">
        <v>195</v>
      </c>
      <c r="C1171" s="1416">
        <v>9</v>
      </c>
      <c r="D1171" s="1417" t="s">
        <v>40</v>
      </c>
      <c r="E1171" s="1418" t="s">
        <v>62</v>
      </c>
      <c r="F1171" s="1505" t="s">
        <v>4090</v>
      </c>
      <c r="G1171" s="1418" t="s">
        <v>4091</v>
      </c>
      <c r="H1171" s="1418" t="s">
        <v>4092</v>
      </c>
      <c r="I1171" s="1266" t="s">
        <v>14</v>
      </c>
      <c r="J1171" s="1419"/>
      <c r="K1171" s="1419">
        <v>1880056</v>
      </c>
      <c r="L1171" s="1419">
        <v>0</v>
      </c>
      <c r="M1171" s="1421"/>
      <c r="N1171" s="1420">
        <f t="shared" si="459"/>
        <v>1880056</v>
      </c>
      <c r="O1171" s="1307" t="s">
        <v>240</v>
      </c>
      <c r="P1171" s="1307" t="s">
        <v>31</v>
      </c>
      <c r="Q1171" s="1308"/>
      <c r="R1171" s="1308"/>
      <c r="S1171" s="1413">
        <v>0</v>
      </c>
      <c r="T1171" s="1419">
        <v>0</v>
      </c>
      <c r="U1171" s="1419">
        <v>1880056</v>
      </c>
      <c r="V1171" s="1430"/>
      <c r="W1171" s="1431"/>
      <c r="X1171" s="1441"/>
      <c r="Y1171" s="1419"/>
      <c r="Z1171" s="1433"/>
      <c r="AA1171" s="1434"/>
      <c r="AB1171" s="1435"/>
      <c r="AC1171" s="1416"/>
      <c r="AD1171" s="1436"/>
      <c r="AE1171" s="1436"/>
      <c r="AF1171" s="1416"/>
      <c r="AG1171" s="1416"/>
      <c r="AH1171" s="1437"/>
      <c r="AI1171" s="1416"/>
      <c r="AJ1171" s="1437"/>
      <c r="AK1171" s="1438"/>
    </row>
    <row r="1172" spans="1:37" s="1439" customFormat="1" ht="12" customHeight="1">
      <c r="A1172" s="1415"/>
      <c r="B1172" s="1268" t="s">
        <v>239</v>
      </c>
      <c r="C1172" s="1416">
        <v>1</v>
      </c>
      <c r="D1172" s="1417" t="s">
        <v>40</v>
      </c>
      <c r="E1172" s="1418" t="s">
        <v>355</v>
      </c>
      <c r="F1172" s="1505" t="s">
        <v>3594</v>
      </c>
      <c r="G1172" s="1418" t="s">
        <v>5</v>
      </c>
      <c r="H1172" s="1418" t="s">
        <v>4194</v>
      </c>
      <c r="I1172" s="1418" t="s">
        <v>4195</v>
      </c>
      <c r="J1172" s="1419"/>
      <c r="K1172" s="1419">
        <v>27964370</v>
      </c>
      <c r="L1172" s="1419">
        <f t="shared" ref="L1172" si="460">K1172*10%</f>
        <v>2796437</v>
      </c>
      <c r="M1172" s="1421"/>
      <c r="N1172" s="1420">
        <f t="shared" ref="N1172" si="461">K1172+L1172</f>
        <v>30760807</v>
      </c>
      <c r="O1172" s="1307" t="s">
        <v>58</v>
      </c>
      <c r="P1172" s="1307" t="s">
        <v>88</v>
      </c>
      <c r="Q1172" s="1308"/>
      <c r="R1172" s="1308"/>
      <c r="S1172" s="1413">
        <v>0</v>
      </c>
      <c r="T1172" s="1413">
        <f t="shared" ref="T1172:T1194" si="462">-K1172*2%</f>
        <v>-559287.4</v>
      </c>
      <c r="U1172" s="1419">
        <v>30201519.600000001</v>
      </c>
      <c r="V1172" s="1430"/>
      <c r="W1172" s="1431"/>
      <c r="X1172" s="1441"/>
      <c r="Y1172" s="1419"/>
      <c r="Z1172" s="1433"/>
      <c r="AA1172" s="1434"/>
      <c r="AB1172" s="1435"/>
      <c r="AC1172" s="1416"/>
      <c r="AD1172" s="1436"/>
      <c r="AE1172" s="1436"/>
      <c r="AF1172" s="1416"/>
      <c r="AG1172" s="1416"/>
      <c r="AH1172" s="1437"/>
      <c r="AI1172" s="1416"/>
      <c r="AJ1172" s="1437"/>
      <c r="AK1172" s="1438"/>
    </row>
    <row r="1173" spans="1:37" s="1439" customFormat="1" ht="12" customHeight="1">
      <c r="A1173" s="1415"/>
      <c r="B1173" s="1268" t="s">
        <v>239</v>
      </c>
      <c r="C1173" s="1416">
        <v>1</v>
      </c>
      <c r="D1173" s="1417" t="s">
        <v>40</v>
      </c>
      <c r="E1173" s="1418" t="s">
        <v>355</v>
      </c>
      <c r="F1173" s="1505" t="s">
        <v>3603</v>
      </c>
      <c r="G1173" s="1418" t="s">
        <v>5</v>
      </c>
      <c r="H1173" s="1418" t="s">
        <v>4196</v>
      </c>
      <c r="I1173" s="1418" t="s">
        <v>4197</v>
      </c>
      <c r="J1173" s="1419"/>
      <c r="K1173" s="1419">
        <v>27964370</v>
      </c>
      <c r="L1173" s="1419">
        <f t="shared" ref="L1173" si="463">K1173*10%</f>
        <v>2796437</v>
      </c>
      <c r="M1173" s="1421"/>
      <c r="N1173" s="1420">
        <f t="shared" ref="N1173" si="464">K1173+L1173</f>
        <v>30760807</v>
      </c>
      <c r="O1173" s="1307" t="s">
        <v>58</v>
      </c>
      <c r="P1173" s="1307" t="s">
        <v>88</v>
      </c>
      <c r="Q1173" s="1308"/>
      <c r="R1173" s="1308"/>
      <c r="S1173" s="1413">
        <v>0</v>
      </c>
      <c r="T1173" s="1413">
        <f t="shared" si="462"/>
        <v>-559287.4</v>
      </c>
      <c r="U1173" s="1419">
        <v>30201519.600000001</v>
      </c>
      <c r="V1173" s="1430"/>
      <c r="W1173" s="1431"/>
      <c r="X1173" s="1441"/>
      <c r="Y1173" s="1419"/>
      <c r="Z1173" s="1433"/>
      <c r="AA1173" s="1434"/>
      <c r="AB1173" s="1435"/>
      <c r="AC1173" s="1416"/>
      <c r="AD1173" s="1436"/>
      <c r="AE1173" s="1436"/>
      <c r="AF1173" s="1416"/>
      <c r="AG1173" s="1416"/>
      <c r="AH1173" s="1437"/>
      <c r="AI1173" s="1416"/>
      <c r="AJ1173" s="1437"/>
      <c r="AK1173" s="1438"/>
    </row>
    <row r="1174" spans="1:37" s="1439" customFormat="1" ht="12" customHeight="1">
      <c r="A1174" s="1415"/>
      <c r="B1174" s="1268" t="s">
        <v>239</v>
      </c>
      <c r="C1174" s="1416">
        <v>1</v>
      </c>
      <c r="D1174" s="1417" t="s">
        <v>40</v>
      </c>
      <c r="E1174" s="1418" t="s">
        <v>355</v>
      </c>
      <c r="F1174" s="1505" t="s">
        <v>3585</v>
      </c>
      <c r="G1174" s="1418" t="s">
        <v>5</v>
      </c>
      <c r="H1174" s="1418" t="s">
        <v>4198</v>
      </c>
      <c r="I1174" s="1418" t="s">
        <v>4199</v>
      </c>
      <c r="J1174" s="1419"/>
      <c r="K1174" s="1419">
        <v>27964370</v>
      </c>
      <c r="L1174" s="1419">
        <f t="shared" ref="L1174" si="465">K1174*10%</f>
        <v>2796437</v>
      </c>
      <c r="M1174" s="1421"/>
      <c r="N1174" s="1420">
        <f t="shared" ref="N1174" si="466">K1174+L1174</f>
        <v>30760807</v>
      </c>
      <c r="O1174" s="1307" t="s">
        <v>58</v>
      </c>
      <c r="P1174" s="1307" t="s">
        <v>88</v>
      </c>
      <c r="Q1174" s="1308"/>
      <c r="R1174" s="1308"/>
      <c r="S1174" s="1413">
        <v>0</v>
      </c>
      <c r="T1174" s="1413">
        <f t="shared" si="462"/>
        <v>-559287.4</v>
      </c>
      <c r="U1174" s="1419">
        <v>30201519.600000001</v>
      </c>
      <c r="V1174" s="1430"/>
      <c r="W1174" s="1431"/>
      <c r="X1174" s="1441"/>
      <c r="Y1174" s="1419"/>
      <c r="Z1174" s="1433"/>
      <c r="AA1174" s="1434"/>
      <c r="AB1174" s="1435"/>
      <c r="AC1174" s="1416"/>
      <c r="AD1174" s="1436"/>
      <c r="AE1174" s="1436"/>
      <c r="AF1174" s="1416"/>
      <c r="AG1174" s="1416"/>
      <c r="AH1174" s="1437"/>
      <c r="AI1174" s="1416"/>
      <c r="AJ1174" s="1437"/>
      <c r="AK1174" s="1438"/>
    </row>
    <row r="1175" spans="1:37" s="1439" customFormat="1" ht="12" customHeight="1">
      <c r="A1175" s="1415"/>
      <c r="B1175" s="1268" t="s">
        <v>239</v>
      </c>
      <c r="C1175" s="1416">
        <v>1</v>
      </c>
      <c r="D1175" s="1417" t="s">
        <v>40</v>
      </c>
      <c r="E1175" s="1418" t="s">
        <v>355</v>
      </c>
      <c r="F1175" s="1505" t="s">
        <v>3600</v>
      </c>
      <c r="G1175" s="1418" t="s">
        <v>5</v>
      </c>
      <c r="H1175" s="1418" t="s">
        <v>4200</v>
      </c>
      <c r="I1175" s="1418" t="s">
        <v>4201</v>
      </c>
      <c r="J1175" s="1419"/>
      <c r="K1175" s="1419">
        <v>27964370</v>
      </c>
      <c r="L1175" s="1419">
        <f t="shared" ref="L1175" si="467">K1175*10%</f>
        <v>2796437</v>
      </c>
      <c r="M1175" s="1421"/>
      <c r="N1175" s="1420">
        <f t="shared" ref="N1175" si="468">K1175+L1175</f>
        <v>30760807</v>
      </c>
      <c r="O1175" s="1307" t="s">
        <v>58</v>
      </c>
      <c r="P1175" s="1307" t="s">
        <v>88</v>
      </c>
      <c r="Q1175" s="1308"/>
      <c r="R1175" s="1308"/>
      <c r="S1175" s="1413">
        <v>0</v>
      </c>
      <c r="T1175" s="1413">
        <f t="shared" si="462"/>
        <v>-559287.4</v>
      </c>
      <c r="U1175" s="1419">
        <v>30201519.600000001</v>
      </c>
      <c r="V1175" s="1430"/>
      <c r="W1175" s="1431"/>
      <c r="X1175" s="1441"/>
      <c r="Y1175" s="1419"/>
      <c r="Z1175" s="1433"/>
      <c r="AA1175" s="1434"/>
      <c r="AB1175" s="1435"/>
      <c r="AC1175" s="1416"/>
      <c r="AD1175" s="1436"/>
      <c r="AE1175" s="1436"/>
      <c r="AF1175" s="1416"/>
      <c r="AG1175" s="1416"/>
      <c r="AH1175" s="1437"/>
      <c r="AI1175" s="1416"/>
      <c r="AJ1175" s="1437"/>
      <c r="AK1175" s="1438"/>
    </row>
    <row r="1176" spans="1:37" s="1439" customFormat="1" ht="12" customHeight="1">
      <c r="A1176" s="1415"/>
      <c r="B1176" s="1268" t="s">
        <v>239</v>
      </c>
      <c r="C1176" s="1416">
        <v>1</v>
      </c>
      <c r="D1176" s="1417" t="s">
        <v>40</v>
      </c>
      <c r="E1176" s="1418" t="s">
        <v>355</v>
      </c>
      <c r="F1176" s="1505" t="s">
        <v>3580</v>
      </c>
      <c r="G1176" s="1418" t="s">
        <v>5</v>
      </c>
      <c r="H1176" s="1418" t="s">
        <v>4202</v>
      </c>
      <c r="I1176" s="1418" t="s">
        <v>4203</v>
      </c>
      <c r="J1176" s="1419"/>
      <c r="K1176" s="1419">
        <v>27964370</v>
      </c>
      <c r="L1176" s="1419">
        <f t="shared" ref="L1176" si="469">K1176*10%</f>
        <v>2796437</v>
      </c>
      <c r="M1176" s="1421"/>
      <c r="N1176" s="1420">
        <f t="shared" ref="N1176" si="470">K1176+L1176</f>
        <v>30760807</v>
      </c>
      <c r="O1176" s="1307" t="s">
        <v>58</v>
      </c>
      <c r="P1176" s="1307" t="s">
        <v>88</v>
      </c>
      <c r="Q1176" s="1308"/>
      <c r="R1176" s="1308"/>
      <c r="S1176" s="1413">
        <v>0</v>
      </c>
      <c r="T1176" s="1413">
        <f t="shared" si="462"/>
        <v>-559287.4</v>
      </c>
      <c r="U1176" s="1419">
        <v>30201519.600000001</v>
      </c>
      <c r="V1176" s="1430"/>
      <c r="W1176" s="1431"/>
      <c r="X1176" s="1441"/>
      <c r="Y1176" s="1419"/>
      <c r="Z1176" s="1433"/>
      <c r="AA1176" s="1434"/>
      <c r="AB1176" s="1435"/>
      <c r="AC1176" s="1416"/>
      <c r="AD1176" s="1436"/>
      <c r="AE1176" s="1436"/>
      <c r="AF1176" s="1416"/>
      <c r="AG1176" s="1416"/>
      <c r="AH1176" s="1437"/>
      <c r="AI1176" s="1416"/>
      <c r="AJ1176" s="1437"/>
      <c r="AK1176" s="1438"/>
    </row>
    <row r="1177" spans="1:37" s="1439" customFormat="1" ht="12" customHeight="1">
      <c r="A1177" s="1415"/>
      <c r="B1177" s="1268" t="s">
        <v>239</v>
      </c>
      <c r="C1177" s="1416">
        <v>1</v>
      </c>
      <c r="D1177" s="1417" t="s">
        <v>40</v>
      </c>
      <c r="E1177" s="1418" t="s">
        <v>355</v>
      </c>
      <c r="F1177" s="1505" t="s">
        <v>4077</v>
      </c>
      <c r="G1177" s="1418" t="s">
        <v>5</v>
      </c>
      <c r="H1177" s="1418" t="s">
        <v>4204</v>
      </c>
      <c r="I1177" s="1418" t="s">
        <v>4205</v>
      </c>
      <c r="J1177" s="1419"/>
      <c r="K1177" s="1419">
        <v>27964370</v>
      </c>
      <c r="L1177" s="1419">
        <f t="shared" ref="L1177:L1178" si="471">K1177*10%</f>
        <v>2796437</v>
      </c>
      <c r="M1177" s="1421"/>
      <c r="N1177" s="1420">
        <f t="shared" ref="N1177:N1178" si="472">K1177+L1177</f>
        <v>30760807</v>
      </c>
      <c r="O1177" s="1307" t="s">
        <v>58</v>
      </c>
      <c r="P1177" s="1307" t="s">
        <v>88</v>
      </c>
      <c r="Q1177" s="1308"/>
      <c r="R1177" s="1308"/>
      <c r="S1177" s="1413">
        <v>0</v>
      </c>
      <c r="T1177" s="1413">
        <f t="shared" si="462"/>
        <v>-559287.4</v>
      </c>
      <c r="U1177" s="1419">
        <v>30201519.600000001</v>
      </c>
      <c r="V1177" s="1430"/>
      <c r="W1177" s="1431"/>
      <c r="X1177" s="1441"/>
      <c r="Y1177" s="1419"/>
      <c r="Z1177" s="1433"/>
      <c r="AA1177" s="1434"/>
      <c r="AB1177" s="1435"/>
      <c r="AC1177" s="1416"/>
      <c r="AD1177" s="1436"/>
      <c r="AE1177" s="1436"/>
      <c r="AF1177" s="1416"/>
      <c r="AG1177" s="1416"/>
      <c r="AH1177" s="1437"/>
      <c r="AI1177" s="1416"/>
      <c r="AJ1177" s="1437"/>
      <c r="AK1177" s="1438"/>
    </row>
    <row r="1178" spans="1:37" s="1439" customFormat="1" ht="12" customHeight="1">
      <c r="A1178" s="1415"/>
      <c r="B1178" s="1268" t="s">
        <v>239</v>
      </c>
      <c r="C1178" s="1416">
        <v>1</v>
      </c>
      <c r="D1178" s="1417" t="s">
        <v>40</v>
      </c>
      <c r="E1178" s="1418" t="s">
        <v>354</v>
      </c>
      <c r="F1178" s="1505" t="s">
        <v>3609</v>
      </c>
      <c r="G1178" s="1418" t="s">
        <v>5</v>
      </c>
      <c r="H1178" s="1418" t="s">
        <v>4206</v>
      </c>
      <c r="I1178" s="1418" t="s">
        <v>4207</v>
      </c>
      <c r="J1178" s="1419"/>
      <c r="K1178" s="1419">
        <v>27335211</v>
      </c>
      <c r="L1178" s="1419">
        <f t="shared" si="471"/>
        <v>2733521.1</v>
      </c>
      <c r="M1178" s="1421"/>
      <c r="N1178" s="1420">
        <f t="shared" si="472"/>
        <v>30068732.100000001</v>
      </c>
      <c r="O1178" s="1307" t="s">
        <v>58</v>
      </c>
      <c r="P1178" s="1307" t="s">
        <v>88</v>
      </c>
      <c r="Q1178" s="1308"/>
      <c r="R1178" s="1308"/>
      <c r="S1178" s="1413">
        <v>0</v>
      </c>
      <c r="T1178" s="1413">
        <f t="shared" si="462"/>
        <v>-546704.22</v>
      </c>
      <c r="U1178" s="1419">
        <v>29522027.879999999</v>
      </c>
      <c r="V1178" s="1430"/>
      <c r="W1178" s="1431"/>
      <c r="X1178" s="1441"/>
      <c r="Y1178" s="1419"/>
      <c r="Z1178" s="1433"/>
      <c r="AA1178" s="1434"/>
      <c r="AB1178" s="1435"/>
      <c r="AC1178" s="1416"/>
      <c r="AD1178" s="1436"/>
      <c r="AE1178" s="1436"/>
      <c r="AF1178" s="1416"/>
      <c r="AG1178" s="1416"/>
      <c r="AH1178" s="1437"/>
      <c r="AI1178" s="1416"/>
      <c r="AJ1178" s="1437"/>
      <c r="AK1178" s="1438"/>
    </row>
    <row r="1179" spans="1:37" s="1439" customFormat="1" ht="12" customHeight="1">
      <c r="A1179" s="1415"/>
      <c r="B1179" s="1268" t="s">
        <v>239</v>
      </c>
      <c r="C1179" s="1416">
        <v>1</v>
      </c>
      <c r="D1179" s="1417" t="s">
        <v>40</v>
      </c>
      <c r="E1179" s="1418" t="s">
        <v>354</v>
      </c>
      <c r="F1179" s="1505" t="s">
        <v>3846</v>
      </c>
      <c r="G1179" s="1418" t="s">
        <v>5</v>
      </c>
      <c r="H1179" s="1418" t="s">
        <v>4208</v>
      </c>
      <c r="I1179" s="1418" t="s">
        <v>4209</v>
      </c>
      <c r="J1179" s="1419"/>
      <c r="K1179" s="1419">
        <v>27335211</v>
      </c>
      <c r="L1179" s="1419">
        <f t="shared" ref="L1179" si="473">K1179*10%</f>
        <v>2733521.1</v>
      </c>
      <c r="M1179" s="1421"/>
      <c r="N1179" s="1420">
        <f t="shared" ref="N1179" si="474">K1179+L1179</f>
        <v>30068732.100000001</v>
      </c>
      <c r="O1179" s="1307" t="s">
        <v>58</v>
      </c>
      <c r="P1179" s="1307" t="s">
        <v>88</v>
      </c>
      <c r="Q1179" s="1308"/>
      <c r="R1179" s="1308"/>
      <c r="S1179" s="1413">
        <v>0</v>
      </c>
      <c r="T1179" s="1413">
        <f t="shared" si="462"/>
        <v>-546704.22</v>
      </c>
      <c r="U1179" s="1419">
        <v>29522027.879999999</v>
      </c>
      <c r="V1179" s="1430"/>
      <c r="W1179" s="1431"/>
      <c r="X1179" s="1441"/>
      <c r="Y1179" s="1419"/>
      <c r="Z1179" s="1433"/>
      <c r="AA1179" s="1434"/>
      <c r="AB1179" s="1435"/>
      <c r="AC1179" s="1416"/>
      <c r="AD1179" s="1436"/>
      <c r="AE1179" s="1436"/>
      <c r="AF1179" s="1416"/>
      <c r="AG1179" s="1416"/>
      <c r="AH1179" s="1437"/>
      <c r="AI1179" s="1416"/>
      <c r="AJ1179" s="1437"/>
      <c r="AK1179" s="1438"/>
    </row>
    <row r="1180" spans="1:37" s="1439" customFormat="1" ht="12" customHeight="1">
      <c r="A1180" s="1415"/>
      <c r="B1180" s="1268" t="s">
        <v>239</v>
      </c>
      <c r="C1180" s="1416">
        <v>1</v>
      </c>
      <c r="D1180" s="1417" t="s">
        <v>40</v>
      </c>
      <c r="E1180" s="1418" t="s">
        <v>354</v>
      </c>
      <c r="F1180" s="1505" t="s">
        <v>3841</v>
      </c>
      <c r="G1180" s="1418" t="s">
        <v>5</v>
      </c>
      <c r="H1180" s="1418" t="s">
        <v>4210</v>
      </c>
      <c r="I1180" s="1418" t="s">
        <v>4211</v>
      </c>
      <c r="J1180" s="1419"/>
      <c r="K1180" s="1419">
        <v>27335211</v>
      </c>
      <c r="L1180" s="1419">
        <f t="shared" ref="L1180" si="475">K1180*10%</f>
        <v>2733521.1</v>
      </c>
      <c r="M1180" s="1421"/>
      <c r="N1180" s="1420">
        <f t="shared" ref="N1180" si="476">K1180+L1180</f>
        <v>30068732.100000001</v>
      </c>
      <c r="O1180" s="1307" t="s">
        <v>58</v>
      </c>
      <c r="P1180" s="1307" t="s">
        <v>88</v>
      </c>
      <c r="Q1180" s="1308"/>
      <c r="R1180" s="1308"/>
      <c r="S1180" s="1413">
        <v>0</v>
      </c>
      <c r="T1180" s="1413">
        <f t="shared" si="462"/>
        <v>-546704.22</v>
      </c>
      <c r="U1180" s="1419">
        <v>29522027.879999999</v>
      </c>
      <c r="V1180" s="1430"/>
      <c r="W1180" s="1431"/>
      <c r="X1180" s="1441"/>
      <c r="Y1180" s="1419"/>
      <c r="Z1180" s="1433"/>
      <c r="AA1180" s="1434"/>
      <c r="AB1180" s="1435"/>
      <c r="AC1180" s="1416"/>
      <c r="AD1180" s="1436"/>
      <c r="AE1180" s="1436"/>
      <c r="AF1180" s="1416"/>
      <c r="AG1180" s="1416"/>
      <c r="AH1180" s="1437"/>
      <c r="AI1180" s="1416"/>
      <c r="AJ1180" s="1437"/>
      <c r="AK1180" s="1438"/>
    </row>
    <row r="1181" spans="1:37" s="1439" customFormat="1" ht="12" customHeight="1">
      <c r="A1181" s="1415"/>
      <c r="B1181" s="1268" t="s">
        <v>239</v>
      </c>
      <c r="C1181" s="1416">
        <v>1</v>
      </c>
      <c r="D1181" s="1417" t="s">
        <v>40</v>
      </c>
      <c r="E1181" s="1418" t="s">
        <v>354</v>
      </c>
      <c r="F1181" s="1505" t="s">
        <v>3854</v>
      </c>
      <c r="G1181" s="1418" t="s">
        <v>5</v>
      </c>
      <c r="H1181" s="1418" t="s">
        <v>4212</v>
      </c>
      <c r="I1181" s="1418" t="s">
        <v>4213</v>
      </c>
      <c r="J1181" s="1419"/>
      <c r="K1181" s="1419">
        <v>27335211</v>
      </c>
      <c r="L1181" s="1419">
        <f t="shared" ref="L1181" si="477">K1181*10%</f>
        <v>2733521.1</v>
      </c>
      <c r="M1181" s="1421"/>
      <c r="N1181" s="1420">
        <f t="shared" ref="N1181" si="478">K1181+L1181</f>
        <v>30068732.100000001</v>
      </c>
      <c r="O1181" s="1307" t="s">
        <v>58</v>
      </c>
      <c r="P1181" s="1307" t="s">
        <v>88</v>
      </c>
      <c r="Q1181" s="1308"/>
      <c r="R1181" s="1308"/>
      <c r="S1181" s="1413">
        <v>0</v>
      </c>
      <c r="T1181" s="1413">
        <f t="shared" si="462"/>
        <v>-546704.22</v>
      </c>
      <c r="U1181" s="1419">
        <v>29522027.879999999</v>
      </c>
      <c r="V1181" s="1430"/>
      <c r="W1181" s="1431"/>
      <c r="X1181" s="1441"/>
      <c r="Y1181" s="1419"/>
      <c r="Z1181" s="1433"/>
      <c r="AA1181" s="1434"/>
      <c r="AB1181" s="1435"/>
      <c r="AC1181" s="1416"/>
      <c r="AD1181" s="1436"/>
      <c r="AE1181" s="1436"/>
      <c r="AF1181" s="1416"/>
      <c r="AG1181" s="1416"/>
      <c r="AH1181" s="1437"/>
      <c r="AI1181" s="1416"/>
      <c r="AJ1181" s="1437"/>
      <c r="AK1181" s="1438"/>
    </row>
    <row r="1182" spans="1:37" s="1439" customFormat="1" ht="12" customHeight="1">
      <c r="A1182" s="1415"/>
      <c r="B1182" s="1268" t="s">
        <v>239</v>
      </c>
      <c r="C1182" s="1416">
        <v>1</v>
      </c>
      <c r="D1182" s="1417" t="s">
        <v>40</v>
      </c>
      <c r="E1182" s="1418" t="s">
        <v>354</v>
      </c>
      <c r="F1182" s="1505" t="s">
        <v>3612</v>
      </c>
      <c r="G1182" s="1418" t="s">
        <v>5</v>
      </c>
      <c r="H1182" s="1418" t="s">
        <v>4214</v>
      </c>
      <c r="I1182" s="1418" t="s">
        <v>4215</v>
      </c>
      <c r="J1182" s="1419"/>
      <c r="K1182" s="1419">
        <v>27335211</v>
      </c>
      <c r="L1182" s="1419">
        <f t="shared" ref="L1182" si="479">K1182*10%</f>
        <v>2733521.1</v>
      </c>
      <c r="M1182" s="1421"/>
      <c r="N1182" s="1420">
        <f t="shared" ref="N1182" si="480">K1182+L1182</f>
        <v>30068732.100000001</v>
      </c>
      <c r="O1182" s="1307" t="s">
        <v>58</v>
      </c>
      <c r="P1182" s="1307" t="s">
        <v>88</v>
      </c>
      <c r="Q1182" s="1308"/>
      <c r="R1182" s="1308"/>
      <c r="S1182" s="1413">
        <v>0</v>
      </c>
      <c r="T1182" s="1413">
        <f t="shared" si="462"/>
        <v>-546704.22</v>
      </c>
      <c r="U1182" s="1419">
        <v>29522027.879999999</v>
      </c>
      <c r="V1182" s="1430"/>
      <c r="W1182" s="1431"/>
      <c r="X1182" s="1441"/>
      <c r="Y1182" s="1419"/>
      <c r="Z1182" s="1433"/>
      <c r="AA1182" s="1434"/>
      <c r="AB1182" s="1435"/>
      <c r="AC1182" s="1416"/>
      <c r="AD1182" s="1436"/>
      <c r="AE1182" s="1436"/>
      <c r="AF1182" s="1416"/>
      <c r="AG1182" s="1416"/>
      <c r="AH1182" s="1437"/>
      <c r="AI1182" s="1416"/>
      <c r="AJ1182" s="1437"/>
      <c r="AK1182" s="1438"/>
    </row>
    <row r="1183" spans="1:37" s="1439" customFormat="1" ht="12" customHeight="1">
      <c r="A1183" s="1415"/>
      <c r="B1183" s="1268" t="s">
        <v>239</v>
      </c>
      <c r="C1183" s="1416">
        <v>1</v>
      </c>
      <c r="D1183" s="1417" t="s">
        <v>40</v>
      </c>
      <c r="E1183" s="1418" t="s">
        <v>364</v>
      </c>
      <c r="F1183" s="1505" t="s">
        <v>3833</v>
      </c>
      <c r="G1183" s="1418" t="s">
        <v>5</v>
      </c>
      <c r="H1183" s="1418" t="s">
        <v>4216</v>
      </c>
      <c r="I1183" s="1418" t="s">
        <v>4217</v>
      </c>
      <c r="J1183" s="1419"/>
      <c r="K1183" s="1419">
        <v>13000000</v>
      </c>
      <c r="L1183" s="1419">
        <f t="shared" ref="L1183:L1185" si="481">K1183*10%</f>
        <v>1300000</v>
      </c>
      <c r="M1183" s="1421"/>
      <c r="N1183" s="1420">
        <f t="shared" ref="N1183:N1186" si="482">K1183+L1183</f>
        <v>14300000</v>
      </c>
      <c r="O1183" s="1307" t="s">
        <v>58</v>
      </c>
      <c r="P1183" s="1307" t="s">
        <v>88</v>
      </c>
      <c r="Q1183" s="1308"/>
      <c r="R1183" s="1308"/>
      <c r="S1183" s="1413">
        <v>0</v>
      </c>
      <c r="T1183" s="1413">
        <f t="shared" si="462"/>
        <v>-260000</v>
      </c>
      <c r="U1183" s="1419">
        <v>14040000</v>
      </c>
      <c r="V1183" s="1430"/>
      <c r="W1183" s="1431"/>
      <c r="X1183" s="1441"/>
      <c r="Y1183" s="1419"/>
      <c r="Z1183" s="1433"/>
      <c r="AA1183" s="1434"/>
      <c r="AB1183" s="1435"/>
      <c r="AC1183" s="1416"/>
      <c r="AD1183" s="1436"/>
      <c r="AE1183" s="1436"/>
      <c r="AF1183" s="1416"/>
      <c r="AG1183" s="1416"/>
      <c r="AH1183" s="1437"/>
      <c r="AI1183" s="1416"/>
      <c r="AJ1183" s="1437"/>
      <c r="AK1183" s="1438"/>
    </row>
    <row r="1184" spans="1:37" s="1439" customFormat="1" ht="12" customHeight="1">
      <c r="A1184" s="1415"/>
      <c r="B1184" s="1408" t="s">
        <v>239</v>
      </c>
      <c r="C1184" s="1400">
        <v>1</v>
      </c>
      <c r="D1184" s="1401" t="s">
        <v>40</v>
      </c>
      <c r="E1184" s="1409" t="s">
        <v>3479</v>
      </c>
      <c r="F1184" s="1506" t="s">
        <v>4342</v>
      </c>
      <c r="G1184" s="1409" t="s">
        <v>4351</v>
      </c>
      <c r="H1184" s="1409" t="s">
        <v>4343</v>
      </c>
      <c r="I1184" s="1409" t="s">
        <v>4528</v>
      </c>
      <c r="J1184" s="1413"/>
      <c r="K1184" s="1413">
        <v>17050000</v>
      </c>
      <c r="L1184" s="1413">
        <f t="shared" si="481"/>
        <v>1705000</v>
      </c>
      <c r="M1184" s="1403"/>
      <c r="N1184" s="1410">
        <f t="shared" si="482"/>
        <v>18755000</v>
      </c>
      <c r="O1184" s="1307"/>
      <c r="P1184" s="1307"/>
      <c r="Q1184" s="1308"/>
      <c r="R1184" s="1308"/>
      <c r="S1184" s="1413">
        <v>0</v>
      </c>
      <c r="T1184" s="1413">
        <f t="shared" si="462"/>
        <v>-341000</v>
      </c>
      <c r="U1184" s="1444">
        <v>18414000</v>
      </c>
      <c r="V1184" s="1430"/>
      <c r="W1184" s="1431"/>
      <c r="X1184" s="1441"/>
      <c r="Y1184" s="1419"/>
      <c r="Z1184" s="1433"/>
      <c r="AA1184" s="1434"/>
      <c r="AB1184" s="1435"/>
      <c r="AC1184" s="1416"/>
      <c r="AD1184" s="1436"/>
      <c r="AE1184" s="1436"/>
      <c r="AF1184" s="1416"/>
      <c r="AG1184" s="1416"/>
      <c r="AH1184" s="1437"/>
      <c r="AI1184" s="1416"/>
      <c r="AJ1184" s="1437"/>
      <c r="AK1184" s="1438"/>
    </row>
    <row r="1185" spans="1:37" s="1439" customFormat="1" ht="12" customHeight="1">
      <c r="A1185" s="1415"/>
      <c r="B1185" s="1408" t="s">
        <v>239</v>
      </c>
      <c r="C1185" s="1400">
        <v>1</v>
      </c>
      <c r="D1185" s="1401" t="s">
        <v>40</v>
      </c>
      <c r="E1185" s="1409" t="s">
        <v>364</v>
      </c>
      <c r="F1185" s="1506" t="s">
        <v>4344</v>
      </c>
      <c r="G1185" s="1409" t="s">
        <v>4351</v>
      </c>
      <c r="H1185" s="1409" t="s">
        <v>4345</v>
      </c>
      <c r="I1185" s="1409" t="s">
        <v>4346</v>
      </c>
      <c r="J1185" s="1413"/>
      <c r="K1185" s="1413">
        <v>13327000</v>
      </c>
      <c r="L1185" s="1413">
        <f t="shared" si="481"/>
        <v>1332700</v>
      </c>
      <c r="M1185" s="1403"/>
      <c r="N1185" s="1410">
        <f t="shared" si="482"/>
        <v>14659700</v>
      </c>
      <c r="O1185" s="1307"/>
      <c r="P1185" s="1307"/>
      <c r="Q1185" s="1308"/>
      <c r="R1185" s="1308"/>
      <c r="S1185" s="1413">
        <v>0</v>
      </c>
      <c r="T1185" s="1413">
        <f t="shared" si="462"/>
        <v>-266540</v>
      </c>
      <c r="U1185" s="1444">
        <v>14393160</v>
      </c>
      <c r="V1185" s="1430"/>
      <c r="W1185" s="1431"/>
      <c r="X1185" s="1441"/>
      <c r="Y1185" s="1419"/>
      <c r="Z1185" s="1433"/>
      <c r="AA1185" s="1434"/>
      <c r="AB1185" s="1435"/>
      <c r="AC1185" s="1416"/>
      <c r="AD1185" s="1436"/>
      <c r="AE1185" s="1436"/>
      <c r="AF1185" s="1416"/>
      <c r="AG1185" s="1416"/>
      <c r="AH1185" s="1437"/>
      <c r="AI1185" s="1416"/>
      <c r="AJ1185" s="1437"/>
      <c r="AK1185" s="1438"/>
    </row>
    <row r="1186" spans="1:37" s="1439" customFormat="1" ht="12" customHeight="1">
      <c r="A1186" s="1415"/>
      <c r="B1186" s="1268" t="s">
        <v>239</v>
      </c>
      <c r="C1186" s="1416">
        <v>1</v>
      </c>
      <c r="D1186" s="1417" t="s">
        <v>40</v>
      </c>
      <c r="E1186" s="1418" t="s">
        <v>62</v>
      </c>
      <c r="F1186" s="1505" t="s">
        <v>4347</v>
      </c>
      <c r="G1186" s="1418" t="s">
        <v>4348</v>
      </c>
      <c r="H1186" s="1418" t="s">
        <v>4349</v>
      </c>
      <c r="I1186" s="1266" t="s">
        <v>14</v>
      </c>
      <c r="J1186" s="1419"/>
      <c r="K1186" s="1419">
        <v>4875400</v>
      </c>
      <c r="L1186" s="1419">
        <v>0</v>
      </c>
      <c r="M1186" s="1421"/>
      <c r="N1186" s="1420">
        <f t="shared" si="482"/>
        <v>4875400</v>
      </c>
      <c r="O1186" s="1307" t="s">
        <v>58</v>
      </c>
      <c r="P1186" s="1307" t="s">
        <v>88</v>
      </c>
      <c r="Q1186" s="1308"/>
      <c r="R1186" s="1308"/>
      <c r="S1186" s="1413">
        <v>0</v>
      </c>
      <c r="T1186" s="1413">
        <v>0</v>
      </c>
      <c r="U1186" s="1444">
        <v>4875400</v>
      </c>
      <c r="V1186" s="1430"/>
      <c r="W1186" s="1431"/>
      <c r="X1186" s="1441"/>
      <c r="Y1186" s="1419"/>
      <c r="Z1186" s="1433"/>
      <c r="AA1186" s="1434"/>
      <c r="AB1186" s="1435"/>
      <c r="AC1186" s="1416"/>
      <c r="AD1186" s="1436"/>
      <c r="AE1186" s="1436"/>
      <c r="AF1186" s="1416"/>
      <c r="AG1186" s="1416"/>
      <c r="AH1186" s="1437"/>
      <c r="AI1186" s="1416"/>
      <c r="AJ1186" s="1437"/>
      <c r="AK1186" s="1438"/>
    </row>
    <row r="1187" spans="1:37" s="1439" customFormat="1" ht="12" customHeight="1">
      <c r="A1187" s="1415"/>
      <c r="B1187" s="1408" t="s">
        <v>239</v>
      </c>
      <c r="C1187" s="1400">
        <v>1</v>
      </c>
      <c r="D1187" s="1401" t="s">
        <v>40</v>
      </c>
      <c r="E1187" s="1409" t="s">
        <v>362</v>
      </c>
      <c r="F1187" s="1506" t="s">
        <v>4350</v>
      </c>
      <c r="G1187" s="1409" t="s">
        <v>4351</v>
      </c>
      <c r="H1187" s="1409" t="s">
        <v>4352</v>
      </c>
      <c r="I1187" s="1409" t="s">
        <v>4353</v>
      </c>
      <c r="J1187" s="1413"/>
      <c r="K1187" s="1413">
        <v>6000000</v>
      </c>
      <c r="L1187" s="1413">
        <f t="shared" ref="L1187" si="483">K1187*10%</f>
        <v>600000</v>
      </c>
      <c r="M1187" s="1403"/>
      <c r="N1187" s="1410">
        <f t="shared" ref="N1187:N1188" si="484">K1187+L1187</f>
        <v>6600000</v>
      </c>
      <c r="O1187" s="1307"/>
      <c r="P1187" s="1307"/>
      <c r="Q1187" s="1308"/>
      <c r="R1187" s="1308"/>
      <c r="S1187" s="1413">
        <v>0</v>
      </c>
      <c r="T1187" s="1413">
        <f t="shared" si="462"/>
        <v>-120000</v>
      </c>
      <c r="U1187" s="1444">
        <v>6480000</v>
      </c>
      <c r="V1187" s="1430"/>
      <c r="W1187" s="1431"/>
      <c r="X1187" s="1441"/>
      <c r="Y1187" s="1419"/>
      <c r="Z1187" s="1433"/>
      <c r="AA1187" s="1434"/>
      <c r="AB1187" s="1435"/>
      <c r="AC1187" s="1416"/>
      <c r="AD1187" s="1436"/>
      <c r="AE1187" s="1436"/>
      <c r="AF1187" s="1416"/>
      <c r="AG1187" s="1416"/>
      <c r="AH1187" s="1437"/>
      <c r="AI1187" s="1416"/>
      <c r="AJ1187" s="1437"/>
      <c r="AK1187" s="1438"/>
    </row>
    <row r="1188" spans="1:37" s="1439" customFormat="1" ht="12" customHeight="1">
      <c r="A1188" s="1415"/>
      <c r="B1188" s="1268" t="s">
        <v>239</v>
      </c>
      <c r="C1188" s="1416">
        <v>1</v>
      </c>
      <c r="D1188" s="1417" t="s">
        <v>40</v>
      </c>
      <c r="E1188" s="1418" t="s">
        <v>62</v>
      </c>
      <c r="F1188" s="1505" t="s">
        <v>4354</v>
      </c>
      <c r="G1188" s="1418" t="s">
        <v>4355</v>
      </c>
      <c r="H1188" s="1418" t="s">
        <v>4356</v>
      </c>
      <c r="I1188" s="1266" t="s">
        <v>14</v>
      </c>
      <c r="J1188" s="1419"/>
      <c r="K1188" s="1419">
        <v>615000</v>
      </c>
      <c r="L1188" s="1419">
        <v>0</v>
      </c>
      <c r="M1188" s="1421"/>
      <c r="N1188" s="1420">
        <f t="shared" si="484"/>
        <v>615000</v>
      </c>
      <c r="O1188" s="1307" t="s">
        <v>58</v>
      </c>
      <c r="P1188" s="1307" t="s">
        <v>88</v>
      </c>
      <c r="Q1188" s="1308"/>
      <c r="R1188" s="1308"/>
      <c r="S1188" s="1413">
        <v>0</v>
      </c>
      <c r="T1188" s="1413">
        <v>0</v>
      </c>
      <c r="U1188" s="1444">
        <v>615000</v>
      </c>
      <c r="V1188" s="1430"/>
      <c r="W1188" s="1431"/>
      <c r="X1188" s="1441"/>
      <c r="Y1188" s="1419"/>
      <c r="Z1188" s="1433"/>
      <c r="AA1188" s="1434"/>
      <c r="AB1188" s="1435"/>
      <c r="AC1188" s="1416"/>
      <c r="AD1188" s="1436"/>
      <c r="AE1188" s="1436"/>
      <c r="AF1188" s="1416"/>
      <c r="AG1188" s="1416"/>
      <c r="AH1188" s="1437"/>
      <c r="AI1188" s="1416"/>
      <c r="AJ1188" s="1437"/>
      <c r="AK1188" s="1438"/>
    </row>
    <row r="1189" spans="1:37" s="1405" customFormat="1" ht="12" customHeight="1">
      <c r="A1189" s="1390"/>
      <c r="B1189" s="1408" t="s">
        <v>240</v>
      </c>
      <c r="C1189" s="1400">
        <v>5</v>
      </c>
      <c r="D1189" s="1401" t="s">
        <v>40</v>
      </c>
      <c r="E1189" s="1409" t="s">
        <v>355</v>
      </c>
      <c r="F1189" s="1506" t="s">
        <v>3594</v>
      </c>
      <c r="G1189" s="1409" t="s">
        <v>57</v>
      </c>
      <c r="H1189" s="1409" t="s">
        <v>4418</v>
      </c>
      <c r="I1189" s="1409" t="s">
        <v>4419</v>
      </c>
      <c r="J1189" s="1413"/>
      <c r="K1189" s="1413">
        <v>27964370</v>
      </c>
      <c r="L1189" s="1413">
        <f t="shared" ref="L1189" si="485">K1189*10%</f>
        <v>2796437</v>
      </c>
      <c r="M1189" s="1403"/>
      <c r="N1189" s="1410">
        <f t="shared" ref="N1189" si="486">K1189+L1189</f>
        <v>30760807</v>
      </c>
      <c r="O1189" s="1414"/>
      <c r="P1189" s="1414"/>
      <c r="Q1189" s="1308"/>
      <c r="R1189" s="1214"/>
      <c r="S1189" s="1413">
        <v>0</v>
      </c>
      <c r="T1189" s="1413">
        <f t="shared" si="462"/>
        <v>-559287.4</v>
      </c>
      <c r="U1189" s="1419">
        <v>30201519.600000001</v>
      </c>
      <c r="V1189" s="1215"/>
      <c r="W1189" s="1203"/>
      <c r="X1189" s="1204"/>
      <c r="Y1189" s="1413"/>
      <c r="Z1189" s="1205"/>
      <c r="AA1189" s="1206"/>
      <c r="AB1189" s="1207"/>
      <c r="AC1189" s="1400"/>
      <c r="AD1189" s="1208"/>
      <c r="AE1189" s="1208"/>
      <c r="AF1189" s="1400"/>
      <c r="AG1189" s="1400"/>
      <c r="AH1189" s="1209"/>
      <c r="AI1189" s="1400"/>
      <c r="AJ1189" s="1209"/>
      <c r="AK1189" s="1404"/>
    </row>
    <row r="1190" spans="1:37" s="1405" customFormat="1" ht="12" customHeight="1">
      <c r="A1190" s="1390"/>
      <c r="B1190" s="1408" t="s">
        <v>240</v>
      </c>
      <c r="C1190" s="1400">
        <v>5</v>
      </c>
      <c r="D1190" s="1401" t="s">
        <v>40</v>
      </c>
      <c r="E1190" s="1409" t="s">
        <v>355</v>
      </c>
      <c r="F1190" s="1506" t="s">
        <v>3603</v>
      </c>
      <c r="G1190" s="1409" t="s">
        <v>57</v>
      </c>
      <c r="H1190" s="1409" t="s">
        <v>4420</v>
      </c>
      <c r="I1190" s="1409" t="s">
        <v>4421</v>
      </c>
      <c r="J1190" s="1413"/>
      <c r="K1190" s="1413">
        <v>27964370</v>
      </c>
      <c r="L1190" s="1413">
        <f t="shared" ref="L1190" si="487">K1190*10%</f>
        <v>2796437</v>
      </c>
      <c r="M1190" s="1403"/>
      <c r="N1190" s="1410">
        <f t="shared" ref="N1190" si="488">K1190+L1190</f>
        <v>30760807</v>
      </c>
      <c r="O1190" s="1414"/>
      <c r="P1190" s="1414"/>
      <c r="Q1190" s="1308"/>
      <c r="R1190" s="1214"/>
      <c r="S1190" s="1413">
        <v>0</v>
      </c>
      <c r="T1190" s="1413">
        <f t="shared" si="462"/>
        <v>-559287.4</v>
      </c>
      <c r="U1190" s="1419">
        <v>30201519.600000001</v>
      </c>
      <c r="V1190" s="1215"/>
      <c r="W1190" s="1203"/>
      <c r="X1190" s="1204"/>
      <c r="Y1190" s="1413"/>
      <c r="Z1190" s="1205"/>
      <c r="AA1190" s="1206"/>
      <c r="AB1190" s="1207"/>
      <c r="AC1190" s="1400"/>
      <c r="AD1190" s="1208"/>
      <c r="AE1190" s="1208"/>
      <c r="AF1190" s="1400"/>
      <c r="AG1190" s="1400"/>
      <c r="AH1190" s="1209"/>
      <c r="AI1190" s="1400"/>
      <c r="AJ1190" s="1209"/>
      <c r="AK1190" s="1404"/>
    </row>
    <row r="1191" spans="1:37" s="1405" customFormat="1" ht="12" customHeight="1">
      <c r="A1191" s="1390"/>
      <c r="B1191" s="1408" t="s">
        <v>240</v>
      </c>
      <c r="C1191" s="1400">
        <v>5</v>
      </c>
      <c r="D1191" s="1401" t="s">
        <v>40</v>
      </c>
      <c r="E1191" s="1409" t="s">
        <v>355</v>
      </c>
      <c r="F1191" s="1506" t="s">
        <v>3585</v>
      </c>
      <c r="G1191" s="1409" t="s">
        <v>57</v>
      </c>
      <c r="H1191" s="1409" t="s">
        <v>4422</v>
      </c>
      <c r="I1191" s="1409" t="s">
        <v>4423</v>
      </c>
      <c r="J1191" s="1413"/>
      <c r="K1191" s="1413">
        <v>27964370</v>
      </c>
      <c r="L1191" s="1413">
        <f t="shared" ref="L1191" si="489">K1191*10%</f>
        <v>2796437</v>
      </c>
      <c r="M1191" s="1403"/>
      <c r="N1191" s="1410">
        <f t="shared" ref="N1191" si="490">K1191+L1191</f>
        <v>30760807</v>
      </c>
      <c r="O1191" s="1414"/>
      <c r="P1191" s="1414"/>
      <c r="Q1191" s="1308"/>
      <c r="R1191" s="1214"/>
      <c r="S1191" s="1413">
        <v>0</v>
      </c>
      <c r="T1191" s="1413">
        <f t="shared" si="462"/>
        <v>-559287.4</v>
      </c>
      <c r="U1191" s="1419">
        <v>30201519.600000001</v>
      </c>
      <c r="V1191" s="1215"/>
      <c r="W1191" s="1203"/>
      <c r="X1191" s="1204"/>
      <c r="Y1191" s="1413"/>
      <c r="Z1191" s="1205"/>
      <c r="AA1191" s="1206"/>
      <c r="AB1191" s="1207"/>
      <c r="AC1191" s="1400"/>
      <c r="AD1191" s="1208"/>
      <c r="AE1191" s="1208"/>
      <c r="AF1191" s="1400"/>
      <c r="AG1191" s="1400"/>
      <c r="AH1191" s="1209"/>
      <c r="AI1191" s="1400"/>
      <c r="AJ1191" s="1209"/>
      <c r="AK1191" s="1404"/>
    </row>
    <row r="1192" spans="1:37" s="1405" customFormat="1" ht="12" customHeight="1">
      <c r="A1192" s="1390"/>
      <c r="B1192" s="1408" t="s">
        <v>240</v>
      </c>
      <c r="C1192" s="1400">
        <v>5</v>
      </c>
      <c r="D1192" s="1401" t="s">
        <v>40</v>
      </c>
      <c r="E1192" s="1409" t="s">
        <v>355</v>
      </c>
      <c r="F1192" s="1506" t="s">
        <v>3600</v>
      </c>
      <c r="G1192" s="1409" t="s">
        <v>57</v>
      </c>
      <c r="H1192" s="1409" t="s">
        <v>4424</v>
      </c>
      <c r="I1192" s="1409" t="s">
        <v>4425</v>
      </c>
      <c r="J1192" s="1413"/>
      <c r="K1192" s="1413">
        <v>27964370</v>
      </c>
      <c r="L1192" s="1413">
        <f t="shared" ref="L1192" si="491">K1192*10%</f>
        <v>2796437</v>
      </c>
      <c r="M1192" s="1403"/>
      <c r="N1192" s="1410">
        <f t="shared" ref="N1192" si="492">K1192+L1192</f>
        <v>30760807</v>
      </c>
      <c r="O1192" s="1414"/>
      <c r="P1192" s="1414"/>
      <c r="Q1192" s="1308"/>
      <c r="R1192" s="1214"/>
      <c r="S1192" s="1413">
        <v>0</v>
      </c>
      <c r="T1192" s="1413">
        <f t="shared" si="462"/>
        <v>-559287.4</v>
      </c>
      <c r="U1192" s="1419">
        <v>30201519.600000001</v>
      </c>
      <c r="V1192" s="1215"/>
      <c r="W1192" s="1203"/>
      <c r="X1192" s="1204"/>
      <c r="Y1192" s="1413"/>
      <c r="Z1192" s="1205"/>
      <c r="AA1192" s="1206"/>
      <c r="AB1192" s="1207"/>
      <c r="AC1192" s="1400"/>
      <c r="AD1192" s="1208"/>
      <c r="AE1192" s="1208"/>
      <c r="AF1192" s="1400"/>
      <c r="AG1192" s="1400"/>
      <c r="AH1192" s="1209"/>
      <c r="AI1192" s="1400"/>
      <c r="AJ1192" s="1209"/>
      <c r="AK1192" s="1404"/>
    </row>
    <row r="1193" spans="1:37" s="1405" customFormat="1" ht="12" customHeight="1">
      <c r="A1193" s="1390"/>
      <c r="B1193" s="1408" t="s">
        <v>240</v>
      </c>
      <c r="C1193" s="1400">
        <v>5</v>
      </c>
      <c r="D1193" s="1401" t="s">
        <v>40</v>
      </c>
      <c r="E1193" s="1409" t="s">
        <v>355</v>
      </c>
      <c r="F1193" s="1506" t="s">
        <v>3580</v>
      </c>
      <c r="G1193" s="1409" t="s">
        <v>57</v>
      </c>
      <c r="H1193" s="1409" t="s">
        <v>4426</v>
      </c>
      <c r="I1193" s="1409" t="s">
        <v>4427</v>
      </c>
      <c r="J1193" s="1413"/>
      <c r="K1193" s="1413">
        <v>27964370</v>
      </c>
      <c r="L1193" s="1413">
        <f t="shared" ref="L1193" si="493">K1193*10%</f>
        <v>2796437</v>
      </c>
      <c r="M1193" s="1403"/>
      <c r="N1193" s="1410">
        <f t="shared" ref="N1193" si="494">K1193+L1193</f>
        <v>30760807</v>
      </c>
      <c r="O1193" s="1414"/>
      <c r="P1193" s="1414"/>
      <c r="Q1193" s="1308"/>
      <c r="R1193" s="1214"/>
      <c r="S1193" s="1413">
        <v>0</v>
      </c>
      <c r="T1193" s="1413">
        <f t="shared" si="462"/>
        <v>-559287.4</v>
      </c>
      <c r="U1193" s="1419">
        <v>30201519.600000001</v>
      </c>
      <c r="V1193" s="1215"/>
      <c r="W1193" s="1203"/>
      <c r="X1193" s="1204"/>
      <c r="Y1193" s="1413"/>
      <c r="Z1193" s="1205"/>
      <c r="AA1193" s="1206"/>
      <c r="AB1193" s="1207"/>
      <c r="AC1193" s="1400"/>
      <c r="AD1193" s="1208"/>
      <c r="AE1193" s="1208"/>
      <c r="AF1193" s="1400"/>
      <c r="AG1193" s="1400"/>
      <c r="AH1193" s="1209"/>
      <c r="AI1193" s="1400"/>
      <c r="AJ1193" s="1209"/>
      <c r="AK1193" s="1404"/>
    </row>
    <row r="1194" spans="1:37" s="1405" customFormat="1" ht="12" customHeight="1">
      <c r="A1194" s="1390"/>
      <c r="B1194" s="1408" t="s">
        <v>240</v>
      </c>
      <c r="C1194" s="1400">
        <v>5</v>
      </c>
      <c r="D1194" s="1401" t="s">
        <v>40</v>
      </c>
      <c r="E1194" s="1409" t="s">
        <v>355</v>
      </c>
      <c r="F1194" s="1506" t="s">
        <v>4077</v>
      </c>
      <c r="G1194" s="1409" t="s">
        <v>57</v>
      </c>
      <c r="H1194" s="1409" t="s">
        <v>4428</v>
      </c>
      <c r="I1194" s="1409" t="s">
        <v>4429</v>
      </c>
      <c r="J1194" s="1413"/>
      <c r="K1194" s="1413">
        <v>27964370</v>
      </c>
      <c r="L1194" s="1413">
        <f t="shared" ref="L1194:L1196" si="495">K1194*10%</f>
        <v>2796437</v>
      </c>
      <c r="M1194" s="1403"/>
      <c r="N1194" s="1410">
        <f t="shared" ref="N1194:N1196" si="496">K1194+L1194</f>
        <v>30760807</v>
      </c>
      <c r="O1194" s="1414"/>
      <c r="P1194" s="1414"/>
      <c r="Q1194" s="1308"/>
      <c r="R1194" s="1214"/>
      <c r="S1194" s="1413">
        <v>0</v>
      </c>
      <c r="T1194" s="1413">
        <f t="shared" si="462"/>
        <v>-559287.4</v>
      </c>
      <c r="U1194" s="1419">
        <v>30201519.600000001</v>
      </c>
      <c r="V1194" s="1215"/>
      <c r="W1194" s="1203"/>
      <c r="X1194" s="1204"/>
      <c r="Y1194" s="1413"/>
      <c r="Z1194" s="1205"/>
      <c r="AA1194" s="1206"/>
      <c r="AB1194" s="1207"/>
      <c r="AC1194" s="1400"/>
      <c r="AD1194" s="1208"/>
      <c r="AE1194" s="1208"/>
      <c r="AF1194" s="1400"/>
      <c r="AG1194" s="1400"/>
      <c r="AH1194" s="1209"/>
      <c r="AI1194" s="1400"/>
      <c r="AJ1194" s="1209"/>
      <c r="AK1194" s="1404"/>
    </row>
    <row r="1195" spans="1:37" s="1405" customFormat="1" ht="12" customHeight="1">
      <c r="A1195" s="1390"/>
      <c r="B1195" s="1408" t="s">
        <v>240</v>
      </c>
      <c r="C1195" s="1400">
        <v>5</v>
      </c>
      <c r="D1195" s="1401" t="s">
        <v>40</v>
      </c>
      <c r="E1195" s="1409" t="s">
        <v>364</v>
      </c>
      <c r="F1195" s="1506" t="s">
        <v>3833</v>
      </c>
      <c r="G1195" s="1409" t="s">
        <v>57</v>
      </c>
      <c r="H1195" s="1409" t="s">
        <v>4430</v>
      </c>
      <c r="I1195" s="1409" t="s">
        <v>4431</v>
      </c>
      <c r="J1195" s="1413"/>
      <c r="K1195" s="1413">
        <v>13000000</v>
      </c>
      <c r="L1195" s="1413">
        <f t="shared" si="495"/>
        <v>1300000</v>
      </c>
      <c r="M1195" s="1403"/>
      <c r="N1195" s="1410">
        <f t="shared" si="496"/>
        <v>14300000</v>
      </c>
      <c r="O1195" s="1414"/>
      <c r="P1195" s="1414"/>
      <c r="Q1195" s="1308"/>
      <c r="R1195" s="1214"/>
      <c r="S1195" s="1413">
        <v>0</v>
      </c>
      <c r="T1195" s="1413">
        <f t="shared" ref="T1195:T1196" si="497">-K1195*2%</f>
        <v>-260000</v>
      </c>
      <c r="U1195" s="1419">
        <v>14040000</v>
      </c>
      <c r="V1195" s="1215"/>
      <c r="W1195" s="1203"/>
      <c r="X1195" s="1204"/>
      <c r="Y1195" s="1413"/>
      <c r="Z1195" s="1205"/>
      <c r="AA1195" s="1206"/>
      <c r="AB1195" s="1207"/>
      <c r="AC1195" s="1400"/>
      <c r="AD1195" s="1208"/>
      <c r="AE1195" s="1208"/>
      <c r="AF1195" s="1400"/>
      <c r="AG1195" s="1400"/>
      <c r="AH1195" s="1209"/>
      <c r="AI1195" s="1400"/>
      <c r="AJ1195" s="1209"/>
      <c r="AK1195" s="1404"/>
    </row>
    <row r="1196" spans="1:37" s="1405" customFormat="1" ht="12" customHeight="1">
      <c r="A1196" s="1390"/>
      <c r="B1196" s="1408" t="s">
        <v>240</v>
      </c>
      <c r="C1196" s="1400">
        <v>5</v>
      </c>
      <c r="D1196" s="1401" t="s">
        <v>40</v>
      </c>
      <c r="E1196" s="1409" t="s">
        <v>354</v>
      </c>
      <c r="F1196" s="1506" t="s">
        <v>3609</v>
      </c>
      <c r="G1196" s="1409" t="s">
        <v>57</v>
      </c>
      <c r="H1196" s="1409" t="s">
        <v>4432</v>
      </c>
      <c r="I1196" s="1409" t="s">
        <v>4433</v>
      </c>
      <c r="J1196" s="1413"/>
      <c r="K1196" s="1413">
        <v>27335211</v>
      </c>
      <c r="L1196" s="1413">
        <f t="shared" si="495"/>
        <v>2733521.1</v>
      </c>
      <c r="M1196" s="1403"/>
      <c r="N1196" s="1410">
        <f t="shared" si="496"/>
        <v>30068732.100000001</v>
      </c>
      <c r="O1196" s="1414"/>
      <c r="P1196" s="1414"/>
      <c r="Q1196" s="1308"/>
      <c r="R1196" s="1214"/>
      <c r="S1196" s="1413">
        <v>0</v>
      </c>
      <c r="T1196" s="1413">
        <f t="shared" si="497"/>
        <v>-546704.22</v>
      </c>
      <c r="U1196" s="1419">
        <v>29522027.879999999</v>
      </c>
      <c r="V1196" s="1215"/>
      <c r="W1196" s="1203"/>
      <c r="X1196" s="1204"/>
      <c r="Y1196" s="1413"/>
      <c r="Z1196" s="1205"/>
      <c r="AA1196" s="1206"/>
      <c r="AB1196" s="1207"/>
      <c r="AC1196" s="1400"/>
      <c r="AD1196" s="1208"/>
      <c r="AE1196" s="1208"/>
      <c r="AF1196" s="1400"/>
      <c r="AG1196" s="1400"/>
      <c r="AH1196" s="1209"/>
      <c r="AI1196" s="1400"/>
      <c r="AJ1196" s="1209"/>
      <c r="AK1196" s="1404"/>
    </row>
    <row r="1197" spans="1:37" s="1405" customFormat="1" ht="12" customHeight="1">
      <c r="A1197" s="1390"/>
      <c r="B1197" s="1408" t="s">
        <v>240</v>
      </c>
      <c r="C1197" s="1400">
        <v>5</v>
      </c>
      <c r="D1197" s="1401" t="s">
        <v>40</v>
      </c>
      <c r="E1197" s="1409" t="s">
        <v>354</v>
      </c>
      <c r="F1197" s="1506" t="s">
        <v>3846</v>
      </c>
      <c r="G1197" s="1409" t="s">
        <v>57</v>
      </c>
      <c r="H1197" s="1409" t="s">
        <v>4434</v>
      </c>
      <c r="I1197" s="1409" t="s">
        <v>4435</v>
      </c>
      <c r="J1197" s="1413"/>
      <c r="K1197" s="1413">
        <v>27335211</v>
      </c>
      <c r="L1197" s="1413">
        <f t="shared" ref="L1197" si="498">K1197*10%</f>
        <v>2733521.1</v>
      </c>
      <c r="M1197" s="1403"/>
      <c r="N1197" s="1410">
        <f t="shared" ref="N1197" si="499">K1197+L1197</f>
        <v>30068732.100000001</v>
      </c>
      <c r="O1197" s="1414"/>
      <c r="P1197" s="1414"/>
      <c r="Q1197" s="1308"/>
      <c r="R1197" s="1214"/>
      <c r="S1197" s="1413">
        <v>0</v>
      </c>
      <c r="T1197" s="1413">
        <f t="shared" ref="T1197:T1200" si="500">-K1197*2%</f>
        <v>-546704.22</v>
      </c>
      <c r="U1197" s="1419">
        <v>29522027.879999999</v>
      </c>
      <c r="V1197" s="1215"/>
      <c r="W1197" s="1203"/>
      <c r="X1197" s="1204"/>
      <c r="Y1197" s="1413"/>
      <c r="Z1197" s="1205"/>
      <c r="AA1197" s="1206"/>
      <c r="AB1197" s="1207"/>
      <c r="AC1197" s="1400"/>
      <c r="AD1197" s="1208"/>
      <c r="AE1197" s="1208"/>
      <c r="AF1197" s="1400"/>
      <c r="AG1197" s="1400"/>
      <c r="AH1197" s="1209"/>
      <c r="AI1197" s="1400"/>
      <c r="AJ1197" s="1209"/>
      <c r="AK1197" s="1404"/>
    </row>
    <row r="1198" spans="1:37" s="1405" customFormat="1" ht="12" customHeight="1">
      <c r="A1198" s="1390"/>
      <c r="B1198" s="1408" t="s">
        <v>240</v>
      </c>
      <c r="C1198" s="1400">
        <v>5</v>
      </c>
      <c r="D1198" s="1401" t="s">
        <v>40</v>
      </c>
      <c r="E1198" s="1409" t="s">
        <v>354</v>
      </c>
      <c r="F1198" s="1506" t="s">
        <v>3841</v>
      </c>
      <c r="G1198" s="1409" t="s">
        <v>57</v>
      </c>
      <c r="H1198" s="1409" t="s">
        <v>4436</v>
      </c>
      <c r="I1198" s="1409" t="s">
        <v>4437</v>
      </c>
      <c r="J1198" s="1413"/>
      <c r="K1198" s="1413">
        <v>27335211</v>
      </c>
      <c r="L1198" s="1413">
        <f t="shared" ref="L1198" si="501">K1198*10%</f>
        <v>2733521.1</v>
      </c>
      <c r="M1198" s="1403"/>
      <c r="N1198" s="1410">
        <f t="shared" ref="N1198" si="502">K1198+L1198</f>
        <v>30068732.100000001</v>
      </c>
      <c r="O1198" s="1414"/>
      <c r="P1198" s="1414"/>
      <c r="Q1198" s="1308"/>
      <c r="R1198" s="1214"/>
      <c r="S1198" s="1413">
        <v>0</v>
      </c>
      <c r="T1198" s="1413">
        <f t="shared" si="500"/>
        <v>-546704.22</v>
      </c>
      <c r="U1198" s="1419">
        <v>29522027.879999999</v>
      </c>
      <c r="V1198" s="1215"/>
      <c r="W1198" s="1203"/>
      <c r="X1198" s="1204"/>
      <c r="Y1198" s="1413"/>
      <c r="Z1198" s="1205"/>
      <c r="AA1198" s="1206"/>
      <c r="AB1198" s="1207"/>
      <c r="AC1198" s="1400"/>
      <c r="AD1198" s="1208"/>
      <c r="AE1198" s="1208"/>
      <c r="AF1198" s="1400"/>
      <c r="AG1198" s="1400"/>
      <c r="AH1198" s="1209"/>
      <c r="AI1198" s="1400"/>
      <c r="AJ1198" s="1209"/>
      <c r="AK1198" s="1404"/>
    </row>
    <row r="1199" spans="1:37" s="1405" customFormat="1" ht="12" customHeight="1">
      <c r="A1199" s="1390"/>
      <c r="B1199" s="1408" t="s">
        <v>240</v>
      </c>
      <c r="C1199" s="1400">
        <v>5</v>
      </c>
      <c r="D1199" s="1401" t="s">
        <v>40</v>
      </c>
      <c r="E1199" s="1409" t="s">
        <v>354</v>
      </c>
      <c r="F1199" s="1506" t="s">
        <v>3854</v>
      </c>
      <c r="G1199" s="1409" t="s">
        <v>57</v>
      </c>
      <c r="H1199" s="1409" t="s">
        <v>4438</v>
      </c>
      <c r="I1199" s="1409" t="s">
        <v>4439</v>
      </c>
      <c r="J1199" s="1413"/>
      <c r="K1199" s="1413">
        <v>27335211</v>
      </c>
      <c r="L1199" s="1413">
        <f t="shared" ref="L1199" si="503">K1199*10%</f>
        <v>2733521.1</v>
      </c>
      <c r="M1199" s="1403"/>
      <c r="N1199" s="1410">
        <f t="shared" ref="N1199" si="504">K1199+L1199</f>
        <v>30068732.100000001</v>
      </c>
      <c r="O1199" s="1414"/>
      <c r="P1199" s="1414"/>
      <c r="Q1199" s="1308"/>
      <c r="R1199" s="1214"/>
      <c r="S1199" s="1413">
        <v>0</v>
      </c>
      <c r="T1199" s="1413">
        <f t="shared" si="500"/>
        <v>-546704.22</v>
      </c>
      <c r="U1199" s="1419">
        <v>29522027.879999999</v>
      </c>
      <c r="V1199" s="1215"/>
      <c r="W1199" s="1203"/>
      <c r="X1199" s="1204"/>
      <c r="Y1199" s="1413"/>
      <c r="Z1199" s="1205"/>
      <c r="AA1199" s="1206"/>
      <c r="AB1199" s="1207"/>
      <c r="AC1199" s="1400"/>
      <c r="AD1199" s="1208"/>
      <c r="AE1199" s="1208"/>
      <c r="AF1199" s="1400"/>
      <c r="AG1199" s="1400"/>
      <c r="AH1199" s="1209"/>
      <c r="AI1199" s="1400"/>
      <c r="AJ1199" s="1209"/>
      <c r="AK1199" s="1404"/>
    </row>
    <row r="1200" spans="1:37" s="1405" customFormat="1" ht="12" customHeight="1">
      <c r="A1200" s="1390"/>
      <c r="B1200" s="1408" t="s">
        <v>240</v>
      </c>
      <c r="C1200" s="1400">
        <v>5</v>
      </c>
      <c r="D1200" s="1401" t="s">
        <v>40</v>
      </c>
      <c r="E1200" s="1409" t="s">
        <v>354</v>
      </c>
      <c r="F1200" s="1506" t="s">
        <v>3612</v>
      </c>
      <c r="G1200" s="1409" t="s">
        <v>57</v>
      </c>
      <c r="H1200" s="1409" t="s">
        <v>4440</v>
      </c>
      <c r="I1200" s="1409" t="s">
        <v>4441</v>
      </c>
      <c r="J1200" s="1413"/>
      <c r="K1200" s="1413">
        <v>27335211</v>
      </c>
      <c r="L1200" s="1413">
        <f t="shared" ref="L1200:L1201" si="505">K1200*10%</f>
        <v>2733521.1</v>
      </c>
      <c r="M1200" s="1403"/>
      <c r="N1200" s="1410">
        <f t="shared" ref="N1200:N1205" si="506">K1200+L1200</f>
        <v>30068732.100000001</v>
      </c>
      <c r="O1200" s="1414"/>
      <c r="P1200" s="1414"/>
      <c r="Q1200" s="1308"/>
      <c r="R1200" s="1214"/>
      <c r="S1200" s="1413">
        <v>0</v>
      </c>
      <c r="T1200" s="1413">
        <f t="shared" si="500"/>
        <v>-546704.22</v>
      </c>
      <c r="U1200" s="1419">
        <v>29522027.879999999</v>
      </c>
      <c r="V1200" s="1215"/>
      <c r="W1200" s="1203"/>
      <c r="X1200" s="1204"/>
      <c r="Y1200" s="1413"/>
      <c r="Z1200" s="1205"/>
      <c r="AA1200" s="1206"/>
      <c r="AB1200" s="1207"/>
      <c r="AC1200" s="1400"/>
      <c r="AD1200" s="1208"/>
      <c r="AE1200" s="1208"/>
      <c r="AF1200" s="1400"/>
      <c r="AG1200" s="1400"/>
      <c r="AH1200" s="1209"/>
      <c r="AI1200" s="1400"/>
      <c r="AJ1200" s="1209"/>
      <c r="AK1200" s="1404"/>
    </row>
    <row r="1201" spans="1:37" s="1405" customFormat="1" ht="12" customHeight="1">
      <c r="A1201" s="1390"/>
      <c r="B1201" s="1408" t="s">
        <v>240</v>
      </c>
      <c r="C1201" s="1400">
        <v>5</v>
      </c>
      <c r="D1201" s="1401" t="s">
        <v>40</v>
      </c>
      <c r="E1201" s="1409" t="s">
        <v>354</v>
      </c>
      <c r="F1201" s="1506" t="s">
        <v>4442</v>
      </c>
      <c r="G1201" s="1409" t="s">
        <v>4443</v>
      </c>
      <c r="H1201" s="1409" t="s">
        <v>4444</v>
      </c>
      <c r="I1201" s="1409" t="s">
        <v>4445</v>
      </c>
      <c r="J1201" s="1413"/>
      <c r="K1201" s="1413">
        <v>13767000</v>
      </c>
      <c r="L1201" s="1413">
        <f t="shared" si="505"/>
        <v>1376700</v>
      </c>
      <c r="M1201" s="1403"/>
      <c r="N1201" s="1410">
        <f t="shared" si="506"/>
        <v>15143700</v>
      </c>
      <c r="O1201" s="1414"/>
      <c r="P1201" s="1414"/>
      <c r="Q1201" s="1308"/>
      <c r="R1201" s="1214"/>
      <c r="S1201" s="1413">
        <v>0</v>
      </c>
      <c r="T1201" s="1413">
        <f t="shared" ref="T1201" si="507">-K1201*2%</f>
        <v>-275340</v>
      </c>
      <c r="U1201" s="1406">
        <v>14868360</v>
      </c>
      <c r="V1201" s="1215"/>
      <c r="W1201" s="1203"/>
      <c r="X1201" s="1204"/>
      <c r="Y1201" s="1413"/>
      <c r="Z1201" s="1205"/>
      <c r="AA1201" s="1206"/>
      <c r="AB1201" s="1207"/>
      <c r="AC1201" s="1400"/>
      <c r="AD1201" s="1208"/>
      <c r="AE1201" s="1208"/>
      <c r="AF1201" s="1400"/>
      <c r="AG1201" s="1400"/>
      <c r="AH1201" s="1209"/>
      <c r="AI1201" s="1400"/>
      <c r="AJ1201" s="1209"/>
      <c r="AK1201" s="1404"/>
    </row>
    <row r="1202" spans="1:37" s="1405" customFormat="1" ht="12" customHeight="1">
      <c r="A1202" s="1390"/>
      <c r="B1202" s="1408" t="s">
        <v>240</v>
      </c>
      <c r="C1202" s="1400">
        <v>5</v>
      </c>
      <c r="D1202" s="1401" t="s">
        <v>40</v>
      </c>
      <c r="E1202" s="1409" t="s">
        <v>62</v>
      </c>
      <c r="F1202" s="1506" t="s">
        <v>4446</v>
      </c>
      <c r="G1202" s="1409" t="s">
        <v>4447</v>
      </c>
      <c r="H1202" s="1409" t="s">
        <v>4448</v>
      </c>
      <c r="I1202" s="1197" t="s">
        <v>14</v>
      </c>
      <c r="J1202" s="1413"/>
      <c r="K1202" s="1413">
        <v>4860500</v>
      </c>
      <c r="L1202" s="1413">
        <v>0</v>
      </c>
      <c r="M1202" s="1403"/>
      <c r="N1202" s="1410">
        <f t="shared" si="506"/>
        <v>4860500</v>
      </c>
      <c r="O1202" s="1414"/>
      <c r="P1202" s="1414"/>
      <c r="Q1202" s="1308"/>
      <c r="R1202" s="1214"/>
      <c r="S1202" s="1413">
        <v>0</v>
      </c>
      <c r="T1202" s="1381">
        <v>0</v>
      </c>
      <c r="U1202" s="1406">
        <v>4860500</v>
      </c>
      <c r="V1202" s="1215"/>
      <c r="W1202" s="1203"/>
      <c r="X1202" s="1204"/>
      <c r="Y1202" s="1413"/>
      <c r="Z1202" s="1205"/>
      <c r="AA1202" s="1206"/>
      <c r="AB1202" s="1207"/>
      <c r="AC1202" s="1400"/>
      <c r="AD1202" s="1208"/>
      <c r="AE1202" s="1208"/>
      <c r="AF1202" s="1400"/>
      <c r="AG1202" s="1400"/>
      <c r="AH1202" s="1209"/>
      <c r="AI1202" s="1400"/>
      <c r="AJ1202" s="1209"/>
      <c r="AK1202" s="1404"/>
    </row>
    <row r="1203" spans="1:37" s="1405" customFormat="1" ht="12" customHeight="1">
      <c r="A1203" s="1390"/>
      <c r="B1203" s="1408" t="s">
        <v>240</v>
      </c>
      <c r="C1203" s="1400">
        <v>5</v>
      </c>
      <c r="D1203" s="1401" t="s">
        <v>40</v>
      </c>
      <c r="E1203" s="1409" t="s">
        <v>62</v>
      </c>
      <c r="F1203" s="1506" t="s">
        <v>4449</v>
      </c>
      <c r="G1203" s="1409" t="s">
        <v>4450</v>
      </c>
      <c r="H1203" s="1409" t="s">
        <v>4451</v>
      </c>
      <c r="I1203" s="1197" t="s">
        <v>14</v>
      </c>
      <c r="J1203" s="1413"/>
      <c r="K1203" s="1413">
        <v>2270000</v>
      </c>
      <c r="L1203" s="1321">
        <v>0</v>
      </c>
      <c r="M1203" s="1403"/>
      <c r="N1203" s="1410">
        <f t="shared" si="506"/>
        <v>2270000</v>
      </c>
      <c r="O1203" s="1414"/>
      <c r="P1203" s="1414"/>
      <c r="Q1203" s="1308"/>
      <c r="R1203" s="1214"/>
      <c r="S1203" s="1413">
        <v>0</v>
      </c>
      <c r="T1203" s="1381">
        <v>0</v>
      </c>
      <c r="U1203" s="1406">
        <v>2270000</v>
      </c>
      <c r="V1203" s="1215"/>
      <c r="W1203" s="1203"/>
      <c r="X1203" s="1204"/>
      <c r="Y1203" s="1413"/>
      <c r="Z1203" s="1205"/>
      <c r="AA1203" s="1206"/>
      <c r="AB1203" s="1207"/>
      <c r="AC1203" s="1400"/>
      <c r="AD1203" s="1208"/>
      <c r="AE1203" s="1208"/>
      <c r="AF1203" s="1400"/>
      <c r="AG1203" s="1400"/>
      <c r="AH1203" s="1209"/>
      <c r="AI1203" s="1400"/>
      <c r="AJ1203" s="1209"/>
      <c r="AK1203" s="1404"/>
    </row>
    <row r="1204" spans="1:37" s="1405" customFormat="1" ht="12" customHeight="1">
      <c r="A1204" s="1390"/>
      <c r="B1204" s="1408" t="s">
        <v>240</v>
      </c>
      <c r="C1204" s="1400">
        <v>5</v>
      </c>
      <c r="D1204" s="1401" t="s">
        <v>40</v>
      </c>
      <c r="E1204" s="1409" t="s">
        <v>62</v>
      </c>
      <c r="F1204" s="1506" t="s">
        <v>4452</v>
      </c>
      <c r="G1204" s="1409" t="s">
        <v>4453</v>
      </c>
      <c r="H1204" s="1409" t="s">
        <v>4454</v>
      </c>
      <c r="I1204" s="1197" t="s">
        <v>14</v>
      </c>
      <c r="J1204" s="1413"/>
      <c r="K1204" s="1413">
        <v>765200</v>
      </c>
      <c r="L1204" s="1413">
        <v>0</v>
      </c>
      <c r="M1204" s="1403"/>
      <c r="N1204" s="1410">
        <f t="shared" si="506"/>
        <v>765200</v>
      </c>
      <c r="O1204" s="1414"/>
      <c r="P1204" s="1414"/>
      <c r="Q1204" s="1308"/>
      <c r="R1204" s="1214"/>
      <c r="S1204" s="1413">
        <v>0</v>
      </c>
      <c r="T1204" s="1381">
        <v>0</v>
      </c>
      <c r="U1204" s="1406">
        <v>765200</v>
      </c>
      <c r="V1204" s="1215"/>
      <c r="W1204" s="1203"/>
      <c r="X1204" s="1204"/>
      <c r="Y1204" s="1413"/>
      <c r="Z1204" s="1205"/>
      <c r="AA1204" s="1206"/>
      <c r="AB1204" s="1207"/>
      <c r="AC1204" s="1400"/>
      <c r="AD1204" s="1208"/>
      <c r="AE1204" s="1208"/>
      <c r="AF1204" s="1400"/>
      <c r="AG1204" s="1400"/>
      <c r="AH1204" s="1209"/>
      <c r="AI1204" s="1400"/>
      <c r="AJ1204" s="1209"/>
      <c r="AK1204" s="1404"/>
    </row>
    <row r="1205" spans="1:37" s="1405" customFormat="1" ht="12" customHeight="1">
      <c r="A1205" s="1390"/>
      <c r="B1205" s="1408" t="s">
        <v>240</v>
      </c>
      <c r="C1205" s="1400">
        <v>5</v>
      </c>
      <c r="D1205" s="1401" t="s">
        <v>40</v>
      </c>
      <c r="E1205" s="1409" t="s">
        <v>62</v>
      </c>
      <c r="F1205" s="1506" t="s">
        <v>4455</v>
      </c>
      <c r="G1205" s="1409" t="s">
        <v>4456</v>
      </c>
      <c r="H1205" s="1409" t="s">
        <v>4457</v>
      </c>
      <c r="I1205" s="1197" t="s">
        <v>14</v>
      </c>
      <c r="J1205" s="1413"/>
      <c r="K1205" s="1413">
        <v>1086000</v>
      </c>
      <c r="L1205" s="1413">
        <v>0</v>
      </c>
      <c r="M1205" s="1403"/>
      <c r="N1205" s="1410">
        <f t="shared" si="506"/>
        <v>1086000</v>
      </c>
      <c r="O1205" s="1414"/>
      <c r="P1205" s="1414"/>
      <c r="Q1205" s="1308"/>
      <c r="R1205" s="1214"/>
      <c r="S1205" s="1413">
        <v>0</v>
      </c>
      <c r="T1205" s="1381">
        <v>0</v>
      </c>
      <c r="U1205" s="1406">
        <v>1086000</v>
      </c>
      <c r="V1205" s="1215"/>
      <c r="W1205" s="1203"/>
      <c r="X1205" s="1204"/>
      <c r="Y1205" s="1413"/>
      <c r="Z1205" s="1205"/>
      <c r="AA1205" s="1206"/>
      <c r="AB1205" s="1207"/>
      <c r="AC1205" s="1400"/>
      <c r="AD1205" s="1208"/>
      <c r="AE1205" s="1208"/>
      <c r="AF1205" s="1400"/>
      <c r="AG1205" s="1400"/>
      <c r="AH1205" s="1209"/>
      <c r="AI1205" s="1400"/>
      <c r="AJ1205" s="1209"/>
      <c r="AK1205" s="1404"/>
    </row>
    <row r="1206" spans="1:37" s="1405" customFormat="1" ht="12" customHeight="1">
      <c r="A1206" s="1390"/>
      <c r="B1206" s="1408" t="s">
        <v>240</v>
      </c>
      <c r="C1206" s="1400">
        <v>5</v>
      </c>
      <c r="D1206" s="1401" t="s">
        <v>40</v>
      </c>
      <c r="E1206" s="1409" t="s">
        <v>362</v>
      </c>
      <c r="F1206" s="1506" t="s">
        <v>4529</v>
      </c>
      <c r="G1206" s="1409" t="s">
        <v>3822</v>
      </c>
      <c r="H1206" s="1409" t="s">
        <v>4530</v>
      </c>
      <c r="I1206" s="1409" t="s">
        <v>4531</v>
      </c>
      <c r="J1206" s="1413"/>
      <c r="K1206" s="1413">
        <v>62500000</v>
      </c>
      <c r="L1206" s="1413">
        <f t="shared" ref="L1206" si="508">K1206*10%</f>
        <v>6250000</v>
      </c>
      <c r="M1206" s="1403"/>
      <c r="N1206" s="1410">
        <f t="shared" ref="N1206" si="509">K1206+L1206</f>
        <v>68750000</v>
      </c>
      <c r="O1206" s="1414"/>
      <c r="P1206" s="1414"/>
      <c r="Q1206" s="1308"/>
      <c r="R1206" s="1214"/>
      <c r="S1206" s="1413">
        <v>0</v>
      </c>
      <c r="T1206" s="1413">
        <f t="shared" ref="T1206" si="510">-K1206*2%</f>
        <v>-1250000</v>
      </c>
      <c r="U1206" s="1406">
        <v>67500000</v>
      </c>
      <c r="V1206" s="1215"/>
      <c r="W1206" s="1203"/>
      <c r="X1206" s="1204"/>
      <c r="Y1206" s="1413"/>
      <c r="Z1206" s="1205"/>
      <c r="AA1206" s="1206"/>
      <c r="AB1206" s="1207"/>
      <c r="AC1206" s="1400"/>
      <c r="AD1206" s="1208"/>
      <c r="AE1206" s="1208"/>
      <c r="AF1206" s="1400"/>
      <c r="AG1206" s="1400"/>
      <c r="AH1206" s="1209"/>
      <c r="AI1206" s="1400"/>
      <c r="AJ1206" s="1209"/>
      <c r="AK1206" s="1404"/>
    </row>
    <row r="1207" spans="1:37" s="1405" customFormat="1" ht="12" customHeight="1">
      <c r="A1207" s="1390"/>
      <c r="B1207" s="1408" t="s">
        <v>58</v>
      </c>
      <c r="C1207" s="1400">
        <v>14</v>
      </c>
      <c r="D1207" s="1401" t="s">
        <v>40</v>
      </c>
      <c r="E1207" s="1409" t="s">
        <v>354</v>
      </c>
      <c r="F1207" s="1506" t="s">
        <v>4596</v>
      </c>
      <c r="G1207" s="1409" t="s">
        <v>4597</v>
      </c>
      <c r="H1207" s="1409" t="s">
        <v>4598</v>
      </c>
      <c r="I1207" s="1409" t="s">
        <v>4599</v>
      </c>
      <c r="J1207" s="1413"/>
      <c r="K1207" s="1413">
        <v>13327000</v>
      </c>
      <c r="L1207" s="1413">
        <f t="shared" ref="L1207" si="511">K1207*10%</f>
        <v>1332700</v>
      </c>
      <c r="M1207" s="1403"/>
      <c r="N1207" s="1410">
        <f t="shared" ref="N1207" si="512">K1207+L1207</f>
        <v>14659700</v>
      </c>
      <c r="O1207" s="1414"/>
      <c r="P1207" s="1414"/>
      <c r="Q1207" s="1308"/>
      <c r="R1207" s="1214"/>
      <c r="S1207" s="1413">
        <v>0</v>
      </c>
      <c r="T1207" s="1413">
        <f t="shared" ref="T1207" si="513">-K1207*2%</f>
        <v>-266540</v>
      </c>
      <c r="U1207" s="1406">
        <v>14393160</v>
      </c>
      <c r="V1207" s="1215"/>
      <c r="W1207" s="1203"/>
      <c r="X1207" s="1204"/>
      <c r="Y1207" s="1413"/>
      <c r="Z1207" s="1205"/>
      <c r="AA1207" s="1206"/>
      <c r="AB1207" s="1207"/>
      <c r="AC1207" s="1400"/>
      <c r="AD1207" s="1208"/>
      <c r="AE1207" s="1208"/>
      <c r="AF1207" s="1400"/>
      <c r="AG1207" s="1400"/>
      <c r="AH1207" s="1209"/>
      <c r="AI1207" s="1400"/>
      <c r="AJ1207" s="1209"/>
      <c r="AK1207" s="1404"/>
    </row>
    <row r="1208" spans="1:37" s="1405" customFormat="1" ht="12" customHeight="1">
      <c r="A1208" s="1390"/>
      <c r="B1208" s="1408" t="s">
        <v>58</v>
      </c>
      <c r="C1208" s="1400">
        <v>14</v>
      </c>
      <c r="D1208" s="1401" t="s">
        <v>40</v>
      </c>
      <c r="E1208" s="1409" t="s">
        <v>4600</v>
      </c>
      <c r="F1208" s="1506" t="s">
        <v>4601</v>
      </c>
      <c r="G1208" s="1409" t="s">
        <v>4602</v>
      </c>
      <c r="H1208" s="1409" t="s">
        <v>4603</v>
      </c>
      <c r="I1208" s="1409" t="s">
        <v>4604</v>
      </c>
      <c r="J1208" s="1413"/>
      <c r="K1208" s="1413">
        <v>68860000</v>
      </c>
      <c r="L1208" s="1413">
        <f t="shared" ref="L1208" si="514">K1208*10%</f>
        <v>6886000</v>
      </c>
      <c r="M1208" s="1403"/>
      <c r="N1208" s="1410">
        <f t="shared" ref="N1208" si="515">K1208+L1208</f>
        <v>75746000</v>
      </c>
      <c r="O1208" s="1414"/>
      <c r="P1208" s="1414"/>
      <c r="Q1208" s="1308"/>
      <c r="R1208" s="1214"/>
      <c r="S1208" s="1413">
        <v>0</v>
      </c>
      <c r="T1208" s="1413">
        <f t="shared" ref="T1208" si="516">-K1208*2%</f>
        <v>-1377200</v>
      </c>
      <c r="U1208" s="1406">
        <v>74368800</v>
      </c>
      <c r="V1208" s="1215"/>
      <c r="W1208" s="1203"/>
      <c r="X1208" s="1204"/>
      <c r="Y1208" s="1413"/>
      <c r="Z1208" s="1205"/>
      <c r="AA1208" s="1206"/>
      <c r="AB1208" s="1207"/>
      <c r="AC1208" s="1400"/>
      <c r="AD1208" s="1208"/>
      <c r="AE1208" s="1208"/>
      <c r="AF1208" s="1400"/>
      <c r="AG1208" s="1400"/>
      <c r="AH1208" s="1209"/>
      <c r="AI1208" s="1400"/>
      <c r="AJ1208" s="1209"/>
      <c r="AK1208" s="1404"/>
    </row>
    <row r="1209" spans="1:37" s="1405" customFormat="1" ht="12" customHeight="1">
      <c r="A1209" s="1390"/>
      <c r="B1209" s="1408" t="s">
        <v>58</v>
      </c>
      <c r="C1209" s="1400">
        <v>14</v>
      </c>
      <c r="D1209" s="1401" t="s">
        <v>40</v>
      </c>
      <c r="E1209" s="1409" t="s">
        <v>4600</v>
      </c>
      <c r="F1209" s="1506" t="s">
        <v>4605</v>
      </c>
      <c r="G1209" s="1409" t="s">
        <v>4606</v>
      </c>
      <c r="H1209" s="1409" t="s">
        <v>4607</v>
      </c>
      <c r="I1209" s="1409" t="s">
        <v>4608</v>
      </c>
      <c r="J1209" s="1413"/>
      <c r="K1209" s="1413">
        <v>106150000</v>
      </c>
      <c r="L1209" s="1413">
        <f t="shared" ref="L1209" si="517">K1209*10%</f>
        <v>10615000</v>
      </c>
      <c r="M1209" s="1403"/>
      <c r="N1209" s="1410">
        <f t="shared" ref="N1209:N1211" si="518">K1209+L1209</f>
        <v>116765000</v>
      </c>
      <c r="O1209" s="1414"/>
      <c r="P1209" s="1414"/>
      <c r="Q1209" s="1308"/>
      <c r="R1209" s="1214"/>
      <c r="S1209" s="1381"/>
      <c r="T1209" s="1381"/>
      <c r="U1209" s="1406"/>
      <c r="V1209" s="1215"/>
      <c r="W1209" s="1203"/>
      <c r="X1209" s="1204"/>
      <c r="Y1209" s="1413"/>
      <c r="Z1209" s="1205"/>
      <c r="AA1209" s="1206"/>
      <c r="AB1209" s="1207"/>
      <c r="AC1209" s="1400"/>
      <c r="AD1209" s="1208"/>
      <c r="AE1209" s="1208"/>
      <c r="AF1209" s="1400"/>
      <c r="AG1209" s="1400"/>
      <c r="AH1209" s="1209"/>
      <c r="AI1209" s="1400"/>
      <c r="AJ1209" s="1209"/>
      <c r="AK1209" s="1404"/>
    </row>
    <row r="1210" spans="1:37" s="1405" customFormat="1" ht="12" customHeight="1">
      <c r="A1210" s="1390"/>
      <c r="B1210" s="1408" t="s">
        <v>58</v>
      </c>
      <c r="C1210" s="1400">
        <v>14</v>
      </c>
      <c r="D1210" s="1401" t="s">
        <v>40</v>
      </c>
      <c r="E1210" s="1409" t="s">
        <v>62</v>
      </c>
      <c r="F1210" s="1506" t="s">
        <v>4609</v>
      </c>
      <c r="G1210" s="1409" t="s">
        <v>4610</v>
      </c>
      <c r="H1210" s="1409" t="s">
        <v>4611</v>
      </c>
      <c r="I1210" s="1197" t="s">
        <v>14</v>
      </c>
      <c r="J1210" s="1413"/>
      <c r="K1210" s="1413">
        <v>1661200</v>
      </c>
      <c r="L1210" s="1413">
        <v>0</v>
      </c>
      <c r="M1210" s="1403"/>
      <c r="N1210" s="1410">
        <f t="shared" si="518"/>
        <v>1661200</v>
      </c>
      <c r="O1210" s="1414"/>
      <c r="P1210" s="1414"/>
      <c r="Q1210" s="1308"/>
      <c r="R1210" s="1214"/>
      <c r="S1210" s="1381"/>
      <c r="T1210" s="1381"/>
      <c r="U1210" s="1406">
        <v>1661200</v>
      </c>
      <c r="V1210" s="1215"/>
      <c r="W1210" s="1203"/>
      <c r="X1210" s="1204"/>
      <c r="Y1210" s="1413"/>
      <c r="Z1210" s="1205"/>
      <c r="AA1210" s="1206"/>
      <c r="AB1210" s="1207"/>
      <c r="AC1210" s="1400"/>
      <c r="AD1210" s="1208"/>
      <c r="AE1210" s="1208"/>
      <c r="AF1210" s="1400"/>
      <c r="AG1210" s="1400"/>
      <c r="AH1210" s="1209"/>
      <c r="AI1210" s="1400"/>
      <c r="AJ1210" s="1209"/>
      <c r="AK1210" s="1404"/>
    </row>
    <row r="1211" spans="1:37" s="1405" customFormat="1" ht="12" customHeight="1">
      <c r="A1211" s="1390"/>
      <c r="B1211" s="1408" t="s">
        <v>58</v>
      </c>
      <c r="C1211" s="1400">
        <v>14</v>
      </c>
      <c r="D1211" s="1401" t="s">
        <v>40</v>
      </c>
      <c r="E1211" s="1409" t="s">
        <v>62</v>
      </c>
      <c r="F1211" s="1506" t="s">
        <v>4612</v>
      </c>
      <c r="G1211" s="1409" t="s">
        <v>4613</v>
      </c>
      <c r="H1211" s="1409" t="s">
        <v>4614</v>
      </c>
      <c r="I1211" s="1197" t="s">
        <v>14</v>
      </c>
      <c r="J1211" s="1413"/>
      <c r="K1211" s="1413">
        <v>1436000</v>
      </c>
      <c r="L1211" s="1413">
        <v>0</v>
      </c>
      <c r="M1211" s="1403"/>
      <c r="N1211" s="1410">
        <f t="shared" si="518"/>
        <v>1436000</v>
      </c>
      <c r="O1211" s="1414"/>
      <c r="P1211" s="1414"/>
      <c r="Q1211" s="1308"/>
      <c r="R1211" s="1214"/>
      <c r="S1211" s="1381"/>
      <c r="T1211" s="1381"/>
      <c r="U1211" s="1406">
        <v>1436000</v>
      </c>
      <c r="V1211" s="1215"/>
      <c r="W1211" s="1203"/>
      <c r="X1211" s="1204"/>
      <c r="Y1211" s="1413"/>
      <c r="Z1211" s="1205"/>
      <c r="AA1211" s="1206"/>
      <c r="AB1211" s="1207"/>
      <c r="AC1211" s="1400"/>
      <c r="AD1211" s="1208"/>
      <c r="AE1211" s="1208"/>
      <c r="AF1211" s="1400"/>
      <c r="AG1211" s="1400"/>
      <c r="AH1211" s="1209"/>
      <c r="AI1211" s="1400"/>
      <c r="AJ1211" s="1209"/>
      <c r="AK1211" s="1404"/>
    </row>
    <row r="1212" spans="1:37" s="1405" customFormat="1" ht="12" customHeight="1">
      <c r="A1212" s="1390"/>
      <c r="B1212" s="1408" t="s">
        <v>58</v>
      </c>
      <c r="C1212" s="1400">
        <v>14</v>
      </c>
      <c r="D1212" s="1401" t="s">
        <v>40</v>
      </c>
      <c r="E1212" s="1409" t="s">
        <v>62</v>
      </c>
      <c r="F1212" s="1506" t="s">
        <v>4615</v>
      </c>
      <c r="G1212" s="1409" t="s">
        <v>4616</v>
      </c>
      <c r="H1212" s="1409" t="s">
        <v>4617</v>
      </c>
      <c r="I1212" s="1197" t="s">
        <v>14</v>
      </c>
      <c r="J1212" s="1413"/>
      <c r="K1212" s="1413">
        <v>5564000</v>
      </c>
      <c r="L1212" s="1413">
        <v>0</v>
      </c>
      <c r="M1212" s="1403"/>
      <c r="N1212" s="1410">
        <f t="shared" ref="N1212" si="519">K1212+L1212</f>
        <v>5564000</v>
      </c>
      <c r="O1212" s="1414"/>
      <c r="P1212" s="1414"/>
      <c r="Q1212" s="1308"/>
      <c r="R1212" s="1214"/>
      <c r="S1212" s="1381"/>
      <c r="T1212" s="1381"/>
      <c r="U1212" s="1406">
        <v>5564000</v>
      </c>
      <c r="V1212" s="1215"/>
      <c r="W1212" s="1203"/>
      <c r="X1212" s="1204"/>
      <c r="Y1212" s="1413"/>
      <c r="Z1212" s="1205"/>
      <c r="AA1212" s="1206"/>
      <c r="AB1212" s="1207"/>
      <c r="AC1212" s="1400"/>
      <c r="AD1212" s="1208"/>
      <c r="AE1212" s="1208"/>
      <c r="AF1212" s="1400"/>
      <c r="AG1212" s="1400"/>
      <c r="AH1212" s="1209"/>
      <c r="AI1212" s="1400"/>
      <c r="AJ1212" s="1209"/>
      <c r="AK1212" s="1404"/>
    </row>
    <row r="1213" spans="1:37" s="1405" customFormat="1" ht="12" customHeight="1">
      <c r="A1213" s="1390"/>
      <c r="B1213" s="1408" t="s">
        <v>58</v>
      </c>
      <c r="C1213" s="1400">
        <v>14</v>
      </c>
      <c r="D1213" s="1401" t="s">
        <v>40</v>
      </c>
      <c r="E1213" s="1409" t="s">
        <v>62</v>
      </c>
      <c r="F1213" s="1506" t="s">
        <v>4618</v>
      </c>
      <c r="G1213" s="1409" t="s">
        <v>4619</v>
      </c>
      <c r="H1213" s="1409" t="s">
        <v>4620</v>
      </c>
      <c r="I1213" s="1197" t="s">
        <v>14</v>
      </c>
      <c r="J1213" s="1413"/>
      <c r="K1213" s="1413">
        <v>5378000</v>
      </c>
      <c r="L1213" s="1413">
        <v>0</v>
      </c>
      <c r="M1213" s="1403"/>
      <c r="N1213" s="1410">
        <f t="shared" ref="N1213:N1214" si="520">K1213+L1213</f>
        <v>5378000</v>
      </c>
      <c r="O1213" s="1414"/>
      <c r="P1213" s="1414"/>
      <c r="Q1213" s="1308"/>
      <c r="R1213" s="1214"/>
      <c r="S1213" s="1381"/>
      <c r="T1213" s="1381"/>
      <c r="U1213" s="1406">
        <v>5378000</v>
      </c>
      <c r="V1213" s="1215"/>
      <c r="W1213" s="1203"/>
      <c r="X1213" s="1204"/>
      <c r="Y1213" s="1413"/>
      <c r="Z1213" s="1205"/>
      <c r="AA1213" s="1206"/>
      <c r="AB1213" s="1207"/>
      <c r="AC1213" s="1400"/>
      <c r="AD1213" s="1208"/>
      <c r="AE1213" s="1208"/>
      <c r="AF1213" s="1400"/>
      <c r="AG1213" s="1400"/>
      <c r="AH1213" s="1209"/>
      <c r="AI1213" s="1400"/>
      <c r="AJ1213" s="1209"/>
      <c r="AK1213" s="1404"/>
    </row>
    <row r="1214" spans="1:37" s="1405" customFormat="1" ht="12" customHeight="1">
      <c r="A1214" s="1390"/>
      <c r="B1214" s="1408" t="s">
        <v>241</v>
      </c>
      <c r="C1214" s="1400">
        <v>7</v>
      </c>
      <c r="D1214" s="1401" t="s">
        <v>40</v>
      </c>
      <c r="E1214" s="1409" t="s">
        <v>355</v>
      </c>
      <c r="F1214" s="1506" t="s">
        <v>4706</v>
      </c>
      <c r="G1214" s="1409" t="s">
        <v>58</v>
      </c>
      <c r="H1214" s="1409" t="s">
        <v>4707</v>
      </c>
      <c r="I1214" s="1409" t="s">
        <v>4737</v>
      </c>
      <c r="J1214" s="1413"/>
      <c r="K1214" s="1413">
        <v>27416007</v>
      </c>
      <c r="L1214" s="1413">
        <f t="shared" ref="L1214" si="521">K1214*10%</f>
        <v>2741600.7</v>
      </c>
      <c r="M1214" s="1403"/>
      <c r="N1214" s="1410">
        <f t="shared" si="520"/>
        <v>30157607.699999999</v>
      </c>
      <c r="O1214" s="1414"/>
      <c r="P1214" s="1414"/>
      <c r="Q1214" s="1308"/>
      <c r="R1214" s="1214"/>
      <c r="S1214" s="1381"/>
      <c r="T1214" s="1381"/>
      <c r="U1214" s="1406"/>
      <c r="V1214" s="1215"/>
      <c r="W1214" s="1203"/>
      <c r="X1214" s="1204"/>
      <c r="Y1214" s="1413"/>
      <c r="Z1214" s="1205"/>
      <c r="AA1214" s="1206"/>
      <c r="AB1214" s="1207"/>
      <c r="AC1214" s="1400"/>
      <c r="AD1214" s="1208"/>
      <c r="AE1214" s="1208"/>
      <c r="AF1214" s="1400"/>
      <c r="AG1214" s="1400"/>
      <c r="AH1214" s="1209"/>
      <c r="AI1214" s="1400"/>
      <c r="AJ1214" s="1209"/>
      <c r="AK1214" s="1404"/>
    </row>
    <row r="1215" spans="1:37" s="1405" customFormat="1" ht="12" customHeight="1">
      <c r="A1215" s="1390"/>
      <c r="B1215" s="1408" t="s">
        <v>241</v>
      </c>
      <c r="C1215" s="1400">
        <v>7</v>
      </c>
      <c r="D1215" s="1401" t="s">
        <v>40</v>
      </c>
      <c r="E1215" s="1409" t="s">
        <v>355</v>
      </c>
      <c r="F1215" s="1506" t="s">
        <v>3603</v>
      </c>
      <c r="G1215" s="1409" t="s">
        <v>58</v>
      </c>
      <c r="H1215" s="1409" t="s">
        <v>4742</v>
      </c>
      <c r="I1215" s="1409" t="s">
        <v>4743</v>
      </c>
      <c r="J1215" s="1413"/>
      <c r="K1215" s="1413">
        <v>27416007</v>
      </c>
      <c r="L1215" s="1413">
        <f t="shared" ref="L1215" si="522">K1215*10%</f>
        <v>2741600.7</v>
      </c>
      <c r="M1215" s="1403"/>
      <c r="N1215" s="1410">
        <f t="shared" ref="N1215" si="523">K1215+L1215</f>
        <v>30157607.699999999</v>
      </c>
      <c r="O1215" s="1414"/>
      <c r="P1215" s="1414"/>
      <c r="Q1215" s="1308"/>
      <c r="R1215" s="1214"/>
      <c r="S1215" s="1381"/>
      <c r="T1215" s="1381"/>
      <c r="U1215" s="1406"/>
      <c r="V1215" s="1215"/>
      <c r="W1215" s="1203"/>
      <c r="X1215" s="1204"/>
      <c r="Y1215" s="1413"/>
      <c r="Z1215" s="1205"/>
      <c r="AA1215" s="1206"/>
      <c r="AB1215" s="1207"/>
      <c r="AC1215" s="1400"/>
      <c r="AD1215" s="1208"/>
      <c r="AE1215" s="1208"/>
      <c r="AF1215" s="1400"/>
      <c r="AG1215" s="1400"/>
      <c r="AH1215" s="1209"/>
      <c r="AI1215" s="1400"/>
      <c r="AJ1215" s="1209"/>
      <c r="AK1215" s="1404"/>
    </row>
    <row r="1216" spans="1:37" s="1405" customFormat="1" ht="12" customHeight="1">
      <c r="A1216" s="1390"/>
      <c r="B1216" s="1408" t="s">
        <v>241</v>
      </c>
      <c r="C1216" s="1400">
        <v>7</v>
      </c>
      <c r="D1216" s="1401" t="s">
        <v>40</v>
      </c>
      <c r="E1216" s="1409" t="s">
        <v>355</v>
      </c>
      <c r="F1216" s="1506" t="s">
        <v>3585</v>
      </c>
      <c r="G1216" s="1409" t="s">
        <v>58</v>
      </c>
      <c r="H1216" s="1409" t="s">
        <v>4744</v>
      </c>
      <c r="I1216" s="1409" t="s">
        <v>4745</v>
      </c>
      <c r="J1216" s="1413"/>
      <c r="K1216" s="1413">
        <v>27416007</v>
      </c>
      <c r="L1216" s="1413">
        <f t="shared" ref="L1216" si="524">K1216*10%</f>
        <v>2741600.7</v>
      </c>
      <c r="M1216" s="1403"/>
      <c r="N1216" s="1410">
        <f t="shared" ref="N1216" si="525">K1216+L1216</f>
        <v>30157607.699999999</v>
      </c>
      <c r="O1216" s="1414"/>
      <c r="P1216" s="1414"/>
      <c r="Q1216" s="1308"/>
      <c r="R1216" s="1214"/>
      <c r="S1216" s="1381"/>
      <c r="T1216" s="1381"/>
      <c r="U1216" s="1406"/>
      <c r="V1216" s="1215"/>
      <c r="W1216" s="1203"/>
      <c r="X1216" s="1204"/>
      <c r="Y1216" s="1413"/>
      <c r="Z1216" s="1205"/>
      <c r="AA1216" s="1206"/>
      <c r="AB1216" s="1207"/>
      <c r="AC1216" s="1400"/>
      <c r="AD1216" s="1208"/>
      <c r="AE1216" s="1208"/>
      <c r="AF1216" s="1400"/>
      <c r="AG1216" s="1400"/>
      <c r="AH1216" s="1209"/>
      <c r="AI1216" s="1400"/>
      <c r="AJ1216" s="1209"/>
      <c r="AK1216" s="1404"/>
    </row>
    <row r="1217" spans="1:37" s="1405" customFormat="1" ht="12" customHeight="1">
      <c r="A1217" s="1390"/>
      <c r="B1217" s="1408" t="s">
        <v>241</v>
      </c>
      <c r="C1217" s="1400">
        <v>7</v>
      </c>
      <c r="D1217" s="1401" t="s">
        <v>40</v>
      </c>
      <c r="E1217" s="1409" t="s">
        <v>355</v>
      </c>
      <c r="F1217" s="1506" t="s">
        <v>3600</v>
      </c>
      <c r="G1217" s="1409" t="s">
        <v>58</v>
      </c>
      <c r="H1217" s="1409" t="s">
        <v>4746</v>
      </c>
      <c r="I1217" s="1409" t="s">
        <v>4747</v>
      </c>
      <c r="J1217" s="1413"/>
      <c r="K1217" s="1413">
        <v>27416007</v>
      </c>
      <c r="L1217" s="1413">
        <f t="shared" ref="L1217:L1221" si="526">K1217*10%</f>
        <v>2741600.7</v>
      </c>
      <c r="M1217" s="1403"/>
      <c r="N1217" s="1410">
        <f t="shared" ref="N1217:N1221" si="527">K1217+L1217</f>
        <v>30157607.699999999</v>
      </c>
      <c r="O1217" s="1414"/>
      <c r="P1217" s="1414"/>
      <c r="Q1217" s="1308"/>
      <c r="R1217" s="1214"/>
      <c r="S1217" s="1381"/>
      <c r="T1217" s="1381"/>
      <c r="U1217" s="1406"/>
      <c r="V1217" s="1215"/>
      <c r="W1217" s="1203"/>
      <c r="X1217" s="1204"/>
      <c r="Y1217" s="1413"/>
      <c r="Z1217" s="1205"/>
      <c r="AA1217" s="1206"/>
      <c r="AB1217" s="1207"/>
      <c r="AC1217" s="1400"/>
      <c r="AD1217" s="1208"/>
      <c r="AE1217" s="1208"/>
      <c r="AF1217" s="1400"/>
      <c r="AG1217" s="1400"/>
      <c r="AH1217" s="1209"/>
      <c r="AI1217" s="1400"/>
      <c r="AJ1217" s="1209"/>
      <c r="AK1217" s="1404"/>
    </row>
    <row r="1218" spans="1:37" s="1405" customFormat="1" ht="12" customHeight="1">
      <c r="A1218" s="1390"/>
      <c r="B1218" s="1408" t="s">
        <v>241</v>
      </c>
      <c r="C1218" s="1400">
        <v>7</v>
      </c>
      <c r="D1218" s="1401" t="s">
        <v>40</v>
      </c>
      <c r="E1218" s="1409" t="s">
        <v>355</v>
      </c>
      <c r="F1218" s="1506" t="s">
        <v>3580</v>
      </c>
      <c r="G1218" s="1409" t="s">
        <v>58</v>
      </c>
      <c r="H1218" s="1409" t="s">
        <v>4748</v>
      </c>
      <c r="I1218" s="1409" t="s">
        <v>4749</v>
      </c>
      <c r="J1218" s="1413"/>
      <c r="K1218" s="1413">
        <v>27416007</v>
      </c>
      <c r="L1218" s="1413">
        <f t="shared" si="526"/>
        <v>2741600.7</v>
      </c>
      <c r="M1218" s="1403"/>
      <c r="N1218" s="1410">
        <f t="shared" si="527"/>
        <v>30157607.699999999</v>
      </c>
      <c r="O1218" s="1414"/>
      <c r="P1218" s="1414"/>
      <c r="Q1218" s="1308"/>
      <c r="R1218" s="1214"/>
      <c r="S1218" s="1381"/>
      <c r="T1218" s="1381"/>
      <c r="U1218" s="1406"/>
      <c r="V1218" s="1215"/>
      <c r="W1218" s="1203"/>
      <c r="X1218" s="1204"/>
      <c r="Y1218" s="1413"/>
      <c r="Z1218" s="1205"/>
      <c r="AA1218" s="1206"/>
      <c r="AB1218" s="1207"/>
      <c r="AC1218" s="1400"/>
      <c r="AD1218" s="1208"/>
      <c r="AE1218" s="1208"/>
      <c r="AF1218" s="1400"/>
      <c r="AG1218" s="1400"/>
      <c r="AH1218" s="1209"/>
      <c r="AI1218" s="1400"/>
      <c r="AJ1218" s="1209"/>
      <c r="AK1218" s="1404"/>
    </row>
    <row r="1219" spans="1:37" s="1405" customFormat="1" ht="12" customHeight="1">
      <c r="A1219" s="1390"/>
      <c r="B1219" s="1408" t="s">
        <v>241</v>
      </c>
      <c r="C1219" s="1400">
        <v>7</v>
      </c>
      <c r="D1219" s="1401" t="s">
        <v>40</v>
      </c>
      <c r="E1219" s="1409" t="s">
        <v>355</v>
      </c>
      <c r="F1219" s="1506" t="s">
        <v>4077</v>
      </c>
      <c r="G1219" s="1409" t="s">
        <v>58</v>
      </c>
      <c r="H1219" s="1409" t="s">
        <v>4750</v>
      </c>
      <c r="I1219" s="1409" t="s">
        <v>4751</v>
      </c>
      <c r="J1219" s="1413"/>
      <c r="K1219" s="1413">
        <v>27416007</v>
      </c>
      <c r="L1219" s="1413">
        <f t="shared" si="526"/>
        <v>2741600.7</v>
      </c>
      <c r="M1219" s="1403"/>
      <c r="N1219" s="1410">
        <f t="shared" si="527"/>
        <v>30157607.699999999</v>
      </c>
      <c r="O1219" s="1414"/>
      <c r="P1219" s="1414"/>
      <c r="Q1219" s="1308"/>
      <c r="R1219" s="1214"/>
      <c r="S1219" s="1381"/>
      <c r="T1219" s="1381"/>
      <c r="U1219" s="1406"/>
      <c r="V1219" s="1215"/>
      <c r="W1219" s="1203"/>
      <c r="X1219" s="1204"/>
      <c r="Y1219" s="1413"/>
      <c r="Z1219" s="1205"/>
      <c r="AA1219" s="1206"/>
      <c r="AB1219" s="1207"/>
      <c r="AC1219" s="1400"/>
      <c r="AD1219" s="1208"/>
      <c r="AE1219" s="1208"/>
      <c r="AF1219" s="1400"/>
      <c r="AG1219" s="1400"/>
      <c r="AH1219" s="1209"/>
      <c r="AI1219" s="1400"/>
      <c r="AJ1219" s="1209"/>
      <c r="AK1219" s="1404"/>
    </row>
    <row r="1220" spans="1:37" s="1405" customFormat="1" ht="12" customHeight="1">
      <c r="A1220" s="1390"/>
      <c r="B1220" s="1408" t="s">
        <v>241</v>
      </c>
      <c r="C1220" s="1400">
        <v>7</v>
      </c>
      <c r="D1220" s="1401" t="s">
        <v>40</v>
      </c>
      <c r="E1220" s="1409" t="s">
        <v>364</v>
      </c>
      <c r="F1220" s="1506" t="s">
        <v>3833</v>
      </c>
      <c r="G1220" s="1409" t="s">
        <v>58</v>
      </c>
      <c r="H1220" s="1409" t="s">
        <v>4752</v>
      </c>
      <c r="I1220" s="1409" t="s">
        <v>4753</v>
      </c>
      <c r="J1220" s="1413"/>
      <c r="K1220" s="1413">
        <v>12675000</v>
      </c>
      <c r="L1220" s="1413">
        <f t="shared" si="526"/>
        <v>1267500</v>
      </c>
      <c r="M1220" s="1403"/>
      <c r="N1220" s="1410">
        <f t="shared" si="527"/>
        <v>13942500</v>
      </c>
      <c r="O1220" s="1414"/>
      <c r="P1220" s="1414"/>
      <c r="Q1220" s="1308"/>
      <c r="R1220" s="1214"/>
      <c r="S1220" s="1381"/>
      <c r="T1220" s="1381"/>
      <c r="U1220" s="1406"/>
      <c r="V1220" s="1215"/>
      <c r="W1220" s="1203"/>
      <c r="X1220" s="1204"/>
      <c r="Y1220" s="1413"/>
      <c r="Z1220" s="1205"/>
      <c r="AA1220" s="1206"/>
      <c r="AB1220" s="1207"/>
      <c r="AC1220" s="1400"/>
      <c r="AD1220" s="1208"/>
      <c r="AE1220" s="1208"/>
      <c r="AF1220" s="1400"/>
      <c r="AG1220" s="1400"/>
      <c r="AH1220" s="1209"/>
      <c r="AI1220" s="1400"/>
      <c r="AJ1220" s="1209"/>
      <c r="AK1220" s="1404"/>
    </row>
    <row r="1221" spans="1:37" s="1405" customFormat="1" ht="12" customHeight="1">
      <c r="A1221" s="1390"/>
      <c r="B1221" s="1408" t="s">
        <v>241</v>
      </c>
      <c r="C1221" s="1400">
        <v>7</v>
      </c>
      <c r="D1221" s="1401" t="s">
        <v>40</v>
      </c>
      <c r="E1221" s="1409" t="s">
        <v>354</v>
      </c>
      <c r="F1221" s="1506" t="s">
        <v>3609</v>
      </c>
      <c r="G1221" s="1409" t="s">
        <v>58</v>
      </c>
      <c r="H1221" s="1409" t="s">
        <v>4754</v>
      </c>
      <c r="I1221" s="1409" t="s">
        <v>4755</v>
      </c>
      <c r="J1221" s="1413"/>
      <c r="K1221" s="1413">
        <v>26799254</v>
      </c>
      <c r="L1221" s="1413">
        <f t="shared" si="526"/>
        <v>2679925.4000000004</v>
      </c>
      <c r="M1221" s="1403"/>
      <c r="N1221" s="1410">
        <f t="shared" si="527"/>
        <v>29479179.399999999</v>
      </c>
      <c r="O1221" s="1414"/>
      <c r="P1221" s="1414"/>
      <c r="Q1221" s="1308"/>
      <c r="R1221" s="1214"/>
      <c r="S1221" s="1381"/>
      <c r="T1221" s="1381"/>
      <c r="U1221" s="1406"/>
      <c r="V1221" s="1215"/>
      <c r="W1221" s="1203"/>
      <c r="X1221" s="1204"/>
      <c r="Y1221" s="1413"/>
      <c r="Z1221" s="1205"/>
      <c r="AA1221" s="1206"/>
      <c r="AB1221" s="1207"/>
      <c r="AC1221" s="1400"/>
      <c r="AD1221" s="1208"/>
      <c r="AE1221" s="1208"/>
      <c r="AF1221" s="1400"/>
      <c r="AG1221" s="1400"/>
      <c r="AH1221" s="1209"/>
      <c r="AI1221" s="1400"/>
      <c r="AJ1221" s="1209"/>
      <c r="AK1221" s="1404"/>
    </row>
    <row r="1222" spans="1:37" s="1405" customFormat="1" ht="12" customHeight="1">
      <c r="A1222" s="1390"/>
      <c r="B1222" s="1408" t="s">
        <v>241</v>
      </c>
      <c r="C1222" s="1400">
        <v>7</v>
      </c>
      <c r="D1222" s="1401" t="s">
        <v>40</v>
      </c>
      <c r="E1222" s="1409" t="s">
        <v>354</v>
      </c>
      <c r="F1222" s="1506" t="s">
        <v>3846</v>
      </c>
      <c r="G1222" s="1409" t="s">
        <v>58</v>
      </c>
      <c r="H1222" s="1409" t="s">
        <v>4756</v>
      </c>
      <c r="I1222" s="1409" t="s">
        <v>4757</v>
      </c>
      <c r="J1222" s="1413"/>
      <c r="K1222" s="1413">
        <v>26799254</v>
      </c>
      <c r="L1222" s="1413">
        <f t="shared" ref="L1222:L1224" si="528">K1222*10%</f>
        <v>2679925.4000000004</v>
      </c>
      <c r="M1222" s="1403"/>
      <c r="N1222" s="1410">
        <f t="shared" ref="N1222:N1224" si="529">K1222+L1222</f>
        <v>29479179.399999999</v>
      </c>
      <c r="O1222" s="1414"/>
      <c r="P1222" s="1414"/>
      <c r="Q1222" s="1308"/>
      <c r="R1222" s="1214"/>
      <c r="S1222" s="1381"/>
      <c r="T1222" s="1381"/>
      <c r="U1222" s="1406"/>
      <c r="V1222" s="1215"/>
      <c r="W1222" s="1203"/>
      <c r="X1222" s="1204"/>
      <c r="Y1222" s="1413"/>
      <c r="Z1222" s="1205"/>
      <c r="AA1222" s="1206"/>
      <c r="AB1222" s="1207"/>
      <c r="AC1222" s="1400"/>
      <c r="AD1222" s="1208"/>
      <c r="AE1222" s="1208"/>
      <c r="AF1222" s="1400"/>
      <c r="AG1222" s="1400"/>
      <c r="AH1222" s="1209"/>
      <c r="AI1222" s="1400"/>
      <c r="AJ1222" s="1209"/>
      <c r="AK1222" s="1404"/>
    </row>
    <row r="1223" spans="1:37" s="1405" customFormat="1" ht="12" customHeight="1">
      <c r="A1223" s="1390"/>
      <c r="B1223" s="1408" t="s">
        <v>241</v>
      </c>
      <c r="C1223" s="1400">
        <v>7</v>
      </c>
      <c r="D1223" s="1401" t="s">
        <v>40</v>
      </c>
      <c r="E1223" s="1409" t="s">
        <v>354</v>
      </c>
      <c r="F1223" s="1506" t="s">
        <v>3841</v>
      </c>
      <c r="G1223" s="1409" t="s">
        <v>58</v>
      </c>
      <c r="H1223" s="1409" t="s">
        <v>4758</v>
      </c>
      <c r="I1223" s="1409" t="s">
        <v>4759</v>
      </c>
      <c r="J1223" s="1413"/>
      <c r="K1223" s="1413">
        <v>27416007</v>
      </c>
      <c r="L1223" s="1413">
        <f t="shared" si="528"/>
        <v>2741600.7</v>
      </c>
      <c r="M1223" s="1403"/>
      <c r="N1223" s="1410">
        <f t="shared" si="529"/>
        <v>30157607.699999999</v>
      </c>
      <c r="O1223" s="1414"/>
      <c r="P1223" s="1414"/>
      <c r="Q1223" s="1308"/>
      <c r="R1223" s="1214"/>
      <c r="S1223" s="1381"/>
      <c r="T1223" s="1381"/>
      <c r="U1223" s="1406"/>
      <c r="V1223" s="1215"/>
      <c r="W1223" s="1203"/>
      <c r="X1223" s="1204"/>
      <c r="Y1223" s="1413"/>
      <c r="Z1223" s="1205"/>
      <c r="AA1223" s="1206"/>
      <c r="AB1223" s="1207"/>
      <c r="AC1223" s="1400"/>
      <c r="AD1223" s="1208"/>
      <c r="AE1223" s="1208"/>
      <c r="AF1223" s="1400"/>
      <c r="AG1223" s="1400"/>
      <c r="AH1223" s="1209"/>
      <c r="AI1223" s="1400"/>
      <c r="AJ1223" s="1209"/>
      <c r="AK1223" s="1404"/>
    </row>
    <row r="1224" spans="1:37" s="1405" customFormat="1" ht="12" customHeight="1">
      <c r="A1224" s="1390"/>
      <c r="B1224" s="1408" t="s">
        <v>241</v>
      </c>
      <c r="C1224" s="1400">
        <v>7</v>
      </c>
      <c r="D1224" s="1401" t="s">
        <v>40</v>
      </c>
      <c r="E1224" s="1409" t="s">
        <v>354</v>
      </c>
      <c r="F1224" s="1506" t="s">
        <v>3854</v>
      </c>
      <c r="G1224" s="1409" t="s">
        <v>58</v>
      </c>
      <c r="H1224" s="1409" t="s">
        <v>4760</v>
      </c>
      <c r="I1224" s="1409" t="s">
        <v>4761</v>
      </c>
      <c r="J1224" s="1413"/>
      <c r="K1224" s="1413">
        <v>26799254</v>
      </c>
      <c r="L1224" s="1413">
        <f t="shared" si="528"/>
        <v>2679925.4000000004</v>
      </c>
      <c r="M1224" s="1403"/>
      <c r="N1224" s="1410">
        <f t="shared" si="529"/>
        <v>29479179.399999999</v>
      </c>
      <c r="O1224" s="1414"/>
      <c r="P1224" s="1414"/>
      <c r="Q1224" s="1308"/>
      <c r="R1224" s="1214"/>
      <c r="S1224" s="1381"/>
      <c r="T1224" s="1381"/>
      <c r="U1224" s="1406"/>
      <c r="V1224" s="1215"/>
      <c r="W1224" s="1203"/>
      <c r="X1224" s="1204"/>
      <c r="Y1224" s="1413"/>
      <c r="Z1224" s="1205"/>
      <c r="AA1224" s="1206"/>
      <c r="AB1224" s="1207"/>
      <c r="AC1224" s="1400"/>
      <c r="AD1224" s="1208"/>
      <c r="AE1224" s="1208"/>
      <c r="AF1224" s="1400"/>
      <c r="AG1224" s="1400"/>
      <c r="AH1224" s="1209"/>
      <c r="AI1224" s="1400"/>
      <c r="AJ1224" s="1209"/>
      <c r="AK1224" s="1404"/>
    </row>
    <row r="1225" spans="1:37" s="1405" customFormat="1" ht="12" customHeight="1">
      <c r="A1225" s="1390"/>
      <c r="B1225" s="1408" t="s">
        <v>241</v>
      </c>
      <c r="C1225" s="1400">
        <v>7</v>
      </c>
      <c r="D1225" s="1401" t="s">
        <v>40</v>
      </c>
      <c r="E1225" s="1409" t="s">
        <v>354</v>
      </c>
      <c r="F1225" s="1506" t="s">
        <v>3612</v>
      </c>
      <c r="G1225" s="1409" t="s">
        <v>58</v>
      </c>
      <c r="H1225" s="1409" t="s">
        <v>4762</v>
      </c>
      <c r="I1225" s="1409" t="s">
        <v>4763</v>
      </c>
      <c r="J1225" s="1413"/>
      <c r="K1225" s="1413">
        <v>27416007</v>
      </c>
      <c r="L1225" s="1413">
        <f t="shared" ref="L1225:L1226" si="530">K1225*10%</f>
        <v>2741600.7</v>
      </c>
      <c r="M1225" s="1403"/>
      <c r="N1225" s="1410">
        <f t="shared" ref="N1225:N1226" si="531">K1225+L1225</f>
        <v>30157607.699999999</v>
      </c>
      <c r="O1225" s="1414"/>
      <c r="P1225" s="1414"/>
      <c r="Q1225" s="1308"/>
      <c r="R1225" s="1214"/>
      <c r="S1225" s="1381"/>
      <c r="T1225" s="1381"/>
      <c r="U1225" s="1406"/>
      <c r="V1225" s="1215"/>
      <c r="W1225" s="1203"/>
      <c r="X1225" s="1204"/>
      <c r="Y1225" s="1413"/>
      <c r="Z1225" s="1205"/>
      <c r="AA1225" s="1206"/>
      <c r="AB1225" s="1207"/>
      <c r="AC1225" s="1400"/>
      <c r="AD1225" s="1208"/>
      <c r="AE1225" s="1208"/>
      <c r="AF1225" s="1400"/>
      <c r="AG1225" s="1400"/>
      <c r="AH1225" s="1209"/>
      <c r="AI1225" s="1400"/>
      <c r="AJ1225" s="1209"/>
      <c r="AK1225" s="1404"/>
    </row>
    <row r="1226" spans="1:37" s="1405" customFormat="1" ht="12" customHeight="1">
      <c r="A1226" s="1390"/>
      <c r="B1226" s="1408" t="s">
        <v>241</v>
      </c>
      <c r="C1226" s="1400">
        <v>7</v>
      </c>
      <c r="D1226" s="1401" t="s">
        <v>40</v>
      </c>
      <c r="E1226" s="1409" t="s">
        <v>354</v>
      </c>
      <c r="F1226" s="1506" t="s">
        <v>4764</v>
      </c>
      <c r="G1226" s="1409" t="s">
        <v>58</v>
      </c>
      <c r="H1226" s="1409" t="s">
        <v>4765</v>
      </c>
      <c r="I1226" s="1409" t="s">
        <v>4766</v>
      </c>
      <c r="J1226" s="1413"/>
      <c r="K1226" s="1413">
        <v>26799254</v>
      </c>
      <c r="L1226" s="1413">
        <f t="shared" si="530"/>
        <v>2679925.4000000004</v>
      </c>
      <c r="M1226" s="1403"/>
      <c r="N1226" s="1410">
        <f t="shared" si="531"/>
        <v>29479179.399999999</v>
      </c>
      <c r="O1226" s="1414"/>
      <c r="P1226" s="1414"/>
      <c r="Q1226" s="1308"/>
      <c r="R1226" s="1214"/>
      <c r="S1226" s="1381"/>
      <c r="T1226" s="1381"/>
      <c r="U1226" s="1406"/>
      <c r="V1226" s="1215"/>
      <c r="W1226" s="1203"/>
      <c r="X1226" s="1204"/>
      <c r="Y1226" s="1413"/>
      <c r="Z1226" s="1205"/>
      <c r="AA1226" s="1206"/>
      <c r="AB1226" s="1207"/>
      <c r="AC1226" s="1400"/>
      <c r="AD1226" s="1208"/>
      <c r="AE1226" s="1208"/>
      <c r="AF1226" s="1400"/>
      <c r="AG1226" s="1400"/>
      <c r="AH1226" s="1209"/>
      <c r="AI1226" s="1400"/>
      <c r="AJ1226" s="1209"/>
      <c r="AK1226" s="1404"/>
    </row>
    <row r="1227" spans="1:37" s="1405" customFormat="1" ht="12" customHeight="1">
      <c r="A1227" s="1390"/>
      <c r="B1227" s="1408" t="s">
        <v>241</v>
      </c>
      <c r="C1227" s="1400">
        <v>7</v>
      </c>
      <c r="D1227" s="1401" t="s">
        <v>40</v>
      </c>
      <c r="E1227" s="1409" t="s">
        <v>354</v>
      </c>
      <c r="F1227" s="1506" t="s">
        <v>4767</v>
      </c>
      <c r="G1227" s="1409" t="s">
        <v>59</v>
      </c>
      <c r="H1227" s="1409" t="s">
        <v>4768</v>
      </c>
      <c r="I1227" s="1409" t="s">
        <v>4769</v>
      </c>
      <c r="J1227" s="1413"/>
      <c r="K1227" s="1413">
        <v>26799254</v>
      </c>
      <c r="L1227" s="1413">
        <f t="shared" ref="L1227:L1228" si="532">K1227*10%</f>
        <v>2679925.4000000004</v>
      </c>
      <c r="M1227" s="1403"/>
      <c r="N1227" s="1410">
        <f t="shared" ref="N1227:N1229" si="533">K1227+L1227</f>
        <v>29479179.399999999</v>
      </c>
      <c r="O1227" s="1414"/>
      <c r="P1227" s="1414"/>
      <c r="Q1227" s="1308"/>
      <c r="R1227" s="1214"/>
      <c r="S1227" s="1381"/>
      <c r="T1227" s="1381"/>
      <c r="U1227" s="1406"/>
      <c r="V1227" s="1215"/>
      <c r="W1227" s="1203"/>
      <c r="X1227" s="1204"/>
      <c r="Y1227" s="1413"/>
      <c r="Z1227" s="1205"/>
      <c r="AA1227" s="1206"/>
      <c r="AB1227" s="1207"/>
      <c r="AC1227" s="1400"/>
      <c r="AD1227" s="1208"/>
      <c r="AE1227" s="1208"/>
      <c r="AF1227" s="1400"/>
      <c r="AG1227" s="1400"/>
      <c r="AH1227" s="1209"/>
      <c r="AI1227" s="1400"/>
      <c r="AJ1227" s="1209"/>
      <c r="AK1227" s="1404"/>
    </row>
    <row r="1228" spans="1:37" s="1405" customFormat="1" ht="12" customHeight="1">
      <c r="A1228" s="1390"/>
      <c r="B1228" s="1408" t="s">
        <v>241</v>
      </c>
      <c r="C1228" s="1400">
        <v>7</v>
      </c>
      <c r="D1228" s="1401" t="s">
        <v>40</v>
      </c>
      <c r="E1228" s="1409" t="s">
        <v>354</v>
      </c>
      <c r="F1228" s="1506" t="s">
        <v>4770</v>
      </c>
      <c r="G1228" s="1409" t="s">
        <v>4771</v>
      </c>
      <c r="H1228" s="1409" t="s">
        <v>4772</v>
      </c>
      <c r="I1228" s="1409" t="s">
        <v>4773</v>
      </c>
      <c r="J1228" s="1413"/>
      <c r="K1228" s="1413">
        <v>13327000</v>
      </c>
      <c r="L1228" s="1413">
        <f t="shared" si="532"/>
        <v>1332700</v>
      </c>
      <c r="M1228" s="1403"/>
      <c r="N1228" s="1410">
        <f t="shared" si="533"/>
        <v>14659700</v>
      </c>
      <c r="O1228" s="1414"/>
      <c r="P1228" s="1414"/>
      <c r="Q1228" s="1308"/>
      <c r="R1228" s="1214"/>
      <c r="S1228" s="1381"/>
      <c r="T1228" s="1381"/>
      <c r="U1228" s="1406"/>
      <c r="V1228" s="1215"/>
      <c r="W1228" s="1203"/>
      <c r="X1228" s="1204"/>
      <c r="Y1228" s="1413"/>
      <c r="Z1228" s="1205"/>
      <c r="AA1228" s="1206"/>
      <c r="AB1228" s="1207"/>
      <c r="AC1228" s="1400"/>
      <c r="AD1228" s="1208"/>
      <c r="AE1228" s="1208"/>
      <c r="AF1228" s="1400"/>
      <c r="AG1228" s="1400"/>
      <c r="AH1228" s="1209"/>
      <c r="AI1228" s="1400"/>
      <c r="AJ1228" s="1209"/>
      <c r="AK1228" s="1404"/>
    </row>
    <row r="1229" spans="1:37" s="1405" customFormat="1" ht="12" customHeight="1">
      <c r="A1229" s="1390"/>
      <c r="B1229" s="1408" t="s">
        <v>241</v>
      </c>
      <c r="C1229" s="1400">
        <v>7</v>
      </c>
      <c r="D1229" s="1401" t="s">
        <v>40</v>
      </c>
      <c r="E1229" s="1409" t="s">
        <v>62</v>
      </c>
      <c r="F1229" s="1506" t="s">
        <v>4774</v>
      </c>
      <c r="G1229" s="1409" t="s">
        <v>4775</v>
      </c>
      <c r="H1229" s="1409" t="s">
        <v>4776</v>
      </c>
      <c r="I1229" s="1197" t="s">
        <v>14</v>
      </c>
      <c r="J1229" s="1413"/>
      <c r="K1229" s="1413">
        <v>5871400</v>
      </c>
      <c r="L1229" s="1413">
        <v>0</v>
      </c>
      <c r="M1229" s="1403"/>
      <c r="N1229" s="1410">
        <f t="shared" si="533"/>
        <v>5871400</v>
      </c>
      <c r="O1229" s="1414"/>
      <c r="P1229" s="1414"/>
      <c r="Q1229" s="1308"/>
      <c r="R1229" s="1214"/>
      <c r="S1229" s="1381"/>
      <c r="T1229" s="1381"/>
      <c r="U1229" s="1406"/>
      <c r="V1229" s="1215"/>
      <c r="W1229" s="1203"/>
      <c r="X1229" s="1204"/>
      <c r="Y1229" s="1413"/>
      <c r="Z1229" s="1205"/>
      <c r="AA1229" s="1206"/>
      <c r="AB1229" s="1207"/>
      <c r="AC1229" s="1400"/>
      <c r="AD1229" s="1208"/>
      <c r="AE1229" s="1208"/>
      <c r="AF1229" s="1400"/>
      <c r="AG1229" s="1400"/>
      <c r="AH1229" s="1209"/>
      <c r="AI1229" s="1400"/>
      <c r="AJ1229" s="1209"/>
      <c r="AK1229" s="1404"/>
    </row>
    <row r="1230" spans="1:37" s="114" customFormat="1" ht="12" customHeight="1">
      <c r="A1230" s="1415"/>
      <c r="B1230" s="1415" t="s">
        <v>140</v>
      </c>
      <c r="C1230" s="1416">
        <v>29</v>
      </c>
      <c r="D1230" s="1417" t="s">
        <v>159</v>
      </c>
      <c r="E1230" s="1416" t="s">
        <v>355</v>
      </c>
      <c r="F1230" s="1417" t="s">
        <v>4007</v>
      </c>
      <c r="G1230" s="1416" t="s">
        <v>1617</v>
      </c>
      <c r="H1230" s="1418" t="s">
        <v>3999</v>
      </c>
      <c r="I1230" s="1418" t="s">
        <v>4000</v>
      </c>
      <c r="J1230" s="1421"/>
      <c r="K1230" s="1419">
        <v>18300000</v>
      </c>
      <c r="L1230" s="1419">
        <f t="shared" ref="L1230:L1245" si="534">K1230*10%</f>
        <v>1830000</v>
      </c>
      <c r="M1230" s="1421"/>
      <c r="N1230" s="1420">
        <f t="shared" si="441"/>
        <v>20130000</v>
      </c>
      <c r="O1230" s="1414" t="s">
        <v>195</v>
      </c>
      <c r="P1230" s="1414" t="s">
        <v>42</v>
      </c>
      <c r="Q1230" s="1382"/>
      <c r="R1230" s="1382"/>
      <c r="S1230" s="1413">
        <v>0</v>
      </c>
      <c r="T1230" s="1413">
        <f t="shared" ref="T1230:T1233" si="535">-K1230*2%</f>
        <v>-366000</v>
      </c>
      <c r="U1230" s="1406">
        <v>19764000</v>
      </c>
      <c r="V1230" s="1386"/>
      <c r="W1230" s="1380"/>
      <c r="X1230" s="1411"/>
      <c r="Y1230" s="1381"/>
      <c r="Z1230" s="1384"/>
      <c r="AA1230" s="1389"/>
      <c r="AB1230" s="1385"/>
      <c r="AC1230" s="1378"/>
      <c r="AD1230" s="1387"/>
      <c r="AE1230" s="1387"/>
      <c r="AF1230" s="1378"/>
      <c r="AG1230" s="1378"/>
      <c r="AH1230" s="1388"/>
      <c r="AI1230" s="1378"/>
      <c r="AJ1230" s="1388"/>
      <c r="AK1230" s="1379"/>
    </row>
    <row r="1231" spans="1:37" s="114" customFormat="1" ht="12" customHeight="1">
      <c r="A1231" s="1415"/>
      <c r="B1231" s="1415" t="s">
        <v>140</v>
      </c>
      <c r="C1231" s="1416">
        <v>29</v>
      </c>
      <c r="D1231" s="1417" t="s">
        <v>159</v>
      </c>
      <c r="E1231" s="1416" t="s">
        <v>364</v>
      </c>
      <c r="F1231" s="1417" t="s">
        <v>3058</v>
      </c>
      <c r="G1231" s="1416" t="s">
        <v>1617</v>
      </c>
      <c r="H1231" s="1418" t="s">
        <v>4001</v>
      </c>
      <c r="I1231" s="1418" t="s">
        <v>4002</v>
      </c>
      <c r="J1231" s="1421"/>
      <c r="K1231" s="1419">
        <v>500000</v>
      </c>
      <c r="L1231" s="1419">
        <f t="shared" si="534"/>
        <v>50000</v>
      </c>
      <c r="M1231" s="1421"/>
      <c r="N1231" s="1420">
        <f t="shared" si="441"/>
        <v>550000</v>
      </c>
      <c r="O1231" s="1414" t="s">
        <v>195</v>
      </c>
      <c r="P1231" s="1414" t="s">
        <v>42</v>
      </c>
      <c r="Q1231" s="1382"/>
      <c r="R1231" s="1382"/>
      <c r="S1231" s="1413">
        <v>0</v>
      </c>
      <c r="T1231" s="1413">
        <f t="shared" si="535"/>
        <v>-10000</v>
      </c>
      <c r="U1231" s="1406">
        <v>540000</v>
      </c>
      <c r="V1231" s="1386"/>
      <c r="W1231" s="1380"/>
      <c r="X1231" s="1411"/>
      <c r="Y1231" s="1381"/>
      <c r="Z1231" s="1384"/>
      <c r="AA1231" s="1389"/>
      <c r="AB1231" s="1385"/>
      <c r="AC1231" s="1378"/>
      <c r="AD1231" s="1387"/>
      <c r="AE1231" s="1387"/>
      <c r="AF1231" s="1378"/>
      <c r="AG1231" s="1378"/>
      <c r="AH1231" s="1388"/>
      <c r="AI1231" s="1378"/>
      <c r="AJ1231" s="1388"/>
      <c r="AK1231" s="1379"/>
    </row>
    <row r="1232" spans="1:37" s="114" customFormat="1" ht="12" customHeight="1">
      <c r="A1232" s="1415"/>
      <c r="B1232" s="1415" t="s">
        <v>140</v>
      </c>
      <c r="C1232" s="1416">
        <v>29</v>
      </c>
      <c r="D1232" s="1417" t="s">
        <v>159</v>
      </c>
      <c r="E1232" s="1416" t="s">
        <v>357</v>
      </c>
      <c r="F1232" s="1417" t="s">
        <v>4008</v>
      </c>
      <c r="G1232" s="1416" t="s">
        <v>1617</v>
      </c>
      <c r="H1232" s="1418" t="s">
        <v>4003</v>
      </c>
      <c r="I1232" s="1418" t="s">
        <v>4004</v>
      </c>
      <c r="J1232" s="1421"/>
      <c r="K1232" s="1419">
        <v>6000000</v>
      </c>
      <c r="L1232" s="1419">
        <f t="shared" si="534"/>
        <v>600000</v>
      </c>
      <c r="M1232" s="1421"/>
      <c r="N1232" s="1420">
        <f t="shared" si="441"/>
        <v>6600000</v>
      </c>
      <c r="O1232" s="1414" t="s">
        <v>195</v>
      </c>
      <c r="P1232" s="1414" t="s">
        <v>42</v>
      </c>
      <c r="Q1232" s="1382"/>
      <c r="R1232" s="1382"/>
      <c r="S1232" s="1413">
        <v>0</v>
      </c>
      <c r="T1232" s="1413">
        <f t="shared" si="535"/>
        <v>-120000</v>
      </c>
      <c r="U1232" s="1406">
        <v>6480000</v>
      </c>
      <c r="V1232" s="1386"/>
      <c r="W1232" s="1380"/>
      <c r="X1232" s="1411"/>
      <c r="Y1232" s="1381"/>
      <c r="Z1232" s="1384"/>
      <c r="AA1232" s="1389"/>
      <c r="AB1232" s="1385"/>
      <c r="AC1232" s="1378"/>
      <c r="AD1232" s="1387"/>
      <c r="AE1232" s="1387"/>
      <c r="AF1232" s="1378"/>
      <c r="AG1232" s="1378"/>
      <c r="AH1232" s="1388"/>
      <c r="AI1232" s="1378"/>
      <c r="AJ1232" s="1388"/>
      <c r="AK1232" s="1379"/>
    </row>
    <row r="1233" spans="1:37" s="114" customFormat="1" ht="12" customHeight="1">
      <c r="A1233" s="1415"/>
      <c r="B1233" s="1415" t="s">
        <v>140</v>
      </c>
      <c r="C1233" s="1416">
        <v>29</v>
      </c>
      <c r="D1233" s="1417" t="s">
        <v>159</v>
      </c>
      <c r="E1233" s="1416" t="s">
        <v>354</v>
      </c>
      <c r="F1233" s="1417" t="s">
        <v>3405</v>
      </c>
      <c r="G1233" s="1416" t="s">
        <v>1617</v>
      </c>
      <c r="H1233" s="1418" t="s">
        <v>4005</v>
      </c>
      <c r="I1233" s="1418" t="s">
        <v>4006</v>
      </c>
      <c r="J1233" s="1421"/>
      <c r="K1233" s="1419">
        <v>16000000</v>
      </c>
      <c r="L1233" s="1419">
        <f t="shared" si="534"/>
        <v>1600000</v>
      </c>
      <c r="M1233" s="1421"/>
      <c r="N1233" s="1420">
        <f t="shared" si="441"/>
        <v>17600000</v>
      </c>
      <c r="O1233" s="1414" t="s">
        <v>195</v>
      </c>
      <c r="P1233" s="1414" t="s">
        <v>42</v>
      </c>
      <c r="Q1233" s="1382"/>
      <c r="R1233" s="1382"/>
      <c r="S1233" s="1413">
        <v>0</v>
      </c>
      <c r="T1233" s="1413">
        <f t="shared" si="535"/>
        <v>-320000</v>
      </c>
      <c r="U1233" s="1406">
        <v>17280000</v>
      </c>
      <c r="V1233" s="1386"/>
      <c r="W1233" s="1380"/>
      <c r="X1233" s="1411"/>
      <c r="Y1233" s="1381"/>
      <c r="Z1233" s="1384"/>
      <c r="AA1233" s="1389"/>
      <c r="AB1233" s="1385"/>
      <c r="AC1233" s="1378"/>
      <c r="AD1233" s="1387"/>
      <c r="AE1233" s="1387"/>
      <c r="AF1233" s="1378"/>
      <c r="AG1233" s="1378"/>
      <c r="AH1233" s="1388"/>
      <c r="AI1233" s="1378"/>
      <c r="AJ1233" s="1388"/>
      <c r="AK1233" s="1379"/>
    </row>
    <row r="1234" spans="1:37" s="1405" customFormat="1" ht="12" customHeight="1">
      <c r="A1234" s="1440"/>
      <c r="B1234" s="1268" t="s">
        <v>195</v>
      </c>
      <c r="C1234" s="1416">
        <v>6</v>
      </c>
      <c r="D1234" s="1417" t="s">
        <v>159</v>
      </c>
      <c r="E1234" s="1416" t="s">
        <v>355</v>
      </c>
      <c r="F1234" s="1417" t="s">
        <v>4007</v>
      </c>
      <c r="G1234" s="1418" t="s">
        <v>4</v>
      </c>
      <c r="H1234" s="1418" t="s">
        <v>4009</v>
      </c>
      <c r="I1234" s="1418" t="s">
        <v>4010</v>
      </c>
      <c r="J1234" s="1419"/>
      <c r="K1234" s="1419">
        <v>18300000</v>
      </c>
      <c r="L1234" s="1420">
        <f t="shared" si="534"/>
        <v>1830000</v>
      </c>
      <c r="M1234" s="1421"/>
      <c r="N1234" s="1420">
        <f t="shared" si="441"/>
        <v>20130000</v>
      </c>
      <c r="O1234" s="1347" t="s">
        <v>4250</v>
      </c>
      <c r="P1234" s="1347" t="s">
        <v>26</v>
      </c>
      <c r="Q1234" s="1348"/>
      <c r="R1234" s="1349"/>
      <c r="S1234" s="1413">
        <v>0</v>
      </c>
      <c r="T1234" s="1413">
        <f t="shared" ref="T1234" si="536">-K1234*2%</f>
        <v>-366000</v>
      </c>
      <c r="U1234" s="1406">
        <v>19764000</v>
      </c>
      <c r="V1234" s="1350"/>
      <c r="W1234" s="1351"/>
      <c r="X1234" s="1352"/>
      <c r="Y1234" s="1406"/>
      <c r="Z1234" s="1353"/>
      <c r="AA1234" s="1354"/>
      <c r="AB1234" s="1355"/>
      <c r="AC1234" s="1344"/>
      <c r="AD1234" s="1356"/>
      <c r="AE1234" s="1356"/>
      <c r="AF1234" s="1344"/>
      <c r="AG1234" s="1344"/>
      <c r="AH1234" s="1357"/>
      <c r="AI1234" s="1344"/>
      <c r="AJ1234" s="1357"/>
      <c r="AK1234" s="1404"/>
    </row>
    <row r="1235" spans="1:37" s="1405" customFormat="1" ht="12" customHeight="1">
      <c r="A1235" s="1440"/>
      <c r="B1235" s="1268" t="s">
        <v>194</v>
      </c>
      <c r="C1235" s="1416">
        <v>26</v>
      </c>
      <c r="D1235" s="1417" t="s">
        <v>159</v>
      </c>
      <c r="E1235" s="1416" t="s">
        <v>364</v>
      </c>
      <c r="F1235" s="1417" t="s">
        <v>3058</v>
      </c>
      <c r="G1235" s="1418" t="s">
        <v>4</v>
      </c>
      <c r="H1235" s="1418" t="s">
        <v>4011</v>
      </c>
      <c r="I1235" s="1418" t="s">
        <v>4012</v>
      </c>
      <c r="J1235" s="1419"/>
      <c r="K1235" s="1419">
        <v>500000</v>
      </c>
      <c r="L1235" s="1420">
        <f t="shared" si="534"/>
        <v>50000</v>
      </c>
      <c r="M1235" s="1421"/>
      <c r="N1235" s="1420">
        <f t="shared" si="441"/>
        <v>550000</v>
      </c>
      <c r="O1235" s="1347" t="s">
        <v>4250</v>
      </c>
      <c r="P1235" s="1347" t="s">
        <v>26</v>
      </c>
      <c r="Q1235" s="1348"/>
      <c r="R1235" s="1349"/>
      <c r="S1235" s="1413">
        <v>0</v>
      </c>
      <c r="T1235" s="1413">
        <f t="shared" ref="T1235" si="537">-K1235*2%</f>
        <v>-10000</v>
      </c>
      <c r="U1235" s="1406">
        <v>540000</v>
      </c>
      <c r="V1235" s="1350"/>
      <c r="W1235" s="1351"/>
      <c r="X1235" s="1352"/>
      <c r="Y1235" s="1406"/>
      <c r="Z1235" s="1353"/>
      <c r="AA1235" s="1354"/>
      <c r="AB1235" s="1355"/>
      <c r="AC1235" s="1344"/>
      <c r="AD1235" s="1356"/>
      <c r="AE1235" s="1356"/>
      <c r="AF1235" s="1344"/>
      <c r="AG1235" s="1344"/>
      <c r="AH1235" s="1357"/>
      <c r="AI1235" s="1344"/>
      <c r="AJ1235" s="1357"/>
      <c r="AK1235" s="1404"/>
    </row>
    <row r="1236" spans="1:37" s="1405" customFormat="1" ht="12" customHeight="1">
      <c r="A1236" s="1440"/>
      <c r="B1236" s="1268" t="s">
        <v>195</v>
      </c>
      <c r="C1236" s="1416">
        <v>6</v>
      </c>
      <c r="D1236" s="1417" t="s">
        <v>159</v>
      </c>
      <c r="E1236" s="1416" t="s">
        <v>357</v>
      </c>
      <c r="F1236" s="1417" t="s">
        <v>4008</v>
      </c>
      <c r="G1236" s="1418" t="s">
        <v>4</v>
      </c>
      <c r="H1236" s="1418" t="s">
        <v>4013</v>
      </c>
      <c r="I1236" s="1418" t="s">
        <v>4014</v>
      </c>
      <c r="J1236" s="1419"/>
      <c r="K1236" s="1419">
        <v>6000000</v>
      </c>
      <c r="L1236" s="1420">
        <f t="shared" si="534"/>
        <v>600000</v>
      </c>
      <c r="M1236" s="1421"/>
      <c r="N1236" s="1420">
        <f t="shared" si="441"/>
        <v>6600000</v>
      </c>
      <c r="O1236" s="1347" t="s">
        <v>4250</v>
      </c>
      <c r="P1236" s="1347" t="s">
        <v>26</v>
      </c>
      <c r="Q1236" s="1348"/>
      <c r="R1236" s="1349"/>
      <c r="S1236" s="1413">
        <v>0</v>
      </c>
      <c r="T1236" s="1413">
        <f t="shared" ref="T1236" si="538">-K1236*2%</f>
        <v>-120000</v>
      </c>
      <c r="U1236" s="1406">
        <v>6480000</v>
      </c>
      <c r="V1236" s="1350"/>
      <c r="W1236" s="1351"/>
      <c r="X1236" s="1352"/>
      <c r="Y1236" s="1406"/>
      <c r="Z1236" s="1353"/>
      <c r="AA1236" s="1354"/>
      <c r="AB1236" s="1355"/>
      <c r="AC1236" s="1344"/>
      <c r="AD1236" s="1356"/>
      <c r="AE1236" s="1356"/>
      <c r="AF1236" s="1344"/>
      <c r="AG1236" s="1344"/>
      <c r="AH1236" s="1357"/>
      <c r="AI1236" s="1344"/>
      <c r="AJ1236" s="1357"/>
      <c r="AK1236" s="1404"/>
    </row>
    <row r="1237" spans="1:37" s="1405" customFormat="1" ht="12" customHeight="1">
      <c r="A1237" s="1440"/>
      <c r="B1237" s="1268" t="s">
        <v>194</v>
      </c>
      <c r="C1237" s="1416">
        <v>26</v>
      </c>
      <c r="D1237" s="1417" t="s">
        <v>159</v>
      </c>
      <c r="E1237" s="1416" t="s">
        <v>354</v>
      </c>
      <c r="F1237" s="1417" t="s">
        <v>3405</v>
      </c>
      <c r="G1237" s="1418" t="s">
        <v>4</v>
      </c>
      <c r="H1237" s="1418" t="s">
        <v>4015</v>
      </c>
      <c r="I1237" s="1418" t="s">
        <v>4016</v>
      </c>
      <c r="J1237" s="1419"/>
      <c r="K1237" s="1419">
        <v>16000000</v>
      </c>
      <c r="L1237" s="1420">
        <f t="shared" si="534"/>
        <v>1600000</v>
      </c>
      <c r="M1237" s="1421"/>
      <c r="N1237" s="1420">
        <f t="shared" si="441"/>
        <v>17600000</v>
      </c>
      <c r="O1237" s="1347" t="s">
        <v>4250</v>
      </c>
      <c r="P1237" s="1347" t="s">
        <v>26</v>
      </c>
      <c r="Q1237" s="1348"/>
      <c r="R1237" s="1349"/>
      <c r="S1237" s="1413">
        <v>0</v>
      </c>
      <c r="T1237" s="1413">
        <f t="shared" ref="T1237" si="539">-K1237*2%</f>
        <v>-320000</v>
      </c>
      <c r="U1237" s="1406">
        <v>17280000</v>
      </c>
      <c r="V1237" s="1350"/>
      <c r="W1237" s="1351"/>
      <c r="X1237" s="1352"/>
      <c r="Y1237" s="1406"/>
      <c r="Z1237" s="1353"/>
      <c r="AA1237" s="1354"/>
      <c r="AB1237" s="1355"/>
      <c r="AC1237" s="1344"/>
      <c r="AD1237" s="1356"/>
      <c r="AE1237" s="1356"/>
      <c r="AF1237" s="1344"/>
      <c r="AG1237" s="1344"/>
      <c r="AH1237" s="1357"/>
      <c r="AI1237" s="1344"/>
      <c r="AJ1237" s="1357"/>
      <c r="AK1237" s="1404"/>
    </row>
    <row r="1238" spans="1:37" s="1405" customFormat="1" ht="12" customHeight="1">
      <c r="A1238" s="1440"/>
      <c r="B1238" s="1268" t="s">
        <v>195</v>
      </c>
      <c r="C1238" s="1416">
        <v>22</v>
      </c>
      <c r="D1238" s="1417" t="s">
        <v>159</v>
      </c>
      <c r="E1238" s="1416" t="s">
        <v>355</v>
      </c>
      <c r="F1238" s="1417" t="s">
        <v>4007</v>
      </c>
      <c r="G1238" s="1418" t="s">
        <v>379</v>
      </c>
      <c r="H1238" s="1418" t="s">
        <v>4133</v>
      </c>
      <c r="I1238" s="1418" t="s">
        <v>4134</v>
      </c>
      <c r="J1238" s="1419"/>
      <c r="K1238" s="1419">
        <v>18300000</v>
      </c>
      <c r="L1238" s="1420">
        <f t="shared" si="534"/>
        <v>1830000</v>
      </c>
      <c r="M1238" s="1421"/>
      <c r="N1238" s="1420">
        <f t="shared" si="441"/>
        <v>20130000</v>
      </c>
      <c r="O1238" s="1347" t="s">
        <v>239</v>
      </c>
      <c r="P1238" s="1347" t="s">
        <v>34</v>
      </c>
      <c r="Q1238" s="1348"/>
      <c r="R1238" s="1349"/>
      <c r="S1238" s="1413">
        <v>0</v>
      </c>
      <c r="T1238" s="1413">
        <f t="shared" ref="T1238" si="540">-K1238*2%</f>
        <v>-366000</v>
      </c>
      <c r="U1238" s="1406">
        <v>19764000</v>
      </c>
      <c r="V1238" s="1350"/>
      <c r="W1238" s="1351"/>
      <c r="X1238" s="1352"/>
      <c r="Y1238" s="1406"/>
      <c r="Z1238" s="1353"/>
      <c r="AA1238" s="1354"/>
      <c r="AB1238" s="1355"/>
      <c r="AC1238" s="1344"/>
      <c r="AD1238" s="1356"/>
      <c r="AE1238" s="1356"/>
      <c r="AF1238" s="1344"/>
      <c r="AG1238" s="1344"/>
      <c r="AH1238" s="1357"/>
      <c r="AI1238" s="1344"/>
      <c r="AJ1238" s="1357"/>
      <c r="AK1238" s="1404"/>
    </row>
    <row r="1239" spans="1:37" s="1405" customFormat="1" ht="12" customHeight="1">
      <c r="A1239" s="1440"/>
      <c r="B1239" s="1268" t="s">
        <v>195</v>
      </c>
      <c r="C1239" s="1416">
        <v>22</v>
      </c>
      <c r="D1239" s="1417" t="s">
        <v>159</v>
      </c>
      <c r="E1239" s="1416" t="s">
        <v>364</v>
      </c>
      <c r="F1239" s="1417" t="s">
        <v>3058</v>
      </c>
      <c r="G1239" s="1418" t="s">
        <v>379</v>
      </c>
      <c r="H1239" s="1418" t="s">
        <v>4135</v>
      </c>
      <c r="I1239" s="1418" t="s">
        <v>4136</v>
      </c>
      <c r="J1239" s="1419"/>
      <c r="K1239" s="1419">
        <v>500000</v>
      </c>
      <c r="L1239" s="1420">
        <f t="shared" si="534"/>
        <v>50000</v>
      </c>
      <c r="M1239" s="1421"/>
      <c r="N1239" s="1420">
        <f t="shared" si="441"/>
        <v>550000</v>
      </c>
      <c r="O1239" s="1347" t="s">
        <v>239</v>
      </c>
      <c r="P1239" s="1347" t="s">
        <v>34</v>
      </c>
      <c r="Q1239" s="1348"/>
      <c r="R1239" s="1349"/>
      <c r="S1239" s="1413">
        <v>0</v>
      </c>
      <c r="T1239" s="1413">
        <f t="shared" ref="T1239:T1240" si="541">-K1239*2%</f>
        <v>-10000</v>
      </c>
      <c r="U1239" s="1406">
        <v>540000</v>
      </c>
      <c r="V1239" s="1350"/>
      <c r="W1239" s="1351"/>
      <c r="X1239" s="1352"/>
      <c r="Y1239" s="1406"/>
      <c r="Z1239" s="1353"/>
      <c r="AA1239" s="1354"/>
      <c r="AB1239" s="1355"/>
      <c r="AC1239" s="1344"/>
      <c r="AD1239" s="1356"/>
      <c r="AE1239" s="1356"/>
      <c r="AF1239" s="1344"/>
      <c r="AG1239" s="1344"/>
      <c r="AH1239" s="1357"/>
      <c r="AI1239" s="1344"/>
      <c r="AJ1239" s="1357"/>
      <c r="AK1239" s="1404"/>
    </row>
    <row r="1240" spans="1:37" s="1405" customFormat="1" ht="12" customHeight="1">
      <c r="A1240" s="1440"/>
      <c r="B1240" s="1268" t="s">
        <v>195</v>
      </c>
      <c r="C1240" s="1416">
        <v>22</v>
      </c>
      <c r="D1240" s="1417" t="s">
        <v>159</v>
      </c>
      <c r="E1240" s="1416" t="s">
        <v>357</v>
      </c>
      <c r="F1240" s="1417" t="s">
        <v>4008</v>
      </c>
      <c r="G1240" s="1418" t="s">
        <v>379</v>
      </c>
      <c r="H1240" s="1418" t="s">
        <v>4137</v>
      </c>
      <c r="I1240" s="1418" t="s">
        <v>4138</v>
      </c>
      <c r="J1240" s="1419"/>
      <c r="K1240" s="1419">
        <v>6000000</v>
      </c>
      <c r="L1240" s="1420">
        <f t="shared" si="534"/>
        <v>600000</v>
      </c>
      <c r="M1240" s="1421"/>
      <c r="N1240" s="1420">
        <f t="shared" si="441"/>
        <v>6600000</v>
      </c>
      <c r="O1240" s="1347" t="s">
        <v>239</v>
      </c>
      <c r="P1240" s="1347" t="s">
        <v>34</v>
      </c>
      <c r="Q1240" s="1348"/>
      <c r="R1240" s="1349"/>
      <c r="S1240" s="1413">
        <v>0</v>
      </c>
      <c r="T1240" s="1413">
        <f t="shared" si="541"/>
        <v>-120000</v>
      </c>
      <c r="U1240" s="1406">
        <v>6480000</v>
      </c>
      <c r="V1240" s="1350"/>
      <c r="W1240" s="1351"/>
      <c r="X1240" s="1352"/>
      <c r="Y1240" s="1406"/>
      <c r="Z1240" s="1353"/>
      <c r="AA1240" s="1354"/>
      <c r="AB1240" s="1355"/>
      <c r="AC1240" s="1344"/>
      <c r="AD1240" s="1356"/>
      <c r="AE1240" s="1356"/>
      <c r="AF1240" s="1344"/>
      <c r="AG1240" s="1344"/>
      <c r="AH1240" s="1357"/>
      <c r="AI1240" s="1344"/>
      <c r="AJ1240" s="1357"/>
      <c r="AK1240" s="1404"/>
    </row>
    <row r="1241" spans="1:37" s="1405" customFormat="1" ht="12" customHeight="1">
      <c r="A1241" s="1440"/>
      <c r="B1241" s="1268" t="s">
        <v>195</v>
      </c>
      <c r="C1241" s="1416">
        <v>22</v>
      </c>
      <c r="D1241" s="1417" t="s">
        <v>159</v>
      </c>
      <c r="E1241" s="1416" t="s">
        <v>354</v>
      </c>
      <c r="F1241" s="1417" t="s">
        <v>3405</v>
      </c>
      <c r="G1241" s="1418" t="s">
        <v>379</v>
      </c>
      <c r="H1241" s="1418" t="s">
        <v>4139</v>
      </c>
      <c r="I1241" s="1418" t="s">
        <v>4140</v>
      </c>
      <c r="J1241" s="1419"/>
      <c r="K1241" s="1419">
        <v>16000000</v>
      </c>
      <c r="L1241" s="1420">
        <f t="shared" si="534"/>
        <v>1600000</v>
      </c>
      <c r="M1241" s="1421"/>
      <c r="N1241" s="1420">
        <f t="shared" si="441"/>
        <v>17600000</v>
      </c>
      <c r="O1241" s="1347" t="s">
        <v>239</v>
      </c>
      <c r="P1241" s="1347" t="s">
        <v>34</v>
      </c>
      <c r="Q1241" s="1348"/>
      <c r="R1241" s="1349"/>
      <c r="S1241" s="1413">
        <v>0</v>
      </c>
      <c r="T1241" s="1413">
        <f t="shared" ref="T1241" si="542">-K1241*2%</f>
        <v>-320000</v>
      </c>
      <c r="U1241" s="1406">
        <v>17280000</v>
      </c>
      <c r="V1241" s="1350"/>
      <c r="W1241" s="1351"/>
      <c r="X1241" s="1352"/>
      <c r="Y1241" s="1406"/>
      <c r="Z1241" s="1353"/>
      <c r="AA1241" s="1354"/>
      <c r="AB1241" s="1355"/>
      <c r="AC1241" s="1344"/>
      <c r="AD1241" s="1356"/>
      <c r="AE1241" s="1356"/>
      <c r="AF1241" s="1344"/>
      <c r="AG1241" s="1344"/>
      <c r="AH1241" s="1357"/>
      <c r="AI1241" s="1344"/>
      <c r="AJ1241" s="1357"/>
      <c r="AK1241" s="1404"/>
    </row>
    <row r="1242" spans="1:37" s="1439" customFormat="1" ht="12" customHeight="1">
      <c r="A1242" s="1440"/>
      <c r="B1242" s="1268" t="s">
        <v>239</v>
      </c>
      <c r="C1242" s="1416">
        <v>6</v>
      </c>
      <c r="D1242" s="1417" t="s">
        <v>159</v>
      </c>
      <c r="E1242" s="1416" t="s">
        <v>355</v>
      </c>
      <c r="F1242" s="1417" t="s">
        <v>4007</v>
      </c>
      <c r="G1242" s="1418" t="s">
        <v>5</v>
      </c>
      <c r="H1242" s="1418" t="s">
        <v>4251</v>
      </c>
      <c r="I1242" s="1418" t="s">
        <v>4252</v>
      </c>
      <c r="J1242" s="1419"/>
      <c r="K1242" s="1419">
        <v>18300000</v>
      </c>
      <c r="L1242" s="1420">
        <f t="shared" si="534"/>
        <v>1830000</v>
      </c>
      <c r="M1242" s="1421"/>
      <c r="N1242" s="1420">
        <f t="shared" si="441"/>
        <v>20130000</v>
      </c>
      <c r="O1242" s="1443" t="s">
        <v>58</v>
      </c>
      <c r="P1242" s="1443" t="s">
        <v>88</v>
      </c>
      <c r="Q1242" s="1348"/>
      <c r="R1242" s="1348"/>
      <c r="S1242" s="1413">
        <v>0</v>
      </c>
      <c r="T1242" s="1413">
        <f t="shared" ref="T1242:T1245" si="543">-K1242*2%</f>
        <v>-366000</v>
      </c>
      <c r="U1242" s="1406">
        <v>19764000</v>
      </c>
      <c r="V1242" s="1445"/>
      <c r="W1242" s="1446"/>
      <c r="X1242" s="1447"/>
      <c r="Y1242" s="1444"/>
      <c r="Z1242" s="1448"/>
      <c r="AA1242" s="1449"/>
      <c r="AB1242" s="1450"/>
      <c r="AC1242" s="1442"/>
      <c r="AD1242" s="1451"/>
      <c r="AE1242" s="1451"/>
      <c r="AF1242" s="1442"/>
      <c r="AG1242" s="1442"/>
      <c r="AH1242" s="1452"/>
      <c r="AI1242" s="1442"/>
      <c r="AJ1242" s="1452"/>
      <c r="AK1242" s="1438"/>
    </row>
    <row r="1243" spans="1:37" s="1439" customFormat="1" ht="12" customHeight="1">
      <c r="A1243" s="1440"/>
      <c r="B1243" s="1268" t="s">
        <v>239</v>
      </c>
      <c r="C1243" s="1416">
        <v>6</v>
      </c>
      <c r="D1243" s="1417" t="s">
        <v>159</v>
      </c>
      <c r="E1243" s="1416" t="s">
        <v>364</v>
      </c>
      <c r="F1243" s="1417" t="s">
        <v>3058</v>
      </c>
      <c r="G1243" s="1418" t="s">
        <v>5</v>
      </c>
      <c r="H1243" s="1418" t="s">
        <v>4253</v>
      </c>
      <c r="I1243" s="1418" t="s">
        <v>4254</v>
      </c>
      <c r="J1243" s="1419"/>
      <c r="K1243" s="1419">
        <v>500000</v>
      </c>
      <c r="L1243" s="1420">
        <f t="shared" si="534"/>
        <v>50000</v>
      </c>
      <c r="M1243" s="1421"/>
      <c r="N1243" s="1420">
        <f t="shared" si="441"/>
        <v>550000</v>
      </c>
      <c r="O1243" s="1443" t="s">
        <v>58</v>
      </c>
      <c r="P1243" s="1443" t="s">
        <v>88</v>
      </c>
      <c r="Q1243" s="1348"/>
      <c r="R1243" s="1348"/>
      <c r="S1243" s="1413">
        <v>0</v>
      </c>
      <c r="T1243" s="1413">
        <f t="shared" si="543"/>
        <v>-10000</v>
      </c>
      <c r="U1243" s="1406">
        <v>540000</v>
      </c>
      <c r="V1243" s="1445"/>
      <c r="W1243" s="1446"/>
      <c r="X1243" s="1447"/>
      <c r="Y1243" s="1444"/>
      <c r="Z1243" s="1448"/>
      <c r="AA1243" s="1449"/>
      <c r="AB1243" s="1450"/>
      <c r="AC1243" s="1442"/>
      <c r="AD1243" s="1451"/>
      <c r="AE1243" s="1451"/>
      <c r="AF1243" s="1442"/>
      <c r="AG1243" s="1442"/>
      <c r="AH1243" s="1452"/>
      <c r="AI1243" s="1442"/>
      <c r="AJ1243" s="1452"/>
      <c r="AK1243" s="1438"/>
    </row>
    <row r="1244" spans="1:37" s="1439" customFormat="1" ht="12" customHeight="1">
      <c r="A1244" s="1440"/>
      <c r="B1244" s="1268" t="s">
        <v>239</v>
      </c>
      <c r="C1244" s="1416">
        <v>6</v>
      </c>
      <c r="D1244" s="1417" t="s">
        <v>159</v>
      </c>
      <c r="E1244" s="1416" t="s">
        <v>357</v>
      </c>
      <c r="F1244" s="1417" t="s">
        <v>4008</v>
      </c>
      <c r="G1244" s="1418" t="s">
        <v>5</v>
      </c>
      <c r="H1244" s="1418" t="s">
        <v>4255</v>
      </c>
      <c r="I1244" s="1418" t="s">
        <v>4256</v>
      </c>
      <c r="J1244" s="1419"/>
      <c r="K1244" s="1419">
        <v>6000000</v>
      </c>
      <c r="L1244" s="1420">
        <f t="shared" si="534"/>
        <v>600000</v>
      </c>
      <c r="M1244" s="1421"/>
      <c r="N1244" s="1420">
        <f t="shared" si="441"/>
        <v>6600000</v>
      </c>
      <c r="O1244" s="1443" t="s">
        <v>58</v>
      </c>
      <c r="P1244" s="1443" t="s">
        <v>88</v>
      </c>
      <c r="Q1244" s="1348"/>
      <c r="R1244" s="1348"/>
      <c r="S1244" s="1413">
        <v>0</v>
      </c>
      <c r="T1244" s="1413">
        <f t="shared" si="543"/>
        <v>-120000</v>
      </c>
      <c r="U1244" s="1406">
        <v>6480000</v>
      </c>
      <c r="V1244" s="1445"/>
      <c r="W1244" s="1446"/>
      <c r="X1244" s="1447"/>
      <c r="Y1244" s="1444"/>
      <c r="Z1244" s="1448"/>
      <c r="AA1244" s="1449"/>
      <c r="AB1244" s="1450"/>
      <c r="AC1244" s="1442"/>
      <c r="AD1244" s="1451"/>
      <c r="AE1244" s="1451"/>
      <c r="AF1244" s="1442"/>
      <c r="AG1244" s="1442"/>
      <c r="AH1244" s="1452"/>
      <c r="AI1244" s="1442"/>
      <c r="AJ1244" s="1452"/>
      <c r="AK1244" s="1438"/>
    </row>
    <row r="1245" spans="1:37" s="1439" customFormat="1" ht="12" customHeight="1">
      <c r="A1245" s="1440"/>
      <c r="B1245" s="1268" t="s">
        <v>239</v>
      </c>
      <c r="C1245" s="1416">
        <v>6</v>
      </c>
      <c r="D1245" s="1417" t="s">
        <v>159</v>
      </c>
      <c r="E1245" s="1416" t="s">
        <v>354</v>
      </c>
      <c r="F1245" s="1417" t="s">
        <v>3405</v>
      </c>
      <c r="G1245" s="1418" t="s">
        <v>5</v>
      </c>
      <c r="H1245" s="1418" t="s">
        <v>4257</v>
      </c>
      <c r="I1245" s="1418" t="s">
        <v>4258</v>
      </c>
      <c r="J1245" s="1419"/>
      <c r="K1245" s="1419">
        <v>16000000</v>
      </c>
      <c r="L1245" s="1420">
        <f t="shared" si="534"/>
        <v>1600000</v>
      </c>
      <c r="M1245" s="1421"/>
      <c r="N1245" s="1420">
        <f t="shared" si="441"/>
        <v>17600000</v>
      </c>
      <c r="O1245" s="1443" t="s">
        <v>58</v>
      </c>
      <c r="P1245" s="1443" t="s">
        <v>88</v>
      </c>
      <c r="Q1245" s="1348"/>
      <c r="R1245" s="1348"/>
      <c r="S1245" s="1413">
        <v>0</v>
      </c>
      <c r="T1245" s="1413">
        <f t="shared" si="543"/>
        <v>-320000</v>
      </c>
      <c r="U1245" s="1406">
        <v>17280000</v>
      </c>
      <c r="V1245" s="1445"/>
      <c r="W1245" s="1446"/>
      <c r="X1245" s="1447"/>
      <c r="Y1245" s="1444"/>
      <c r="Z1245" s="1448"/>
      <c r="AA1245" s="1449"/>
      <c r="AB1245" s="1450"/>
      <c r="AC1245" s="1442"/>
      <c r="AD1245" s="1451"/>
      <c r="AE1245" s="1451"/>
      <c r="AF1245" s="1442"/>
      <c r="AG1245" s="1442"/>
      <c r="AH1245" s="1452"/>
      <c r="AI1245" s="1442"/>
      <c r="AJ1245" s="1452"/>
      <c r="AK1245" s="1438"/>
    </row>
    <row r="1246" spans="1:37" s="1439" customFormat="1" ht="12" customHeight="1">
      <c r="A1246" s="1440"/>
      <c r="B1246" s="1268" t="s">
        <v>240</v>
      </c>
      <c r="C1246" s="1416">
        <v>17</v>
      </c>
      <c r="D1246" s="1417" t="s">
        <v>159</v>
      </c>
      <c r="E1246" s="1416" t="s">
        <v>355</v>
      </c>
      <c r="F1246" s="1417" t="s">
        <v>4007</v>
      </c>
      <c r="G1246" s="1418" t="s">
        <v>57</v>
      </c>
      <c r="H1246" s="1418" t="s">
        <v>4487</v>
      </c>
      <c r="I1246" s="1418" t="s">
        <v>4488</v>
      </c>
      <c r="J1246" s="1419"/>
      <c r="K1246" s="1419">
        <v>18300000</v>
      </c>
      <c r="L1246" s="1420">
        <f t="shared" ref="L1246:L1256" si="544">K1246*10%</f>
        <v>1830000</v>
      </c>
      <c r="M1246" s="1421"/>
      <c r="N1246" s="1420">
        <f t="shared" ref="N1246:N1256" si="545">K1246+L1246</f>
        <v>20130000</v>
      </c>
      <c r="O1246" s="1443" t="s">
        <v>241</v>
      </c>
      <c r="P1246" s="1443" t="s">
        <v>102</v>
      </c>
      <c r="Q1246" s="1348"/>
      <c r="R1246" s="1348"/>
      <c r="S1246" s="1413">
        <v>0</v>
      </c>
      <c r="T1246" s="1413">
        <f t="shared" ref="T1246:T1249" si="546">-K1246*2%</f>
        <v>-366000</v>
      </c>
      <c r="U1246" s="1406">
        <v>19764000</v>
      </c>
      <c r="V1246" s="1445"/>
      <c r="W1246" s="1446"/>
      <c r="X1246" s="1447"/>
      <c r="Y1246" s="1444"/>
      <c r="Z1246" s="1448"/>
      <c r="AA1246" s="1449"/>
      <c r="AB1246" s="1450"/>
      <c r="AC1246" s="1442"/>
      <c r="AD1246" s="1451"/>
      <c r="AE1246" s="1451"/>
      <c r="AF1246" s="1442"/>
      <c r="AG1246" s="1442"/>
      <c r="AH1246" s="1452"/>
      <c r="AI1246" s="1442"/>
      <c r="AJ1246" s="1452"/>
      <c r="AK1246" s="1438"/>
    </row>
    <row r="1247" spans="1:37" s="1439" customFormat="1" ht="12" customHeight="1">
      <c r="A1247" s="1440"/>
      <c r="B1247" s="1268" t="s">
        <v>240</v>
      </c>
      <c r="C1247" s="1416">
        <v>17</v>
      </c>
      <c r="D1247" s="1417" t="s">
        <v>159</v>
      </c>
      <c r="E1247" s="1416" t="s">
        <v>364</v>
      </c>
      <c r="F1247" s="1417" t="s">
        <v>3058</v>
      </c>
      <c r="G1247" s="1418" t="s">
        <v>57</v>
      </c>
      <c r="H1247" s="1418" t="s">
        <v>4489</v>
      </c>
      <c r="I1247" s="1418" t="s">
        <v>4490</v>
      </c>
      <c r="J1247" s="1419"/>
      <c r="K1247" s="1419">
        <v>500000</v>
      </c>
      <c r="L1247" s="1420">
        <f t="shared" si="544"/>
        <v>50000</v>
      </c>
      <c r="M1247" s="1421"/>
      <c r="N1247" s="1420">
        <f t="shared" si="545"/>
        <v>550000</v>
      </c>
      <c r="O1247" s="1443" t="s">
        <v>241</v>
      </c>
      <c r="P1247" s="1443" t="s">
        <v>102</v>
      </c>
      <c r="Q1247" s="1348"/>
      <c r="R1247" s="1348"/>
      <c r="S1247" s="1413">
        <v>0</v>
      </c>
      <c r="T1247" s="1413">
        <f t="shared" si="546"/>
        <v>-10000</v>
      </c>
      <c r="U1247" s="1406">
        <v>540000</v>
      </c>
      <c r="V1247" s="1445"/>
      <c r="W1247" s="1446"/>
      <c r="X1247" s="1447"/>
      <c r="Y1247" s="1444"/>
      <c r="Z1247" s="1448"/>
      <c r="AA1247" s="1449"/>
      <c r="AB1247" s="1450"/>
      <c r="AC1247" s="1442"/>
      <c r="AD1247" s="1451"/>
      <c r="AE1247" s="1451"/>
      <c r="AF1247" s="1442"/>
      <c r="AG1247" s="1442"/>
      <c r="AH1247" s="1452"/>
      <c r="AI1247" s="1442"/>
      <c r="AJ1247" s="1452"/>
      <c r="AK1247" s="1438"/>
    </row>
    <row r="1248" spans="1:37" s="1439" customFormat="1" ht="12" customHeight="1">
      <c r="A1248" s="1440"/>
      <c r="B1248" s="1268" t="s">
        <v>240</v>
      </c>
      <c r="C1248" s="1416">
        <v>17</v>
      </c>
      <c r="D1248" s="1417" t="s">
        <v>159</v>
      </c>
      <c r="E1248" s="1416" t="s">
        <v>357</v>
      </c>
      <c r="F1248" s="1417" t="s">
        <v>4008</v>
      </c>
      <c r="G1248" s="1418" t="s">
        <v>57</v>
      </c>
      <c r="H1248" s="1418" t="s">
        <v>4491</v>
      </c>
      <c r="I1248" s="1418" t="s">
        <v>4492</v>
      </c>
      <c r="J1248" s="1419"/>
      <c r="K1248" s="1419">
        <v>6000000</v>
      </c>
      <c r="L1248" s="1420">
        <f t="shared" si="544"/>
        <v>600000</v>
      </c>
      <c r="M1248" s="1421"/>
      <c r="N1248" s="1420">
        <f t="shared" si="545"/>
        <v>6600000</v>
      </c>
      <c r="O1248" s="1443" t="s">
        <v>241</v>
      </c>
      <c r="P1248" s="1443" t="s">
        <v>102</v>
      </c>
      <c r="Q1248" s="1348"/>
      <c r="R1248" s="1348"/>
      <c r="S1248" s="1413">
        <v>0</v>
      </c>
      <c r="T1248" s="1413">
        <f t="shared" si="546"/>
        <v>-120000</v>
      </c>
      <c r="U1248" s="1406">
        <v>6480000</v>
      </c>
      <c r="V1248" s="1445"/>
      <c r="W1248" s="1446"/>
      <c r="X1248" s="1447"/>
      <c r="Y1248" s="1444"/>
      <c r="Z1248" s="1448"/>
      <c r="AA1248" s="1449"/>
      <c r="AB1248" s="1450"/>
      <c r="AC1248" s="1442"/>
      <c r="AD1248" s="1451"/>
      <c r="AE1248" s="1451"/>
      <c r="AF1248" s="1442"/>
      <c r="AG1248" s="1442"/>
      <c r="AH1248" s="1452"/>
      <c r="AI1248" s="1442"/>
      <c r="AJ1248" s="1452"/>
      <c r="AK1248" s="1438"/>
    </row>
    <row r="1249" spans="1:37" s="1439" customFormat="1" ht="12" customHeight="1">
      <c r="A1249" s="1440"/>
      <c r="B1249" s="1268" t="s">
        <v>240</v>
      </c>
      <c r="C1249" s="1416">
        <v>17</v>
      </c>
      <c r="D1249" s="1417" t="s">
        <v>159</v>
      </c>
      <c r="E1249" s="1416" t="s">
        <v>354</v>
      </c>
      <c r="F1249" s="1417" t="s">
        <v>3405</v>
      </c>
      <c r="G1249" s="1418" t="s">
        <v>57</v>
      </c>
      <c r="H1249" s="1418" t="s">
        <v>4493</v>
      </c>
      <c r="I1249" s="1418" t="s">
        <v>4494</v>
      </c>
      <c r="J1249" s="1419"/>
      <c r="K1249" s="1419">
        <v>16000000</v>
      </c>
      <c r="L1249" s="1420">
        <f t="shared" si="544"/>
        <v>1600000</v>
      </c>
      <c r="M1249" s="1421"/>
      <c r="N1249" s="1420">
        <f t="shared" si="545"/>
        <v>17600000</v>
      </c>
      <c r="O1249" s="1443" t="s">
        <v>241</v>
      </c>
      <c r="P1249" s="1443" t="s">
        <v>102</v>
      </c>
      <c r="Q1249" s="1348"/>
      <c r="R1249" s="1348"/>
      <c r="S1249" s="1413">
        <v>0</v>
      </c>
      <c r="T1249" s="1413">
        <f t="shared" si="546"/>
        <v>-320000</v>
      </c>
      <c r="U1249" s="1406">
        <v>17280000</v>
      </c>
      <c r="V1249" s="1445"/>
      <c r="W1249" s="1446"/>
      <c r="X1249" s="1447"/>
      <c r="Y1249" s="1444"/>
      <c r="Z1249" s="1448"/>
      <c r="AA1249" s="1449"/>
      <c r="AB1249" s="1450"/>
      <c r="AC1249" s="1442"/>
      <c r="AD1249" s="1451"/>
      <c r="AE1249" s="1451"/>
      <c r="AF1249" s="1442"/>
      <c r="AG1249" s="1442"/>
      <c r="AH1249" s="1452"/>
      <c r="AI1249" s="1442"/>
      <c r="AJ1249" s="1452"/>
      <c r="AK1249" s="1438"/>
    </row>
    <row r="1250" spans="1:37" s="1405" customFormat="1" ht="12" customHeight="1">
      <c r="A1250" s="1343"/>
      <c r="B1250" s="1408" t="s">
        <v>58</v>
      </c>
      <c r="C1250" s="1400">
        <v>7</v>
      </c>
      <c r="D1250" s="1401" t="s">
        <v>159</v>
      </c>
      <c r="E1250" s="1400" t="s">
        <v>355</v>
      </c>
      <c r="F1250" s="1401" t="s">
        <v>4007</v>
      </c>
      <c r="G1250" s="1409" t="s">
        <v>58</v>
      </c>
      <c r="H1250" s="1409" t="s">
        <v>4543</v>
      </c>
      <c r="I1250" s="1409" t="s">
        <v>4544</v>
      </c>
      <c r="J1250" s="1413"/>
      <c r="K1250" s="1413">
        <v>18300000</v>
      </c>
      <c r="L1250" s="1410">
        <f t="shared" si="544"/>
        <v>1830000</v>
      </c>
      <c r="M1250" s="1403"/>
      <c r="N1250" s="1410">
        <f t="shared" si="545"/>
        <v>20130000</v>
      </c>
      <c r="O1250" s="1347"/>
      <c r="P1250" s="1347"/>
      <c r="Q1250" s="1348"/>
      <c r="R1250" s="1349"/>
      <c r="S1250" s="1407"/>
      <c r="T1250" s="1407"/>
      <c r="U1250" s="1406"/>
      <c r="V1250" s="1350"/>
      <c r="W1250" s="1351"/>
      <c r="X1250" s="1352"/>
      <c r="Y1250" s="1406"/>
      <c r="Z1250" s="1353"/>
      <c r="AA1250" s="1354"/>
      <c r="AB1250" s="1355"/>
      <c r="AC1250" s="1344"/>
      <c r="AD1250" s="1356"/>
      <c r="AE1250" s="1356"/>
      <c r="AF1250" s="1344"/>
      <c r="AG1250" s="1344"/>
      <c r="AH1250" s="1357"/>
      <c r="AI1250" s="1344"/>
      <c r="AJ1250" s="1357"/>
      <c r="AK1250" s="1404"/>
    </row>
    <row r="1251" spans="1:37" s="1405" customFormat="1" ht="12" customHeight="1">
      <c r="A1251" s="1343"/>
      <c r="B1251" s="1408" t="s">
        <v>58</v>
      </c>
      <c r="C1251" s="1400">
        <v>7</v>
      </c>
      <c r="D1251" s="1401" t="s">
        <v>159</v>
      </c>
      <c r="E1251" s="1400" t="s">
        <v>364</v>
      </c>
      <c r="F1251" s="1401" t="s">
        <v>3058</v>
      </c>
      <c r="G1251" s="1409" t="s">
        <v>58</v>
      </c>
      <c r="H1251" s="1409" t="s">
        <v>4545</v>
      </c>
      <c r="I1251" s="1409" t="s">
        <v>4546</v>
      </c>
      <c r="J1251" s="1413"/>
      <c r="K1251" s="1413">
        <v>500000</v>
      </c>
      <c r="L1251" s="1410">
        <f t="shared" si="544"/>
        <v>50000</v>
      </c>
      <c r="M1251" s="1403"/>
      <c r="N1251" s="1410">
        <f t="shared" si="545"/>
        <v>550000</v>
      </c>
      <c r="O1251" s="1347"/>
      <c r="P1251" s="1347"/>
      <c r="Q1251" s="1348"/>
      <c r="R1251" s="1349"/>
      <c r="S1251" s="1407"/>
      <c r="T1251" s="1407"/>
      <c r="U1251" s="1406"/>
      <c r="V1251" s="1350"/>
      <c r="W1251" s="1351"/>
      <c r="X1251" s="1352"/>
      <c r="Y1251" s="1406"/>
      <c r="Z1251" s="1353"/>
      <c r="AA1251" s="1354"/>
      <c r="AB1251" s="1355"/>
      <c r="AC1251" s="1344"/>
      <c r="AD1251" s="1356"/>
      <c r="AE1251" s="1356"/>
      <c r="AF1251" s="1344"/>
      <c r="AG1251" s="1344"/>
      <c r="AH1251" s="1357"/>
      <c r="AI1251" s="1344"/>
      <c r="AJ1251" s="1357"/>
      <c r="AK1251" s="1404"/>
    </row>
    <row r="1252" spans="1:37" s="1405" customFormat="1" ht="12" customHeight="1">
      <c r="A1252" s="1343"/>
      <c r="B1252" s="1408" t="s">
        <v>58</v>
      </c>
      <c r="C1252" s="1400">
        <v>7</v>
      </c>
      <c r="D1252" s="1401" t="s">
        <v>159</v>
      </c>
      <c r="E1252" s="1400" t="s">
        <v>357</v>
      </c>
      <c r="F1252" s="1401" t="s">
        <v>4008</v>
      </c>
      <c r="G1252" s="1409" t="s">
        <v>58</v>
      </c>
      <c r="H1252" s="1409" t="s">
        <v>4547</v>
      </c>
      <c r="I1252" s="1409" t="s">
        <v>4548</v>
      </c>
      <c r="J1252" s="1413"/>
      <c r="K1252" s="1413">
        <v>6000000</v>
      </c>
      <c r="L1252" s="1410">
        <f t="shared" si="544"/>
        <v>600000</v>
      </c>
      <c r="M1252" s="1403"/>
      <c r="N1252" s="1410">
        <f t="shared" si="545"/>
        <v>6600000</v>
      </c>
      <c r="O1252" s="1347"/>
      <c r="P1252" s="1347"/>
      <c r="Q1252" s="1348"/>
      <c r="R1252" s="1349"/>
      <c r="S1252" s="1407"/>
      <c r="T1252" s="1407"/>
      <c r="U1252" s="1406"/>
      <c r="V1252" s="1350"/>
      <c r="W1252" s="1351"/>
      <c r="X1252" s="1352"/>
      <c r="Y1252" s="1406"/>
      <c r="Z1252" s="1353"/>
      <c r="AA1252" s="1354"/>
      <c r="AB1252" s="1355"/>
      <c r="AC1252" s="1344"/>
      <c r="AD1252" s="1356"/>
      <c r="AE1252" s="1356"/>
      <c r="AF1252" s="1344"/>
      <c r="AG1252" s="1344"/>
      <c r="AH1252" s="1357"/>
      <c r="AI1252" s="1344"/>
      <c r="AJ1252" s="1357"/>
      <c r="AK1252" s="1404"/>
    </row>
    <row r="1253" spans="1:37" s="1405" customFormat="1" ht="12" customHeight="1">
      <c r="A1253" s="1343"/>
      <c r="B1253" s="1408" t="s">
        <v>58</v>
      </c>
      <c r="C1253" s="1400">
        <v>7</v>
      </c>
      <c r="D1253" s="1401" t="s">
        <v>159</v>
      </c>
      <c r="E1253" s="1400" t="s">
        <v>354</v>
      </c>
      <c r="F1253" s="1401" t="s">
        <v>3405</v>
      </c>
      <c r="G1253" s="1409" t="s">
        <v>58</v>
      </c>
      <c r="H1253" s="1409" t="s">
        <v>4549</v>
      </c>
      <c r="I1253" s="1409" t="s">
        <v>4550</v>
      </c>
      <c r="J1253" s="1413"/>
      <c r="K1253" s="1413">
        <v>16000000</v>
      </c>
      <c r="L1253" s="1410">
        <f t="shared" si="544"/>
        <v>1600000</v>
      </c>
      <c r="M1253" s="1403"/>
      <c r="N1253" s="1410">
        <f t="shared" si="545"/>
        <v>17600000</v>
      </c>
      <c r="O1253" s="1347"/>
      <c r="P1253" s="1347"/>
      <c r="Q1253" s="1348"/>
      <c r="R1253" s="1349"/>
      <c r="S1253" s="1407"/>
      <c r="T1253" s="1407"/>
      <c r="U1253" s="1406"/>
      <c r="V1253" s="1350"/>
      <c r="W1253" s="1351"/>
      <c r="X1253" s="1352"/>
      <c r="Y1253" s="1406"/>
      <c r="Z1253" s="1353"/>
      <c r="AA1253" s="1354"/>
      <c r="AB1253" s="1355"/>
      <c r="AC1253" s="1344"/>
      <c r="AD1253" s="1356"/>
      <c r="AE1253" s="1356"/>
      <c r="AF1253" s="1344"/>
      <c r="AG1253" s="1344"/>
      <c r="AH1253" s="1357"/>
      <c r="AI1253" s="1344"/>
      <c r="AJ1253" s="1357"/>
      <c r="AK1253" s="1404"/>
    </row>
    <row r="1254" spans="1:37" s="1405" customFormat="1" ht="12" customHeight="1">
      <c r="A1254" s="1343"/>
      <c r="B1254" s="1408" t="s">
        <v>58</v>
      </c>
      <c r="C1254" s="1400">
        <v>7</v>
      </c>
      <c r="D1254" s="1401" t="s">
        <v>159</v>
      </c>
      <c r="E1254" s="1400" t="s">
        <v>362</v>
      </c>
      <c r="F1254" s="1401" t="s">
        <v>4557</v>
      </c>
      <c r="G1254" s="1409">
        <v>43201</v>
      </c>
      <c r="H1254" s="1409" t="s">
        <v>4551</v>
      </c>
      <c r="I1254" s="1409" t="s">
        <v>4552</v>
      </c>
      <c r="J1254" s="1413"/>
      <c r="K1254" s="1413">
        <v>6000000</v>
      </c>
      <c r="L1254" s="1410">
        <f t="shared" si="544"/>
        <v>600000</v>
      </c>
      <c r="M1254" s="1403"/>
      <c r="N1254" s="1410">
        <f t="shared" si="545"/>
        <v>6600000</v>
      </c>
      <c r="O1254" s="1347"/>
      <c r="P1254" s="1347"/>
      <c r="Q1254" s="1348"/>
      <c r="R1254" s="1349"/>
      <c r="S1254" s="1407"/>
      <c r="T1254" s="1407"/>
      <c r="U1254" s="1406"/>
      <c r="V1254" s="1350"/>
      <c r="W1254" s="1351"/>
      <c r="X1254" s="1352"/>
      <c r="Y1254" s="1406"/>
      <c r="Z1254" s="1353"/>
      <c r="AA1254" s="1354"/>
      <c r="AB1254" s="1355"/>
      <c r="AC1254" s="1344"/>
      <c r="AD1254" s="1356"/>
      <c r="AE1254" s="1356"/>
      <c r="AF1254" s="1344"/>
      <c r="AG1254" s="1344"/>
      <c r="AH1254" s="1357"/>
      <c r="AI1254" s="1344"/>
      <c r="AJ1254" s="1357"/>
      <c r="AK1254" s="1404"/>
    </row>
    <row r="1255" spans="1:37" s="1405" customFormat="1" ht="12" customHeight="1">
      <c r="A1255" s="1343"/>
      <c r="B1255" s="1408" t="s">
        <v>58</v>
      </c>
      <c r="C1255" s="1400">
        <v>7</v>
      </c>
      <c r="D1255" s="1401" t="s">
        <v>159</v>
      </c>
      <c r="E1255" s="1400" t="s">
        <v>362</v>
      </c>
      <c r="F1255" s="1401" t="s">
        <v>4558</v>
      </c>
      <c r="G1255" s="1409" t="s">
        <v>4553</v>
      </c>
      <c r="H1255" s="1409" t="s">
        <v>4554</v>
      </c>
      <c r="I1255" s="1409" t="s">
        <v>4555</v>
      </c>
      <c r="J1255" s="1413"/>
      <c r="K1255" s="1413">
        <v>9000000</v>
      </c>
      <c r="L1255" s="1410">
        <f t="shared" si="544"/>
        <v>900000</v>
      </c>
      <c r="M1255" s="1403"/>
      <c r="N1255" s="1410">
        <f t="shared" si="545"/>
        <v>9900000</v>
      </c>
      <c r="O1255" s="1347"/>
      <c r="P1255" s="1347"/>
      <c r="Q1255" s="1348"/>
      <c r="R1255" s="1349"/>
      <c r="S1255" s="1407"/>
      <c r="T1255" s="1407"/>
      <c r="U1255" s="1406"/>
      <c r="V1255" s="1350"/>
      <c r="W1255" s="1351"/>
      <c r="X1255" s="1352"/>
      <c r="Y1255" s="1406"/>
      <c r="Z1255" s="1353"/>
      <c r="AA1255" s="1354"/>
      <c r="AB1255" s="1355"/>
      <c r="AC1255" s="1344"/>
      <c r="AD1255" s="1356"/>
      <c r="AE1255" s="1356"/>
      <c r="AF1255" s="1344"/>
      <c r="AG1255" s="1344"/>
      <c r="AH1255" s="1357"/>
      <c r="AI1255" s="1344"/>
      <c r="AJ1255" s="1357"/>
      <c r="AK1255" s="1404"/>
    </row>
    <row r="1256" spans="1:37" s="1405" customFormat="1" ht="12" customHeight="1">
      <c r="A1256" s="1343"/>
      <c r="B1256" s="1408" t="s">
        <v>58</v>
      </c>
      <c r="C1256" s="1400">
        <v>7</v>
      </c>
      <c r="D1256" s="1401" t="s">
        <v>159</v>
      </c>
      <c r="E1256" s="1400" t="s">
        <v>4556</v>
      </c>
      <c r="F1256" s="1401" t="s">
        <v>4559</v>
      </c>
      <c r="G1256" s="1409">
        <v>43201</v>
      </c>
      <c r="H1256" s="1409" t="s">
        <v>4560</v>
      </c>
      <c r="I1256" s="1409" t="s">
        <v>4561</v>
      </c>
      <c r="J1256" s="1413"/>
      <c r="K1256" s="1413">
        <v>7400000</v>
      </c>
      <c r="L1256" s="1410">
        <f t="shared" si="544"/>
        <v>740000</v>
      </c>
      <c r="M1256" s="1403"/>
      <c r="N1256" s="1410">
        <f t="shared" si="545"/>
        <v>8140000</v>
      </c>
      <c r="O1256" s="1347"/>
      <c r="P1256" s="1347"/>
      <c r="Q1256" s="1348"/>
      <c r="R1256" s="1349"/>
      <c r="S1256" s="1407"/>
      <c r="T1256" s="1407"/>
      <c r="U1256" s="1406"/>
      <c r="V1256" s="1350"/>
      <c r="W1256" s="1351"/>
      <c r="X1256" s="1352"/>
      <c r="Y1256" s="1406"/>
      <c r="Z1256" s="1353"/>
      <c r="AA1256" s="1354"/>
      <c r="AB1256" s="1355"/>
      <c r="AC1256" s="1344"/>
      <c r="AD1256" s="1356"/>
      <c r="AE1256" s="1356"/>
      <c r="AF1256" s="1344"/>
      <c r="AG1256" s="1344"/>
      <c r="AH1256" s="1357"/>
      <c r="AI1256" s="1344"/>
      <c r="AJ1256" s="1357"/>
      <c r="AK1256" s="1404"/>
    </row>
    <row r="1257" spans="1:37" s="1439" customFormat="1" ht="12" customHeight="1">
      <c r="A1257" s="1440"/>
      <c r="B1257" s="1268" t="s">
        <v>194</v>
      </c>
      <c r="C1257" s="1416">
        <v>15</v>
      </c>
      <c r="D1257" s="1417" t="s">
        <v>128</v>
      </c>
      <c r="E1257" s="1418" t="s">
        <v>3408</v>
      </c>
      <c r="F1257" s="1505" t="s">
        <v>3057</v>
      </c>
      <c r="G1257" s="1418" t="s">
        <v>1617</v>
      </c>
      <c r="H1257" s="1418" t="s">
        <v>3923</v>
      </c>
      <c r="I1257" s="1418" t="s">
        <v>3924</v>
      </c>
      <c r="J1257" s="1419"/>
      <c r="K1257" s="1419">
        <v>21000000</v>
      </c>
      <c r="L1257" s="1420">
        <f t="shared" ref="L1257:L1269" si="547">K1257*10%</f>
        <v>2100000</v>
      </c>
      <c r="M1257" s="1421"/>
      <c r="N1257" s="1420">
        <f t="shared" si="441"/>
        <v>23100000</v>
      </c>
      <c r="O1257" s="1443" t="s">
        <v>194</v>
      </c>
      <c r="P1257" s="1443" t="s">
        <v>113</v>
      </c>
      <c r="Q1257" s="1348"/>
      <c r="R1257" s="1348"/>
      <c r="S1257" s="1413">
        <v>0</v>
      </c>
      <c r="T1257" s="1413">
        <f t="shared" ref="T1257:T1261" si="548">-K1257*2%</f>
        <v>-420000</v>
      </c>
      <c r="U1257" s="1444">
        <v>22680000</v>
      </c>
      <c r="V1257" s="1445"/>
      <c r="W1257" s="1446"/>
      <c r="X1257" s="1447"/>
      <c r="Y1257" s="1444"/>
      <c r="Z1257" s="1448"/>
      <c r="AA1257" s="1449"/>
      <c r="AB1257" s="1450"/>
      <c r="AC1257" s="1442"/>
      <c r="AD1257" s="1451"/>
      <c r="AE1257" s="1451"/>
      <c r="AF1257" s="1442"/>
      <c r="AG1257" s="1442"/>
      <c r="AH1257" s="1452"/>
      <c r="AI1257" s="1442"/>
      <c r="AJ1257" s="1452"/>
      <c r="AK1257" s="1438"/>
    </row>
    <row r="1258" spans="1:37" s="1439" customFormat="1" ht="12" customHeight="1">
      <c r="A1258" s="1440"/>
      <c r="B1258" s="1268" t="s">
        <v>195</v>
      </c>
      <c r="C1258" s="1416">
        <v>22</v>
      </c>
      <c r="D1258" s="1417" t="s">
        <v>128</v>
      </c>
      <c r="E1258" s="1418" t="s">
        <v>3408</v>
      </c>
      <c r="F1258" s="1505" t="s">
        <v>3057</v>
      </c>
      <c r="G1258" s="1418" t="s">
        <v>4</v>
      </c>
      <c r="H1258" s="1418" t="s">
        <v>4300</v>
      </c>
      <c r="I1258" s="1418" t="s">
        <v>4149</v>
      </c>
      <c r="J1258" s="1419"/>
      <c r="K1258" s="1419">
        <v>21000000</v>
      </c>
      <c r="L1258" s="1420">
        <f t="shared" si="547"/>
        <v>2100000</v>
      </c>
      <c r="M1258" s="1421"/>
      <c r="N1258" s="1420">
        <f t="shared" si="441"/>
        <v>23100000</v>
      </c>
      <c r="O1258" s="1443" t="s">
        <v>240</v>
      </c>
      <c r="P1258" s="1443" t="s">
        <v>103</v>
      </c>
      <c r="Q1258" s="1348"/>
      <c r="R1258" s="1348"/>
      <c r="S1258" s="1413">
        <v>0</v>
      </c>
      <c r="T1258" s="1413">
        <f t="shared" si="548"/>
        <v>-420000</v>
      </c>
      <c r="U1258" s="1444">
        <v>22680000</v>
      </c>
      <c r="V1258" s="1445"/>
      <c r="W1258" s="1446"/>
      <c r="X1258" s="1447"/>
      <c r="Y1258" s="1444"/>
      <c r="Z1258" s="1448"/>
      <c r="AA1258" s="1449"/>
      <c r="AB1258" s="1450"/>
      <c r="AC1258" s="1442"/>
      <c r="AD1258" s="1451"/>
      <c r="AE1258" s="1451"/>
      <c r="AF1258" s="1442"/>
      <c r="AG1258" s="1442"/>
      <c r="AH1258" s="1452"/>
      <c r="AI1258" s="1442"/>
      <c r="AJ1258" s="1452"/>
      <c r="AK1258" s="1438"/>
    </row>
    <row r="1259" spans="1:37" s="1439" customFormat="1" ht="12" customHeight="1">
      <c r="A1259" s="1440"/>
      <c r="B1259" s="1268" t="s">
        <v>239</v>
      </c>
      <c r="C1259" s="1416">
        <v>9</v>
      </c>
      <c r="D1259" s="1417" t="s">
        <v>128</v>
      </c>
      <c r="E1259" s="1418" t="s">
        <v>3408</v>
      </c>
      <c r="F1259" s="1505" t="s">
        <v>3057</v>
      </c>
      <c r="G1259" s="1418" t="s">
        <v>379</v>
      </c>
      <c r="H1259" s="1418" t="s">
        <v>4299</v>
      </c>
      <c r="I1259" s="1418" t="s">
        <v>4301</v>
      </c>
      <c r="J1259" s="1419"/>
      <c r="K1259" s="1419">
        <v>21000000</v>
      </c>
      <c r="L1259" s="1420">
        <f t="shared" si="547"/>
        <v>2100000</v>
      </c>
      <c r="M1259" s="1421"/>
      <c r="N1259" s="1420">
        <f t="shared" si="441"/>
        <v>23100000</v>
      </c>
      <c r="O1259" s="1443" t="s">
        <v>240</v>
      </c>
      <c r="P1259" s="1443" t="s">
        <v>103</v>
      </c>
      <c r="Q1259" s="1348"/>
      <c r="R1259" s="1348"/>
      <c r="S1259" s="1413">
        <v>0</v>
      </c>
      <c r="T1259" s="1413">
        <f t="shared" si="548"/>
        <v>-420000</v>
      </c>
      <c r="U1259" s="1444">
        <v>22680000</v>
      </c>
      <c r="V1259" s="1445"/>
      <c r="W1259" s="1446"/>
      <c r="X1259" s="1447"/>
      <c r="Y1259" s="1444"/>
      <c r="Z1259" s="1448"/>
      <c r="AA1259" s="1449"/>
      <c r="AB1259" s="1450"/>
      <c r="AC1259" s="1442"/>
      <c r="AD1259" s="1451"/>
      <c r="AE1259" s="1451"/>
      <c r="AF1259" s="1442"/>
      <c r="AG1259" s="1442"/>
      <c r="AH1259" s="1452"/>
      <c r="AI1259" s="1442"/>
      <c r="AJ1259" s="1452"/>
      <c r="AK1259" s="1438"/>
    </row>
    <row r="1260" spans="1:37" s="1405" customFormat="1" ht="12" customHeight="1">
      <c r="A1260" s="1440"/>
      <c r="B1260" s="1268" t="s">
        <v>240</v>
      </c>
      <c r="C1260" s="1416">
        <v>16</v>
      </c>
      <c r="D1260" s="1417" t="s">
        <v>128</v>
      </c>
      <c r="E1260" s="1418" t="s">
        <v>3408</v>
      </c>
      <c r="F1260" s="1505" t="s">
        <v>3057</v>
      </c>
      <c r="G1260" s="1418" t="s">
        <v>5</v>
      </c>
      <c r="H1260" s="1418" t="s">
        <v>4484</v>
      </c>
      <c r="I1260" s="1418" t="s">
        <v>4485</v>
      </c>
      <c r="J1260" s="1419"/>
      <c r="K1260" s="1419">
        <v>21000000</v>
      </c>
      <c r="L1260" s="1420">
        <f t="shared" si="547"/>
        <v>2100000</v>
      </c>
      <c r="M1260" s="1421"/>
      <c r="N1260" s="1420">
        <f t="shared" si="441"/>
        <v>23100000</v>
      </c>
      <c r="O1260" s="1443" t="s">
        <v>240</v>
      </c>
      <c r="P1260" s="1443" t="s">
        <v>103</v>
      </c>
      <c r="Q1260" s="1348"/>
      <c r="R1260" s="1349"/>
      <c r="S1260" s="1413">
        <v>0</v>
      </c>
      <c r="T1260" s="1413">
        <f t="shared" si="548"/>
        <v>-420000</v>
      </c>
      <c r="U1260" s="1444">
        <v>22680000</v>
      </c>
      <c r="V1260" s="1350"/>
      <c r="W1260" s="1351"/>
      <c r="X1260" s="1352"/>
      <c r="Y1260" s="1406"/>
      <c r="Z1260" s="1353"/>
      <c r="AA1260" s="1354"/>
      <c r="AB1260" s="1355"/>
      <c r="AC1260" s="1344"/>
      <c r="AD1260" s="1356"/>
      <c r="AE1260" s="1356"/>
      <c r="AF1260" s="1344"/>
      <c r="AG1260" s="1344"/>
      <c r="AH1260" s="1357"/>
      <c r="AI1260" s="1344"/>
      <c r="AJ1260" s="1357"/>
      <c r="AK1260" s="1404"/>
    </row>
    <row r="1261" spans="1:37" s="1405" customFormat="1" ht="12" customHeight="1">
      <c r="A1261" s="1440"/>
      <c r="B1261" s="1268" t="s">
        <v>58</v>
      </c>
      <c r="C1261" s="1416">
        <v>28</v>
      </c>
      <c r="D1261" s="1417" t="s">
        <v>128</v>
      </c>
      <c r="E1261" s="1418" t="s">
        <v>3408</v>
      </c>
      <c r="F1261" s="1505" t="s">
        <v>3057</v>
      </c>
      <c r="G1261" s="1418" t="s">
        <v>57</v>
      </c>
      <c r="H1261" s="1418" t="s">
        <v>4684</v>
      </c>
      <c r="I1261" s="1418" t="s">
        <v>4685</v>
      </c>
      <c r="J1261" s="1419"/>
      <c r="K1261" s="1419">
        <v>21000000</v>
      </c>
      <c r="L1261" s="1420">
        <f t="shared" si="547"/>
        <v>2100000</v>
      </c>
      <c r="M1261" s="1421"/>
      <c r="N1261" s="1420">
        <f t="shared" si="441"/>
        <v>23100000</v>
      </c>
      <c r="O1261" s="1443" t="s">
        <v>59</v>
      </c>
      <c r="P1261" s="1443" t="s">
        <v>26</v>
      </c>
      <c r="Q1261" s="1348"/>
      <c r="R1261" s="1349"/>
      <c r="S1261" s="1413">
        <v>0</v>
      </c>
      <c r="T1261" s="1413">
        <f t="shared" si="548"/>
        <v>-420000</v>
      </c>
      <c r="U1261" s="1444">
        <v>22680000</v>
      </c>
      <c r="V1261" s="1350"/>
      <c r="W1261" s="1351"/>
      <c r="X1261" s="1352"/>
      <c r="Y1261" s="1406"/>
      <c r="Z1261" s="1353"/>
      <c r="AA1261" s="1354"/>
      <c r="AB1261" s="1355"/>
      <c r="AC1261" s="1344"/>
      <c r="AD1261" s="1356"/>
      <c r="AE1261" s="1356"/>
      <c r="AF1261" s="1344"/>
      <c r="AG1261" s="1344"/>
      <c r="AH1261" s="1357"/>
      <c r="AI1261" s="1344"/>
      <c r="AJ1261" s="1357"/>
      <c r="AK1261" s="1404"/>
    </row>
    <row r="1262" spans="1:37" s="1211" customFormat="1" ht="15" customHeight="1">
      <c r="A1262" s="1440"/>
      <c r="B1262" s="1268" t="s">
        <v>194</v>
      </c>
      <c r="C1262" s="1416">
        <v>16</v>
      </c>
      <c r="D1262" s="1417" t="s">
        <v>164</v>
      </c>
      <c r="E1262" s="1418" t="s">
        <v>355</v>
      </c>
      <c r="F1262" s="1521" t="s">
        <v>3057</v>
      </c>
      <c r="G1262" s="1418" t="s">
        <v>1617</v>
      </c>
      <c r="H1262" s="1418" t="s">
        <v>3919</v>
      </c>
      <c r="I1262" s="1418" t="s">
        <v>3920</v>
      </c>
      <c r="J1262" s="1419"/>
      <c r="K1262" s="1419">
        <v>25000000</v>
      </c>
      <c r="L1262" s="1420">
        <f t="shared" si="547"/>
        <v>2500000</v>
      </c>
      <c r="M1262" s="1421"/>
      <c r="N1262" s="1420">
        <f t="shared" si="441"/>
        <v>27500000</v>
      </c>
      <c r="O1262" s="1347" t="s">
        <v>195</v>
      </c>
      <c r="P1262" s="1347" t="s">
        <v>42</v>
      </c>
      <c r="Q1262" s="1348"/>
      <c r="R1262" s="1349"/>
      <c r="S1262" s="1413">
        <v>0</v>
      </c>
      <c r="T1262" s="1413">
        <f t="shared" ref="T1262" si="549">-K1262*2%</f>
        <v>-500000</v>
      </c>
      <c r="U1262" s="1229">
        <v>27000000</v>
      </c>
      <c r="V1262" s="1350"/>
      <c r="W1262" s="1351"/>
      <c r="X1262" s="1352"/>
      <c r="Y1262" s="1229"/>
      <c r="Z1262" s="1353"/>
      <c r="AA1262" s="1354"/>
      <c r="AB1262" s="1355"/>
      <c r="AC1262" s="1344"/>
      <c r="AD1262" s="1356"/>
      <c r="AE1262" s="1356"/>
      <c r="AF1262" s="1344"/>
      <c r="AG1262" s="1344"/>
      <c r="AH1262" s="1357"/>
      <c r="AI1262" s="1344"/>
      <c r="AJ1262" s="1357"/>
      <c r="AK1262" s="1210"/>
    </row>
    <row r="1263" spans="1:37" s="1211" customFormat="1" ht="12" customHeight="1">
      <c r="A1263" s="1440"/>
      <c r="B1263" s="1268" t="s">
        <v>194</v>
      </c>
      <c r="C1263" s="1416">
        <v>16</v>
      </c>
      <c r="D1263" s="1417" t="s">
        <v>164</v>
      </c>
      <c r="E1263" s="1418" t="s">
        <v>364</v>
      </c>
      <c r="F1263" s="1521" t="s">
        <v>3060</v>
      </c>
      <c r="G1263" s="1418" t="s">
        <v>1617</v>
      </c>
      <c r="H1263" s="1418" t="s">
        <v>3921</v>
      </c>
      <c r="I1263" s="1418" t="s">
        <v>3922</v>
      </c>
      <c r="J1263" s="1419"/>
      <c r="K1263" s="1419">
        <v>6000000</v>
      </c>
      <c r="L1263" s="1420">
        <f t="shared" si="547"/>
        <v>600000</v>
      </c>
      <c r="M1263" s="1421"/>
      <c r="N1263" s="1420">
        <f t="shared" si="441"/>
        <v>6600000</v>
      </c>
      <c r="O1263" s="1347" t="s">
        <v>195</v>
      </c>
      <c r="P1263" s="1347" t="s">
        <v>42</v>
      </c>
      <c r="Q1263" s="1348"/>
      <c r="R1263" s="1349"/>
      <c r="S1263" s="1413">
        <v>0</v>
      </c>
      <c r="T1263" s="1413">
        <f t="shared" ref="T1263:T1264" si="550">-K1263*2%</f>
        <v>-120000</v>
      </c>
      <c r="U1263" s="1229">
        <v>6480000</v>
      </c>
      <c r="V1263" s="1350"/>
      <c r="W1263" s="1351"/>
      <c r="X1263" s="1352"/>
      <c r="Y1263" s="1229"/>
      <c r="Z1263" s="1353"/>
      <c r="AA1263" s="1354"/>
      <c r="AB1263" s="1355"/>
      <c r="AC1263" s="1344"/>
      <c r="AD1263" s="1356"/>
      <c r="AE1263" s="1356"/>
      <c r="AF1263" s="1344"/>
      <c r="AG1263" s="1344"/>
      <c r="AH1263" s="1357"/>
      <c r="AI1263" s="1344"/>
      <c r="AJ1263" s="1357"/>
      <c r="AK1263" s="1210"/>
    </row>
    <row r="1264" spans="1:37" s="1405" customFormat="1" ht="12" customHeight="1">
      <c r="A1264" s="1440"/>
      <c r="B1264" s="1268" t="s">
        <v>195</v>
      </c>
      <c r="C1264" s="1416">
        <v>22</v>
      </c>
      <c r="D1264" s="1417" t="s">
        <v>164</v>
      </c>
      <c r="E1264" s="1418" t="s">
        <v>355</v>
      </c>
      <c r="F1264" s="1521" t="s">
        <v>3057</v>
      </c>
      <c r="G1264" s="1418" t="s">
        <v>4</v>
      </c>
      <c r="H1264" s="1418" t="s">
        <v>4129</v>
      </c>
      <c r="I1264" s="1418" t="s">
        <v>4130</v>
      </c>
      <c r="J1264" s="1419"/>
      <c r="K1264" s="1419">
        <v>25000000</v>
      </c>
      <c r="L1264" s="1420">
        <f t="shared" si="547"/>
        <v>2500000</v>
      </c>
      <c r="M1264" s="1421"/>
      <c r="N1264" s="1420">
        <f t="shared" si="441"/>
        <v>27500000</v>
      </c>
      <c r="O1264" s="1347" t="s">
        <v>239</v>
      </c>
      <c r="P1264" s="1347" t="s">
        <v>102</v>
      </c>
      <c r="Q1264" s="1348"/>
      <c r="R1264" s="1349"/>
      <c r="S1264" s="1413">
        <v>0</v>
      </c>
      <c r="T1264" s="1413">
        <f t="shared" si="550"/>
        <v>-500000</v>
      </c>
      <c r="U1264" s="1406">
        <v>27000000</v>
      </c>
      <c r="V1264" s="1350"/>
      <c r="W1264" s="1351"/>
      <c r="X1264" s="1352"/>
      <c r="Y1264" s="1406"/>
      <c r="Z1264" s="1353"/>
      <c r="AA1264" s="1354"/>
      <c r="AB1264" s="1355"/>
      <c r="AC1264" s="1344"/>
      <c r="AD1264" s="1356"/>
      <c r="AE1264" s="1356"/>
      <c r="AF1264" s="1344"/>
      <c r="AG1264" s="1344"/>
      <c r="AH1264" s="1357"/>
      <c r="AI1264" s="1344"/>
      <c r="AJ1264" s="1357"/>
      <c r="AK1264" s="1404"/>
    </row>
    <row r="1265" spans="1:37" s="1405" customFormat="1" ht="12" customHeight="1">
      <c r="A1265" s="1440"/>
      <c r="B1265" s="1268" t="s">
        <v>195</v>
      </c>
      <c r="C1265" s="1416">
        <v>22</v>
      </c>
      <c r="D1265" s="1417" t="s">
        <v>164</v>
      </c>
      <c r="E1265" s="1418" t="s">
        <v>364</v>
      </c>
      <c r="F1265" s="1521" t="s">
        <v>3060</v>
      </c>
      <c r="G1265" s="1418" t="s">
        <v>4</v>
      </c>
      <c r="H1265" s="1418" t="s">
        <v>4131</v>
      </c>
      <c r="I1265" s="1418" t="s">
        <v>4132</v>
      </c>
      <c r="J1265" s="1419"/>
      <c r="K1265" s="1419">
        <v>6000000</v>
      </c>
      <c r="L1265" s="1420">
        <f t="shared" si="547"/>
        <v>600000</v>
      </c>
      <c r="M1265" s="1421"/>
      <c r="N1265" s="1420">
        <f t="shared" si="441"/>
        <v>6600000</v>
      </c>
      <c r="O1265" s="1347" t="s">
        <v>239</v>
      </c>
      <c r="P1265" s="1347" t="s">
        <v>102</v>
      </c>
      <c r="Q1265" s="1349"/>
      <c r="R1265" s="1349"/>
      <c r="S1265" s="1413">
        <v>0</v>
      </c>
      <c r="T1265" s="1413">
        <f t="shared" ref="T1265:T1269" si="551">-K1265*2%</f>
        <v>-120000</v>
      </c>
      <c r="U1265" s="1406">
        <v>6480000</v>
      </c>
      <c r="V1265" s="1350"/>
      <c r="W1265" s="1351"/>
      <c r="X1265" s="1352"/>
      <c r="Y1265" s="1406"/>
      <c r="Z1265" s="1353"/>
      <c r="AA1265" s="1354"/>
      <c r="AB1265" s="1355"/>
      <c r="AC1265" s="1344"/>
      <c r="AD1265" s="1356"/>
      <c r="AE1265" s="1356"/>
      <c r="AF1265" s="1344"/>
      <c r="AG1265" s="1344"/>
      <c r="AH1265" s="1357"/>
      <c r="AI1265" s="1344"/>
      <c r="AJ1265" s="1357"/>
      <c r="AK1265" s="1404"/>
    </row>
    <row r="1266" spans="1:37" s="1405" customFormat="1" ht="12" customHeight="1">
      <c r="A1266" s="1440"/>
      <c r="B1266" s="1268" t="s">
        <v>239</v>
      </c>
      <c r="C1266" s="1416">
        <v>9</v>
      </c>
      <c r="D1266" s="1417" t="s">
        <v>164</v>
      </c>
      <c r="E1266" s="1418" t="s">
        <v>355</v>
      </c>
      <c r="F1266" s="1521" t="s">
        <v>3057</v>
      </c>
      <c r="G1266" s="1418" t="s">
        <v>379</v>
      </c>
      <c r="H1266" s="1418" t="s">
        <v>4308</v>
      </c>
      <c r="I1266" s="1418" t="s">
        <v>4309</v>
      </c>
      <c r="J1266" s="1419"/>
      <c r="K1266" s="1419">
        <v>25000000</v>
      </c>
      <c r="L1266" s="1420">
        <f t="shared" si="547"/>
        <v>2500000</v>
      </c>
      <c r="M1266" s="1421"/>
      <c r="N1266" s="1420">
        <f t="shared" si="441"/>
        <v>27500000</v>
      </c>
      <c r="O1266" s="1347" t="s">
        <v>239</v>
      </c>
      <c r="P1266" s="1347" t="s">
        <v>91</v>
      </c>
      <c r="Q1266" s="1349"/>
      <c r="R1266" s="1349"/>
      <c r="S1266" s="1413">
        <v>0</v>
      </c>
      <c r="T1266" s="1413">
        <f t="shared" si="551"/>
        <v>-500000</v>
      </c>
      <c r="U1266" s="1406">
        <v>27000000</v>
      </c>
      <c r="V1266" s="1350"/>
      <c r="W1266" s="1351"/>
      <c r="X1266" s="1352"/>
      <c r="Y1266" s="1406"/>
      <c r="Z1266" s="1353"/>
      <c r="AA1266" s="1354"/>
      <c r="AB1266" s="1355"/>
      <c r="AC1266" s="1344"/>
      <c r="AD1266" s="1356"/>
      <c r="AE1266" s="1356"/>
      <c r="AF1266" s="1344"/>
      <c r="AG1266" s="1344"/>
      <c r="AH1266" s="1357"/>
      <c r="AI1266" s="1344"/>
      <c r="AJ1266" s="1357"/>
      <c r="AK1266" s="1404"/>
    </row>
    <row r="1267" spans="1:37" s="1405" customFormat="1" ht="12" customHeight="1">
      <c r="A1267" s="1440"/>
      <c r="B1267" s="1268" t="s">
        <v>239</v>
      </c>
      <c r="C1267" s="1416">
        <v>9</v>
      </c>
      <c r="D1267" s="1417" t="s">
        <v>164</v>
      </c>
      <c r="E1267" s="1418" t="s">
        <v>364</v>
      </c>
      <c r="F1267" s="1521" t="s">
        <v>3060</v>
      </c>
      <c r="G1267" s="1418" t="s">
        <v>379</v>
      </c>
      <c r="H1267" s="1418" t="s">
        <v>4310</v>
      </c>
      <c r="I1267" s="1418" t="s">
        <v>4311</v>
      </c>
      <c r="J1267" s="1419"/>
      <c r="K1267" s="1419">
        <v>6000000</v>
      </c>
      <c r="L1267" s="1420">
        <f t="shared" si="547"/>
        <v>600000</v>
      </c>
      <c r="M1267" s="1421"/>
      <c r="N1267" s="1420">
        <f t="shared" si="441"/>
        <v>6600000</v>
      </c>
      <c r="O1267" s="1347" t="s">
        <v>239</v>
      </c>
      <c r="P1267" s="1347" t="s">
        <v>91</v>
      </c>
      <c r="Q1267" s="1349"/>
      <c r="R1267" s="1349"/>
      <c r="S1267" s="1413">
        <v>0</v>
      </c>
      <c r="T1267" s="1413">
        <f t="shared" si="551"/>
        <v>-120000</v>
      </c>
      <c r="U1267" s="1406">
        <v>6480000</v>
      </c>
      <c r="V1267" s="1350"/>
      <c r="W1267" s="1351"/>
      <c r="X1267" s="1352"/>
      <c r="Y1267" s="1406"/>
      <c r="Z1267" s="1353"/>
      <c r="AA1267" s="1354"/>
      <c r="AB1267" s="1355"/>
      <c r="AC1267" s="1344"/>
      <c r="AD1267" s="1356"/>
      <c r="AE1267" s="1356"/>
      <c r="AF1267" s="1344"/>
      <c r="AG1267" s="1344"/>
      <c r="AH1267" s="1357"/>
      <c r="AI1267" s="1344"/>
      <c r="AJ1267" s="1357"/>
      <c r="AK1267" s="1404"/>
    </row>
    <row r="1268" spans="1:37" s="1405" customFormat="1" ht="12" customHeight="1">
      <c r="A1268" s="1440"/>
      <c r="B1268" s="1268" t="s">
        <v>240</v>
      </c>
      <c r="C1268" s="1416">
        <v>16</v>
      </c>
      <c r="D1268" s="1417" t="s">
        <v>164</v>
      </c>
      <c r="E1268" s="1418" t="s">
        <v>355</v>
      </c>
      <c r="F1268" s="1521" t="s">
        <v>3057</v>
      </c>
      <c r="G1268" s="1418" t="s">
        <v>5</v>
      </c>
      <c r="H1268" s="1418" t="s">
        <v>4478</v>
      </c>
      <c r="I1268" s="1418" t="s">
        <v>4486</v>
      </c>
      <c r="J1268" s="1419"/>
      <c r="K1268" s="1419">
        <v>25000000</v>
      </c>
      <c r="L1268" s="1420">
        <f t="shared" si="547"/>
        <v>2500000</v>
      </c>
      <c r="M1268" s="1421"/>
      <c r="N1268" s="1420">
        <f t="shared" si="441"/>
        <v>27500000</v>
      </c>
      <c r="O1268" s="1347" t="s">
        <v>240</v>
      </c>
      <c r="P1268" s="1347" t="s">
        <v>103</v>
      </c>
      <c r="Q1268" s="1349"/>
      <c r="R1268" s="1349"/>
      <c r="S1268" s="1413">
        <v>0</v>
      </c>
      <c r="T1268" s="1413">
        <f t="shared" si="551"/>
        <v>-500000</v>
      </c>
      <c r="U1268" s="1406">
        <v>27000000</v>
      </c>
      <c r="V1268" s="1350"/>
      <c r="W1268" s="1351"/>
      <c r="X1268" s="1352"/>
      <c r="Y1268" s="1406"/>
      <c r="Z1268" s="1353"/>
      <c r="AA1268" s="1354"/>
      <c r="AB1268" s="1355"/>
      <c r="AC1268" s="1344"/>
      <c r="AD1268" s="1356"/>
      <c r="AE1268" s="1356"/>
      <c r="AF1268" s="1344"/>
      <c r="AG1268" s="1344"/>
      <c r="AH1268" s="1357"/>
      <c r="AI1268" s="1344"/>
      <c r="AJ1268" s="1357"/>
      <c r="AK1268" s="1404"/>
    </row>
    <row r="1269" spans="1:37" s="1405" customFormat="1" ht="12" customHeight="1">
      <c r="A1269" s="1440"/>
      <c r="B1269" s="1268" t="s">
        <v>58</v>
      </c>
      <c r="C1269" s="1416">
        <v>24</v>
      </c>
      <c r="D1269" s="1417" t="s">
        <v>164</v>
      </c>
      <c r="E1269" s="1418" t="s">
        <v>355</v>
      </c>
      <c r="F1269" s="1521" t="s">
        <v>3057</v>
      </c>
      <c r="G1269" s="1418" t="s">
        <v>57</v>
      </c>
      <c r="H1269" s="1418" t="s">
        <v>4654</v>
      </c>
      <c r="I1269" s="1418" t="s">
        <v>4655</v>
      </c>
      <c r="J1269" s="1419"/>
      <c r="K1269" s="1419">
        <v>25000000</v>
      </c>
      <c r="L1269" s="1420">
        <f t="shared" si="547"/>
        <v>2500000</v>
      </c>
      <c r="M1269" s="1421"/>
      <c r="N1269" s="1420">
        <f t="shared" si="441"/>
        <v>27500000</v>
      </c>
      <c r="O1269" s="1347" t="s">
        <v>58</v>
      </c>
      <c r="P1269" s="1347" t="s">
        <v>113</v>
      </c>
      <c r="Q1269" s="1349"/>
      <c r="R1269" s="1349"/>
      <c r="S1269" s="1413">
        <v>0</v>
      </c>
      <c r="T1269" s="1413">
        <f t="shared" si="551"/>
        <v>-500000</v>
      </c>
      <c r="U1269" s="1406">
        <v>27000000</v>
      </c>
      <c r="V1269" s="1350"/>
      <c r="W1269" s="1351"/>
      <c r="X1269" s="1352"/>
      <c r="Y1269" s="1406"/>
      <c r="Z1269" s="1353"/>
      <c r="AA1269" s="1354"/>
      <c r="AB1269" s="1355"/>
      <c r="AC1269" s="1344"/>
      <c r="AD1269" s="1356"/>
      <c r="AE1269" s="1356"/>
      <c r="AF1269" s="1344"/>
      <c r="AG1269" s="1344"/>
      <c r="AH1269" s="1357"/>
      <c r="AI1269" s="1344"/>
      <c r="AJ1269" s="1357"/>
      <c r="AK1269" s="1404"/>
    </row>
    <row r="1270" spans="1:37" s="1405" customFormat="1" ht="12.75" customHeight="1">
      <c r="A1270" s="1415"/>
      <c r="B1270" s="1415" t="s">
        <v>140</v>
      </c>
      <c r="C1270" s="1416">
        <v>11</v>
      </c>
      <c r="D1270" s="1417" t="s">
        <v>45</v>
      </c>
      <c r="E1270" s="1418" t="s">
        <v>354</v>
      </c>
      <c r="F1270" s="1505" t="s">
        <v>4146</v>
      </c>
      <c r="G1270" s="1418" t="s">
        <v>1617</v>
      </c>
      <c r="H1270" s="1418" t="s">
        <v>3708</v>
      </c>
      <c r="I1270" s="1418" t="s">
        <v>3709</v>
      </c>
      <c r="J1270" s="1421"/>
      <c r="K1270" s="1419">
        <v>12000000</v>
      </c>
      <c r="L1270" s="1419">
        <f>K1270*10%</f>
        <v>1200000</v>
      </c>
      <c r="M1270" s="1421"/>
      <c r="N1270" s="1420">
        <f t="shared" si="441"/>
        <v>13200000</v>
      </c>
      <c r="O1270" s="1414" t="s">
        <v>195</v>
      </c>
      <c r="P1270" s="1414" t="s">
        <v>106</v>
      </c>
      <c r="Q1270" s="1214"/>
      <c r="R1270" s="1214"/>
      <c r="S1270" s="1413">
        <v>0</v>
      </c>
      <c r="T1270" s="1413">
        <f t="shared" ref="T1270" si="552">-K1270*2%</f>
        <v>-240000</v>
      </c>
      <c r="U1270" s="1413">
        <v>12960000</v>
      </c>
      <c r="V1270" s="1215"/>
      <c r="W1270" s="1203"/>
      <c r="X1270" s="1204"/>
      <c r="Y1270" s="1413"/>
      <c r="Z1270" s="1205"/>
      <c r="AA1270" s="1206"/>
      <c r="AB1270" s="1207"/>
      <c r="AC1270" s="1400"/>
      <c r="AD1270" s="1208"/>
      <c r="AE1270" s="1208"/>
      <c r="AF1270" s="1400"/>
      <c r="AG1270" s="1400"/>
      <c r="AH1270" s="1209"/>
      <c r="AI1270" s="1400"/>
      <c r="AJ1270" s="1209"/>
      <c r="AK1270" s="1404"/>
    </row>
    <row r="1271" spans="1:37" s="1481" customFormat="1" ht="12" customHeight="1">
      <c r="A1271" s="1440"/>
      <c r="B1271" s="1268" t="s">
        <v>194</v>
      </c>
      <c r="C1271" s="1416">
        <v>26</v>
      </c>
      <c r="D1271" s="1417" t="s">
        <v>45</v>
      </c>
      <c r="E1271" s="1418" t="s">
        <v>354</v>
      </c>
      <c r="F1271" s="1505" t="s">
        <v>4146</v>
      </c>
      <c r="G1271" s="1418" t="s">
        <v>4</v>
      </c>
      <c r="H1271" s="1418" t="s">
        <v>3976</v>
      </c>
      <c r="I1271" s="1418" t="s">
        <v>3977</v>
      </c>
      <c r="J1271" s="1419"/>
      <c r="K1271" s="1419">
        <v>12000000</v>
      </c>
      <c r="L1271" s="1420">
        <f>K1271*10%</f>
        <v>1200000</v>
      </c>
      <c r="M1271" s="1421"/>
      <c r="N1271" s="1420">
        <f t="shared" si="441"/>
        <v>13200000</v>
      </c>
      <c r="O1271" s="1468" t="s">
        <v>239</v>
      </c>
      <c r="P1271" s="1468" t="s">
        <v>38</v>
      </c>
      <c r="Q1271" s="1469"/>
      <c r="R1271" s="1469"/>
      <c r="S1271" s="1413">
        <v>0</v>
      </c>
      <c r="T1271" s="1413">
        <f t="shared" ref="T1271" si="553">-K1271*2%</f>
        <v>-240000</v>
      </c>
      <c r="U1271" s="1413">
        <v>12960000</v>
      </c>
      <c r="V1271" s="1471"/>
      <c r="W1271" s="1472"/>
      <c r="X1271" s="1473"/>
      <c r="Y1271" s="1470"/>
      <c r="Z1271" s="1474"/>
      <c r="AA1271" s="1475"/>
      <c r="AB1271" s="1476"/>
      <c r="AC1271" s="1477"/>
      <c r="AD1271" s="1478"/>
      <c r="AE1271" s="1478"/>
      <c r="AF1271" s="1477"/>
      <c r="AG1271" s="1477"/>
      <c r="AH1271" s="1479"/>
      <c r="AI1271" s="1477"/>
      <c r="AJ1271" s="1479"/>
      <c r="AK1271" s="1480"/>
    </row>
    <row r="1272" spans="1:37" s="1481" customFormat="1" ht="12" customHeight="1">
      <c r="A1272" s="1440"/>
      <c r="B1272" s="1268" t="s">
        <v>195</v>
      </c>
      <c r="C1272" s="1416">
        <v>22</v>
      </c>
      <c r="D1272" s="1417" t="s">
        <v>45</v>
      </c>
      <c r="E1272" s="1418" t="s">
        <v>354</v>
      </c>
      <c r="F1272" s="1505" t="s">
        <v>4146</v>
      </c>
      <c r="G1272" s="1418" t="s">
        <v>379</v>
      </c>
      <c r="H1272" s="1418" t="s">
        <v>4147</v>
      </c>
      <c r="I1272" s="1418" t="s">
        <v>4148</v>
      </c>
      <c r="J1272" s="1419"/>
      <c r="K1272" s="1419">
        <v>12000000</v>
      </c>
      <c r="L1272" s="1420">
        <f>K1271*10%</f>
        <v>1200000</v>
      </c>
      <c r="M1272" s="1421"/>
      <c r="N1272" s="1420">
        <f>K1271+L1272</f>
        <v>13200000</v>
      </c>
      <c r="O1272" s="1347" t="s">
        <v>240</v>
      </c>
      <c r="P1272" s="1347" t="s">
        <v>34</v>
      </c>
      <c r="Q1272" s="1469"/>
      <c r="R1272" s="1469"/>
      <c r="S1272" s="1413">
        <v>0</v>
      </c>
      <c r="T1272" s="1413">
        <f t="shared" ref="T1272:T1275" si="554">-K1272*2%</f>
        <v>-240000</v>
      </c>
      <c r="U1272" s="1413">
        <v>12960000</v>
      </c>
      <c r="V1272" s="1471"/>
      <c r="W1272" s="1472"/>
      <c r="X1272" s="1473"/>
      <c r="Y1272" s="1470"/>
      <c r="Z1272" s="1474"/>
      <c r="AA1272" s="1475"/>
      <c r="AB1272" s="1476"/>
      <c r="AC1272" s="1477"/>
      <c r="AD1272" s="1478"/>
      <c r="AE1272" s="1478"/>
      <c r="AF1272" s="1477"/>
      <c r="AG1272" s="1477"/>
      <c r="AH1272" s="1479"/>
      <c r="AI1272" s="1477"/>
      <c r="AJ1272" s="1479"/>
      <c r="AK1272" s="1480"/>
    </row>
    <row r="1273" spans="1:37" s="1405" customFormat="1" ht="12" customHeight="1">
      <c r="A1273" s="1440"/>
      <c r="B1273" s="1268" t="s">
        <v>239</v>
      </c>
      <c r="C1273" s="1416">
        <v>9</v>
      </c>
      <c r="D1273" s="1417" t="s">
        <v>45</v>
      </c>
      <c r="E1273" s="1418" t="s">
        <v>354</v>
      </c>
      <c r="F1273" s="1505" t="s">
        <v>4146</v>
      </c>
      <c r="G1273" s="1418" t="s">
        <v>5</v>
      </c>
      <c r="H1273" s="1418" t="s">
        <v>4306</v>
      </c>
      <c r="I1273" s="1418" t="s">
        <v>4307</v>
      </c>
      <c r="J1273" s="1419"/>
      <c r="K1273" s="1419">
        <v>12000000</v>
      </c>
      <c r="L1273" s="1420">
        <f>K1272*10%</f>
        <v>1200000</v>
      </c>
      <c r="M1273" s="1421"/>
      <c r="N1273" s="1420">
        <f>K1272+L1273</f>
        <v>13200000</v>
      </c>
      <c r="O1273" s="1347" t="s">
        <v>240</v>
      </c>
      <c r="P1273" s="1347" t="s">
        <v>34</v>
      </c>
      <c r="Q1273" s="1348"/>
      <c r="R1273" s="1349"/>
      <c r="S1273" s="1413">
        <v>0</v>
      </c>
      <c r="T1273" s="1413">
        <f t="shared" si="554"/>
        <v>-240000</v>
      </c>
      <c r="U1273" s="1413">
        <v>12960000</v>
      </c>
      <c r="V1273" s="1350"/>
      <c r="W1273" s="1351"/>
      <c r="X1273" s="1352"/>
      <c r="Y1273" s="1406"/>
      <c r="Z1273" s="1353"/>
      <c r="AA1273" s="1354"/>
      <c r="AB1273" s="1355"/>
      <c r="AC1273" s="1344"/>
      <c r="AD1273" s="1356"/>
      <c r="AE1273" s="1356"/>
      <c r="AF1273" s="1344"/>
      <c r="AG1273" s="1344"/>
      <c r="AH1273" s="1357"/>
      <c r="AI1273" s="1344"/>
      <c r="AJ1273" s="1357"/>
      <c r="AK1273" s="1404"/>
    </row>
    <row r="1274" spans="1:37" s="1405" customFormat="1" ht="12" customHeight="1">
      <c r="A1274" s="1440"/>
      <c r="B1274" s="1268" t="s">
        <v>240</v>
      </c>
      <c r="C1274" s="1416">
        <v>26</v>
      </c>
      <c r="D1274" s="1417" t="s">
        <v>45</v>
      </c>
      <c r="E1274" s="1418" t="s">
        <v>354</v>
      </c>
      <c r="F1274" s="1505" t="s">
        <v>4146</v>
      </c>
      <c r="G1274" s="1418" t="s">
        <v>57</v>
      </c>
      <c r="H1274" s="1418" t="s">
        <v>4532</v>
      </c>
      <c r="I1274" s="1418" t="s">
        <v>4533</v>
      </c>
      <c r="J1274" s="1419"/>
      <c r="K1274" s="1419">
        <v>12000000</v>
      </c>
      <c r="L1274" s="1420">
        <f t="shared" ref="L1274" si="555">K1274*10%</f>
        <v>1200000</v>
      </c>
      <c r="M1274" s="1421"/>
      <c r="N1274" s="1420">
        <f t="shared" ref="N1274" si="556">K1274+L1274</f>
        <v>13200000</v>
      </c>
      <c r="O1274" s="1347" t="s">
        <v>58</v>
      </c>
      <c r="P1274" s="1347" t="s">
        <v>66</v>
      </c>
      <c r="Q1274" s="1349"/>
      <c r="R1274" s="1349"/>
      <c r="S1274" s="1413">
        <v>0</v>
      </c>
      <c r="T1274" s="1413">
        <f t="shared" si="554"/>
        <v>-240000</v>
      </c>
      <c r="U1274" s="1413">
        <v>12960000</v>
      </c>
      <c r="V1274" s="1350"/>
      <c r="W1274" s="1351"/>
      <c r="X1274" s="1352"/>
      <c r="Y1274" s="1406"/>
      <c r="Z1274" s="1353"/>
      <c r="AA1274" s="1354"/>
      <c r="AB1274" s="1355"/>
      <c r="AC1274" s="1344"/>
      <c r="AD1274" s="1356"/>
      <c r="AE1274" s="1356"/>
      <c r="AF1274" s="1344"/>
      <c r="AG1274" s="1344"/>
      <c r="AH1274" s="1357"/>
      <c r="AI1274" s="1344"/>
      <c r="AJ1274" s="1357"/>
      <c r="AK1274" s="1404"/>
    </row>
    <row r="1275" spans="1:37" s="1405" customFormat="1" ht="12" customHeight="1">
      <c r="A1275" s="1440"/>
      <c r="B1275" s="1408" t="s">
        <v>58</v>
      </c>
      <c r="C1275" s="1400">
        <v>28</v>
      </c>
      <c r="D1275" s="1401" t="s">
        <v>45</v>
      </c>
      <c r="E1275" s="1409" t="s">
        <v>354</v>
      </c>
      <c r="F1275" s="1506" t="s">
        <v>4146</v>
      </c>
      <c r="G1275" s="1409" t="s">
        <v>57</v>
      </c>
      <c r="H1275" s="1409" t="s">
        <v>4682</v>
      </c>
      <c r="I1275" s="1409" t="s">
        <v>4683</v>
      </c>
      <c r="J1275" s="1413"/>
      <c r="K1275" s="1413">
        <v>12000000</v>
      </c>
      <c r="L1275" s="1410">
        <f t="shared" ref="L1275" si="557">K1275*10%</f>
        <v>1200000</v>
      </c>
      <c r="M1275" s="1403"/>
      <c r="N1275" s="1410">
        <f t="shared" ref="N1275" si="558">K1275+L1275</f>
        <v>13200000</v>
      </c>
      <c r="O1275" s="1347"/>
      <c r="P1275" s="1347"/>
      <c r="Q1275" s="1349"/>
      <c r="R1275" s="1349"/>
      <c r="S1275" s="1413"/>
      <c r="T1275" s="1413">
        <f t="shared" si="554"/>
        <v>-240000</v>
      </c>
      <c r="U1275" s="1406"/>
      <c r="V1275" s="1350"/>
      <c r="W1275" s="1351"/>
      <c r="X1275" s="1352"/>
      <c r="Y1275" s="1406"/>
      <c r="Z1275" s="1353"/>
      <c r="AA1275" s="1354"/>
      <c r="AB1275" s="1355"/>
      <c r="AC1275" s="1344"/>
      <c r="AD1275" s="1356"/>
      <c r="AE1275" s="1356"/>
      <c r="AF1275" s="1344"/>
      <c r="AG1275" s="1344"/>
      <c r="AH1275" s="1357"/>
      <c r="AI1275" s="1344"/>
      <c r="AJ1275" s="1357"/>
      <c r="AK1275" s="1404"/>
    </row>
    <row r="1276" spans="1:37" s="1439" customFormat="1" ht="12" customHeight="1">
      <c r="A1276" s="1415"/>
      <c r="B1276" s="1415" t="s">
        <v>245</v>
      </c>
      <c r="C1276" s="1416">
        <v>10</v>
      </c>
      <c r="D1276" s="1417" t="s">
        <v>133</v>
      </c>
      <c r="E1276" s="1416" t="s">
        <v>364</v>
      </c>
      <c r="F1276" s="1417" t="s">
        <v>3062</v>
      </c>
      <c r="G1276" s="1416" t="s">
        <v>641</v>
      </c>
      <c r="H1276" s="1418" t="s">
        <v>3418</v>
      </c>
      <c r="I1276" s="1416" t="s">
        <v>3419</v>
      </c>
      <c r="J1276" s="1421"/>
      <c r="K1276" s="1212">
        <v>30000000</v>
      </c>
      <c r="L1276" s="1212">
        <f t="shared" ref="L1276:L1283" si="559">K1276*10%</f>
        <v>3000000</v>
      </c>
      <c r="M1276" s="1421"/>
      <c r="N1276" s="1420">
        <f t="shared" si="441"/>
        <v>33000000</v>
      </c>
      <c r="O1276" s="1347" t="s">
        <v>240</v>
      </c>
      <c r="P1276" s="1347" t="s">
        <v>34</v>
      </c>
      <c r="Q1276" s="1308"/>
      <c r="R1276" s="1308"/>
      <c r="S1276" s="1413">
        <v>0</v>
      </c>
      <c r="T1276" s="1413">
        <f t="shared" ref="T1276:T1283" si="560">-K1276*2%</f>
        <v>-600000</v>
      </c>
      <c r="U1276" s="1406">
        <v>32400000</v>
      </c>
      <c r="V1276" s="1430"/>
      <c r="W1276" s="1431"/>
      <c r="X1276" s="1441"/>
      <c r="Y1276" s="1419"/>
      <c r="Z1276" s="1433"/>
      <c r="AA1276" s="1434"/>
      <c r="AB1276" s="1435"/>
      <c r="AC1276" s="1416"/>
      <c r="AD1276" s="1436"/>
      <c r="AE1276" s="1436"/>
      <c r="AF1276" s="1416"/>
      <c r="AG1276" s="1416"/>
      <c r="AH1276" s="1437"/>
      <c r="AI1276" s="1416"/>
      <c r="AJ1276" s="1437"/>
      <c r="AK1276" s="1438"/>
    </row>
    <row r="1277" spans="1:37" s="1439" customFormat="1" ht="12" customHeight="1">
      <c r="A1277" s="1415"/>
      <c r="B1277" s="1415" t="s">
        <v>238</v>
      </c>
      <c r="C1277" s="1416">
        <v>14</v>
      </c>
      <c r="D1277" s="1417" t="s">
        <v>133</v>
      </c>
      <c r="E1277" s="1416" t="s">
        <v>364</v>
      </c>
      <c r="F1277" s="1417" t="s">
        <v>3062</v>
      </c>
      <c r="G1277" s="1416" t="s">
        <v>1616</v>
      </c>
      <c r="H1277" s="1418" t="s">
        <v>3576</v>
      </c>
      <c r="I1277" s="1416" t="s">
        <v>3577</v>
      </c>
      <c r="J1277" s="1421"/>
      <c r="K1277" s="1212">
        <v>30000000</v>
      </c>
      <c r="L1277" s="1212">
        <f t="shared" si="559"/>
        <v>3000000</v>
      </c>
      <c r="M1277" s="1421"/>
      <c r="N1277" s="1420">
        <f t="shared" si="441"/>
        <v>33000000</v>
      </c>
      <c r="O1277" s="1347" t="s">
        <v>240</v>
      </c>
      <c r="P1277" s="1347" t="s">
        <v>34</v>
      </c>
      <c r="Q1277" s="1308"/>
      <c r="R1277" s="1308"/>
      <c r="S1277" s="1413">
        <v>0</v>
      </c>
      <c r="T1277" s="1413">
        <f t="shared" si="560"/>
        <v>-600000</v>
      </c>
      <c r="U1277" s="1406">
        <v>32400000</v>
      </c>
      <c r="V1277" s="1430"/>
      <c r="W1277" s="1431"/>
      <c r="X1277" s="1441"/>
      <c r="Y1277" s="1419"/>
      <c r="Z1277" s="1433"/>
      <c r="AA1277" s="1434"/>
      <c r="AB1277" s="1435"/>
      <c r="AC1277" s="1416"/>
      <c r="AD1277" s="1436"/>
      <c r="AE1277" s="1436"/>
      <c r="AF1277" s="1416"/>
      <c r="AG1277" s="1416"/>
      <c r="AH1277" s="1437"/>
      <c r="AI1277" s="1416"/>
      <c r="AJ1277" s="1437"/>
      <c r="AK1277" s="1438"/>
    </row>
    <row r="1278" spans="1:37" s="1439" customFormat="1" ht="12" customHeight="1">
      <c r="A1278" s="1415"/>
      <c r="B1278" s="1415" t="s">
        <v>140</v>
      </c>
      <c r="C1278" s="1416">
        <v>11</v>
      </c>
      <c r="D1278" s="1417" t="s">
        <v>133</v>
      </c>
      <c r="E1278" s="1416" t="s">
        <v>364</v>
      </c>
      <c r="F1278" s="1417" t="s">
        <v>3062</v>
      </c>
      <c r="G1278" s="1416" t="s">
        <v>1617</v>
      </c>
      <c r="H1278" s="1418" t="s">
        <v>3712</v>
      </c>
      <c r="I1278" s="1416" t="s">
        <v>3713</v>
      </c>
      <c r="J1278" s="1421"/>
      <c r="K1278" s="1212">
        <v>30000000</v>
      </c>
      <c r="L1278" s="1212">
        <f t="shared" si="559"/>
        <v>3000000</v>
      </c>
      <c r="M1278" s="1421"/>
      <c r="N1278" s="1420">
        <f t="shared" si="441"/>
        <v>33000000</v>
      </c>
      <c r="O1278" s="1347" t="s">
        <v>240</v>
      </c>
      <c r="P1278" s="1347" t="s">
        <v>34</v>
      </c>
      <c r="Q1278" s="1308"/>
      <c r="R1278" s="1308"/>
      <c r="S1278" s="1413">
        <v>0</v>
      </c>
      <c r="T1278" s="1413">
        <f t="shared" si="560"/>
        <v>-600000</v>
      </c>
      <c r="U1278" s="1406">
        <v>32400000</v>
      </c>
      <c r="V1278" s="1430"/>
      <c r="W1278" s="1431"/>
      <c r="X1278" s="1441"/>
      <c r="Y1278" s="1419"/>
      <c r="Z1278" s="1433"/>
      <c r="AA1278" s="1434"/>
      <c r="AB1278" s="1435"/>
      <c r="AC1278" s="1416"/>
      <c r="AD1278" s="1436"/>
      <c r="AE1278" s="1436"/>
      <c r="AF1278" s="1416"/>
      <c r="AG1278" s="1416"/>
      <c r="AH1278" s="1437"/>
      <c r="AI1278" s="1416"/>
      <c r="AJ1278" s="1437"/>
      <c r="AK1278" s="1438"/>
    </row>
    <row r="1279" spans="1:37" s="1439" customFormat="1" ht="12" customHeight="1">
      <c r="A1279" s="1440"/>
      <c r="B1279" s="1268" t="s">
        <v>194</v>
      </c>
      <c r="C1279" s="1416">
        <v>26</v>
      </c>
      <c r="D1279" s="1417" t="s">
        <v>133</v>
      </c>
      <c r="E1279" s="1416" t="s">
        <v>364</v>
      </c>
      <c r="F1279" s="1417" t="s">
        <v>3062</v>
      </c>
      <c r="G1279" s="1416" t="s">
        <v>4</v>
      </c>
      <c r="H1279" s="1418" t="s">
        <v>3993</v>
      </c>
      <c r="I1279" s="1418" t="s">
        <v>3994</v>
      </c>
      <c r="J1279" s="1419"/>
      <c r="K1279" s="1419">
        <v>30000000</v>
      </c>
      <c r="L1279" s="1420">
        <f t="shared" si="559"/>
        <v>3000000</v>
      </c>
      <c r="M1279" s="1421"/>
      <c r="N1279" s="1420">
        <f t="shared" si="441"/>
        <v>33000000</v>
      </c>
      <c r="O1279" s="1347" t="s">
        <v>240</v>
      </c>
      <c r="P1279" s="1347" t="s">
        <v>34</v>
      </c>
      <c r="Q1279" s="1348"/>
      <c r="R1279" s="1348"/>
      <c r="S1279" s="1413">
        <v>0</v>
      </c>
      <c r="T1279" s="1413">
        <f t="shared" si="560"/>
        <v>-600000</v>
      </c>
      <c r="U1279" s="1406">
        <v>32400000</v>
      </c>
      <c r="V1279" s="1445"/>
      <c r="W1279" s="1446"/>
      <c r="X1279" s="1447"/>
      <c r="Y1279" s="1444"/>
      <c r="Z1279" s="1448"/>
      <c r="AA1279" s="1449"/>
      <c r="AB1279" s="1450"/>
      <c r="AC1279" s="1442"/>
      <c r="AD1279" s="1451"/>
      <c r="AE1279" s="1451"/>
      <c r="AF1279" s="1442"/>
      <c r="AG1279" s="1442"/>
      <c r="AH1279" s="1452"/>
      <c r="AI1279" s="1442"/>
      <c r="AJ1279" s="1452"/>
      <c r="AK1279" s="1438"/>
    </row>
    <row r="1280" spans="1:37" s="1439" customFormat="1" ht="12" customHeight="1">
      <c r="A1280" s="1440"/>
      <c r="B1280" s="1268" t="s">
        <v>195</v>
      </c>
      <c r="C1280" s="1416">
        <v>28</v>
      </c>
      <c r="D1280" s="1417" t="s">
        <v>133</v>
      </c>
      <c r="E1280" s="1416" t="s">
        <v>364</v>
      </c>
      <c r="F1280" s="1417" t="s">
        <v>3062</v>
      </c>
      <c r="G1280" s="1416" t="s">
        <v>379</v>
      </c>
      <c r="H1280" s="1418" t="s">
        <v>4190</v>
      </c>
      <c r="I1280" s="1418" t="s">
        <v>4191</v>
      </c>
      <c r="J1280" s="1419"/>
      <c r="K1280" s="1419">
        <v>30000000</v>
      </c>
      <c r="L1280" s="1420">
        <f t="shared" si="559"/>
        <v>3000000</v>
      </c>
      <c r="M1280" s="1421"/>
      <c r="N1280" s="1420">
        <f t="shared" si="441"/>
        <v>33000000</v>
      </c>
      <c r="O1280" s="1347" t="s">
        <v>240</v>
      </c>
      <c r="P1280" s="1347" t="s">
        <v>34</v>
      </c>
      <c r="Q1280" s="1348"/>
      <c r="R1280" s="1348"/>
      <c r="S1280" s="1413">
        <v>0</v>
      </c>
      <c r="T1280" s="1413">
        <f t="shared" si="560"/>
        <v>-600000</v>
      </c>
      <c r="U1280" s="1406">
        <v>32400000</v>
      </c>
      <c r="V1280" s="1445"/>
      <c r="W1280" s="1446"/>
      <c r="X1280" s="1447"/>
      <c r="Y1280" s="1444"/>
      <c r="Z1280" s="1448"/>
      <c r="AA1280" s="1449"/>
      <c r="AB1280" s="1450"/>
      <c r="AC1280" s="1442"/>
      <c r="AD1280" s="1451"/>
      <c r="AE1280" s="1451"/>
      <c r="AF1280" s="1442"/>
      <c r="AG1280" s="1442"/>
      <c r="AH1280" s="1452"/>
      <c r="AI1280" s="1442"/>
      <c r="AJ1280" s="1452"/>
      <c r="AK1280" s="1438"/>
    </row>
    <row r="1281" spans="1:37" s="1405" customFormat="1" ht="12" customHeight="1">
      <c r="A1281" s="1440"/>
      <c r="B1281" s="1268" t="s">
        <v>239</v>
      </c>
      <c r="C1281" s="1416">
        <v>20</v>
      </c>
      <c r="D1281" s="1417" t="s">
        <v>133</v>
      </c>
      <c r="E1281" s="1416" t="s">
        <v>364</v>
      </c>
      <c r="F1281" s="1417" t="s">
        <v>3062</v>
      </c>
      <c r="G1281" s="1416" t="s">
        <v>5</v>
      </c>
      <c r="H1281" s="1418" t="s">
        <v>4319</v>
      </c>
      <c r="I1281" s="1418" t="s">
        <v>4320</v>
      </c>
      <c r="J1281" s="1419"/>
      <c r="K1281" s="1419">
        <v>30000000</v>
      </c>
      <c r="L1281" s="1420">
        <f t="shared" si="559"/>
        <v>3000000</v>
      </c>
      <c r="M1281" s="1421"/>
      <c r="N1281" s="1420">
        <f t="shared" si="441"/>
        <v>33000000</v>
      </c>
      <c r="O1281" s="1347" t="s">
        <v>240</v>
      </c>
      <c r="P1281" s="1347" t="s">
        <v>34</v>
      </c>
      <c r="Q1281" s="1348"/>
      <c r="R1281" s="1349"/>
      <c r="S1281" s="1413">
        <v>0</v>
      </c>
      <c r="T1281" s="1413">
        <f t="shared" si="560"/>
        <v>-600000</v>
      </c>
      <c r="U1281" s="1406">
        <v>32400000</v>
      </c>
      <c r="V1281" s="1350"/>
      <c r="W1281" s="1351"/>
      <c r="X1281" s="1352"/>
      <c r="Y1281" s="1406"/>
      <c r="Z1281" s="1353"/>
      <c r="AA1281" s="1354"/>
      <c r="AB1281" s="1355"/>
      <c r="AC1281" s="1344"/>
      <c r="AD1281" s="1356"/>
      <c r="AE1281" s="1356"/>
      <c r="AF1281" s="1344"/>
      <c r="AG1281" s="1344"/>
      <c r="AH1281" s="1357"/>
      <c r="AI1281" s="1344"/>
      <c r="AJ1281" s="1357"/>
      <c r="AK1281" s="1404"/>
    </row>
    <row r="1282" spans="1:37" s="1405" customFormat="1" ht="12" customHeight="1">
      <c r="A1282" s="1440"/>
      <c r="B1282" s="1268" t="s">
        <v>240</v>
      </c>
      <c r="C1282" s="1416">
        <v>26</v>
      </c>
      <c r="D1282" s="1417" t="s">
        <v>133</v>
      </c>
      <c r="E1282" s="1416" t="s">
        <v>364</v>
      </c>
      <c r="F1282" s="1417" t="s">
        <v>3062</v>
      </c>
      <c r="G1282" s="1416" t="s">
        <v>57</v>
      </c>
      <c r="H1282" s="1418" t="s">
        <v>4534</v>
      </c>
      <c r="I1282" s="1418" t="s">
        <v>4535</v>
      </c>
      <c r="J1282" s="1419"/>
      <c r="K1282" s="1419">
        <v>30000000</v>
      </c>
      <c r="L1282" s="1420">
        <f t="shared" si="559"/>
        <v>3000000</v>
      </c>
      <c r="M1282" s="1421"/>
      <c r="N1282" s="1420">
        <f t="shared" si="441"/>
        <v>33000000</v>
      </c>
      <c r="O1282" s="1347" t="s">
        <v>58</v>
      </c>
      <c r="P1282" s="1347" t="s">
        <v>103</v>
      </c>
      <c r="Q1282" s="1349"/>
      <c r="R1282" s="1349"/>
      <c r="S1282" s="1413">
        <v>0</v>
      </c>
      <c r="T1282" s="1413">
        <f t="shared" si="560"/>
        <v>-600000</v>
      </c>
      <c r="U1282" s="1406">
        <v>32400000</v>
      </c>
      <c r="V1282" s="1350"/>
      <c r="W1282" s="1351"/>
      <c r="X1282" s="1352"/>
      <c r="Y1282" s="1406"/>
      <c r="Z1282" s="1353"/>
      <c r="AA1282" s="1354"/>
      <c r="AB1282" s="1355"/>
      <c r="AC1282" s="1344"/>
      <c r="AD1282" s="1356"/>
      <c r="AE1282" s="1356"/>
      <c r="AF1282" s="1344"/>
      <c r="AG1282" s="1344"/>
      <c r="AH1282" s="1357"/>
      <c r="AI1282" s="1344"/>
      <c r="AJ1282" s="1357"/>
      <c r="AK1282" s="1404"/>
    </row>
    <row r="1283" spans="1:37" s="1405" customFormat="1" ht="12" customHeight="1">
      <c r="A1283" s="1343"/>
      <c r="B1283" s="1408" t="s">
        <v>58</v>
      </c>
      <c r="C1283" s="1400">
        <v>28</v>
      </c>
      <c r="D1283" s="1401" t="s">
        <v>133</v>
      </c>
      <c r="E1283" s="1400" t="s">
        <v>364</v>
      </c>
      <c r="F1283" s="1401" t="s">
        <v>3062</v>
      </c>
      <c r="G1283" s="1400" t="s">
        <v>58</v>
      </c>
      <c r="H1283" s="1409" t="s">
        <v>4673</v>
      </c>
      <c r="I1283" s="1409" t="s">
        <v>4674</v>
      </c>
      <c r="J1283" s="1413"/>
      <c r="K1283" s="1413">
        <v>30000000</v>
      </c>
      <c r="L1283" s="1410">
        <f t="shared" si="559"/>
        <v>3000000</v>
      </c>
      <c r="M1283" s="1403"/>
      <c r="N1283" s="1410">
        <f t="shared" si="441"/>
        <v>33000000</v>
      </c>
      <c r="O1283" s="1347"/>
      <c r="P1283" s="1347"/>
      <c r="Q1283" s="1349"/>
      <c r="R1283" s="1349"/>
      <c r="S1283" s="1413"/>
      <c r="T1283" s="1413">
        <f t="shared" si="560"/>
        <v>-600000</v>
      </c>
      <c r="U1283" s="1406"/>
      <c r="V1283" s="1350"/>
      <c r="W1283" s="1351"/>
      <c r="X1283" s="1352"/>
      <c r="Y1283" s="1406"/>
      <c r="Z1283" s="1353"/>
      <c r="AA1283" s="1354"/>
      <c r="AB1283" s="1355"/>
      <c r="AC1283" s="1344"/>
      <c r="AD1283" s="1356"/>
      <c r="AE1283" s="1356"/>
      <c r="AF1283" s="1344"/>
      <c r="AG1283" s="1344"/>
      <c r="AH1283" s="1357"/>
      <c r="AI1283" s="1344"/>
      <c r="AJ1283" s="1357"/>
      <c r="AK1283" s="1404"/>
    </row>
    <row r="1284" spans="1:37" s="1211" customFormat="1" ht="12" customHeight="1">
      <c r="A1284" s="1343"/>
      <c r="B1284" s="1399" t="s">
        <v>140</v>
      </c>
      <c r="C1284" s="1221">
        <v>4</v>
      </c>
      <c r="D1284" s="1222" t="s">
        <v>2064</v>
      </c>
      <c r="E1284" s="1221" t="s">
        <v>354</v>
      </c>
      <c r="F1284" s="1417" t="s">
        <v>3118</v>
      </c>
      <c r="G1284" s="1221" t="s">
        <v>1616</v>
      </c>
      <c r="H1284" s="1223" t="s">
        <v>3638</v>
      </c>
      <c r="I1284" s="1221" t="s">
        <v>3639</v>
      </c>
      <c r="J1284" s="1237"/>
      <c r="K1284" s="1212">
        <v>22000000</v>
      </c>
      <c r="L1284" s="1212">
        <f t="shared" ref="L1284:L1366" si="561">K1284*10%</f>
        <v>2200000</v>
      </c>
      <c r="M1284" s="1237"/>
      <c r="N1284" s="1225">
        <f t="shared" si="441"/>
        <v>24200000</v>
      </c>
      <c r="O1284" s="1347" t="s">
        <v>194</v>
      </c>
      <c r="P1284" s="1347" t="s">
        <v>18</v>
      </c>
      <c r="Q1284" s="1348"/>
      <c r="R1284" s="1349"/>
      <c r="S1284" s="1413">
        <v>0</v>
      </c>
      <c r="T1284" s="1413">
        <f t="shared" ref="T1284:T1285" si="562">-K1284*2%</f>
        <v>-440000</v>
      </c>
      <c r="U1284" s="1229">
        <v>23760000</v>
      </c>
      <c r="V1284" s="1350"/>
      <c r="W1284" s="1351"/>
      <c r="X1284" s="1352"/>
      <c r="Y1284" s="1229"/>
      <c r="Z1284" s="1353"/>
      <c r="AA1284" s="1354"/>
      <c r="AB1284" s="1355"/>
      <c r="AC1284" s="1344"/>
      <c r="AD1284" s="1356"/>
      <c r="AE1284" s="1356"/>
      <c r="AF1284" s="1344"/>
      <c r="AG1284" s="1344"/>
      <c r="AH1284" s="1357"/>
      <c r="AI1284" s="1344"/>
      <c r="AJ1284" s="1357"/>
      <c r="AK1284" s="1210"/>
    </row>
    <row r="1285" spans="1:37" s="1211" customFormat="1" ht="12" customHeight="1">
      <c r="A1285" s="1440"/>
      <c r="B1285" s="1416" t="s">
        <v>194</v>
      </c>
      <c r="C1285" s="1442">
        <v>15</v>
      </c>
      <c r="D1285" s="1417" t="s">
        <v>2064</v>
      </c>
      <c r="E1285" s="1416" t="s">
        <v>354</v>
      </c>
      <c r="F1285" s="1417" t="s">
        <v>3118</v>
      </c>
      <c r="G1285" s="1454" t="s">
        <v>1617</v>
      </c>
      <c r="H1285" s="1454" t="s">
        <v>3895</v>
      </c>
      <c r="I1285" s="1454" t="s">
        <v>3896</v>
      </c>
      <c r="J1285" s="1444"/>
      <c r="K1285" s="1444">
        <v>22000000</v>
      </c>
      <c r="L1285" s="1458">
        <f t="shared" si="561"/>
        <v>2200000</v>
      </c>
      <c r="M1285" s="1455"/>
      <c r="N1285" s="1458">
        <f t="shared" si="441"/>
        <v>24200000</v>
      </c>
      <c r="O1285" s="1347" t="s">
        <v>239</v>
      </c>
      <c r="P1285" s="1347" t="s">
        <v>19</v>
      </c>
      <c r="Q1285" s="1348"/>
      <c r="R1285" s="1349"/>
      <c r="S1285" s="1413">
        <v>0</v>
      </c>
      <c r="T1285" s="1413">
        <f t="shared" si="562"/>
        <v>-440000</v>
      </c>
      <c r="U1285" s="1406">
        <v>23760000</v>
      </c>
      <c r="V1285" s="1350"/>
      <c r="W1285" s="1351"/>
      <c r="X1285" s="1352"/>
      <c r="Y1285" s="1229"/>
      <c r="Z1285" s="1353"/>
      <c r="AA1285" s="1354"/>
      <c r="AB1285" s="1355"/>
      <c r="AC1285" s="1344"/>
      <c r="AD1285" s="1356"/>
      <c r="AE1285" s="1356"/>
      <c r="AF1285" s="1344"/>
      <c r="AG1285" s="1344"/>
      <c r="AH1285" s="1357"/>
      <c r="AI1285" s="1344"/>
      <c r="AJ1285" s="1357"/>
      <c r="AK1285" s="1210"/>
    </row>
    <row r="1286" spans="1:37" s="1405" customFormat="1" ht="12" customHeight="1">
      <c r="A1286" s="1440"/>
      <c r="B1286" s="1415" t="s">
        <v>195</v>
      </c>
      <c r="C1286" s="1442">
        <v>12</v>
      </c>
      <c r="D1286" s="1417" t="s">
        <v>2064</v>
      </c>
      <c r="E1286" s="1416" t="s">
        <v>354</v>
      </c>
      <c r="F1286" s="1417" t="s">
        <v>3118</v>
      </c>
      <c r="G1286" s="1454" t="s">
        <v>4</v>
      </c>
      <c r="H1286" s="1454" t="s">
        <v>4062</v>
      </c>
      <c r="I1286" s="1454" t="s">
        <v>4063</v>
      </c>
      <c r="J1286" s="1444"/>
      <c r="K1286" s="1444">
        <v>22000000</v>
      </c>
      <c r="L1286" s="1458">
        <f t="shared" ref="L1286:L1291" si="563">K1286*10%</f>
        <v>2200000</v>
      </c>
      <c r="M1286" s="1455"/>
      <c r="N1286" s="1458">
        <f t="shared" ref="N1286:N1291" si="564">K1286+L1286</f>
        <v>24200000</v>
      </c>
      <c r="O1286" s="1347" t="s">
        <v>239</v>
      </c>
      <c r="P1286" s="1347" t="s">
        <v>31</v>
      </c>
      <c r="Q1286" s="1348"/>
      <c r="R1286" s="1349"/>
      <c r="S1286" s="1413">
        <v>0</v>
      </c>
      <c r="T1286" s="1413">
        <f t="shared" ref="T1286" si="565">-K1286*2%</f>
        <v>-440000</v>
      </c>
      <c r="U1286" s="1406">
        <v>23760000</v>
      </c>
      <c r="V1286" s="1350"/>
      <c r="W1286" s="1351"/>
      <c r="X1286" s="1352"/>
      <c r="Y1286" s="1406"/>
      <c r="Z1286" s="1353"/>
      <c r="AA1286" s="1354"/>
      <c r="AB1286" s="1355"/>
      <c r="AC1286" s="1344"/>
      <c r="AD1286" s="1356"/>
      <c r="AE1286" s="1356"/>
      <c r="AF1286" s="1344"/>
      <c r="AG1286" s="1344"/>
      <c r="AH1286" s="1357"/>
      <c r="AI1286" s="1344"/>
      <c r="AJ1286" s="1357"/>
      <c r="AK1286" s="1404"/>
    </row>
    <row r="1287" spans="1:37" s="1405" customFormat="1" ht="12" customHeight="1">
      <c r="A1287" s="1343"/>
      <c r="B1287" s="1415" t="s">
        <v>239</v>
      </c>
      <c r="C1287" s="1442">
        <v>2</v>
      </c>
      <c r="D1287" s="1417" t="s">
        <v>2064</v>
      </c>
      <c r="E1287" s="1416" t="s">
        <v>354</v>
      </c>
      <c r="F1287" s="1417" t="s">
        <v>3118</v>
      </c>
      <c r="G1287" s="1454" t="s">
        <v>379</v>
      </c>
      <c r="H1287" s="1454" t="s">
        <v>4235</v>
      </c>
      <c r="I1287" s="1454" t="s">
        <v>4236</v>
      </c>
      <c r="J1287" s="1444"/>
      <c r="K1287" s="1444">
        <v>22000000</v>
      </c>
      <c r="L1287" s="1458">
        <f t="shared" si="563"/>
        <v>2200000</v>
      </c>
      <c r="M1287" s="1455"/>
      <c r="N1287" s="1458">
        <f t="shared" si="564"/>
        <v>24200000</v>
      </c>
      <c r="O1287" s="1347" t="s">
        <v>240</v>
      </c>
      <c r="P1287" s="1347" t="s">
        <v>114</v>
      </c>
      <c r="Q1287" s="1348"/>
      <c r="R1287" s="1349"/>
      <c r="S1287" s="1413">
        <v>0</v>
      </c>
      <c r="T1287" s="1413">
        <f t="shared" ref="T1287:T1290" si="566">-K1287*2%</f>
        <v>-440000</v>
      </c>
      <c r="U1287" s="1406">
        <v>23760000</v>
      </c>
      <c r="V1287" s="1350"/>
      <c r="W1287" s="1351"/>
      <c r="X1287" s="1352"/>
      <c r="Y1287" s="1406"/>
      <c r="Z1287" s="1353"/>
      <c r="AA1287" s="1354"/>
      <c r="AB1287" s="1355"/>
      <c r="AC1287" s="1344"/>
      <c r="AD1287" s="1356"/>
      <c r="AE1287" s="1356"/>
      <c r="AF1287" s="1344"/>
      <c r="AG1287" s="1344"/>
      <c r="AH1287" s="1357"/>
      <c r="AI1287" s="1344"/>
      <c r="AJ1287" s="1357"/>
      <c r="AK1287" s="1404"/>
    </row>
    <row r="1288" spans="1:37" s="1405" customFormat="1" ht="12" customHeight="1">
      <c r="A1288" s="1440"/>
      <c r="B1288" s="1415" t="s">
        <v>240</v>
      </c>
      <c r="C1288" s="1442">
        <v>10</v>
      </c>
      <c r="D1288" s="1417" t="s">
        <v>2064</v>
      </c>
      <c r="E1288" s="1416" t="s">
        <v>354</v>
      </c>
      <c r="F1288" s="1417" t="s">
        <v>3118</v>
      </c>
      <c r="G1288" s="1454" t="s">
        <v>5</v>
      </c>
      <c r="H1288" s="1454" t="s">
        <v>4474</v>
      </c>
      <c r="I1288" s="1454" t="s">
        <v>4475</v>
      </c>
      <c r="J1288" s="1444"/>
      <c r="K1288" s="1444">
        <v>22000000</v>
      </c>
      <c r="L1288" s="1458">
        <f t="shared" si="563"/>
        <v>2200000</v>
      </c>
      <c r="M1288" s="1455"/>
      <c r="N1288" s="1458">
        <f t="shared" si="564"/>
        <v>24200000</v>
      </c>
      <c r="O1288" s="1347" t="s">
        <v>58</v>
      </c>
      <c r="P1288" s="1347" t="s">
        <v>99</v>
      </c>
      <c r="Q1288" s="1349"/>
      <c r="R1288" s="1349"/>
      <c r="S1288" s="1413">
        <v>0</v>
      </c>
      <c r="T1288" s="1413">
        <f t="shared" si="566"/>
        <v>-440000</v>
      </c>
      <c r="U1288" s="1406">
        <v>23760000</v>
      </c>
      <c r="V1288" s="1350"/>
      <c r="W1288" s="1351"/>
      <c r="X1288" s="1352"/>
      <c r="Y1288" s="1406"/>
      <c r="Z1288" s="1353"/>
      <c r="AA1288" s="1354"/>
      <c r="AB1288" s="1355"/>
      <c r="AC1288" s="1344"/>
      <c r="AD1288" s="1356"/>
      <c r="AE1288" s="1356"/>
      <c r="AF1288" s="1344"/>
      <c r="AG1288" s="1344"/>
      <c r="AH1288" s="1357"/>
      <c r="AI1288" s="1344"/>
      <c r="AJ1288" s="1357"/>
      <c r="AK1288" s="1404"/>
    </row>
    <row r="1289" spans="1:37" s="1439" customFormat="1" ht="12" customHeight="1">
      <c r="A1289" s="1440"/>
      <c r="B1289" s="1390" t="s">
        <v>58</v>
      </c>
      <c r="C1289" s="1344">
        <v>17</v>
      </c>
      <c r="D1289" s="1401" t="s">
        <v>2064</v>
      </c>
      <c r="E1289" s="1400" t="s">
        <v>354</v>
      </c>
      <c r="F1289" s="1401" t="s">
        <v>3118</v>
      </c>
      <c r="G1289" s="1398" t="s">
        <v>57</v>
      </c>
      <c r="H1289" s="1398" t="s">
        <v>4645</v>
      </c>
      <c r="I1289" s="1398" t="s">
        <v>4646</v>
      </c>
      <c r="J1289" s="1406"/>
      <c r="K1289" s="1406">
        <v>22000000</v>
      </c>
      <c r="L1289" s="1230">
        <f t="shared" si="563"/>
        <v>2200000</v>
      </c>
      <c r="M1289" s="1346"/>
      <c r="N1289" s="1230">
        <f t="shared" si="564"/>
        <v>24200000</v>
      </c>
      <c r="O1289" s="1443"/>
      <c r="P1289" s="1443"/>
      <c r="Q1289" s="1348"/>
      <c r="R1289" s="1348"/>
      <c r="S1289" s="1419"/>
      <c r="T1289" s="1419">
        <f t="shared" si="566"/>
        <v>-440000</v>
      </c>
      <c r="U1289" s="1444"/>
      <c r="V1289" s="1445"/>
      <c r="W1289" s="1446"/>
      <c r="X1289" s="1447"/>
      <c r="Y1289" s="1444"/>
      <c r="Z1289" s="1448"/>
      <c r="AA1289" s="1449"/>
      <c r="AB1289" s="1450"/>
      <c r="AC1289" s="1442"/>
      <c r="AD1289" s="1451"/>
      <c r="AE1289" s="1451"/>
      <c r="AF1289" s="1442"/>
      <c r="AG1289" s="1442"/>
      <c r="AH1289" s="1452"/>
      <c r="AI1289" s="1442"/>
      <c r="AJ1289" s="1452"/>
      <c r="AK1289" s="1438"/>
    </row>
    <row r="1290" spans="1:37" s="1405" customFormat="1" ht="12" customHeight="1">
      <c r="A1290" s="1343"/>
      <c r="B1290" s="1390" t="s">
        <v>241</v>
      </c>
      <c r="C1290" s="1344">
        <v>26</v>
      </c>
      <c r="D1290" s="1401" t="s">
        <v>2064</v>
      </c>
      <c r="E1290" s="1400" t="s">
        <v>354</v>
      </c>
      <c r="F1290" s="1401" t="s">
        <v>3118</v>
      </c>
      <c r="G1290" s="1398" t="s">
        <v>58</v>
      </c>
      <c r="H1290" s="1398" t="s">
        <v>4813</v>
      </c>
      <c r="I1290" s="1398" t="s">
        <v>4814</v>
      </c>
      <c r="J1290" s="1406"/>
      <c r="K1290" s="1406">
        <v>22000000</v>
      </c>
      <c r="L1290" s="1230">
        <f t="shared" si="563"/>
        <v>2200000</v>
      </c>
      <c r="M1290" s="1346"/>
      <c r="N1290" s="1230">
        <f t="shared" si="564"/>
        <v>24200000</v>
      </c>
      <c r="O1290" s="1347"/>
      <c r="P1290" s="1347"/>
      <c r="Q1290" s="1349"/>
      <c r="R1290" s="1349"/>
      <c r="S1290" s="1413"/>
      <c r="T1290" s="1413">
        <f t="shared" si="566"/>
        <v>-440000</v>
      </c>
      <c r="U1290" s="1406"/>
      <c r="V1290" s="1350"/>
      <c r="W1290" s="1351"/>
      <c r="X1290" s="1352"/>
      <c r="Y1290" s="1406"/>
      <c r="Z1290" s="1353"/>
      <c r="AA1290" s="1354"/>
      <c r="AB1290" s="1355"/>
      <c r="AC1290" s="1344"/>
      <c r="AD1290" s="1356"/>
      <c r="AE1290" s="1356"/>
      <c r="AF1290" s="1344"/>
      <c r="AG1290" s="1344"/>
      <c r="AH1290" s="1357"/>
      <c r="AI1290" s="1344"/>
      <c r="AJ1290" s="1357"/>
      <c r="AK1290" s="1404"/>
    </row>
    <row r="1291" spans="1:37" s="1405" customFormat="1" ht="12" customHeight="1">
      <c r="A1291" s="1440"/>
      <c r="B1291" s="1415" t="s">
        <v>195</v>
      </c>
      <c r="C1291" s="1442">
        <v>21</v>
      </c>
      <c r="D1291" s="1417" t="s">
        <v>4121</v>
      </c>
      <c r="E1291" s="1416" t="s">
        <v>4122</v>
      </c>
      <c r="F1291" s="1417" t="s">
        <v>4123</v>
      </c>
      <c r="G1291" s="1454"/>
      <c r="H1291" s="1454" t="s">
        <v>4124</v>
      </c>
      <c r="I1291" s="1454" t="s">
        <v>4125</v>
      </c>
      <c r="J1291" s="1444"/>
      <c r="K1291" s="1444">
        <v>38181818</v>
      </c>
      <c r="L1291" s="1458">
        <f t="shared" si="563"/>
        <v>3818181.8000000003</v>
      </c>
      <c r="M1291" s="1455"/>
      <c r="N1291" s="1458">
        <f t="shared" si="564"/>
        <v>41999999.799999997</v>
      </c>
      <c r="O1291" s="1347" t="s">
        <v>195</v>
      </c>
      <c r="P1291" s="1347" t="s">
        <v>89</v>
      </c>
      <c r="Q1291" s="1348"/>
      <c r="R1291" s="1349"/>
      <c r="S1291" s="1413">
        <v>0</v>
      </c>
      <c r="T1291" s="1413">
        <f t="shared" ref="T1291" si="567">-K1291*2%</f>
        <v>-763636.36</v>
      </c>
      <c r="U1291" s="1406">
        <v>41236364</v>
      </c>
      <c r="V1291" s="1350"/>
      <c r="W1291" s="1351"/>
      <c r="X1291" s="1352"/>
      <c r="Y1291" s="1406"/>
      <c r="Z1291" s="1353"/>
      <c r="AA1291" s="1354"/>
      <c r="AB1291" s="1355"/>
      <c r="AC1291" s="1344"/>
      <c r="AD1291" s="1356"/>
      <c r="AE1291" s="1356"/>
      <c r="AF1291" s="1344"/>
      <c r="AG1291" s="1344"/>
      <c r="AH1291" s="1357"/>
      <c r="AI1291" s="1344"/>
      <c r="AJ1291" s="1357"/>
      <c r="AK1291" s="1404"/>
    </row>
    <row r="1292" spans="1:37" s="1439" customFormat="1" ht="12" customHeight="1">
      <c r="A1292" s="1440"/>
      <c r="B1292" s="1415" t="s">
        <v>239</v>
      </c>
      <c r="C1292" s="1442">
        <v>13</v>
      </c>
      <c r="D1292" s="1417" t="s">
        <v>2894</v>
      </c>
      <c r="E1292" s="1416" t="s">
        <v>4036</v>
      </c>
      <c r="F1292" s="1417" t="s">
        <v>4038</v>
      </c>
      <c r="G1292" s="1454" t="s">
        <v>4037</v>
      </c>
      <c r="H1292" s="1454" t="s">
        <v>4312</v>
      </c>
      <c r="I1292" s="1454" t="s">
        <v>4313</v>
      </c>
      <c r="J1292" s="1444"/>
      <c r="K1292" s="1444">
        <v>80000000</v>
      </c>
      <c r="L1292" s="1458">
        <f t="shared" ref="L1292:L1301" si="568">K1292*10%</f>
        <v>8000000</v>
      </c>
      <c r="M1292" s="1455"/>
      <c r="N1292" s="1458">
        <f t="shared" ref="N1292:N1301" si="569">K1292+L1292</f>
        <v>88000000</v>
      </c>
      <c r="O1292" s="1443" t="s">
        <v>239</v>
      </c>
      <c r="P1292" s="1443" t="s">
        <v>91</v>
      </c>
      <c r="Q1292" s="1348"/>
      <c r="R1292" s="1348"/>
      <c r="S1292" s="1413">
        <v>0</v>
      </c>
      <c r="T1292" s="1413">
        <f t="shared" ref="T1292" si="570">-K1292*2%</f>
        <v>-1600000</v>
      </c>
      <c r="U1292" s="1406">
        <v>86400000</v>
      </c>
      <c r="V1292" s="1445"/>
      <c r="W1292" s="1446"/>
      <c r="X1292" s="1447"/>
      <c r="Y1292" s="1444"/>
      <c r="Z1292" s="1448"/>
      <c r="AA1292" s="1449"/>
      <c r="AB1292" s="1450"/>
      <c r="AC1292" s="1442"/>
      <c r="AD1292" s="1451"/>
      <c r="AE1292" s="1451"/>
      <c r="AF1292" s="1442"/>
      <c r="AG1292" s="1442"/>
      <c r="AH1292" s="1452"/>
      <c r="AI1292" s="1442"/>
      <c r="AJ1292" s="1452"/>
      <c r="AK1292" s="1438"/>
    </row>
    <row r="1293" spans="1:37" s="1439" customFormat="1" ht="12" customHeight="1">
      <c r="A1293" s="1440"/>
      <c r="B1293" s="1415" t="s">
        <v>239</v>
      </c>
      <c r="C1293" s="1442">
        <v>13</v>
      </c>
      <c r="D1293" s="1417" t="s">
        <v>2894</v>
      </c>
      <c r="E1293" s="1416" t="s">
        <v>4036</v>
      </c>
      <c r="F1293" s="1417" t="s">
        <v>4039</v>
      </c>
      <c r="G1293" s="1454" t="s">
        <v>4037</v>
      </c>
      <c r="H1293" s="1454" t="s">
        <v>4314</v>
      </c>
      <c r="I1293" s="1454" t="s">
        <v>4315</v>
      </c>
      <c r="J1293" s="1444"/>
      <c r="K1293" s="1444">
        <v>20000000</v>
      </c>
      <c r="L1293" s="1458">
        <f t="shared" si="568"/>
        <v>2000000</v>
      </c>
      <c r="M1293" s="1455"/>
      <c r="N1293" s="1458">
        <f t="shared" si="569"/>
        <v>22000000</v>
      </c>
      <c r="O1293" s="1443" t="s">
        <v>239</v>
      </c>
      <c r="P1293" s="1443" t="s">
        <v>106</v>
      </c>
      <c r="Q1293" s="1348"/>
      <c r="R1293" s="1348"/>
      <c r="S1293" s="1413">
        <v>0</v>
      </c>
      <c r="T1293" s="1413">
        <f t="shared" ref="T1293" si="571">-K1293*2%</f>
        <v>-400000</v>
      </c>
      <c r="U1293" s="1444">
        <v>21600000</v>
      </c>
      <c r="V1293" s="1445"/>
      <c r="W1293" s="1446"/>
      <c r="X1293" s="1447"/>
      <c r="Y1293" s="1444"/>
      <c r="Z1293" s="1448"/>
      <c r="AA1293" s="1449"/>
      <c r="AB1293" s="1450"/>
      <c r="AC1293" s="1442"/>
      <c r="AD1293" s="1451"/>
      <c r="AE1293" s="1451"/>
      <c r="AF1293" s="1442"/>
      <c r="AG1293" s="1442"/>
      <c r="AH1293" s="1452"/>
      <c r="AI1293" s="1442"/>
      <c r="AJ1293" s="1452"/>
      <c r="AK1293" s="1438"/>
    </row>
    <row r="1294" spans="1:37" s="1439" customFormat="1" ht="12" customHeight="1">
      <c r="A1294" s="1440"/>
      <c r="B1294" s="1415" t="s">
        <v>239</v>
      </c>
      <c r="C1294" s="1442">
        <v>20</v>
      </c>
      <c r="D1294" s="1417" t="s">
        <v>2894</v>
      </c>
      <c r="E1294" s="1416" t="s">
        <v>4036</v>
      </c>
      <c r="F1294" s="1417" t="s">
        <v>4038</v>
      </c>
      <c r="G1294" s="1454" t="s">
        <v>379</v>
      </c>
      <c r="H1294" s="1454" t="s">
        <v>4321</v>
      </c>
      <c r="I1294" s="1454" t="s">
        <v>4322</v>
      </c>
      <c r="J1294" s="1444"/>
      <c r="K1294" s="1444">
        <v>11960000</v>
      </c>
      <c r="L1294" s="1458">
        <f t="shared" si="568"/>
        <v>1196000</v>
      </c>
      <c r="M1294" s="1455"/>
      <c r="N1294" s="1458">
        <f t="shared" si="569"/>
        <v>13156000</v>
      </c>
      <c r="O1294" s="1443" t="s">
        <v>58</v>
      </c>
      <c r="P1294" s="1443" t="s">
        <v>94</v>
      </c>
      <c r="Q1294" s="1348"/>
      <c r="R1294" s="1348"/>
      <c r="S1294" s="1419">
        <v>0</v>
      </c>
      <c r="T1294" s="1419">
        <f t="shared" ref="T1294:T1301" si="572">-K1294*2%</f>
        <v>-239200</v>
      </c>
      <c r="U1294" s="1444">
        <v>12916800</v>
      </c>
      <c r="V1294" s="1445"/>
      <c r="W1294" s="1446"/>
      <c r="X1294" s="1447"/>
      <c r="Y1294" s="1444"/>
      <c r="Z1294" s="1448"/>
      <c r="AA1294" s="1449"/>
      <c r="AB1294" s="1450"/>
      <c r="AC1294" s="1442"/>
      <c r="AD1294" s="1451"/>
      <c r="AE1294" s="1451"/>
      <c r="AF1294" s="1442"/>
      <c r="AG1294" s="1442"/>
      <c r="AH1294" s="1452"/>
      <c r="AI1294" s="1442"/>
      <c r="AJ1294" s="1452"/>
      <c r="AK1294" s="1438"/>
    </row>
    <row r="1295" spans="1:37" s="1439" customFormat="1" ht="12" customHeight="1">
      <c r="A1295" s="1440"/>
      <c r="B1295" s="1415" t="s">
        <v>239</v>
      </c>
      <c r="C1295" s="1442">
        <v>21</v>
      </c>
      <c r="D1295" s="1417" t="s">
        <v>2894</v>
      </c>
      <c r="E1295" s="1416" t="s">
        <v>4036</v>
      </c>
      <c r="F1295" s="1417" t="s">
        <v>4323</v>
      </c>
      <c r="G1295" s="1454" t="s">
        <v>379</v>
      </c>
      <c r="H1295" s="1454" t="s">
        <v>4324</v>
      </c>
      <c r="I1295" s="1454" t="s">
        <v>4325</v>
      </c>
      <c r="J1295" s="1444"/>
      <c r="K1295" s="1444">
        <v>2990000</v>
      </c>
      <c r="L1295" s="1458">
        <f t="shared" si="568"/>
        <v>299000</v>
      </c>
      <c r="M1295" s="1455"/>
      <c r="N1295" s="1458">
        <f t="shared" si="569"/>
        <v>3289000</v>
      </c>
      <c r="O1295" s="1443" t="s">
        <v>58</v>
      </c>
      <c r="P1295" s="1443" t="s">
        <v>94</v>
      </c>
      <c r="Q1295" s="1348"/>
      <c r="R1295" s="1348"/>
      <c r="S1295" s="1419">
        <v>0</v>
      </c>
      <c r="T1295" s="1419">
        <f t="shared" si="572"/>
        <v>-59800</v>
      </c>
      <c r="U1295" s="1444">
        <v>3229200</v>
      </c>
      <c r="V1295" s="1445"/>
      <c r="W1295" s="1446"/>
      <c r="X1295" s="1447"/>
      <c r="Y1295" s="1444"/>
      <c r="Z1295" s="1448"/>
      <c r="AA1295" s="1449"/>
      <c r="AB1295" s="1450"/>
      <c r="AC1295" s="1442"/>
      <c r="AD1295" s="1451"/>
      <c r="AE1295" s="1451"/>
      <c r="AF1295" s="1442"/>
      <c r="AG1295" s="1442"/>
      <c r="AH1295" s="1452"/>
      <c r="AI1295" s="1442"/>
      <c r="AJ1295" s="1452"/>
      <c r="AK1295" s="1438"/>
    </row>
    <row r="1296" spans="1:37" s="1439" customFormat="1" ht="12" customHeight="1">
      <c r="A1296" s="1440"/>
      <c r="B1296" s="1415" t="s">
        <v>240</v>
      </c>
      <c r="C1296" s="1442">
        <v>13</v>
      </c>
      <c r="D1296" s="1417" t="s">
        <v>2894</v>
      </c>
      <c r="E1296" s="1416" t="s">
        <v>4036</v>
      </c>
      <c r="F1296" s="1417" t="s">
        <v>4038</v>
      </c>
      <c r="G1296" s="1454" t="s">
        <v>5</v>
      </c>
      <c r="H1296" s="1454" t="s">
        <v>4521</v>
      </c>
      <c r="I1296" s="1454" t="s">
        <v>4522</v>
      </c>
      <c r="J1296" s="1444"/>
      <c r="K1296" s="1444">
        <v>11960000</v>
      </c>
      <c r="L1296" s="1458">
        <f t="shared" si="568"/>
        <v>1196000</v>
      </c>
      <c r="M1296" s="1455"/>
      <c r="N1296" s="1458">
        <f t="shared" si="569"/>
        <v>13156000</v>
      </c>
      <c r="O1296" s="1443" t="s">
        <v>58</v>
      </c>
      <c r="P1296" s="1443" t="s">
        <v>93</v>
      </c>
      <c r="Q1296" s="1348"/>
      <c r="R1296" s="1348"/>
      <c r="S1296" s="1419">
        <v>0</v>
      </c>
      <c r="T1296" s="1419">
        <f t="shared" si="572"/>
        <v>-239200</v>
      </c>
      <c r="U1296" s="1444">
        <v>12916800</v>
      </c>
      <c r="V1296" s="1445"/>
      <c r="W1296" s="1446"/>
      <c r="X1296" s="1447"/>
      <c r="Y1296" s="1444"/>
      <c r="Z1296" s="1448"/>
      <c r="AA1296" s="1449"/>
      <c r="AB1296" s="1450"/>
      <c r="AC1296" s="1442"/>
      <c r="AD1296" s="1451"/>
      <c r="AE1296" s="1451"/>
      <c r="AF1296" s="1442"/>
      <c r="AG1296" s="1442"/>
      <c r="AH1296" s="1452"/>
      <c r="AI1296" s="1442"/>
      <c r="AJ1296" s="1452"/>
      <c r="AK1296" s="1438"/>
    </row>
    <row r="1297" spans="1:37" s="1439" customFormat="1" ht="12" customHeight="1">
      <c r="A1297" s="1440"/>
      <c r="B1297" s="1415" t="s">
        <v>240</v>
      </c>
      <c r="C1297" s="1442">
        <v>13</v>
      </c>
      <c r="D1297" s="1417" t="s">
        <v>2894</v>
      </c>
      <c r="E1297" s="1416" t="s">
        <v>4036</v>
      </c>
      <c r="F1297" s="1417" t="s">
        <v>4323</v>
      </c>
      <c r="G1297" s="1454" t="s">
        <v>5</v>
      </c>
      <c r="H1297" s="1454" t="s">
        <v>4523</v>
      </c>
      <c r="I1297" s="1454" t="s">
        <v>4524</v>
      </c>
      <c r="J1297" s="1444"/>
      <c r="K1297" s="1444">
        <v>2990000</v>
      </c>
      <c r="L1297" s="1458">
        <f t="shared" si="568"/>
        <v>299000</v>
      </c>
      <c r="M1297" s="1455"/>
      <c r="N1297" s="1458">
        <f t="shared" si="569"/>
        <v>3289000</v>
      </c>
      <c r="O1297" s="1443" t="s">
        <v>58</v>
      </c>
      <c r="P1297" s="1443" t="s">
        <v>93</v>
      </c>
      <c r="Q1297" s="1348"/>
      <c r="R1297" s="1348"/>
      <c r="S1297" s="1419">
        <v>0</v>
      </c>
      <c r="T1297" s="1419">
        <f t="shared" si="572"/>
        <v>-59800</v>
      </c>
      <c r="U1297" s="1444">
        <v>3229200</v>
      </c>
      <c r="V1297" s="1445"/>
      <c r="W1297" s="1446"/>
      <c r="X1297" s="1447"/>
      <c r="Y1297" s="1444"/>
      <c r="Z1297" s="1448"/>
      <c r="AA1297" s="1449"/>
      <c r="AB1297" s="1450"/>
      <c r="AC1297" s="1442"/>
      <c r="AD1297" s="1451"/>
      <c r="AE1297" s="1451"/>
      <c r="AF1297" s="1442"/>
      <c r="AG1297" s="1442"/>
      <c r="AH1297" s="1452"/>
      <c r="AI1297" s="1442"/>
      <c r="AJ1297" s="1452"/>
      <c r="AK1297" s="1438"/>
    </row>
    <row r="1298" spans="1:37" s="1405" customFormat="1" ht="12" customHeight="1">
      <c r="A1298" s="1343"/>
      <c r="B1298" s="1390" t="s">
        <v>58</v>
      </c>
      <c r="C1298" s="1344">
        <v>14</v>
      </c>
      <c r="D1298" s="1401" t="s">
        <v>2894</v>
      </c>
      <c r="E1298" s="1400" t="s">
        <v>4036</v>
      </c>
      <c r="F1298" s="1401" t="s">
        <v>4038</v>
      </c>
      <c r="G1298" s="1398" t="s">
        <v>57</v>
      </c>
      <c r="H1298" s="1398" t="s">
        <v>4592</v>
      </c>
      <c r="I1298" s="1398" t="s">
        <v>4593</v>
      </c>
      <c r="J1298" s="1406"/>
      <c r="K1298" s="1406">
        <v>11960000</v>
      </c>
      <c r="L1298" s="1230">
        <f t="shared" si="568"/>
        <v>1196000</v>
      </c>
      <c r="M1298" s="1346"/>
      <c r="N1298" s="1230">
        <f t="shared" si="569"/>
        <v>13156000</v>
      </c>
      <c r="O1298" s="1347"/>
      <c r="P1298" s="1347"/>
      <c r="Q1298" s="1348"/>
      <c r="R1298" s="1349"/>
      <c r="S1298" s="1413"/>
      <c r="T1298" s="1413">
        <f t="shared" si="572"/>
        <v>-239200</v>
      </c>
      <c r="U1298" s="1406"/>
      <c r="V1298" s="1350"/>
      <c r="W1298" s="1351"/>
      <c r="X1298" s="1352"/>
      <c r="Y1298" s="1406"/>
      <c r="Z1298" s="1353"/>
      <c r="AA1298" s="1354"/>
      <c r="AB1298" s="1355"/>
      <c r="AC1298" s="1344"/>
      <c r="AD1298" s="1356"/>
      <c r="AE1298" s="1356"/>
      <c r="AF1298" s="1344"/>
      <c r="AG1298" s="1344"/>
      <c r="AH1298" s="1357"/>
      <c r="AI1298" s="1344"/>
      <c r="AJ1298" s="1357"/>
      <c r="AK1298" s="1404"/>
    </row>
    <row r="1299" spans="1:37" s="1405" customFormat="1" ht="12" customHeight="1">
      <c r="A1299" s="1343"/>
      <c r="B1299" s="1390" t="s">
        <v>58</v>
      </c>
      <c r="C1299" s="1344">
        <v>14</v>
      </c>
      <c r="D1299" s="1401" t="s">
        <v>2894</v>
      </c>
      <c r="E1299" s="1400" t="s">
        <v>4036</v>
      </c>
      <c r="F1299" s="1401" t="s">
        <v>4323</v>
      </c>
      <c r="G1299" s="1398" t="s">
        <v>57</v>
      </c>
      <c r="H1299" s="1398" t="s">
        <v>4594</v>
      </c>
      <c r="I1299" s="1398" t="s">
        <v>4595</v>
      </c>
      <c r="J1299" s="1406"/>
      <c r="K1299" s="1406">
        <v>2990000</v>
      </c>
      <c r="L1299" s="1230">
        <f t="shared" si="568"/>
        <v>299000</v>
      </c>
      <c r="M1299" s="1346"/>
      <c r="N1299" s="1230">
        <f t="shared" si="569"/>
        <v>3289000</v>
      </c>
      <c r="O1299" s="1347"/>
      <c r="P1299" s="1347"/>
      <c r="Q1299" s="1348"/>
      <c r="R1299" s="1349"/>
      <c r="S1299" s="1413"/>
      <c r="T1299" s="1413">
        <f t="shared" si="572"/>
        <v>-59800</v>
      </c>
      <c r="U1299" s="1406"/>
      <c r="V1299" s="1350"/>
      <c r="W1299" s="1351"/>
      <c r="X1299" s="1352"/>
      <c r="Y1299" s="1406"/>
      <c r="Z1299" s="1353"/>
      <c r="AA1299" s="1354"/>
      <c r="AB1299" s="1355"/>
      <c r="AC1299" s="1344"/>
      <c r="AD1299" s="1356"/>
      <c r="AE1299" s="1356"/>
      <c r="AF1299" s="1344"/>
      <c r="AG1299" s="1344"/>
      <c r="AH1299" s="1357"/>
      <c r="AI1299" s="1344"/>
      <c r="AJ1299" s="1357"/>
      <c r="AK1299" s="1404"/>
    </row>
    <row r="1300" spans="1:37" s="1405" customFormat="1" ht="12" customHeight="1">
      <c r="A1300" s="1343"/>
      <c r="B1300" s="1390" t="s">
        <v>241</v>
      </c>
      <c r="C1300" s="1344">
        <v>25</v>
      </c>
      <c r="D1300" s="1401" t="s">
        <v>2894</v>
      </c>
      <c r="E1300" s="1400" t="s">
        <v>4036</v>
      </c>
      <c r="F1300" s="1401" t="s">
        <v>4038</v>
      </c>
      <c r="G1300" s="1398" t="s">
        <v>58</v>
      </c>
      <c r="H1300" s="1398" t="s">
        <v>4781</v>
      </c>
      <c r="I1300" s="1398" t="s">
        <v>4782</v>
      </c>
      <c r="J1300" s="1406"/>
      <c r="K1300" s="1406">
        <v>11960000</v>
      </c>
      <c r="L1300" s="1230">
        <f t="shared" si="568"/>
        <v>1196000</v>
      </c>
      <c r="M1300" s="1346"/>
      <c r="N1300" s="1230">
        <f t="shared" si="569"/>
        <v>13156000</v>
      </c>
      <c r="O1300" s="1347"/>
      <c r="P1300" s="1347"/>
      <c r="Q1300" s="1348"/>
      <c r="R1300" s="1349"/>
      <c r="S1300" s="1413"/>
      <c r="T1300" s="1413">
        <f t="shared" si="572"/>
        <v>-239200</v>
      </c>
      <c r="U1300" s="1406"/>
      <c r="V1300" s="1350"/>
      <c r="W1300" s="1351"/>
      <c r="X1300" s="1352"/>
      <c r="Y1300" s="1406"/>
      <c r="Z1300" s="1353"/>
      <c r="AA1300" s="1354"/>
      <c r="AB1300" s="1355"/>
      <c r="AC1300" s="1344"/>
      <c r="AD1300" s="1356"/>
      <c r="AE1300" s="1356"/>
      <c r="AF1300" s="1344"/>
      <c r="AG1300" s="1344"/>
      <c r="AH1300" s="1357"/>
      <c r="AI1300" s="1344"/>
      <c r="AJ1300" s="1357"/>
      <c r="AK1300" s="1404"/>
    </row>
    <row r="1301" spans="1:37" s="1405" customFormat="1" ht="12" customHeight="1">
      <c r="A1301" s="1343"/>
      <c r="B1301" s="1390" t="s">
        <v>241</v>
      </c>
      <c r="C1301" s="1344">
        <v>25</v>
      </c>
      <c r="D1301" s="1401" t="s">
        <v>2894</v>
      </c>
      <c r="E1301" s="1400" t="s">
        <v>4036</v>
      </c>
      <c r="F1301" s="1401" t="s">
        <v>4323</v>
      </c>
      <c r="G1301" s="1398" t="s">
        <v>58</v>
      </c>
      <c r="H1301" s="1398" t="s">
        <v>4594</v>
      </c>
      <c r="I1301" s="1398" t="s">
        <v>4783</v>
      </c>
      <c r="J1301" s="1406"/>
      <c r="K1301" s="1406">
        <v>2990000</v>
      </c>
      <c r="L1301" s="1230">
        <f t="shared" si="568"/>
        <v>299000</v>
      </c>
      <c r="M1301" s="1346"/>
      <c r="N1301" s="1230">
        <f t="shared" si="569"/>
        <v>3289000</v>
      </c>
      <c r="O1301" s="1347"/>
      <c r="P1301" s="1347"/>
      <c r="Q1301" s="1348"/>
      <c r="R1301" s="1349"/>
      <c r="S1301" s="1413"/>
      <c r="T1301" s="1413">
        <f t="shared" si="572"/>
        <v>-59800</v>
      </c>
      <c r="U1301" s="1406"/>
      <c r="V1301" s="1350"/>
      <c r="W1301" s="1351"/>
      <c r="X1301" s="1352"/>
      <c r="Y1301" s="1406"/>
      <c r="Z1301" s="1353"/>
      <c r="AA1301" s="1354"/>
      <c r="AB1301" s="1355"/>
      <c r="AC1301" s="1344"/>
      <c r="AD1301" s="1356"/>
      <c r="AE1301" s="1356"/>
      <c r="AF1301" s="1344"/>
      <c r="AG1301" s="1344"/>
      <c r="AH1301" s="1357"/>
      <c r="AI1301" s="1344"/>
      <c r="AJ1301" s="1357"/>
      <c r="AK1301" s="1404"/>
    </row>
    <row r="1302" spans="1:37" s="1211" customFormat="1" ht="12" customHeight="1">
      <c r="A1302" s="1399"/>
      <c r="B1302" s="1390" t="s">
        <v>245</v>
      </c>
      <c r="C1302" s="1391">
        <v>23</v>
      </c>
      <c r="D1302" s="1392" t="s">
        <v>430</v>
      </c>
      <c r="E1302" s="1393" t="s">
        <v>364</v>
      </c>
      <c r="F1302" s="1506" t="s">
        <v>3063</v>
      </c>
      <c r="G1302" s="1393" t="s">
        <v>641</v>
      </c>
      <c r="H1302" s="1393" t="s">
        <v>3454</v>
      </c>
      <c r="I1302" s="1393" t="s">
        <v>3456</v>
      </c>
      <c r="J1302" s="1396"/>
      <c r="K1302" s="1395">
        <v>18500000</v>
      </c>
      <c r="L1302" s="1395">
        <v>1850000</v>
      </c>
      <c r="M1302" s="1396"/>
      <c r="N1302" s="1394">
        <v>20350000</v>
      </c>
      <c r="O1302" s="1397"/>
      <c r="P1302" s="1397"/>
      <c r="Q1302" s="1382"/>
      <c r="R1302" s="1382"/>
      <c r="S1302" s="1381"/>
      <c r="T1302" s="1381"/>
      <c r="U1302" s="1381"/>
      <c r="V1302" s="1386"/>
      <c r="W1302" s="1380"/>
      <c r="X1302" s="1383"/>
      <c r="Y1302" s="1381"/>
      <c r="Z1302" s="1384"/>
      <c r="AA1302" s="1389"/>
      <c r="AB1302" s="1385"/>
      <c r="AC1302" s="1378"/>
      <c r="AD1302" s="1387"/>
      <c r="AE1302" s="1387"/>
      <c r="AF1302" s="1378"/>
      <c r="AG1302" s="1378"/>
      <c r="AH1302" s="1388"/>
      <c r="AI1302" s="1378"/>
      <c r="AJ1302" s="1388"/>
      <c r="AK1302" s="1379"/>
    </row>
    <row r="1303" spans="1:37" s="1211" customFormat="1" ht="12" customHeight="1">
      <c r="A1303" s="1399"/>
      <c r="B1303" s="1390" t="s">
        <v>238</v>
      </c>
      <c r="C1303" s="1391">
        <v>23</v>
      </c>
      <c r="D1303" s="1392" t="s">
        <v>430</v>
      </c>
      <c r="E1303" s="1393" t="s">
        <v>364</v>
      </c>
      <c r="F1303" s="1506" t="s">
        <v>3063</v>
      </c>
      <c r="G1303" s="1393" t="s">
        <v>1616</v>
      </c>
      <c r="H1303" s="1393" t="s">
        <v>3615</v>
      </c>
      <c r="I1303" s="1393" t="s">
        <v>3616</v>
      </c>
      <c r="J1303" s="1396"/>
      <c r="K1303" s="1395">
        <v>18500000</v>
      </c>
      <c r="L1303" s="1395">
        <v>1850000</v>
      </c>
      <c r="M1303" s="1396"/>
      <c r="N1303" s="1394">
        <v>20350000</v>
      </c>
      <c r="O1303" s="1397"/>
      <c r="P1303" s="1397"/>
      <c r="Q1303" s="1382"/>
      <c r="R1303" s="1382"/>
      <c r="S1303" s="1381"/>
      <c r="T1303" s="1381"/>
      <c r="U1303" s="1381"/>
      <c r="V1303" s="1386"/>
      <c r="W1303" s="1380"/>
      <c r="X1303" s="1383"/>
      <c r="Y1303" s="1381"/>
      <c r="Z1303" s="1384"/>
      <c r="AA1303" s="1389"/>
      <c r="AB1303" s="1385"/>
      <c r="AC1303" s="1378"/>
      <c r="AD1303" s="1387"/>
      <c r="AE1303" s="1387"/>
      <c r="AF1303" s="1378"/>
      <c r="AG1303" s="1378"/>
      <c r="AH1303" s="1388"/>
      <c r="AI1303" s="1378"/>
      <c r="AJ1303" s="1388"/>
      <c r="AK1303" s="1379"/>
    </row>
    <row r="1304" spans="1:37" s="1211" customFormat="1" ht="12" customHeight="1">
      <c r="A1304" s="1399"/>
      <c r="B1304" s="1390" t="s">
        <v>140</v>
      </c>
      <c r="C1304" s="1391">
        <v>16</v>
      </c>
      <c r="D1304" s="1392" t="s">
        <v>430</v>
      </c>
      <c r="E1304" s="1393" t="s">
        <v>364</v>
      </c>
      <c r="F1304" s="1506" t="s">
        <v>3063</v>
      </c>
      <c r="G1304" s="1393" t="s">
        <v>1617</v>
      </c>
      <c r="H1304" s="1393" t="s">
        <v>3764</v>
      </c>
      <c r="I1304" s="1393" t="s">
        <v>3765</v>
      </c>
      <c r="J1304" s="1396"/>
      <c r="K1304" s="1395">
        <v>18500000</v>
      </c>
      <c r="L1304" s="1395">
        <v>1850000</v>
      </c>
      <c r="M1304" s="1396"/>
      <c r="N1304" s="1394">
        <v>20350000</v>
      </c>
      <c r="O1304" s="1397"/>
      <c r="P1304" s="1397"/>
      <c r="Q1304" s="1382"/>
      <c r="R1304" s="1382"/>
      <c r="S1304" s="1381"/>
      <c r="T1304" s="1381"/>
      <c r="U1304" s="1381"/>
      <c r="V1304" s="1386"/>
      <c r="W1304" s="1380"/>
      <c r="X1304" s="1383"/>
      <c r="Y1304" s="1381"/>
      <c r="Z1304" s="1384"/>
      <c r="AA1304" s="1389"/>
      <c r="AB1304" s="1385"/>
      <c r="AC1304" s="1378"/>
      <c r="AD1304" s="1387"/>
      <c r="AE1304" s="1387"/>
      <c r="AF1304" s="1378"/>
      <c r="AG1304" s="1378"/>
      <c r="AH1304" s="1388"/>
      <c r="AI1304" s="1378"/>
      <c r="AJ1304" s="1388"/>
      <c r="AK1304" s="1379"/>
    </row>
    <row r="1305" spans="1:37" s="1211" customFormat="1" ht="12" customHeight="1">
      <c r="A1305" s="1343"/>
      <c r="B1305" s="1344" t="s">
        <v>194</v>
      </c>
      <c r="C1305" s="1344">
        <v>22</v>
      </c>
      <c r="D1305" s="1392" t="s">
        <v>430</v>
      </c>
      <c r="E1305" s="1393" t="s">
        <v>364</v>
      </c>
      <c r="F1305" s="1506" t="s">
        <v>3063</v>
      </c>
      <c r="G1305" s="1393" t="s">
        <v>4</v>
      </c>
      <c r="H1305" s="1398" t="s">
        <v>3904</v>
      </c>
      <c r="I1305" s="1398" t="s">
        <v>3905</v>
      </c>
      <c r="J1305" s="1229"/>
      <c r="K1305" s="1229">
        <v>18500000</v>
      </c>
      <c r="L1305" s="1395">
        <v>1850000</v>
      </c>
      <c r="M1305" s="1394">
        <v>20350000</v>
      </c>
      <c r="N1305" s="1394">
        <v>20350000</v>
      </c>
      <c r="O1305" s="1347"/>
      <c r="P1305" s="1347"/>
      <c r="Q1305" s="1348"/>
      <c r="R1305" s="1349"/>
      <c r="S1305" s="1257"/>
      <c r="T1305" s="1257"/>
      <c r="U1305" s="1229"/>
      <c r="V1305" s="1350"/>
      <c r="W1305" s="1351"/>
      <c r="X1305" s="1352"/>
      <c r="Y1305" s="1229"/>
      <c r="Z1305" s="1353"/>
      <c r="AA1305" s="1354"/>
      <c r="AB1305" s="1355"/>
      <c r="AC1305" s="1344"/>
      <c r="AD1305" s="1356"/>
      <c r="AE1305" s="1356"/>
      <c r="AF1305" s="1344"/>
      <c r="AG1305" s="1344"/>
      <c r="AH1305" s="1357"/>
      <c r="AI1305" s="1344"/>
      <c r="AJ1305" s="1357"/>
      <c r="AK1305" s="1210"/>
    </row>
    <row r="1306" spans="1:37" s="1211" customFormat="1" ht="12" customHeight="1">
      <c r="A1306" s="1440"/>
      <c r="B1306" s="1442" t="s">
        <v>194</v>
      </c>
      <c r="C1306" s="1442">
        <v>15</v>
      </c>
      <c r="D1306" s="1460" t="s">
        <v>108</v>
      </c>
      <c r="E1306" s="1442" t="s">
        <v>354</v>
      </c>
      <c r="F1306" s="1460" t="s">
        <v>3897</v>
      </c>
      <c r="G1306" s="1454" t="s">
        <v>4</v>
      </c>
      <c r="H1306" s="1454" t="s">
        <v>3898</v>
      </c>
      <c r="I1306" s="1454" t="s">
        <v>3899</v>
      </c>
      <c r="J1306" s="1444"/>
      <c r="K1306" s="1444">
        <v>22000000</v>
      </c>
      <c r="L1306" s="1458">
        <f t="shared" si="561"/>
        <v>2200000</v>
      </c>
      <c r="M1306" s="1455"/>
      <c r="N1306" s="1458">
        <f t="shared" si="441"/>
        <v>24200000</v>
      </c>
      <c r="O1306" s="1347" t="s">
        <v>239</v>
      </c>
      <c r="P1306" s="1347" t="s">
        <v>19</v>
      </c>
      <c r="Q1306" s="1348"/>
      <c r="R1306" s="1349"/>
      <c r="S1306" s="1413">
        <v>0</v>
      </c>
      <c r="T1306" s="1413">
        <f t="shared" ref="T1306" si="573">-K1306*2%</f>
        <v>-440000</v>
      </c>
      <c r="U1306" s="1229">
        <v>23760000</v>
      </c>
      <c r="V1306" s="1350"/>
      <c r="W1306" s="1351"/>
      <c r="X1306" s="1352"/>
      <c r="Y1306" s="1229"/>
      <c r="Z1306" s="1353"/>
      <c r="AA1306" s="1354"/>
      <c r="AB1306" s="1355"/>
      <c r="AC1306" s="1344"/>
      <c r="AD1306" s="1356"/>
      <c r="AE1306" s="1356"/>
      <c r="AF1306" s="1344"/>
      <c r="AG1306" s="1344"/>
      <c r="AH1306" s="1357"/>
      <c r="AI1306" s="1344"/>
      <c r="AJ1306" s="1357"/>
      <c r="AK1306" s="1210"/>
    </row>
    <row r="1307" spans="1:37" s="1405" customFormat="1" ht="12" customHeight="1">
      <c r="A1307" s="1440"/>
      <c r="B1307" s="1442" t="s">
        <v>195</v>
      </c>
      <c r="C1307" s="1442">
        <v>12</v>
      </c>
      <c r="D1307" s="1460" t="s">
        <v>108</v>
      </c>
      <c r="E1307" s="1442" t="s">
        <v>354</v>
      </c>
      <c r="F1307" s="1460" t="s">
        <v>3897</v>
      </c>
      <c r="G1307" s="1454" t="s">
        <v>379</v>
      </c>
      <c r="H1307" s="1454" t="s">
        <v>4058</v>
      </c>
      <c r="I1307" s="1454" t="s">
        <v>4059</v>
      </c>
      <c r="J1307" s="1444"/>
      <c r="K1307" s="1444">
        <v>22000000</v>
      </c>
      <c r="L1307" s="1458">
        <f t="shared" ref="L1307" si="574">K1307*10%</f>
        <v>2200000</v>
      </c>
      <c r="M1307" s="1455"/>
      <c r="N1307" s="1458">
        <f t="shared" ref="N1307" si="575">K1307+L1307</f>
        <v>24200000</v>
      </c>
      <c r="O1307" s="1347" t="s">
        <v>239</v>
      </c>
      <c r="P1307" s="1347" t="s">
        <v>88</v>
      </c>
      <c r="Q1307" s="1348"/>
      <c r="R1307" s="1349"/>
      <c r="S1307" s="1413">
        <v>0</v>
      </c>
      <c r="T1307" s="1413">
        <f t="shared" ref="T1307" si="576">-K1307*2%</f>
        <v>-440000</v>
      </c>
      <c r="U1307" s="1406">
        <v>23760000</v>
      </c>
      <c r="V1307" s="1350"/>
      <c r="W1307" s="1351"/>
      <c r="X1307" s="1352"/>
      <c r="Y1307" s="1406"/>
      <c r="Z1307" s="1353"/>
      <c r="AA1307" s="1354"/>
      <c r="AB1307" s="1355"/>
      <c r="AC1307" s="1344"/>
      <c r="AD1307" s="1356"/>
      <c r="AE1307" s="1356"/>
      <c r="AF1307" s="1344"/>
      <c r="AG1307" s="1344"/>
      <c r="AH1307" s="1357"/>
      <c r="AI1307" s="1344"/>
      <c r="AJ1307" s="1357"/>
      <c r="AK1307" s="1404"/>
    </row>
    <row r="1308" spans="1:37" s="1405" customFormat="1" ht="12" customHeight="1">
      <c r="A1308" s="1343"/>
      <c r="B1308" s="1442" t="s">
        <v>239</v>
      </c>
      <c r="C1308" s="1442">
        <v>2</v>
      </c>
      <c r="D1308" s="1460" t="s">
        <v>108</v>
      </c>
      <c r="E1308" s="1442" t="s">
        <v>354</v>
      </c>
      <c r="F1308" s="1460" t="s">
        <v>3897</v>
      </c>
      <c r="G1308" s="1454" t="s">
        <v>5</v>
      </c>
      <c r="H1308" s="1454" t="s">
        <v>4237</v>
      </c>
      <c r="I1308" s="1454" t="s">
        <v>4238</v>
      </c>
      <c r="J1308" s="1444"/>
      <c r="K1308" s="1444">
        <v>22000000</v>
      </c>
      <c r="L1308" s="1458">
        <f t="shared" ref="L1308" si="577">K1308*10%</f>
        <v>2200000</v>
      </c>
      <c r="M1308" s="1455"/>
      <c r="N1308" s="1458">
        <f t="shared" ref="N1308" si="578">K1308+L1308</f>
        <v>24200000</v>
      </c>
      <c r="O1308" s="1347" t="s">
        <v>240</v>
      </c>
      <c r="P1308" s="1347" t="s">
        <v>114</v>
      </c>
      <c r="Q1308" s="1348"/>
      <c r="R1308" s="1349"/>
      <c r="S1308" s="1413">
        <v>0</v>
      </c>
      <c r="T1308" s="1413">
        <f t="shared" ref="T1308" si="579">-K1308*2%</f>
        <v>-440000</v>
      </c>
      <c r="U1308" s="1406">
        <v>23760000</v>
      </c>
      <c r="V1308" s="1350"/>
      <c r="W1308" s="1351"/>
      <c r="X1308" s="1352"/>
      <c r="Y1308" s="1406"/>
      <c r="Z1308" s="1353"/>
      <c r="AA1308" s="1354"/>
      <c r="AB1308" s="1355"/>
      <c r="AC1308" s="1344"/>
      <c r="AD1308" s="1356"/>
      <c r="AE1308" s="1356"/>
      <c r="AF1308" s="1344"/>
      <c r="AG1308" s="1344"/>
      <c r="AH1308" s="1357"/>
      <c r="AI1308" s="1344"/>
      <c r="AJ1308" s="1357"/>
      <c r="AK1308" s="1404"/>
    </row>
    <row r="1309" spans="1:37" s="1405" customFormat="1" ht="12" customHeight="1">
      <c r="A1309" s="1440"/>
      <c r="B1309" s="1442" t="s">
        <v>240</v>
      </c>
      <c r="C1309" s="1442">
        <v>10</v>
      </c>
      <c r="D1309" s="1460" t="s">
        <v>108</v>
      </c>
      <c r="E1309" s="1442" t="s">
        <v>354</v>
      </c>
      <c r="F1309" s="1460" t="s">
        <v>3897</v>
      </c>
      <c r="G1309" s="1454" t="s">
        <v>57</v>
      </c>
      <c r="H1309" s="1454" t="s">
        <v>4472</v>
      </c>
      <c r="I1309" s="1454" t="s">
        <v>4473</v>
      </c>
      <c r="J1309" s="1444"/>
      <c r="K1309" s="1444">
        <v>22000000</v>
      </c>
      <c r="L1309" s="1458">
        <f t="shared" ref="L1309:L1311" si="580">K1309*10%</f>
        <v>2200000</v>
      </c>
      <c r="M1309" s="1455"/>
      <c r="N1309" s="1458">
        <f t="shared" ref="N1309:N1311" si="581">K1309+L1309</f>
        <v>24200000</v>
      </c>
      <c r="O1309" s="1347" t="s">
        <v>58</v>
      </c>
      <c r="P1309" s="1347" t="s">
        <v>105</v>
      </c>
      <c r="Q1309" s="1349"/>
      <c r="R1309" s="1349"/>
      <c r="S1309" s="1413">
        <v>0</v>
      </c>
      <c r="T1309" s="1413">
        <f t="shared" ref="T1309" si="582">-K1309*2%</f>
        <v>-440000</v>
      </c>
      <c r="U1309" s="1406">
        <v>23760000</v>
      </c>
      <c r="V1309" s="1350"/>
      <c r="W1309" s="1351"/>
      <c r="X1309" s="1352"/>
      <c r="Y1309" s="1406"/>
      <c r="Z1309" s="1353"/>
      <c r="AA1309" s="1354"/>
      <c r="AB1309" s="1355"/>
      <c r="AC1309" s="1344"/>
      <c r="AD1309" s="1356"/>
      <c r="AE1309" s="1356"/>
      <c r="AF1309" s="1344"/>
      <c r="AG1309" s="1344"/>
      <c r="AH1309" s="1357"/>
      <c r="AI1309" s="1344"/>
      <c r="AJ1309" s="1357"/>
      <c r="AK1309" s="1404"/>
    </row>
    <row r="1310" spans="1:37" s="1405" customFormat="1" ht="12" customHeight="1">
      <c r="A1310" s="1343"/>
      <c r="B1310" s="1344" t="s">
        <v>58</v>
      </c>
      <c r="C1310" s="1344">
        <v>17</v>
      </c>
      <c r="D1310" s="1345" t="s">
        <v>108</v>
      </c>
      <c r="E1310" s="1344" t="s">
        <v>354</v>
      </c>
      <c r="F1310" s="1345" t="s">
        <v>3897</v>
      </c>
      <c r="G1310" s="1398" t="s">
        <v>58</v>
      </c>
      <c r="H1310" s="1398" t="s">
        <v>4643</v>
      </c>
      <c r="I1310" s="1398" t="s">
        <v>4644</v>
      </c>
      <c r="J1310" s="1406"/>
      <c r="K1310" s="1406">
        <v>22000000</v>
      </c>
      <c r="L1310" s="1230">
        <f t="shared" si="580"/>
        <v>2200000</v>
      </c>
      <c r="M1310" s="1346"/>
      <c r="N1310" s="1230">
        <f t="shared" si="581"/>
        <v>24200000</v>
      </c>
      <c r="O1310" s="1347"/>
      <c r="P1310" s="1347"/>
      <c r="Q1310" s="1349"/>
      <c r="R1310" s="1349"/>
      <c r="S1310" s="1413"/>
      <c r="T1310" s="1413"/>
      <c r="U1310" s="1406"/>
      <c r="V1310" s="1350"/>
      <c r="W1310" s="1351"/>
      <c r="X1310" s="1352"/>
      <c r="Y1310" s="1406"/>
      <c r="Z1310" s="1353"/>
      <c r="AA1310" s="1354"/>
      <c r="AB1310" s="1355"/>
      <c r="AC1310" s="1344"/>
      <c r="AD1310" s="1356"/>
      <c r="AE1310" s="1356"/>
      <c r="AF1310" s="1344"/>
      <c r="AG1310" s="1344"/>
      <c r="AH1310" s="1357"/>
      <c r="AI1310" s="1344"/>
      <c r="AJ1310" s="1357"/>
      <c r="AK1310" s="1404"/>
    </row>
    <row r="1311" spans="1:37" s="1405" customFormat="1" ht="12" customHeight="1">
      <c r="A1311" s="1343"/>
      <c r="B1311" s="1344" t="s">
        <v>241</v>
      </c>
      <c r="C1311" s="1344">
        <v>26</v>
      </c>
      <c r="D1311" s="1345" t="s">
        <v>108</v>
      </c>
      <c r="E1311" s="1344" t="s">
        <v>354</v>
      </c>
      <c r="F1311" s="1345" t="s">
        <v>3897</v>
      </c>
      <c r="G1311" s="1398" t="s">
        <v>59</v>
      </c>
      <c r="H1311" s="1398" t="s">
        <v>4815</v>
      </c>
      <c r="I1311" s="1398" t="s">
        <v>4816</v>
      </c>
      <c r="J1311" s="1406"/>
      <c r="K1311" s="1406">
        <v>22000000</v>
      </c>
      <c r="L1311" s="1230">
        <f t="shared" si="580"/>
        <v>2200000</v>
      </c>
      <c r="M1311" s="1346"/>
      <c r="N1311" s="1230">
        <f t="shared" si="581"/>
        <v>24200000</v>
      </c>
      <c r="O1311" s="1347"/>
      <c r="P1311" s="1347"/>
      <c r="Q1311" s="1349"/>
      <c r="R1311" s="1349"/>
      <c r="S1311" s="1413"/>
      <c r="T1311" s="1413"/>
      <c r="U1311" s="1406"/>
      <c r="V1311" s="1350"/>
      <c r="W1311" s="1351"/>
      <c r="X1311" s="1352"/>
      <c r="Y1311" s="1406"/>
      <c r="Z1311" s="1353"/>
      <c r="AA1311" s="1354"/>
      <c r="AB1311" s="1355"/>
      <c r="AC1311" s="1344"/>
      <c r="AD1311" s="1356"/>
      <c r="AE1311" s="1356"/>
      <c r="AF1311" s="1344"/>
      <c r="AG1311" s="1344"/>
      <c r="AH1311" s="1357"/>
      <c r="AI1311" s="1344"/>
      <c r="AJ1311" s="1357"/>
      <c r="AK1311" s="1404"/>
    </row>
    <row r="1312" spans="1:37" s="1405" customFormat="1" ht="12" customHeight="1">
      <c r="A1312" s="1440"/>
      <c r="B1312" s="1416" t="s">
        <v>194</v>
      </c>
      <c r="C1312" s="1442">
        <v>26</v>
      </c>
      <c r="D1312" s="1460" t="s">
        <v>136</v>
      </c>
      <c r="E1312" s="1442" t="s">
        <v>354</v>
      </c>
      <c r="F1312" s="1460" t="s">
        <v>3508</v>
      </c>
      <c r="G1312" s="1454" t="s">
        <v>1617</v>
      </c>
      <c r="H1312" s="1454" t="s">
        <v>3979</v>
      </c>
      <c r="I1312" s="1454" t="s">
        <v>3980</v>
      </c>
      <c r="J1312" s="1444"/>
      <c r="K1312" s="1444">
        <v>49500000</v>
      </c>
      <c r="L1312" s="1458">
        <f t="shared" ref="L1312" si="583">K1312*10%</f>
        <v>4950000</v>
      </c>
      <c r="M1312" s="1455"/>
      <c r="N1312" s="1458">
        <f t="shared" ref="N1312" si="584">K1312+L1312</f>
        <v>54450000</v>
      </c>
      <c r="O1312" s="1347" t="s">
        <v>239</v>
      </c>
      <c r="P1312" s="1347" t="s">
        <v>116</v>
      </c>
      <c r="Q1312" s="1348"/>
      <c r="R1312" s="1349"/>
      <c r="S1312" s="1413">
        <v>0</v>
      </c>
      <c r="T1312" s="1413">
        <f t="shared" ref="T1312:T1316" si="585">-K1312*2%</f>
        <v>-990000</v>
      </c>
      <c r="U1312" s="1406">
        <v>53460000</v>
      </c>
      <c r="V1312" s="1350"/>
      <c r="W1312" s="1351"/>
      <c r="X1312" s="1352"/>
      <c r="Y1312" s="1406"/>
      <c r="Z1312" s="1353"/>
      <c r="AA1312" s="1354"/>
      <c r="AB1312" s="1355"/>
      <c r="AC1312" s="1344"/>
      <c r="AD1312" s="1356"/>
      <c r="AE1312" s="1356"/>
      <c r="AF1312" s="1344"/>
      <c r="AG1312" s="1344"/>
      <c r="AH1312" s="1357"/>
      <c r="AI1312" s="1344"/>
      <c r="AJ1312" s="1357"/>
      <c r="AK1312" s="1404"/>
    </row>
    <row r="1313" spans="1:37" s="1405" customFormat="1" ht="12" customHeight="1">
      <c r="A1313" s="1440"/>
      <c r="B1313" s="1416" t="s">
        <v>194</v>
      </c>
      <c r="C1313" s="1442">
        <v>26</v>
      </c>
      <c r="D1313" s="1460" t="s">
        <v>136</v>
      </c>
      <c r="E1313" s="1442" t="s">
        <v>354</v>
      </c>
      <c r="F1313" s="1460" t="s">
        <v>3981</v>
      </c>
      <c r="G1313" s="1454" t="s">
        <v>1617</v>
      </c>
      <c r="H1313" s="1454" t="s">
        <v>3982</v>
      </c>
      <c r="I1313" s="1454" t="s">
        <v>3983</v>
      </c>
      <c r="J1313" s="1444"/>
      <c r="K1313" s="1444">
        <v>49500000</v>
      </c>
      <c r="L1313" s="1458">
        <f t="shared" ref="L1313" si="586">K1313*10%</f>
        <v>4950000</v>
      </c>
      <c r="M1313" s="1455"/>
      <c r="N1313" s="1458">
        <f t="shared" ref="N1313" si="587">K1313+L1313</f>
        <v>54450000</v>
      </c>
      <c r="O1313" s="1347" t="s">
        <v>239</v>
      </c>
      <c r="P1313" s="1347" t="s">
        <v>116</v>
      </c>
      <c r="Q1313" s="1348"/>
      <c r="R1313" s="1349"/>
      <c r="S1313" s="1413">
        <v>0</v>
      </c>
      <c r="T1313" s="1413">
        <f t="shared" si="585"/>
        <v>-990000</v>
      </c>
      <c r="U1313" s="1406">
        <v>53460000</v>
      </c>
      <c r="V1313" s="1350"/>
      <c r="W1313" s="1351"/>
      <c r="X1313" s="1352"/>
      <c r="Y1313" s="1406"/>
      <c r="Z1313" s="1353"/>
      <c r="AA1313" s="1354"/>
      <c r="AB1313" s="1355"/>
      <c r="AC1313" s="1344"/>
      <c r="AD1313" s="1356"/>
      <c r="AE1313" s="1356"/>
      <c r="AF1313" s="1344"/>
      <c r="AG1313" s="1344"/>
      <c r="AH1313" s="1357"/>
      <c r="AI1313" s="1344"/>
      <c r="AJ1313" s="1357"/>
      <c r="AK1313" s="1404"/>
    </row>
    <row r="1314" spans="1:37" s="1405" customFormat="1" ht="12" customHeight="1">
      <c r="A1314" s="1440"/>
      <c r="B1314" s="1416" t="s">
        <v>194</v>
      </c>
      <c r="C1314" s="1442">
        <v>26</v>
      </c>
      <c r="D1314" s="1460" t="s">
        <v>136</v>
      </c>
      <c r="E1314" s="1442" t="s">
        <v>354</v>
      </c>
      <c r="F1314" s="1460" t="s">
        <v>3984</v>
      </c>
      <c r="G1314" s="1454" t="s">
        <v>1617</v>
      </c>
      <c r="H1314" s="1454" t="s">
        <v>3985</v>
      </c>
      <c r="I1314" s="1454" t="s">
        <v>3986</v>
      </c>
      <c r="J1314" s="1444"/>
      <c r="K1314" s="1444">
        <v>49500000</v>
      </c>
      <c r="L1314" s="1458">
        <f t="shared" ref="L1314:L1344" si="588">K1314*10%</f>
        <v>4950000</v>
      </c>
      <c r="M1314" s="1455"/>
      <c r="N1314" s="1458">
        <f t="shared" ref="N1314:N1344" si="589">K1314+L1314</f>
        <v>54450000</v>
      </c>
      <c r="O1314" s="1347" t="s">
        <v>239</v>
      </c>
      <c r="P1314" s="1347" t="s">
        <v>116</v>
      </c>
      <c r="Q1314" s="1348"/>
      <c r="R1314" s="1349"/>
      <c r="S1314" s="1413">
        <v>0</v>
      </c>
      <c r="T1314" s="1413">
        <f t="shared" si="585"/>
        <v>-990000</v>
      </c>
      <c r="U1314" s="1406">
        <v>53460000</v>
      </c>
      <c r="V1314" s="1350"/>
      <c r="W1314" s="1351"/>
      <c r="X1314" s="1352"/>
      <c r="Y1314" s="1406"/>
      <c r="Z1314" s="1353"/>
      <c r="AA1314" s="1354"/>
      <c r="AB1314" s="1355"/>
      <c r="AC1314" s="1344"/>
      <c r="AD1314" s="1356"/>
      <c r="AE1314" s="1356"/>
      <c r="AF1314" s="1344"/>
      <c r="AG1314" s="1344"/>
      <c r="AH1314" s="1357"/>
      <c r="AI1314" s="1344"/>
      <c r="AJ1314" s="1357"/>
      <c r="AK1314" s="1404"/>
    </row>
    <row r="1315" spans="1:37" s="1405" customFormat="1" ht="12" customHeight="1">
      <c r="A1315" s="1440"/>
      <c r="B1315" s="1416" t="s">
        <v>194</v>
      </c>
      <c r="C1315" s="1442">
        <v>26</v>
      </c>
      <c r="D1315" s="1460" t="s">
        <v>136</v>
      </c>
      <c r="E1315" s="1442" t="s">
        <v>354</v>
      </c>
      <c r="F1315" s="1460" t="s">
        <v>3987</v>
      </c>
      <c r="G1315" s="1454" t="s">
        <v>1617</v>
      </c>
      <c r="H1315" s="1454" t="s">
        <v>3988</v>
      </c>
      <c r="I1315" s="1454" t="s">
        <v>3989</v>
      </c>
      <c r="J1315" s="1444"/>
      <c r="K1315" s="1444">
        <v>134000000</v>
      </c>
      <c r="L1315" s="1458">
        <f t="shared" si="588"/>
        <v>13400000</v>
      </c>
      <c r="M1315" s="1455"/>
      <c r="N1315" s="1458">
        <f t="shared" si="589"/>
        <v>147400000</v>
      </c>
      <c r="O1315" s="1347" t="s">
        <v>239</v>
      </c>
      <c r="P1315" s="1347" t="s">
        <v>116</v>
      </c>
      <c r="Q1315" s="1348"/>
      <c r="R1315" s="1349"/>
      <c r="S1315" s="1413">
        <v>0</v>
      </c>
      <c r="T1315" s="1413">
        <f t="shared" si="585"/>
        <v>-2680000</v>
      </c>
      <c r="U1315" s="1406">
        <v>144720000</v>
      </c>
      <c r="V1315" s="1350"/>
      <c r="W1315" s="1351"/>
      <c r="X1315" s="1352"/>
      <c r="Y1315" s="1406"/>
      <c r="Z1315" s="1353"/>
      <c r="AA1315" s="1354"/>
      <c r="AB1315" s="1355"/>
      <c r="AC1315" s="1344"/>
      <c r="AD1315" s="1356"/>
      <c r="AE1315" s="1356"/>
      <c r="AF1315" s="1344"/>
      <c r="AG1315" s="1344"/>
      <c r="AH1315" s="1357"/>
      <c r="AI1315" s="1344"/>
      <c r="AJ1315" s="1357"/>
      <c r="AK1315" s="1404"/>
    </row>
    <row r="1316" spans="1:37" s="1405" customFormat="1" ht="12" customHeight="1">
      <c r="A1316" s="1440"/>
      <c r="B1316" s="1416" t="s">
        <v>194</v>
      </c>
      <c r="C1316" s="1442">
        <v>26</v>
      </c>
      <c r="D1316" s="1460" t="s">
        <v>136</v>
      </c>
      <c r="E1316" s="1442" t="s">
        <v>354</v>
      </c>
      <c r="F1316" s="1460" t="s">
        <v>3990</v>
      </c>
      <c r="G1316" s="1454" t="s">
        <v>1617</v>
      </c>
      <c r="H1316" s="1454" t="s">
        <v>3991</v>
      </c>
      <c r="I1316" s="1454" t="s">
        <v>3992</v>
      </c>
      <c r="J1316" s="1444"/>
      <c r="K1316" s="1444">
        <v>172000000</v>
      </c>
      <c r="L1316" s="1458">
        <f t="shared" si="588"/>
        <v>17200000</v>
      </c>
      <c r="M1316" s="1455"/>
      <c r="N1316" s="1458">
        <f t="shared" si="589"/>
        <v>189200000</v>
      </c>
      <c r="O1316" s="1347" t="s">
        <v>239</v>
      </c>
      <c r="P1316" s="1347" t="s">
        <v>116</v>
      </c>
      <c r="Q1316" s="1348"/>
      <c r="R1316" s="1349"/>
      <c r="S1316" s="1413">
        <v>0</v>
      </c>
      <c r="T1316" s="1413">
        <f t="shared" si="585"/>
        <v>-3440000</v>
      </c>
      <c r="U1316" s="1406">
        <v>185760000</v>
      </c>
      <c r="V1316" s="1350"/>
      <c r="W1316" s="1351"/>
      <c r="X1316" s="1352"/>
      <c r="Y1316" s="1406"/>
      <c r="Z1316" s="1353"/>
      <c r="AA1316" s="1354"/>
      <c r="AB1316" s="1355"/>
      <c r="AC1316" s="1344"/>
      <c r="AD1316" s="1356"/>
      <c r="AE1316" s="1356"/>
      <c r="AF1316" s="1344"/>
      <c r="AG1316" s="1344"/>
      <c r="AH1316" s="1357"/>
      <c r="AI1316" s="1344"/>
      <c r="AJ1316" s="1357"/>
      <c r="AK1316" s="1404"/>
    </row>
    <row r="1317" spans="1:37" s="1405" customFormat="1" ht="12" customHeight="1">
      <c r="A1317" s="1440"/>
      <c r="B1317" s="1415" t="s">
        <v>195</v>
      </c>
      <c r="C1317" s="1442">
        <v>21</v>
      </c>
      <c r="D1317" s="1460" t="s">
        <v>136</v>
      </c>
      <c r="E1317" s="1442" t="s">
        <v>354</v>
      </c>
      <c r="F1317" s="1460" t="s">
        <v>4155</v>
      </c>
      <c r="G1317" s="1454" t="s">
        <v>4156</v>
      </c>
      <c r="H1317" s="1454" t="s">
        <v>4157</v>
      </c>
      <c r="I1317" s="1454" t="s">
        <v>4158</v>
      </c>
      <c r="J1317" s="1444"/>
      <c r="K1317" s="1444">
        <v>46000000</v>
      </c>
      <c r="L1317" s="1458">
        <f t="shared" si="588"/>
        <v>4600000</v>
      </c>
      <c r="M1317" s="1455"/>
      <c r="N1317" s="1458">
        <f>K1317+L1317</f>
        <v>50600000</v>
      </c>
      <c r="O1317" s="1347" t="s">
        <v>239</v>
      </c>
      <c r="P1317" s="1347" t="s">
        <v>39</v>
      </c>
      <c r="Q1317" s="1348"/>
      <c r="R1317" s="1349"/>
      <c r="S1317" s="1413">
        <v>0</v>
      </c>
      <c r="T1317" s="1413">
        <f t="shared" ref="T1317:T1323" si="590">-K1317*2%</f>
        <v>-920000</v>
      </c>
      <c r="U1317" s="1406">
        <v>49680000</v>
      </c>
      <c r="V1317" s="1350"/>
      <c r="W1317" s="1351"/>
      <c r="X1317" s="1352"/>
      <c r="Y1317" s="1406"/>
      <c r="Z1317" s="1353"/>
      <c r="AA1317" s="1354"/>
      <c r="AB1317" s="1355"/>
      <c r="AC1317" s="1344"/>
      <c r="AD1317" s="1356"/>
      <c r="AE1317" s="1356"/>
      <c r="AF1317" s="1344"/>
      <c r="AG1317" s="1344"/>
      <c r="AH1317" s="1357"/>
      <c r="AI1317" s="1344"/>
      <c r="AJ1317" s="1357"/>
      <c r="AK1317" s="1404"/>
    </row>
    <row r="1318" spans="1:37" s="1405" customFormat="1" ht="12" customHeight="1">
      <c r="A1318" s="1440"/>
      <c r="B1318" s="1415" t="s">
        <v>195</v>
      </c>
      <c r="C1318" s="1442">
        <v>21</v>
      </c>
      <c r="D1318" s="1460" t="s">
        <v>136</v>
      </c>
      <c r="E1318" s="1442" t="s">
        <v>354</v>
      </c>
      <c r="F1318" s="1460" t="s">
        <v>3508</v>
      </c>
      <c r="G1318" s="1454" t="s">
        <v>4</v>
      </c>
      <c r="H1318" s="1454" t="s">
        <v>4159</v>
      </c>
      <c r="I1318" s="1454" t="s">
        <v>4160</v>
      </c>
      <c r="J1318" s="1444"/>
      <c r="K1318" s="1444">
        <v>49500000</v>
      </c>
      <c r="L1318" s="1458">
        <f t="shared" si="588"/>
        <v>4950000</v>
      </c>
      <c r="M1318" s="1455"/>
      <c r="N1318" s="1458">
        <f t="shared" si="589"/>
        <v>54450000</v>
      </c>
      <c r="O1318" s="1347" t="s">
        <v>239</v>
      </c>
      <c r="P1318" s="1347" t="s">
        <v>39</v>
      </c>
      <c r="Q1318" s="1348"/>
      <c r="R1318" s="1349"/>
      <c r="S1318" s="1413">
        <v>0</v>
      </c>
      <c r="T1318" s="1413">
        <f t="shared" si="590"/>
        <v>-990000</v>
      </c>
      <c r="U1318" s="1406">
        <v>53460000</v>
      </c>
      <c r="V1318" s="1350"/>
      <c r="W1318" s="1351"/>
      <c r="X1318" s="1352"/>
      <c r="Y1318" s="1406"/>
      <c r="Z1318" s="1353"/>
      <c r="AA1318" s="1354"/>
      <c r="AB1318" s="1355"/>
      <c r="AC1318" s="1344"/>
      <c r="AD1318" s="1356"/>
      <c r="AE1318" s="1356"/>
      <c r="AF1318" s="1344"/>
      <c r="AG1318" s="1344"/>
      <c r="AH1318" s="1357"/>
      <c r="AI1318" s="1344"/>
      <c r="AJ1318" s="1357"/>
      <c r="AK1318" s="1404"/>
    </row>
    <row r="1319" spans="1:37" s="1405" customFormat="1" ht="12" customHeight="1">
      <c r="A1319" s="1440"/>
      <c r="B1319" s="1415" t="s">
        <v>195</v>
      </c>
      <c r="C1319" s="1442">
        <v>21</v>
      </c>
      <c r="D1319" s="1460" t="s">
        <v>136</v>
      </c>
      <c r="E1319" s="1442" t="s">
        <v>354</v>
      </c>
      <c r="F1319" s="1460" t="s">
        <v>3981</v>
      </c>
      <c r="G1319" s="1454" t="s">
        <v>4</v>
      </c>
      <c r="H1319" s="1454" t="s">
        <v>4161</v>
      </c>
      <c r="I1319" s="1454" t="s">
        <v>4162</v>
      </c>
      <c r="J1319" s="1444"/>
      <c r="K1319" s="1444">
        <v>46000000</v>
      </c>
      <c r="L1319" s="1458">
        <f t="shared" si="588"/>
        <v>4600000</v>
      </c>
      <c r="M1319" s="1455"/>
      <c r="N1319" s="1458">
        <f t="shared" si="589"/>
        <v>50600000</v>
      </c>
      <c r="O1319" s="1347" t="s">
        <v>239</v>
      </c>
      <c r="P1319" s="1347" t="s">
        <v>39</v>
      </c>
      <c r="Q1319" s="1348"/>
      <c r="R1319" s="1349"/>
      <c r="S1319" s="1413">
        <v>0</v>
      </c>
      <c r="T1319" s="1413">
        <f t="shared" si="590"/>
        <v>-920000</v>
      </c>
      <c r="U1319" s="1406">
        <v>49680000</v>
      </c>
      <c r="V1319" s="1350"/>
      <c r="W1319" s="1351"/>
      <c r="X1319" s="1352"/>
      <c r="Y1319" s="1406"/>
      <c r="Z1319" s="1353"/>
      <c r="AA1319" s="1354"/>
      <c r="AB1319" s="1355"/>
      <c r="AC1319" s="1344"/>
      <c r="AD1319" s="1356"/>
      <c r="AE1319" s="1356"/>
      <c r="AF1319" s="1344"/>
      <c r="AG1319" s="1344"/>
      <c r="AH1319" s="1357"/>
      <c r="AI1319" s="1344"/>
      <c r="AJ1319" s="1357"/>
      <c r="AK1319" s="1404"/>
    </row>
    <row r="1320" spans="1:37" s="1405" customFormat="1" ht="12" customHeight="1">
      <c r="A1320" s="1440"/>
      <c r="B1320" s="1415" t="s">
        <v>195</v>
      </c>
      <c r="C1320" s="1442">
        <v>21</v>
      </c>
      <c r="D1320" s="1460" t="s">
        <v>136</v>
      </c>
      <c r="E1320" s="1442" t="s">
        <v>354</v>
      </c>
      <c r="F1320" s="1460" t="s">
        <v>3984</v>
      </c>
      <c r="G1320" s="1454" t="s">
        <v>4</v>
      </c>
      <c r="H1320" s="1454" t="s">
        <v>4163</v>
      </c>
      <c r="I1320" s="1454" t="s">
        <v>4164</v>
      </c>
      <c r="J1320" s="1444"/>
      <c r="K1320" s="1444">
        <v>46000000</v>
      </c>
      <c r="L1320" s="1458">
        <f t="shared" si="588"/>
        <v>4600000</v>
      </c>
      <c r="M1320" s="1455"/>
      <c r="N1320" s="1458">
        <f t="shared" si="589"/>
        <v>50600000</v>
      </c>
      <c r="O1320" s="1347" t="s">
        <v>239</v>
      </c>
      <c r="P1320" s="1347" t="s">
        <v>39</v>
      </c>
      <c r="Q1320" s="1348"/>
      <c r="R1320" s="1349"/>
      <c r="S1320" s="1413">
        <v>0</v>
      </c>
      <c r="T1320" s="1413">
        <f t="shared" si="590"/>
        <v>-920000</v>
      </c>
      <c r="U1320" s="1406">
        <v>49680000</v>
      </c>
      <c r="V1320" s="1350"/>
      <c r="W1320" s="1351"/>
      <c r="X1320" s="1352"/>
      <c r="Y1320" s="1406"/>
      <c r="Z1320" s="1353"/>
      <c r="AA1320" s="1354"/>
      <c r="AB1320" s="1355"/>
      <c r="AC1320" s="1344"/>
      <c r="AD1320" s="1356"/>
      <c r="AE1320" s="1356"/>
      <c r="AF1320" s="1344"/>
      <c r="AG1320" s="1344"/>
      <c r="AH1320" s="1357"/>
      <c r="AI1320" s="1344"/>
      <c r="AJ1320" s="1357"/>
      <c r="AK1320" s="1404"/>
    </row>
    <row r="1321" spans="1:37" s="1405" customFormat="1" ht="12" customHeight="1">
      <c r="A1321" s="1440"/>
      <c r="B1321" s="1415" t="s">
        <v>195</v>
      </c>
      <c r="C1321" s="1442">
        <v>21</v>
      </c>
      <c r="D1321" s="1460" t="s">
        <v>136</v>
      </c>
      <c r="E1321" s="1442" t="s">
        <v>354</v>
      </c>
      <c r="F1321" s="1460" t="s">
        <v>3987</v>
      </c>
      <c r="G1321" s="1454" t="s">
        <v>4</v>
      </c>
      <c r="H1321" s="1454" t="s">
        <v>4165</v>
      </c>
      <c r="I1321" s="1454" t="s">
        <v>4166</v>
      </c>
      <c r="J1321" s="1444"/>
      <c r="K1321" s="1444">
        <v>134000000</v>
      </c>
      <c r="L1321" s="1458">
        <f t="shared" si="588"/>
        <v>13400000</v>
      </c>
      <c r="M1321" s="1455"/>
      <c r="N1321" s="1458">
        <f t="shared" si="589"/>
        <v>147400000</v>
      </c>
      <c r="O1321" s="1347" t="s">
        <v>240</v>
      </c>
      <c r="P1321" s="1347" t="s">
        <v>37</v>
      </c>
      <c r="Q1321" s="1348"/>
      <c r="R1321" s="1349"/>
      <c r="S1321" s="1413">
        <v>0</v>
      </c>
      <c r="T1321" s="1413">
        <f t="shared" si="590"/>
        <v>-2680000</v>
      </c>
      <c r="U1321" s="1406">
        <v>144720000</v>
      </c>
      <c r="V1321" s="1350"/>
      <c r="W1321" s="1351"/>
      <c r="X1321" s="1352"/>
      <c r="Y1321" s="1406"/>
      <c r="Z1321" s="1353"/>
      <c r="AA1321" s="1354"/>
      <c r="AB1321" s="1355"/>
      <c r="AC1321" s="1344"/>
      <c r="AD1321" s="1356"/>
      <c r="AE1321" s="1356"/>
      <c r="AF1321" s="1344"/>
      <c r="AG1321" s="1344"/>
      <c r="AH1321" s="1357"/>
      <c r="AI1321" s="1344"/>
      <c r="AJ1321" s="1357"/>
      <c r="AK1321" s="1404"/>
    </row>
    <row r="1322" spans="1:37" s="1405" customFormat="1" ht="12" customHeight="1">
      <c r="A1322" s="1440"/>
      <c r="B1322" s="1415" t="s">
        <v>195</v>
      </c>
      <c r="C1322" s="1442">
        <v>21</v>
      </c>
      <c r="D1322" s="1460" t="s">
        <v>136</v>
      </c>
      <c r="E1322" s="1442" t="s">
        <v>354</v>
      </c>
      <c r="F1322" s="1460" t="s">
        <v>3990</v>
      </c>
      <c r="G1322" s="1454" t="s">
        <v>4</v>
      </c>
      <c r="H1322" s="1454" t="s">
        <v>4167</v>
      </c>
      <c r="I1322" s="1454" t="s">
        <v>4168</v>
      </c>
      <c r="J1322" s="1444"/>
      <c r="K1322" s="1444">
        <v>172000000</v>
      </c>
      <c r="L1322" s="1458">
        <f t="shared" si="588"/>
        <v>17200000</v>
      </c>
      <c r="M1322" s="1455"/>
      <c r="N1322" s="1458">
        <f t="shared" si="589"/>
        <v>189200000</v>
      </c>
      <c r="O1322" s="1347" t="s">
        <v>240</v>
      </c>
      <c r="P1322" s="1347" t="s">
        <v>37</v>
      </c>
      <c r="Q1322" s="1348"/>
      <c r="R1322" s="1349"/>
      <c r="S1322" s="1413">
        <v>0</v>
      </c>
      <c r="T1322" s="1413">
        <f t="shared" si="590"/>
        <v>-3440000</v>
      </c>
      <c r="U1322" s="1406">
        <v>185760000</v>
      </c>
      <c r="V1322" s="1350"/>
      <c r="W1322" s="1351"/>
      <c r="X1322" s="1352"/>
      <c r="Y1322" s="1406"/>
      <c r="Z1322" s="1353"/>
      <c r="AA1322" s="1354"/>
      <c r="AB1322" s="1355"/>
      <c r="AC1322" s="1344"/>
      <c r="AD1322" s="1356"/>
      <c r="AE1322" s="1356"/>
      <c r="AF1322" s="1344"/>
      <c r="AG1322" s="1344"/>
      <c r="AH1322" s="1357"/>
      <c r="AI1322" s="1344"/>
      <c r="AJ1322" s="1357"/>
      <c r="AK1322" s="1404"/>
    </row>
    <row r="1323" spans="1:37" s="1405" customFormat="1" ht="12" customHeight="1">
      <c r="A1323" s="1440"/>
      <c r="B1323" s="1415" t="s">
        <v>195</v>
      </c>
      <c r="C1323" s="1442">
        <v>21</v>
      </c>
      <c r="D1323" s="1460" t="s">
        <v>136</v>
      </c>
      <c r="E1323" s="1442" t="s">
        <v>354</v>
      </c>
      <c r="F1323" s="1460" t="s">
        <v>4155</v>
      </c>
      <c r="G1323" s="1454" t="s">
        <v>4169</v>
      </c>
      <c r="H1323" s="1454" t="s">
        <v>4170</v>
      </c>
      <c r="I1323" s="1454" t="s">
        <v>4171</v>
      </c>
      <c r="J1323" s="1444"/>
      <c r="K1323" s="1444">
        <v>25500000</v>
      </c>
      <c r="L1323" s="1458">
        <f t="shared" si="588"/>
        <v>2550000</v>
      </c>
      <c r="M1323" s="1455"/>
      <c r="N1323" s="1458">
        <f t="shared" si="589"/>
        <v>28050000</v>
      </c>
      <c r="O1323" s="1347" t="s">
        <v>239</v>
      </c>
      <c r="P1323" s="1347" t="s">
        <v>39</v>
      </c>
      <c r="Q1323" s="1348"/>
      <c r="R1323" s="1349"/>
      <c r="S1323" s="1413">
        <v>0</v>
      </c>
      <c r="T1323" s="1413">
        <f t="shared" si="590"/>
        <v>-510000</v>
      </c>
      <c r="U1323" s="1406">
        <v>49680000</v>
      </c>
      <c r="V1323" s="1350"/>
      <c r="W1323" s="1351"/>
      <c r="X1323" s="1352"/>
      <c r="Y1323" s="1406"/>
      <c r="Z1323" s="1353"/>
      <c r="AA1323" s="1354"/>
      <c r="AB1323" s="1355"/>
      <c r="AC1323" s="1344"/>
      <c r="AD1323" s="1356"/>
      <c r="AE1323" s="1356"/>
      <c r="AF1323" s="1344"/>
      <c r="AG1323" s="1344"/>
      <c r="AH1323" s="1357"/>
      <c r="AI1323" s="1344"/>
      <c r="AJ1323" s="1357"/>
      <c r="AK1323" s="1404"/>
    </row>
    <row r="1324" spans="1:37" s="1405" customFormat="1" ht="12" customHeight="1">
      <c r="A1324" s="1440"/>
      <c r="B1324" s="1415" t="s">
        <v>195</v>
      </c>
      <c r="C1324" s="1442">
        <v>21</v>
      </c>
      <c r="D1324" s="1460" t="s">
        <v>136</v>
      </c>
      <c r="E1324" s="1442" t="s">
        <v>62</v>
      </c>
      <c r="F1324" s="1460" t="s">
        <v>4172</v>
      </c>
      <c r="G1324" s="1454" t="s">
        <v>4173</v>
      </c>
      <c r="H1324" s="1454" t="s">
        <v>4174</v>
      </c>
      <c r="I1324" s="1454" t="s">
        <v>4175</v>
      </c>
      <c r="J1324" s="1444"/>
      <c r="K1324" s="1444">
        <v>4107500</v>
      </c>
      <c r="L1324" s="1458">
        <v>0</v>
      </c>
      <c r="M1324" s="1455"/>
      <c r="N1324" s="1458">
        <f t="shared" si="589"/>
        <v>4107500</v>
      </c>
      <c r="O1324" s="1347" t="s">
        <v>240</v>
      </c>
      <c r="P1324" s="1347" t="s">
        <v>34</v>
      </c>
      <c r="Q1324" s="1348"/>
      <c r="R1324" s="1349"/>
      <c r="S1324" s="1413">
        <v>0</v>
      </c>
      <c r="T1324" s="1413">
        <v>0</v>
      </c>
      <c r="U1324" s="1406">
        <v>4107500</v>
      </c>
      <c r="V1324" s="1350"/>
      <c r="W1324" s="1351"/>
      <c r="X1324" s="1352"/>
      <c r="Y1324" s="1406"/>
      <c r="Z1324" s="1353"/>
      <c r="AA1324" s="1354"/>
      <c r="AB1324" s="1355"/>
      <c r="AC1324" s="1344"/>
      <c r="AD1324" s="1356"/>
      <c r="AE1324" s="1356"/>
      <c r="AF1324" s="1344"/>
      <c r="AG1324" s="1344"/>
      <c r="AH1324" s="1357"/>
      <c r="AI1324" s="1344"/>
      <c r="AJ1324" s="1357"/>
      <c r="AK1324" s="1404"/>
    </row>
    <row r="1325" spans="1:37" s="1405" customFormat="1" ht="12" customHeight="1">
      <c r="A1325" s="1440"/>
      <c r="B1325" s="1415" t="s">
        <v>239</v>
      </c>
      <c r="C1325" s="1442">
        <v>15</v>
      </c>
      <c r="D1325" s="1460" t="s">
        <v>136</v>
      </c>
      <c r="E1325" s="1442" t="s">
        <v>354</v>
      </c>
      <c r="F1325" s="1460" t="s">
        <v>4326</v>
      </c>
      <c r="G1325" s="1454" t="s">
        <v>379</v>
      </c>
      <c r="H1325" s="1454" t="s">
        <v>4327</v>
      </c>
      <c r="I1325" s="1454" t="s">
        <v>4328</v>
      </c>
      <c r="J1325" s="1444"/>
      <c r="K1325" s="1444">
        <v>49500000</v>
      </c>
      <c r="L1325" s="1458">
        <f t="shared" si="588"/>
        <v>4950000</v>
      </c>
      <c r="M1325" s="1455"/>
      <c r="N1325" s="1458">
        <f t="shared" si="589"/>
        <v>54450000</v>
      </c>
      <c r="O1325" s="1347" t="s">
        <v>58</v>
      </c>
      <c r="P1325" s="1347" t="s">
        <v>19</v>
      </c>
      <c r="Q1325" s="1348"/>
      <c r="R1325" s="1349"/>
      <c r="S1325" s="1413">
        <v>0</v>
      </c>
      <c r="T1325" s="1413">
        <f t="shared" ref="T1325:T1330" si="591">-K1325*2%</f>
        <v>-990000</v>
      </c>
      <c r="U1325" s="1406">
        <v>53460000</v>
      </c>
      <c r="V1325" s="1350"/>
      <c r="W1325" s="1351"/>
      <c r="X1325" s="1352"/>
      <c r="Y1325" s="1406"/>
      <c r="Z1325" s="1353"/>
      <c r="AA1325" s="1354"/>
      <c r="AB1325" s="1355"/>
      <c r="AC1325" s="1344"/>
      <c r="AD1325" s="1356"/>
      <c r="AE1325" s="1356"/>
      <c r="AF1325" s="1344"/>
      <c r="AG1325" s="1344"/>
      <c r="AH1325" s="1357"/>
      <c r="AI1325" s="1344"/>
      <c r="AJ1325" s="1357"/>
      <c r="AK1325" s="1404"/>
    </row>
    <row r="1326" spans="1:37" s="1405" customFormat="1" ht="12" customHeight="1">
      <c r="A1326" s="1440"/>
      <c r="B1326" s="1415" t="s">
        <v>239</v>
      </c>
      <c r="C1326" s="1442">
        <v>15</v>
      </c>
      <c r="D1326" s="1460" t="s">
        <v>136</v>
      </c>
      <c r="E1326" s="1442" t="s">
        <v>354</v>
      </c>
      <c r="F1326" s="1460" t="s">
        <v>3981</v>
      </c>
      <c r="G1326" s="1454" t="s">
        <v>379</v>
      </c>
      <c r="H1326" s="1454" t="s">
        <v>4329</v>
      </c>
      <c r="I1326" s="1454" t="s">
        <v>4330</v>
      </c>
      <c r="J1326" s="1444"/>
      <c r="K1326" s="1444">
        <v>46000000</v>
      </c>
      <c r="L1326" s="1458">
        <f t="shared" si="588"/>
        <v>4600000</v>
      </c>
      <c r="M1326" s="1455"/>
      <c r="N1326" s="1458">
        <f t="shared" si="589"/>
        <v>50600000</v>
      </c>
      <c r="O1326" s="1347" t="s">
        <v>58</v>
      </c>
      <c r="P1326" s="1347" t="s">
        <v>19</v>
      </c>
      <c r="Q1326" s="1348"/>
      <c r="R1326" s="1349"/>
      <c r="S1326" s="1413">
        <v>0</v>
      </c>
      <c r="T1326" s="1413">
        <f t="shared" si="591"/>
        <v>-920000</v>
      </c>
      <c r="U1326" s="1406">
        <v>49680000</v>
      </c>
      <c r="V1326" s="1350"/>
      <c r="W1326" s="1351"/>
      <c r="X1326" s="1352"/>
      <c r="Y1326" s="1406"/>
      <c r="Z1326" s="1353"/>
      <c r="AA1326" s="1354"/>
      <c r="AB1326" s="1355"/>
      <c r="AC1326" s="1344"/>
      <c r="AD1326" s="1356"/>
      <c r="AE1326" s="1356"/>
      <c r="AF1326" s="1344"/>
      <c r="AG1326" s="1344"/>
      <c r="AH1326" s="1357"/>
      <c r="AI1326" s="1344"/>
      <c r="AJ1326" s="1357"/>
      <c r="AK1326" s="1404"/>
    </row>
    <row r="1327" spans="1:37" s="1405" customFormat="1" ht="12" customHeight="1">
      <c r="A1327" s="1440"/>
      <c r="B1327" s="1415" t="s">
        <v>239</v>
      </c>
      <c r="C1327" s="1442">
        <v>15</v>
      </c>
      <c r="D1327" s="1460" t="s">
        <v>136</v>
      </c>
      <c r="E1327" s="1442" t="s">
        <v>354</v>
      </c>
      <c r="F1327" s="1460" t="s">
        <v>4331</v>
      </c>
      <c r="G1327" s="1454" t="s">
        <v>379</v>
      </c>
      <c r="H1327" s="1454" t="s">
        <v>4332</v>
      </c>
      <c r="I1327" s="1454" t="s">
        <v>4333</v>
      </c>
      <c r="J1327" s="1444"/>
      <c r="K1327" s="1444">
        <v>46000000</v>
      </c>
      <c r="L1327" s="1458">
        <f t="shared" si="588"/>
        <v>4600000</v>
      </c>
      <c r="M1327" s="1455"/>
      <c r="N1327" s="1458">
        <f t="shared" si="589"/>
        <v>50600000</v>
      </c>
      <c r="O1327" s="1347" t="s">
        <v>58</v>
      </c>
      <c r="P1327" s="1347" t="s">
        <v>19</v>
      </c>
      <c r="Q1327" s="1348"/>
      <c r="R1327" s="1349"/>
      <c r="S1327" s="1413">
        <v>0</v>
      </c>
      <c r="T1327" s="1413">
        <f t="shared" si="591"/>
        <v>-920000</v>
      </c>
      <c r="U1327" s="1406">
        <v>49680000</v>
      </c>
      <c r="V1327" s="1350"/>
      <c r="W1327" s="1351"/>
      <c r="X1327" s="1352"/>
      <c r="Y1327" s="1406"/>
      <c r="Z1327" s="1353"/>
      <c r="AA1327" s="1354"/>
      <c r="AB1327" s="1355"/>
      <c r="AC1327" s="1344"/>
      <c r="AD1327" s="1356"/>
      <c r="AE1327" s="1356"/>
      <c r="AF1327" s="1344"/>
      <c r="AG1327" s="1344"/>
      <c r="AH1327" s="1357"/>
      <c r="AI1327" s="1344"/>
      <c r="AJ1327" s="1357"/>
      <c r="AK1327" s="1404"/>
    </row>
    <row r="1328" spans="1:37" s="1405" customFormat="1" ht="12" customHeight="1">
      <c r="A1328" s="1440"/>
      <c r="B1328" s="1415" t="s">
        <v>239</v>
      </c>
      <c r="C1328" s="1442">
        <v>15</v>
      </c>
      <c r="D1328" s="1460" t="s">
        <v>136</v>
      </c>
      <c r="E1328" s="1442" t="s">
        <v>354</v>
      </c>
      <c r="F1328" s="1460" t="s">
        <v>3987</v>
      </c>
      <c r="G1328" s="1454" t="s">
        <v>379</v>
      </c>
      <c r="H1328" s="1454" t="s">
        <v>4334</v>
      </c>
      <c r="I1328" s="1454" t="s">
        <v>4335</v>
      </c>
      <c r="J1328" s="1444"/>
      <c r="K1328" s="1444">
        <v>134000000</v>
      </c>
      <c r="L1328" s="1458">
        <f t="shared" si="588"/>
        <v>13400000</v>
      </c>
      <c r="M1328" s="1455"/>
      <c r="N1328" s="1458">
        <f t="shared" si="589"/>
        <v>147400000</v>
      </c>
      <c r="O1328" s="1347" t="s">
        <v>58</v>
      </c>
      <c r="P1328" s="1347" t="s">
        <v>19</v>
      </c>
      <c r="Q1328" s="1348"/>
      <c r="R1328" s="1349"/>
      <c r="S1328" s="1413">
        <v>0</v>
      </c>
      <c r="T1328" s="1413">
        <f t="shared" si="591"/>
        <v>-2680000</v>
      </c>
      <c r="U1328" s="1406">
        <v>144720000</v>
      </c>
      <c r="V1328" s="1350"/>
      <c r="W1328" s="1351"/>
      <c r="X1328" s="1352"/>
      <c r="Y1328" s="1406"/>
      <c r="Z1328" s="1353"/>
      <c r="AA1328" s="1354"/>
      <c r="AB1328" s="1355"/>
      <c r="AC1328" s="1344"/>
      <c r="AD1328" s="1356"/>
      <c r="AE1328" s="1356"/>
      <c r="AF1328" s="1344"/>
      <c r="AG1328" s="1344"/>
      <c r="AH1328" s="1357"/>
      <c r="AI1328" s="1344"/>
      <c r="AJ1328" s="1357"/>
      <c r="AK1328" s="1404"/>
    </row>
    <row r="1329" spans="1:37" s="1405" customFormat="1" ht="12" customHeight="1">
      <c r="A1329" s="1440"/>
      <c r="B1329" s="1415" t="s">
        <v>239</v>
      </c>
      <c r="C1329" s="1442">
        <v>15</v>
      </c>
      <c r="D1329" s="1460" t="s">
        <v>136</v>
      </c>
      <c r="E1329" s="1442" t="s">
        <v>354</v>
      </c>
      <c r="F1329" s="1460" t="s">
        <v>3990</v>
      </c>
      <c r="G1329" s="1454" t="s">
        <v>379</v>
      </c>
      <c r="H1329" s="1454" t="s">
        <v>4336</v>
      </c>
      <c r="I1329" s="1454" t="s">
        <v>4337</v>
      </c>
      <c r="J1329" s="1444"/>
      <c r="K1329" s="1444">
        <v>172000000</v>
      </c>
      <c r="L1329" s="1458">
        <f t="shared" si="588"/>
        <v>17200000</v>
      </c>
      <c r="M1329" s="1455"/>
      <c r="N1329" s="1458">
        <f t="shared" si="589"/>
        <v>189200000</v>
      </c>
      <c r="O1329" s="1347" t="s">
        <v>58</v>
      </c>
      <c r="P1329" s="1347" t="s">
        <v>19</v>
      </c>
      <c r="Q1329" s="1348"/>
      <c r="R1329" s="1349"/>
      <c r="S1329" s="1413">
        <v>0</v>
      </c>
      <c r="T1329" s="1413">
        <f t="shared" si="591"/>
        <v>-3440000</v>
      </c>
      <c r="U1329" s="1406">
        <v>185760000</v>
      </c>
      <c r="V1329" s="1350"/>
      <c r="W1329" s="1351"/>
      <c r="X1329" s="1352"/>
      <c r="Y1329" s="1406"/>
      <c r="Z1329" s="1353"/>
      <c r="AA1329" s="1354"/>
      <c r="AB1329" s="1355"/>
      <c r="AC1329" s="1344"/>
      <c r="AD1329" s="1356"/>
      <c r="AE1329" s="1356"/>
      <c r="AF1329" s="1344"/>
      <c r="AG1329" s="1344"/>
      <c r="AH1329" s="1357"/>
      <c r="AI1329" s="1344"/>
      <c r="AJ1329" s="1357"/>
      <c r="AK1329" s="1404"/>
    </row>
    <row r="1330" spans="1:37" s="1405" customFormat="1" ht="12" customHeight="1">
      <c r="A1330" s="1440"/>
      <c r="B1330" s="1415" t="s">
        <v>239</v>
      </c>
      <c r="C1330" s="1442">
        <v>15</v>
      </c>
      <c r="D1330" s="1460" t="s">
        <v>136</v>
      </c>
      <c r="E1330" s="1442" t="s">
        <v>354</v>
      </c>
      <c r="F1330" s="1460" t="s">
        <v>4338</v>
      </c>
      <c r="G1330" s="1454" t="s">
        <v>4339</v>
      </c>
      <c r="H1330" s="1454" t="s">
        <v>4340</v>
      </c>
      <c r="I1330" s="1454" t="s">
        <v>4341</v>
      </c>
      <c r="J1330" s="1444"/>
      <c r="K1330" s="1444">
        <v>25500000</v>
      </c>
      <c r="L1330" s="1458">
        <f t="shared" si="588"/>
        <v>2550000</v>
      </c>
      <c r="M1330" s="1455"/>
      <c r="N1330" s="1458">
        <f t="shared" si="589"/>
        <v>28050000</v>
      </c>
      <c r="O1330" s="1347" t="s">
        <v>58</v>
      </c>
      <c r="P1330" s="1347" t="s">
        <v>19</v>
      </c>
      <c r="Q1330" s="1348"/>
      <c r="R1330" s="1349"/>
      <c r="S1330" s="1413">
        <v>0</v>
      </c>
      <c r="T1330" s="1413">
        <f t="shared" si="591"/>
        <v>-510000</v>
      </c>
      <c r="U1330" s="1406">
        <v>27540000</v>
      </c>
      <c r="V1330" s="1350"/>
      <c r="W1330" s="1351"/>
      <c r="X1330" s="1352"/>
      <c r="Y1330" s="1406"/>
      <c r="Z1330" s="1353"/>
      <c r="AA1330" s="1354"/>
      <c r="AB1330" s="1355"/>
      <c r="AC1330" s="1344"/>
      <c r="AD1330" s="1356"/>
      <c r="AE1330" s="1356"/>
      <c r="AF1330" s="1344"/>
      <c r="AG1330" s="1344"/>
      <c r="AH1330" s="1357"/>
      <c r="AI1330" s="1344"/>
      <c r="AJ1330" s="1357"/>
      <c r="AK1330" s="1404"/>
    </row>
    <row r="1331" spans="1:37" s="1405" customFormat="1" ht="12" customHeight="1">
      <c r="A1331" s="1343"/>
      <c r="B1331" s="1390" t="s">
        <v>240</v>
      </c>
      <c r="C1331" s="1344">
        <v>2</v>
      </c>
      <c r="D1331" s="1345" t="s">
        <v>136</v>
      </c>
      <c r="E1331" s="1344" t="s">
        <v>354</v>
      </c>
      <c r="F1331" s="1345" t="s">
        <v>4326</v>
      </c>
      <c r="G1331" s="1398" t="s">
        <v>5</v>
      </c>
      <c r="H1331" s="1398" t="s">
        <v>4498</v>
      </c>
      <c r="I1331" s="1398" t="s">
        <v>4499</v>
      </c>
      <c r="J1331" s="1406"/>
      <c r="K1331" s="1406">
        <v>46000000</v>
      </c>
      <c r="L1331" s="1230">
        <f t="shared" si="588"/>
        <v>4600000</v>
      </c>
      <c r="M1331" s="1346"/>
      <c r="N1331" s="1230">
        <f t="shared" si="589"/>
        <v>50600000</v>
      </c>
      <c r="O1331" s="1347"/>
      <c r="P1331" s="1347"/>
      <c r="Q1331" s="1348"/>
      <c r="R1331" s="1349"/>
      <c r="S1331" s="1407"/>
      <c r="T1331" s="1407"/>
      <c r="U1331" s="1406"/>
      <c r="V1331" s="1350"/>
      <c r="W1331" s="1351"/>
      <c r="X1331" s="1352"/>
      <c r="Y1331" s="1406"/>
      <c r="Z1331" s="1353"/>
      <c r="AA1331" s="1354"/>
      <c r="AB1331" s="1355"/>
      <c r="AC1331" s="1344"/>
      <c r="AD1331" s="1356"/>
      <c r="AE1331" s="1356"/>
      <c r="AF1331" s="1344"/>
      <c r="AG1331" s="1344"/>
      <c r="AH1331" s="1357"/>
      <c r="AI1331" s="1344"/>
      <c r="AJ1331" s="1357"/>
      <c r="AK1331" s="1404"/>
    </row>
    <row r="1332" spans="1:37" s="1405" customFormat="1" ht="12" customHeight="1">
      <c r="A1332" s="1343"/>
      <c r="B1332" s="1390" t="s">
        <v>240</v>
      </c>
      <c r="C1332" s="1344">
        <v>2</v>
      </c>
      <c r="D1332" s="1345" t="s">
        <v>136</v>
      </c>
      <c r="E1332" s="1344" t="s">
        <v>354</v>
      </c>
      <c r="F1332" s="1345" t="s">
        <v>3981</v>
      </c>
      <c r="G1332" s="1398" t="s">
        <v>5</v>
      </c>
      <c r="H1332" s="1398" t="s">
        <v>4500</v>
      </c>
      <c r="I1332" s="1398" t="s">
        <v>4501</v>
      </c>
      <c r="J1332" s="1406"/>
      <c r="K1332" s="1406">
        <v>46000000</v>
      </c>
      <c r="L1332" s="1230">
        <f t="shared" si="588"/>
        <v>4600000</v>
      </c>
      <c r="M1332" s="1346"/>
      <c r="N1332" s="1230">
        <f t="shared" si="589"/>
        <v>50600000</v>
      </c>
      <c r="O1332" s="1347"/>
      <c r="P1332" s="1347"/>
      <c r="Q1332" s="1348"/>
      <c r="R1332" s="1349"/>
      <c r="S1332" s="1407"/>
      <c r="T1332" s="1407"/>
      <c r="U1332" s="1406"/>
      <c r="V1332" s="1350"/>
      <c r="W1332" s="1351"/>
      <c r="X1332" s="1352"/>
      <c r="Y1332" s="1406"/>
      <c r="Z1332" s="1353"/>
      <c r="AA1332" s="1354"/>
      <c r="AB1332" s="1355"/>
      <c r="AC1332" s="1344"/>
      <c r="AD1332" s="1356"/>
      <c r="AE1332" s="1356"/>
      <c r="AF1332" s="1344"/>
      <c r="AG1332" s="1344"/>
      <c r="AH1332" s="1357"/>
      <c r="AI1332" s="1344"/>
      <c r="AJ1332" s="1357"/>
      <c r="AK1332" s="1404"/>
    </row>
    <row r="1333" spans="1:37" s="1405" customFormat="1" ht="12" customHeight="1">
      <c r="A1333" s="1343"/>
      <c r="B1333" s="1390" t="s">
        <v>240</v>
      </c>
      <c r="C1333" s="1344">
        <v>2</v>
      </c>
      <c r="D1333" s="1345" t="s">
        <v>136</v>
      </c>
      <c r="E1333" s="1344" t="s">
        <v>354</v>
      </c>
      <c r="F1333" s="1345" t="s">
        <v>4331</v>
      </c>
      <c r="G1333" s="1398" t="s">
        <v>5</v>
      </c>
      <c r="H1333" s="1398" t="s">
        <v>4502</v>
      </c>
      <c r="I1333" s="1398" t="s">
        <v>4503</v>
      </c>
      <c r="J1333" s="1406"/>
      <c r="K1333" s="1406">
        <v>46000000</v>
      </c>
      <c r="L1333" s="1230">
        <f t="shared" si="588"/>
        <v>4600000</v>
      </c>
      <c r="M1333" s="1346"/>
      <c r="N1333" s="1230">
        <f t="shared" si="589"/>
        <v>50600000</v>
      </c>
      <c r="O1333" s="1347"/>
      <c r="P1333" s="1347"/>
      <c r="Q1333" s="1348"/>
      <c r="R1333" s="1349"/>
      <c r="S1333" s="1407"/>
      <c r="T1333" s="1407"/>
      <c r="U1333" s="1406"/>
      <c r="V1333" s="1350"/>
      <c r="W1333" s="1351"/>
      <c r="X1333" s="1352"/>
      <c r="Y1333" s="1406"/>
      <c r="Z1333" s="1353"/>
      <c r="AA1333" s="1354"/>
      <c r="AB1333" s="1355"/>
      <c r="AC1333" s="1344"/>
      <c r="AD1333" s="1356"/>
      <c r="AE1333" s="1356"/>
      <c r="AF1333" s="1344"/>
      <c r="AG1333" s="1344"/>
      <c r="AH1333" s="1357"/>
      <c r="AI1333" s="1344"/>
      <c r="AJ1333" s="1357"/>
      <c r="AK1333" s="1404"/>
    </row>
    <row r="1334" spans="1:37" s="1405" customFormat="1" ht="12" customHeight="1">
      <c r="A1334" s="1343"/>
      <c r="B1334" s="1390" t="s">
        <v>240</v>
      </c>
      <c r="C1334" s="1344">
        <v>2</v>
      </c>
      <c r="D1334" s="1345" t="s">
        <v>136</v>
      </c>
      <c r="E1334" s="1344" t="s">
        <v>354</v>
      </c>
      <c r="F1334" s="1345" t="s">
        <v>3987</v>
      </c>
      <c r="G1334" s="1398" t="s">
        <v>5</v>
      </c>
      <c r="H1334" s="1398" t="s">
        <v>4504</v>
      </c>
      <c r="I1334" s="1398" t="s">
        <v>4505</v>
      </c>
      <c r="J1334" s="1406"/>
      <c r="K1334" s="1406">
        <v>134000000</v>
      </c>
      <c r="L1334" s="1230">
        <f t="shared" si="588"/>
        <v>13400000</v>
      </c>
      <c r="M1334" s="1346"/>
      <c r="N1334" s="1230">
        <f t="shared" si="589"/>
        <v>147400000</v>
      </c>
      <c r="O1334" s="1347"/>
      <c r="P1334" s="1347"/>
      <c r="Q1334" s="1348"/>
      <c r="R1334" s="1349"/>
      <c r="S1334" s="1407"/>
      <c r="T1334" s="1407"/>
      <c r="U1334" s="1406"/>
      <c r="V1334" s="1350"/>
      <c r="W1334" s="1351"/>
      <c r="X1334" s="1352"/>
      <c r="Y1334" s="1406"/>
      <c r="Z1334" s="1353"/>
      <c r="AA1334" s="1354"/>
      <c r="AB1334" s="1355"/>
      <c r="AC1334" s="1344"/>
      <c r="AD1334" s="1356"/>
      <c r="AE1334" s="1356"/>
      <c r="AF1334" s="1344"/>
      <c r="AG1334" s="1344"/>
      <c r="AH1334" s="1357"/>
      <c r="AI1334" s="1344"/>
      <c r="AJ1334" s="1357"/>
      <c r="AK1334" s="1404"/>
    </row>
    <row r="1335" spans="1:37" s="1405" customFormat="1" ht="12" customHeight="1">
      <c r="A1335" s="1343"/>
      <c r="B1335" s="1390" t="s">
        <v>240</v>
      </c>
      <c r="C1335" s="1344">
        <v>2</v>
      </c>
      <c r="D1335" s="1345" t="s">
        <v>136</v>
      </c>
      <c r="E1335" s="1344" t="s">
        <v>354</v>
      </c>
      <c r="F1335" s="1345" t="s">
        <v>3990</v>
      </c>
      <c r="G1335" s="1398" t="s">
        <v>5</v>
      </c>
      <c r="H1335" s="1398" t="s">
        <v>4506</v>
      </c>
      <c r="I1335" s="1398" t="s">
        <v>4507</v>
      </c>
      <c r="J1335" s="1406"/>
      <c r="K1335" s="1406">
        <v>172000000</v>
      </c>
      <c r="L1335" s="1230">
        <f t="shared" si="588"/>
        <v>17200000</v>
      </c>
      <c r="M1335" s="1346"/>
      <c r="N1335" s="1230">
        <f t="shared" si="589"/>
        <v>189200000</v>
      </c>
      <c r="O1335" s="1347"/>
      <c r="P1335" s="1347"/>
      <c r="Q1335" s="1348"/>
      <c r="R1335" s="1349"/>
      <c r="S1335" s="1407"/>
      <c r="T1335" s="1407"/>
      <c r="U1335" s="1406"/>
      <c r="V1335" s="1350"/>
      <c r="W1335" s="1351"/>
      <c r="X1335" s="1352"/>
      <c r="Y1335" s="1406"/>
      <c r="Z1335" s="1353"/>
      <c r="AA1335" s="1354"/>
      <c r="AB1335" s="1355"/>
      <c r="AC1335" s="1344"/>
      <c r="AD1335" s="1356"/>
      <c r="AE1335" s="1356"/>
      <c r="AF1335" s="1344"/>
      <c r="AG1335" s="1344"/>
      <c r="AH1335" s="1357"/>
      <c r="AI1335" s="1344"/>
      <c r="AJ1335" s="1357"/>
      <c r="AK1335" s="1404"/>
    </row>
    <row r="1336" spans="1:37" s="1405" customFormat="1" ht="12" customHeight="1">
      <c r="A1336" s="1343"/>
      <c r="B1336" s="1390" t="s">
        <v>240</v>
      </c>
      <c r="C1336" s="1344">
        <v>2</v>
      </c>
      <c r="D1336" s="1345" t="s">
        <v>136</v>
      </c>
      <c r="E1336" s="1344" t="s">
        <v>354</v>
      </c>
      <c r="F1336" s="1345" t="s">
        <v>4338</v>
      </c>
      <c r="G1336" s="1398" t="s">
        <v>4508</v>
      </c>
      <c r="H1336" s="1398" t="s">
        <v>4509</v>
      </c>
      <c r="I1336" s="1398" t="s">
        <v>4510</v>
      </c>
      <c r="J1336" s="1406"/>
      <c r="K1336" s="1406">
        <v>25500000</v>
      </c>
      <c r="L1336" s="1230">
        <f t="shared" si="588"/>
        <v>2550000</v>
      </c>
      <c r="M1336" s="1346"/>
      <c r="N1336" s="1230">
        <f t="shared" si="589"/>
        <v>28050000</v>
      </c>
      <c r="O1336" s="1347"/>
      <c r="P1336" s="1347"/>
      <c r="Q1336" s="1348"/>
      <c r="R1336" s="1349"/>
      <c r="S1336" s="1407"/>
      <c r="T1336" s="1407"/>
      <c r="U1336" s="1406"/>
      <c r="V1336" s="1350"/>
      <c r="W1336" s="1351"/>
      <c r="X1336" s="1352"/>
      <c r="Y1336" s="1406"/>
      <c r="Z1336" s="1353"/>
      <c r="AA1336" s="1354"/>
      <c r="AB1336" s="1355"/>
      <c r="AC1336" s="1344"/>
      <c r="AD1336" s="1356"/>
      <c r="AE1336" s="1356"/>
      <c r="AF1336" s="1344"/>
      <c r="AG1336" s="1344"/>
      <c r="AH1336" s="1357"/>
      <c r="AI1336" s="1344"/>
      <c r="AJ1336" s="1357"/>
      <c r="AK1336" s="1404"/>
    </row>
    <row r="1337" spans="1:37" s="1405" customFormat="1" ht="12" customHeight="1">
      <c r="A1337" s="1343"/>
      <c r="B1337" s="1390" t="s">
        <v>58</v>
      </c>
      <c r="C1337" s="1344">
        <v>23</v>
      </c>
      <c r="D1337" s="1345" t="s">
        <v>136</v>
      </c>
      <c r="E1337" s="1344" t="s">
        <v>3137</v>
      </c>
      <c r="F1337" s="1345" t="s">
        <v>4651</v>
      </c>
      <c r="G1337" s="1398" t="s">
        <v>4793</v>
      </c>
      <c r="H1337" s="1398" t="s">
        <v>4652</v>
      </c>
      <c r="I1337" s="1398" t="s">
        <v>4653</v>
      </c>
      <c r="J1337" s="1406"/>
      <c r="K1337" s="1406">
        <v>247500000</v>
      </c>
      <c r="L1337" s="1230">
        <f t="shared" si="588"/>
        <v>24750000</v>
      </c>
      <c r="M1337" s="1346"/>
      <c r="N1337" s="1230">
        <f t="shared" si="589"/>
        <v>272250000</v>
      </c>
      <c r="O1337" s="1347"/>
      <c r="P1337" s="1347"/>
      <c r="Q1337" s="1348"/>
      <c r="R1337" s="1349"/>
      <c r="S1337" s="1407"/>
      <c r="T1337" s="1407"/>
      <c r="U1337" s="1406"/>
      <c r="V1337" s="1350"/>
      <c r="W1337" s="1351"/>
      <c r="X1337" s="1352"/>
      <c r="Y1337" s="1406"/>
      <c r="Z1337" s="1353"/>
      <c r="AA1337" s="1354"/>
      <c r="AB1337" s="1355"/>
      <c r="AC1337" s="1344"/>
      <c r="AD1337" s="1356"/>
      <c r="AE1337" s="1356"/>
      <c r="AF1337" s="1344"/>
      <c r="AG1337" s="1344"/>
      <c r="AH1337" s="1357"/>
      <c r="AI1337" s="1344"/>
      <c r="AJ1337" s="1357"/>
      <c r="AK1337" s="1404"/>
    </row>
    <row r="1338" spans="1:37" s="1405" customFormat="1" ht="12" customHeight="1">
      <c r="A1338" s="1343"/>
      <c r="B1338" s="1390" t="s">
        <v>58</v>
      </c>
      <c r="C1338" s="1344">
        <v>23</v>
      </c>
      <c r="D1338" s="1345" t="s">
        <v>136</v>
      </c>
      <c r="E1338" s="1344" t="s">
        <v>354</v>
      </c>
      <c r="F1338" s="1345" t="s">
        <v>4326</v>
      </c>
      <c r="G1338" s="1398" t="s">
        <v>57</v>
      </c>
      <c r="H1338" s="1398" t="s">
        <v>4689</v>
      </c>
      <c r="I1338" s="1398" t="s">
        <v>4696</v>
      </c>
      <c r="J1338" s="1406"/>
      <c r="K1338" s="1406">
        <v>46000000</v>
      </c>
      <c r="L1338" s="1230">
        <f t="shared" si="588"/>
        <v>4600000</v>
      </c>
      <c r="M1338" s="1346"/>
      <c r="N1338" s="1230">
        <f t="shared" si="589"/>
        <v>50600000</v>
      </c>
      <c r="O1338" s="1347"/>
      <c r="P1338" s="1347"/>
      <c r="Q1338" s="1348"/>
      <c r="R1338" s="1349"/>
      <c r="S1338" s="1407"/>
      <c r="T1338" s="1407"/>
      <c r="U1338" s="1406"/>
      <c r="V1338" s="1350"/>
      <c r="W1338" s="1351"/>
      <c r="X1338" s="1352"/>
      <c r="Y1338" s="1406"/>
      <c r="Z1338" s="1353"/>
      <c r="AA1338" s="1354"/>
      <c r="AB1338" s="1355"/>
      <c r="AC1338" s="1344"/>
      <c r="AD1338" s="1356"/>
      <c r="AE1338" s="1356"/>
      <c r="AF1338" s="1344"/>
      <c r="AG1338" s="1344"/>
      <c r="AH1338" s="1357"/>
      <c r="AI1338" s="1344"/>
      <c r="AJ1338" s="1357"/>
      <c r="AK1338" s="1404"/>
    </row>
    <row r="1339" spans="1:37" s="1405" customFormat="1" ht="12" customHeight="1">
      <c r="A1339" s="1343"/>
      <c r="B1339" s="1390" t="s">
        <v>58</v>
      </c>
      <c r="C1339" s="1344">
        <v>23</v>
      </c>
      <c r="D1339" s="1345" t="s">
        <v>136</v>
      </c>
      <c r="E1339" s="1344" t="s">
        <v>354</v>
      </c>
      <c r="F1339" s="1345" t="s">
        <v>3981</v>
      </c>
      <c r="G1339" s="1398" t="s">
        <v>57</v>
      </c>
      <c r="H1339" s="1398" t="s">
        <v>4690</v>
      </c>
      <c r="I1339" s="1398" t="s">
        <v>4697</v>
      </c>
      <c r="J1339" s="1406"/>
      <c r="K1339" s="1406">
        <v>46000000</v>
      </c>
      <c r="L1339" s="1230">
        <f t="shared" si="588"/>
        <v>4600000</v>
      </c>
      <c r="M1339" s="1346"/>
      <c r="N1339" s="1230">
        <f t="shared" si="589"/>
        <v>50600000</v>
      </c>
      <c r="O1339" s="1347"/>
      <c r="P1339" s="1347"/>
      <c r="Q1339" s="1348"/>
      <c r="R1339" s="1349"/>
      <c r="S1339" s="1407"/>
      <c r="T1339" s="1407"/>
      <c r="U1339" s="1406"/>
      <c r="V1339" s="1350"/>
      <c r="W1339" s="1351"/>
      <c r="X1339" s="1352"/>
      <c r="Y1339" s="1406"/>
      <c r="Z1339" s="1353"/>
      <c r="AA1339" s="1354"/>
      <c r="AB1339" s="1355"/>
      <c r="AC1339" s="1344"/>
      <c r="AD1339" s="1356"/>
      <c r="AE1339" s="1356"/>
      <c r="AF1339" s="1344"/>
      <c r="AG1339" s="1344"/>
      <c r="AH1339" s="1357"/>
      <c r="AI1339" s="1344"/>
      <c r="AJ1339" s="1357"/>
      <c r="AK1339" s="1404"/>
    </row>
    <row r="1340" spans="1:37" s="1405" customFormat="1" ht="12" customHeight="1">
      <c r="A1340" s="1343"/>
      <c r="B1340" s="1390" t="s">
        <v>58</v>
      </c>
      <c r="C1340" s="1344">
        <v>23</v>
      </c>
      <c r="D1340" s="1345" t="s">
        <v>136</v>
      </c>
      <c r="E1340" s="1344" t="s">
        <v>354</v>
      </c>
      <c r="F1340" s="1345" t="s">
        <v>4331</v>
      </c>
      <c r="G1340" s="1398" t="s">
        <v>57</v>
      </c>
      <c r="H1340" s="1398" t="s">
        <v>4691</v>
      </c>
      <c r="I1340" s="1398" t="s">
        <v>4698</v>
      </c>
      <c r="J1340" s="1406"/>
      <c r="K1340" s="1406">
        <v>46000000</v>
      </c>
      <c r="L1340" s="1230">
        <f t="shared" si="588"/>
        <v>4600000</v>
      </c>
      <c r="M1340" s="1346"/>
      <c r="N1340" s="1230">
        <f t="shared" si="589"/>
        <v>50600000</v>
      </c>
      <c r="O1340" s="1347"/>
      <c r="P1340" s="1347"/>
      <c r="Q1340" s="1348"/>
      <c r="R1340" s="1349"/>
      <c r="S1340" s="1407"/>
      <c r="T1340" s="1407"/>
      <c r="U1340" s="1406"/>
      <c r="V1340" s="1350"/>
      <c r="W1340" s="1351"/>
      <c r="X1340" s="1352"/>
      <c r="Y1340" s="1406"/>
      <c r="Z1340" s="1353"/>
      <c r="AA1340" s="1354"/>
      <c r="AB1340" s="1355"/>
      <c r="AC1340" s="1344"/>
      <c r="AD1340" s="1356"/>
      <c r="AE1340" s="1356"/>
      <c r="AF1340" s="1344"/>
      <c r="AG1340" s="1344"/>
      <c r="AH1340" s="1357"/>
      <c r="AI1340" s="1344"/>
      <c r="AJ1340" s="1357"/>
      <c r="AK1340" s="1404"/>
    </row>
    <row r="1341" spans="1:37" s="1405" customFormat="1" ht="12" customHeight="1">
      <c r="A1341" s="1343"/>
      <c r="B1341" s="1390" t="s">
        <v>58</v>
      </c>
      <c r="C1341" s="1344">
        <v>23</v>
      </c>
      <c r="D1341" s="1345" t="s">
        <v>136</v>
      </c>
      <c r="E1341" s="1344" t="s">
        <v>354</v>
      </c>
      <c r="F1341" s="1345" t="s">
        <v>3987</v>
      </c>
      <c r="G1341" s="1398" t="s">
        <v>57</v>
      </c>
      <c r="H1341" s="1398" t="s">
        <v>4692</v>
      </c>
      <c r="I1341" s="1398" t="s">
        <v>4699</v>
      </c>
      <c r="J1341" s="1406"/>
      <c r="K1341" s="1406">
        <v>134000000</v>
      </c>
      <c r="L1341" s="1230">
        <f t="shared" si="588"/>
        <v>13400000</v>
      </c>
      <c r="M1341" s="1346"/>
      <c r="N1341" s="1230">
        <f t="shared" si="589"/>
        <v>147400000</v>
      </c>
      <c r="O1341" s="1347"/>
      <c r="P1341" s="1347"/>
      <c r="Q1341" s="1348"/>
      <c r="R1341" s="1349"/>
      <c r="S1341" s="1407"/>
      <c r="T1341" s="1407"/>
      <c r="U1341" s="1406"/>
      <c r="V1341" s="1350"/>
      <c r="W1341" s="1351"/>
      <c r="X1341" s="1352"/>
      <c r="Y1341" s="1406"/>
      <c r="Z1341" s="1353"/>
      <c r="AA1341" s="1354"/>
      <c r="AB1341" s="1355"/>
      <c r="AC1341" s="1344"/>
      <c r="AD1341" s="1356"/>
      <c r="AE1341" s="1356"/>
      <c r="AF1341" s="1344"/>
      <c r="AG1341" s="1344"/>
      <c r="AH1341" s="1357"/>
      <c r="AI1341" s="1344"/>
      <c r="AJ1341" s="1357"/>
      <c r="AK1341" s="1404"/>
    </row>
    <row r="1342" spans="1:37" s="1405" customFormat="1" ht="12" customHeight="1">
      <c r="A1342" s="1343"/>
      <c r="B1342" s="1390" t="s">
        <v>58</v>
      </c>
      <c r="C1342" s="1344">
        <v>23</v>
      </c>
      <c r="D1342" s="1345" t="s">
        <v>136</v>
      </c>
      <c r="E1342" s="1344" t="s">
        <v>354</v>
      </c>
      <c r="F1342" s="1345" t="s">
        <v>3990</v>
      </c>
      <c r="G1342" s="1398" t="s">
        <v>57</v>
      </c>
      <c r="H1342" s="1398" t="s">
        <v>4693</v>
      </c>
      <c r="I1342" s="1398" t="s">
        <v>4700</v>
      </c>
      <c r="J1342" s="1406"/>
      <c r="K1342" s="1406">
        <v>172000000</v>
      </c>
      <c r="L1342" s="1230">
        <f t="shared" si="588"/>
        <v>17200000</v>
      </c>
      <c r="M1342" s="1346"/>
      <c r="N1342" s="1230">
        <f t="shared" si="589"/>
        <v>189200000</v>
      </c>
      <c r="O1342" s="1347"/>
      <c r="P1342" s="1347"/>
      <c r="Q1342" s="1348"/>
      <c r="R1342" s="1349"/>
      <c r="S1342" s="1407"/>
      <c r="T1342" s="1407"/>
      <c r="U1342" s="1406"/>
      <c r="V1342" s="1350"/>
      <c r="W1342" s="1351"/>
      <c r="X1342" s="1352"/>
      <c r="Y1342" s="1406"/>
      <c r="Z1342" s="1353"/>
      <c r="AA1342" s="1354"/>
      <c r="AB1342" s="1355"/>
      <c r="AC1342" s="1344"/>
      <c r="AD1342" s="1356"/>
      <c r="AE1342" s="1356"/>
      <c r="AF1342" s="1344"/>
      <c r="AG1342" s="1344"/>
      <c r="AH1342" s="1357"/>
      <c r="AI1342" s="1344"/>
      <c r="AJ1342" s="1357"/>
      <c r="AK1342" s="1404"/>
    </row>
    <row r="1343" spans="1:37" s="1405" customFormat="1" ht="12" customHeight="1">
      <c r="A1343" s="1343"/>
      <c r="B1343" s="1390" t="s">
        <v>58</v>
      </c>
      <c r="C1343" s="1344">
        <v>23</v>
      </c>
      <c r="D1343" s="1345" t="s">
        <v>136</v>
      </c>
      <c r="E1343" s="1344" t="s">
        <v>354</v>
      </c>
      <c r="F1343" s="1345" t="s">
        <v>4338</v>
      </c>
      <c r="G1343" s="1398" t="s">
        <v>4687</v>
      </c>
      <c r="H1343" s="1398" t="s">
        <v>4694</v>
      </c>
      <c r="I1343" s="1398" t="s">
        <v>4701</v>
      </c>
      <c r="J1343" s="1406"/>
      <c r="K1343" s="1406">
        <v>46000000</v>
      </c>
      <c r="L1343" s="1230">
        <f t="shared" si="588"/>
        <v>4600000</v>
      </c>
      <c r="M1343" s="1346"/>
      <c r="N1343" s="1230">
        <f t="shared" si="589"/>
        <v>50600000</v>
      </c>
      <c r="O1343" s="1347"/>
      <c r="P1343" s="1347"/>
      <c r="Q1343" s="1348"/>
      <c r="R1343" s="1349"/>
      <c r="S1343" s="1407"/>
      <c r="T1343" s="1407"/>
      <c r="U1343" s="1406"/>
      <c r="V1343" s="1350"/>
      <c r="W1343" s="1351"/>
      <c r="X1343" s="1352"/>
      <c r="Y1343" s="1406"/>
      <c r="Z1343" s="1353"/>
      <c r="AA1343" s="1354"/>
      <c r="AB1343" s="1355"/>
      <c r="AC1343" s="1344"/>
      <c r="AD1343" s="1356"/>
      <c r="AE1343" s="1356"/>
      <c r="AF1343" s="1344"/>
      <c r="AG1343" s="1344"/>
      <c r="AH1343" s="1357"/>
      <c r="AI1343" s="1344"/>
      <c r="AJ1343" s="1357"/>
      <c r="AK1343" s="1404"/>
    </row>
    <row r="1344" spans="1:37" s="1405" customFormat="1" ht="12" customHeight="1">
      <c r="A1344" s="1343"/>
      <c r="B1344" s="1390" t="s">
        <v>58</v>
      </c>
      <c r="C1344" s="1344">
        <v>23</v>
      </c>
      <c r="D1344" s="1345" t="s">
        <v>136</v>
      </c>
      <c r="E1344" s="1344" t="s">
        <v>354</v>
      </c>
      <c r="F1344" s="1345" t="s">
        <v>4338</v>
      </c>
      <c r="G1344" s="1398" t="s">
        <v>4688</v>
      </c>
      <c r="H1344" s="1398" t="s">
        <v>4695</v>
      </c>
      <c r="I1344" s="1398" t="s">
        <v>4702</v>
      </c>
      <c r="J1344" s="1406"/>
      <c r="K1344" s="1406">
        <v>46000000</v>
      </c>
      <c r="L1344" s="1230">
        <f t="shared" si="588"/>
        <v>4600000</v>
      </c>
      <c r="M1344" s="1346"/>
      <c r="N1344" s="1230">
        <f t="shared" si="589"/>
        <v>50600000</v>
      </c>
      <c r="O1344" s="1347"/>
      <c r="P1344" s="1347"/>
      <c r="Q1344" s="1348"/>
      <c r="R1344" s="1349"/>
      <c r="S1344" s="1407"/>
      <c r="T1344" s="1407"/>
      <c r="U1344" s="1406"/>
      <c r="V1344" s="1350"/>
      <c r="W1344" s="1351"/>
      <c r="X1344" s="1352"/>
      <c r="Y1344" s="1406"/>
      <c r="Z1344" s="1353"/>
      <c r="AA1344" s="1354"/>
      <c r="AB1344" s="1355"/>
      <c r="AC1344" s="1344"/>
      <c r="AD1344" s="1356"/>
      <c r="AE1344" s="1356"/>
      <c r="AF1344" s="1344"/>
      <c r="AG1344" s="1344"/>
      <c r="AH1344" s="1357"/>
      <c r="AI1344" s="1344"/>
      <c r="AJ1344" s="1357"/>
      <c r="AK1344" s="1404"/>
    </row>
    <row r="1345" spans="1:37" s="1481" customFormat="1" ht="12" customHeight="1">
      <c r="A1345" s="1461"/>
      <c r="B1345" s="1462" t="s">
        <v>140</v>
      </c>
      <c r="C1345" s="1463">
        <v>6</v>
      </c>
      <c r="D1345" s="1464" t="s">
        <v>445</v>
      </c>
      <c r="E1345" s="1465" t="s">
        <v>357</v>
      </c>
      <c r="F1345" s="1533" t="s">
        <v>4126</v>
      </c>
      <c r="G1345" s="1465" t="s">
        <v>1616</v>
      </c>
      <c r="H1345" s="1465" t="s">
        <v>3691</v>
      </c>
      <c r="I1345" s="1465" t="s">
        <v>3692</v>
      </c>
      <c r="J1345" s="1396"/>
      <c r="K1345" s="1466">
        <v>10000000</v>
      </c>
      <c r="L1345" s="1466">
        <v>1000000</v>
      </c>
      <c r="M1345" s="1394">
        <v>11000000</v>
      </c>
      <c r="N1345" s="1467">
        <f t="shared" si="441"/>
        <v>11000000</v>
      </c>
      <c r="O1345" s="1468" t="s">
        <v>194</v>
      </c>
      <c r="P1345" s="1468" t="s">
        <v>113</v>
      </c>
      <c r="Q1345" s="1469"/>
      <c r="R1345" s="1469"/>
      <c r="S1345" s="1413">
        <v>0</v>
      </c>
      <c r="T1345" s="1413">
        <f t="shared" ref="T1345" si="592">-K1345*2%</f>
        <v>-200000</v>
      </c>
      <c r="U1345" s="1470">
        <v>11000000</v>
      </c>
      <c r="V1345" s="1471"/>
      <c r="W1345" s="1472"/>
      <c r="X1345" s="1473"/>
      <c r="Y1345" s="1470"/>
      <c r="Z1345" s="1474"/>
      <c r="AA1345" s="1475"/>
      <c r="AB1345" s="1476"/>
      <c r="AC1345" s="1477"/>
      <c r="AD1345" s="1478"/>
      <c r="AE1345" s="1478"/>
      <c r="AF1345" s="1477"/>
      <c r="AG1345" s="1477"/>
      <c r="AH1345" s="1479"/>
      <c r="AI1345" s="1477"/>
      <c r="AJ1345" s="1479"/>
      <c r="AK1345" s="1480"/>
    </row>
    <row r="1346" spans="1:37" s="1439" customFormat="1" ht="12" customHeight="1">
      <c r="A1346" s="1440"/>
      <c r="B1346" s="1416" t="s">
        <v>194</v>
      </c>
      <c r="C1346" s="1442">
        <v>15</v>
      </c>
      <c r="D1346" s="1417" t="s">
        <v>445</v>
      </c>
      <c r="E1346" s="1418" t="s">
        <v>357</v>
      </c>
      <c r="F1346" s="1505" t="s">
        <v>4126</v>
      </c>
      <c r="G1346" s="1454" t="s">
        <v>1617</v>
      </c>
      <c r="H1346" s="1454" t="s">
        <v>3918</v>
      </c>
      <c r="I1346" s="1454" t="s">
        <v>3917</v>
      </c>
      <c r="J1346" s="1444"/>
      <c r="K1346" s="1444">
        <v>10000000</v>
      </c>
      <c r="L1346" s="1212">
        <v>1000000</v>
      </c>
      <c r="M1346" s="1420">
        <v>11000000</v>
      </c>
      <c r="N1346" s="1420">
        <f t="shared" si="441"/>
        <v>11000000</v>
      </c>
      <c r="O1346" s="1443" t="s">
        <v>239</v>
      </c>
      <c r="P1346" s="1443" t="s">
        <v>106</v>
      </c>
      <c r="Q1346" s="1348"/>
      <c r="R1346" s="1348"/>
      <c r="S1346" s="1413">
        <v>0</v>
      </c>
      <c r="T1346" s="1413">
        <f t="shared" ref="T1346:T1347" si="593">-K1346*2%</f>
        <v>-200000</v>
      </c>
      <c r="U1346" s="1470">
        <v>11000000</v>
      </c>
      <c r="V1346" s="1445"/>
      <c r="W1346" s="1446"/>
      <c r="X1346" s="1447"/>
      <c r="Y1346" s="1444"/>
      <c r="Z1346" s="1448"/>
      <c r="AA1346" s="1449"/>
      <c r="AB1346" s="1450"/>
      <c r="AC1346" s="1442"/>
      <c r="AD1346" s="1451"/>
      <c r="AE1346" s="1451"/>
      <c r="AF1346" s="1442"/>
      <c r="AG1346" s="1442"/>
      <c r="AH1346" s="1452"/>
      <c r="AI1346" s="1442"/>
      <c r="AJ1346" s="1452"/>
      <c r="AK1346" s="1438"/>
    </row>
    <row r="1347" spans="1:37" s="1439" customFormat="1" ht="12" customHeight="1">
      <c r="A1347" s="1440"/>
      <c r="B1347" s="1415" t="s">
        <v>195</v>
      </c>
      <c r="C1347" s="1442">
        <v>22</v>
      </c>
      <c r="D1347" s="1417" t="s">
        <v>445</v>
      </c>
      <c r="E1347" s="1418" t="s">
        <v>357</v>
      </c>
      <c r="F1347" s="1505" t="s">
        <v>4126</v>
      </c>
      <c r="G1347" s="1454" t="s">
        <v>4</v>
      </c>
      <c r="H1347" s="1454" t="s">
        <v>4127</v>
      </c>
      <c r="I1347" s="1454" t="s">
        <v>4128</v>
      </c>
      <c r="J1347" s="1444"/>
      <c r="K1347" s="1444">
        <v>10000000</v>
      </c>
      <c r="L1347" s="1212">
        <v>1000000</v>
      </c>
      <c r="M1347" s="1420">
        <v>11000000</v>
      </c>
      <c r="N1347" s="1420">
        <f t="shared" ref="N1347" si="594">K1347+L1347</f>
        <v>11000000</v>
      </c>
      <c r="O1347" s="1443" t="s">
        <v>239</v>
      </c>
      <c r="P1347" s="1443" t="s">
        <v>106</v>
      </c>
      <c r="Q1347" s="1348"/>
      <c r="R1347" s="1348"/>
      <c r="S1347" s="1413">
        <v>0</v>
      </c>
      <c r="T1347" s="1413">
        <f t="shared" si="593"/>
        <v>-200000</v>
      </c>
      <c r="U1347" s="1470">
        <v>11000000</v>
      </c>
      <c r="V1347" s="1445"/>
      <c r="W1347" s="1446"/>
      <c r="X1347" s="1447"/>
      <c r="Y1347" s="1444"/>
      <c r="Z1347" s="1448"/>
      <c r="AA1347" s="1449"/>
      <c r="AB1347" s="1450"/>
      <c r="AC1347" s="1442"/>
      <c r="AD1347" s="1451"/>
      <c r="AE1347" s="1451"/>
      <c r="AF1347" s="1442"/>
      <c r="AG1347" s="1442"/>
      <c r="AH1347" s="1452"/>
      <c r="AI1347" s="1442"/>
      <c r="AJ1347" s="1452"/>
      <c r="AK1347" s="1438"/>
    </row>
    <row r="1348" spans="1:37" s="1439" customFormat="1" ht="12" customHeight="1">
      <c r="A1348" s="1440"/>
      <c r="B1348" s="1415" t="s">
        <v>239</v>
      </c>
      <c r="C1348" s="1442">
        <v>9</v>
      </c>
      <c r="D1348" s="1417" t="s">
        <v>445</v>
      </c>
      <c r="E1348" s="1418" t="s">
        <v>357</v>
      </c>
      <c r="F1348" s="1505" t="s">
        <v>4126</v>
      </c>
      <c r="G1348" s="1454" t="s">
        <v>379</v>
      </c>
      <c r="H1348" s="1454" t="s">
        <v>4304</v>
      </c>
      <c r="I1348" s="1454" t="s">
        <v>4305</v>
      </c>
      <c r="J1348" s="1444"/>
      <c r="K1348" s="1444">
        <v>10000000</v>
      </c>
      <c r="L1348" s="1212">
        <v>1000000</v>
      </c>
      <c r="M1348" s="1420">
        <v>11000000</v>
      </c>
      <c r="N1348" s="1420">
        <f t="shared" ref="N1348" si="595">K1348+L1348</f>
        <v>11000000</v>
      </c>
      <c r="O1348" s="1443" t="s">
        <v>59</v>
      </c>
      <c r="P1348" s="1443" t="s">
        <v>97</v>
      </c>
      <c r="Q1348" s="1348"/>
      <c r="R1348" s="1348"/>
      <c r="S1348" s="1413">
        <v>0</v>
      </c>
      <c r="T1348" s="1413">
        <f t="shared" ref="T1348:T1349" si="596">-K1348*2%</f>
        <v>-200000</v>
      </c>
      <c r="U1348" s="1470">
        <v>11000000</v>
      </c>
      <c r="V1348" s="1445"/>
      <c r="W1348" s="1446"/>
      <c r="X1348" s="1447"/>
      <c r="Y1348" s="1444"/>
      <c r="Z1348" s="1448"/>
      <c r="AA1348" s="1449"/>
      <c r="AB1348" s="1450"/>
      <c r="AC1348" s="1442"/>
      <c r="AD1348" s="1451"/>
      <c r="AE1348" s="1451"/>
      <c r="AF1348" s="1442"/>
      <c r="AG1348" s="1442"/>
      <c r="AH1348" s="1452"/>
      <c r="AI1348" s="1442"/>
      <c r="AJ1348" s="1452"/>
      <c r="AK1348" s="1438"/>
    </row>
    <row r="1349" spans="1:37" s="1439" customFormat="1" ht="12" customHeight="1">
      <c r="A1349" s="1440"/>
      <c r="B1349" s="1415" t="s">
        <v>240</v>
      </c>
      <c r="C1349" s="1442">
        <v>19</v>
      </c>
      <c r="D1349" s="1417" t="s">
        <v>445</v>
      </c>
      <c r="E1349" s="1418" t="s">
        <v>357</v>
      </c>
      <c r="F1349" s="1505" t="s">
        <v>4126</v>
      </c>
      <c r="G1349" s="1454" t="s">
        <v>5</v>
      </c>
      <c r="H1349" s="1454" t="s">
        <v>4496</v>
      </c>
      <c r="I1349" s="1454" t="s">
        <v>4497</v>
      </c>
      <c r="J1349" s="1444"/>
      <c r="K1349" s="1444">
        <v>10000000</v>
      </c>
      <c r="L1349" s="1212">
        <v>1000000</v>
      </c>
      <c r="M1349" s="1420">
        <v>11000000</v>
      </c>
      <c r="N1349" s="1420">
        <f t="shared" ref="N1349" si="597">K1349+L1349</f>
        <v>11000000</v>
      </c>
      <c r="O1349" s="1443" t="s">
        <v>59</v>
      </c>
      <c r="P1349" s="1443" t="s">
        <v>97</v>
      </c>
      <c r="Q1349" s="1348"/>
      <c r="R1349" s="1348"/>
      <c r="S1349" s="1413">
        <v>0</v>
      </c>
      <c r="T1349" s="1413">
        <f t="shared" si="596"/>
        <v>-200000</v>
      </c>
      <c r="U1349" s="1470">
        <v>11000000</v>
      </c>
      <c r="V1349" s="1445"/>
      <c r="W1349" s="1446"/>
      <c r="X1349" s="1447"/>
      <c r="Y1349" s="1444"/>
      <c r="Z1349" s="1448"/>
      <c r="AA1349" s="1449"/>
      <c r="AB1349" s="1450"/>
      <c r="AC1349" s="1442"/>
      <c r="AD1349" s="1451"/>
      <c r="AE1349" s="1451"/>
      <c r="AF1349" s="1442"/>
      <c r="AG1349" s="1442"/>
      <c r="AH1349" s="1452"/>
      <c r="AI1349" s="1442"/>
      <c r="AJ1349" s="1452"/>
      <c r="AK1349" s="1438"/>
    </row>
    <row r="1350" spans="1:37" s="1405" customFormat="1" ht="12" customHeight="1">
      <c r="A1350" s="1343"/>
      <c r="B1350" s="1390" t="s">
        <v>58</v>
      </c>
      <c r="C1350" s="1344">
        <v>28</v>
      </c>
      <c r="D1350" s="1401" t="s">
        <v>445</v>
      </c>
      <c r="E1350" s="1409" t="s">
        <v>357</v>
      </c>
      <c r="F1350" s="1506" t="s">
        <v>4126</v>
      </c>
      <c r="G1350" s="1398" t="s">
        <v>57</v>
      </c>
      <c r="H1350" s="1398" t="s">
        <v>4680</v>
      </c>
      <c r="I1350" s="1398" t="s">
        <v>4681</v>
      </c>
      <c r="J1350" s="1406"/>
      <c r="K1350" s="1406">
        <v>10000000</v>
      </c>
      <c r="L1350" s="1395">
        <v>1000000</v>
      </c>
      <c r="M1350" s="1410">
        <v>11000000</v>
      </c>
      <c r="N1350" s="1410">
        <f t="shared" ref="N1350" si="598">K1350+L1350</f>
        <v>11000000</v>
      </c>
      <c r="O1350" s="1347"/>
      <c r="P1350" s="1347"/>
      <c r="Q1350" s="1348"/>
      <c r="R1350" s="1349"/>
      <c r="S1350" s="1407"/>
      <c r="T1350" s="1407"/>
      <c r="U1350" s="1406"/>
      <c r="V1350" s="1350"/>
      <c r="W1350" s="1351"/>
      <c r="X1350" s="1352"/>
      <c r="Y1350" s="1406"/>
      <c r="Z1350" s="1353"/>
      <c r="AA1350" s="1354"/>
      <c r="AB1350" s="1355"/>
      <c r="AC1350" s="1344"/>
      <c r="AD1350" s="1356"/>
      <c r="AE1350" s="1356"/>
      <c r="AF1350" s="1344"/>
      <c r="AG1350" s="1344"/>
      <c r="AH1350" s="1357"/>
      <c r="AI1350" s="1344"/>
      <c r="AJ1350" s="1357"/>
      <c r="AK1350" s="1404"/>
    </row>
    <row r="1351" spans="1:37" s="114" customFormat="1" ht="12" customHeight="1">
      <c r="A1351" s="53"/>
      <c r="B1351" s="53" t="s">
        <v>140</v>
      </c>
      <c r="C1351" s="1378">
        <v>11</v>
      </c>
      <c r="D1351" s="8" t="s">
        <v>2686</v>
      </c>
      <c r="E1351" s="10" t="s">
        <v>354</v>
      </c>
      <c r="F1351" s="356" t="s">
        <v>3049</v>
      </c>
      <c r="G1351" s="10" t="s">
        <v>1616</v>
      </c>
      <c r="H1351" s="10" t="s">
        <v>3710</v>
      </c>
      <c r="I1351" s="1378" t="s">
        <v>3711</v>
      </c>
      <c r="J1351" s="658"/>
      <c r="K1351" s="118">
        <v>12000000</v>
      </c>
      <c r="L1351" s="118">
        <f t="shared" ref="L1351" si="599">K1351*10%</f>
        <v>1200000</v>
      </c>
      <c r="M1351" s="658"/>
      <c r="N1351" s="189">
        <f t="shared" si="441"/>
        <v>13200000</v>
      </c>
      <c r="O1351" s="1414" t="s">
        <v>194</v>
      </c>
      <c r="P1351" s="1414" t="s">
        <v>116</v>
      </c>
      <c r="Q1351" s="1382"/>
      <c r="R1351" s="1382"/>
      <c r="S1351" s="1413">
        <v>0</v>
      </c>
      <c r="T1351" s="1413">
        <f t="shared" ref="T1351:T1352" si="600">-K1351*2%</f>
        <v>-240000</v>
      </c>
      <c r="U1351" s="1381">
        <v>12960000</v>
      </c>
      <c r="V1351" s="1386"/>
      <c r="W1351" s="1380"/>
      <c r="X1351" s="1411"/>
      <c r="Y1351" s="1381"/>
      <c r="Z1351" s="1384"/>
      <c r="AA1351" s="1389"/>
      <c r="AB1351" s="1385"/>
      <c r="AC1351" s="1378"/>
      <c r="AD1351" s="1387"/>
      <c r="AE1351" s="1387"/>
      <c r="AF1351" s="1378"/>
      <c r="AG1351" s="1378"/>
      <c r="AH1351" s="1388"/>
      <c r="AI1351" s="1378"/>
      <c r="AJ1351" s="1388"/>
      <c r="AK1351" s="1379"/>
    </row>
    <row r="1352" spans="1:37" s="1439" customFormat="1" ht="12" customHeight="1">
      <c r="A1352" s="1440"/>
      <c r="B1352" s="1416" t="s">
        <v>194</v>
      </c>
      <c r="C1352" s="1442">
        <v>15</v>
      </c>
      <c r="D1352" s="1417" t="s">
        <v>2686</v>
      </c>
      <c r="E1352" s="1418" t="s">
        <v>354</v>
      </c>
      <c r="F1352" s="1505" t="s">
        <v>3049</v>
      </c>
      <c r="G1352" s="1454" t="s">
        <v>1617</v>
      </c>
      <c r="H1352" s="1454" t="s">
        <v>3974</v>
      </c>
      <c r="I1352" s="1442" t="s">
        <v>3975</v>
      </c>
      <c r="J1352" s="1455"/>
      <c r="K1352" s="1456">
        <v>12000000</v>
      </c>
      <c r="L1352" s="1212">
        <f t="shared" ref="L1352" si="601">K1352*10%</f>
        <v>1200000</v>
      </c>
      <c r="M1352" s="1421"/>
      <c r="N1352" s="1420">
        <f t="shared" ref="N1352" si="602">K1352+L1352</f>
        <v>13200000</v>
      </c>
      <c r="O1352" s="1443" t="s">
        <v>195</v>
      </c>
      <c r="P1352" s="1443" t="s">
        <v>106</v>
      </c>
      <c r="Q1352" s="1348"/>
      <c r="R1352" s="1348"/>
      <c r="S1352" s="1419">
        <v>0</v>
      </c>
      <c r="T1352" s="1419">
        <f t="shared" si="600"/>
        <v>-240000</v>
      </c>
      <c r="U1352" s="1381">
        <v>12960000</v>
      </c>
      <c r="V1352" s="1445"/>
      <c r="W1352" s="1446"/>
      <c r="X1352" s="1447"/>
      <c r="Y1352" s="1444"/>
      <c r="Z1352" s="1448"/>
      <c r="AA1352" s="1449"/>
      <c r="AB1352" s="1450"/>
      <c r="AC1352" s="1442"/>
      <c r="AD1352" s="1451"/>
      <c r="AE1352" s="1451"/>
      <c r="AF1352" s="1442"/>
      <c r="AG1352" s="1442"/>
      <c r="AH1352" s="1452"/>
      <c r="AI1352" s="1442"/>
      <c r="AJ1352" s="1452"/>
      <c r="AK1352" s="1438"/>
    </row>
    <row r="1353" spans="1:37" s="114" customFormat="1" ht="12" customHeight="1">
      <c r="A1353" s="1440"/>
      <c r="B1353" s="1416" t="s">
        <v>195</v>
      </c>
      <c r="C1353" s="1442">
        <v>22</v>
      </c>
      <c r="D1353" s="1417" t="s">
        <v>2686</v>
      </c>
      <c r="E1353" s="1418" t="s">
        <v>354</v>
      </c>
      <c r="F1353" s="1505" t="s">
        <v>3049</v>
      </c>
      <c r="G1353" s="1454" t="s">
        <v>4</v>
      </c>
      <c r="H1353" s="1454" t="s">
        <v>4144</v>
      </c>
      <c r="I1353" s="1442" t="s">
        <v>4145</v>
      </c>
      <c r="J1353" s="1455"/>
      <c r="K1353" s="1456">
        <v>12000000</v>
      </c>
      <c r="L1353" s="1212">
        <f t="shared" ref="L1353:L1357" si="603">K1353*10%</f>
        <v>1200000</v>
      </c>
      <c r="M1353" s="1421"/>
      <c r="N1353" s="1420">
        <f t="shared" ref="N1353:N1357" si="604">K1353+L1353</f>
        <v>13200000</v>
      </c>
      <c r="O1353" s="1347" t="s">
        <v>239</v>
      </c>
      <c r="P1353" s="1347" t="s">
        <v>38</v>
      </c>
      <c r="Q1353" s="1256"/>
      <c r="R1353" s="1256"/>
      <c r="S1353" s="1419">
        <v>0</v>
      </c>
      <c r="T1353" s="1419">
        <f t="shared" ref="T1353" si="605">-K1353*2%</f>
        <v>-240000</v>
      </c>
      <c r="U1353" s="1381">
        <v>12960000</v>
      </c>
      <c r="V1353" s="1423"/>
      <c r="W1353" s="1424"/>
      <c r="X1353" s="1258"/>
      <c r="Y1353" s="1407"/>
      <c r="Z1353" s="1259"/>
      <c r="AA1353" s="1425"/>
      <c r="AB1353" s="1426"/>
      <c r="AC1353" s="1249"/>
      <c r="AD1353" s="1427"/>
      <c r="AE1353" s="1427"/>
      <c r="AF1353" s="1249"/>
      <c r="AG1353" s="1249"/>
      <c r="AH1353" s="1260"/>
      <c r="AI1353" s="1249"/>
      <c r="AJ1353" s="1260"/>
      <c r="AK1353" s="1379"/>
    </row>
    <row r="1354" spans="1:37" s="1439" customFormat="1" ht="12" customHeight="1">
      <c r="A1354" s="1440"/>
      <c r="B1354" s="1442" t="s">
        <v>239</v>
      </c>
      <c r="C1354" s="1442">
        <v>20</v>
      </c>
      <c r="D1354" s="1417" t="s">
        <v>2686</v>
      </c>
      <c r="E1354" s="1418" t="s">
        <v>354</v>
      </c>
      <c r="F1354" s="1505" t="s">
        <v>3049</v>
      </c>
      <c r="G1354" s="1454" t="s">
        <v>379</v>
      </c>
      <c r="H1354" s="1454" t="s">
        <v>4317</v>
      </c>
      <c r="I1354" s="1442" t="s">
        <v>4318</v>
      </c>
      <c r="J1354" s="1346"/>
      <c r="K1354" s="1456">
        <v>12000000</v>
      </c>
      <c r="L1354" s="1456">
        <f t="shared" ref="L1354" si="606">K1354*10%</f>
        <v>1200000</v>
      </c>
      <c r="M1354" s="1252"/>
      <c r="N1354" s="1458">
        <f t="shared" ref="N1354" si="607">K1354+L1354</f>
        <v>13200000</v>
      </c>
      <c r="O1354" s="1347" t="s">
        <v>240</v>
      </c>
      <c r="P1354" s="1347" t="s">
        <v>66</v>
      </c>
      <c r="Q1354" s="1348"/>
      <c r="R1354" s="1348"/>
      <c r="S1354" s="1419">
        <v>0</v>
      </c>
      <c r="T1354" s="1419">
        <f t="shared" ref="T1354" si="608">-K1354*2%</f>
        <v>-240000</v>
      </c>
      <c r="U1354" s="1381">
        <v>12960000</v>
      </c>
      <c r="V1354" s="1445"/>
      <c r="W1354" s="1446"/>
      <c r="X1354" s="1447"/>
      <c r="Y1354" s="1444"/>
      <c r="Z1354" s="1448"/>
      <c r="AA1354" s="1449"/>
      <c r="AB1354" s="1450"/>
      <c r="AC1354" s="1442"/>
      <c r="AD1354" s="1451"/>
      <c r="AE1354" s="1451"/>
      <c r="AF1354" s="1442"/>
      <c r="AG1354" s="1442"/>
      <c r="AH1354" s="1452"/>
      <c r="AI1354" s="1442"/>
      <c r="AJ1354" s="1452"/>
      <c r="AK1354" s="1438"/>
    </row>
    <row r="1355" spans="1:37" s="1405" customFormat="1" ht="12" customHeight="1">
      <c r="A1355" s="1440"/>
      <c r="B1355" s="1416" t="s">
        <v>240</v>
      </c>
      <c r="C1355" s="1538">
        <v>26</v>
      </c>
      <c r="D1355" s="1417" t="s">
        <v>2686</v>
      </c>
      <c r="E1355" s="1418" t="s">
        <v>354</v>
      </c>
      <c r="F1355" s="1505" t="s">
        <v>3049</v>
      </c>
      <c r="G1355" s="1454" t="s">
        <v>5</v>
      </c>
      <c r="H1355" s="1454" t="s">
        <v>4536</v>
      </c>
      <c r="I1355" s="1442" t="s">
        <v>4537</v>
      </c>
      <c r="J1355" s="1455"/>
      <c r="K1355" s="1456">
        <v>12000000</v>
      </c>
      <c r="L1355" s="1456">
        <f t="shared" ref="L1355:L1356" si="609">K1355*10%</f>
        <v>1200000</v>
      </c>
      <c r="M1355" s="1455"/>
      <c r="N1355" s="1458">
        <f t="shared" ref="N1355:N1356" si="610">K1355+L1355</f>
        <v>13200000</v>
      </c>
      <c r="O1355" s="1347" t="s">
        <v>58</v>
      </c>
      <c r="P1355" s="1347" t="s">
        <v>66</v>
      </c>
      <c r="Q1355" s="1349"/>
      <c r="R1355" s="1349"/>
      <c r="S1355" s="1419">
        <v>0</v>
      </c>
      <c r="T1355" s="1419">
        <f t="shared" ref="T1355:T1356" si="611">-K1355*2%</f>
        <v>-240000</v>
      </c>
      <c r="U1355" s="1381">
        <v>12960000</v>
      </c>
      <c r="V1355" s="1350"/>
      <c r="W1355" s="1351"/>
      <c r="X1355" s="1352"/>
      <c r="Y1355" s="1406"/>
      <c r="Z1355" s="1353"/>
      <c r="AA1355" s="1354"/>
      <c r="AB1355" s="1355"/>
      <c r="AC1355" s="1344"/>
      <c r="AD1355" s="1356"/>
      <c r="AE1355" s="1356"/>
      <c r="AF1355" s="1344"/>
      <c r="AG1355" s="1344"/>
      <c r="AH1355" s="1357"/>
      <c r="AI1355" s="1344"/>
      <c r="AJ1355" s="1357"/>
      <c r="AK1355" s="1404"/>
    </row>
    <row r="1356" spans="1:37" s="1405" customFormat="1" ht="12" customHeight="1">
      <c r="A1356" s="1440"/>
      <c r="B1356" s="1344" t="s">
        <v>58</v>
      </c>
      <c r="C1356" s="1539">
        <v>28</v>
      </c>
      <c r="D1356" s="1345" t="s">
        <v>2686</v>
      </c>
      <c r="E1356" s="1398" t="s">
        <v>354</v>
      </c>
      <c r="F1356" s="1506" t="s">
        <v>3049</v>
      </c>
      <c r="G1356" s="1398" t="s">
        <v>57</v>
      </c>
      <c r="H1356" s="1398" t="s">
        <v>4678</v>
      </c>
      <c r="I1356" s="1344" t="s">
        <v>4679</v>
      </c>
      <c r="J1356" s="1346"/>
      <c r="K1356" s="1422">
        <v>12000000</v>
      </c>
      <c r="L1356" s="1422">
        <f t="shared" si="609"/>
        <v>1200000</v>
      </c>
      <c r="M1356" s="1346"/>
      <c r="N1356" s="1230">
        <f t="shared" si="610"/>
        <v>13200000</v>
      </c>
      <c r="O1356" s="1347"/>
      <c r="P1356" s="1347"/>
      <c r="Q1356" s="1349"/>
      <c r="R1356" s="1349"/>
      <c r="S1356" s="1444"/>
      <c r="T1356" s="1444">
        <f t="shared" si="611"/>
        <v>-240000</v>
      </c>
      <c r="U1356" s="1407"/>
      <c r="V1356" s="1350"/>
      <c r="W1356" s="1351"/>
      <c r="X1356" s="1352"/>
      <c r="Y1356" s="1406"/>
      <c r="Z1356" s="1353"/>
      <c r="AA1356" s="1354"/>
      <c r="AB1356" s="1355"/>
      <c r="AC1356" s="1344"/>
      <c r="AD1356" s="1356"/>
      <c r="AE1356" s="1356"/>
      <c r="AF1356" s="1344"/>
      <c r="AG1356" s="1344"/>
      <c r="AH1356" s="1357"/>
      <c r="AI1356" s="1344"/>
      <c r="AJ1356" s="1357"/>
      <c r="AK1356" s="1404"/>
    </row>
    <row r="1357" spans="1:37" s="114" customFormat="1" ht="12" customHeight="1">
      <c r="A1357" s="1453"/>
      <c r="B1357" s="1344" t="s">
        <v>195</v>
      </c>
      <c r="C1357" s="1344">
        <v>26</v>
      </c>
      <c r="D1357" s="1345" t="s">
        <v>3579</v>
      </c>
      <c r="E1357" s="1398" t="s">
        <v>362</v>
      </c>
      <c r="F1357" s="1527" t="s">
        <v>4152</v>
      </c>
      <c r="G1357" s="1398"/>
      <c r="H1357" s="1398" t="s">
        <v>4153</v>
      </c>
      <c r="I1357" s="1344" t="s">
        <v>4154</v>
      </c>
      <c r="J1357" s="1252"/>
      <c r="K1357" s="1422">
        <v>109000000</v>
      </c>
      <c r="L1357" s="1422">
        <f t="shared" si="603"/>
        <v>10900000</v>
      </c>
      <c r="M1357" s="1252"/>
      <c r="N1357" s="1230">
        <f t="shared" si="604"/>
        <v>119900000</v>
      </c>
      <c r="O1357" s="1347"/>
      <c r="P1357" s="1347"/>
      <c r="Q1357" s="1256"/>
      <c r="R1357" s="1256"/>
      <c r="S1357" s="1407"/>
      <c r="T1357" s="1407"/>
      <c r="U1357" s="1407"/>
      <c r="V1357" s="1423"/>
      <c r="W1357" s="1424"/>
      <c r="X1357" s="1258"/>
      <c r="Y1357" s="1407"/>
      <c r="Z1357" s="1259"/>
      <c r="AA1357" s="1425"/>
      <c r="AB1357" s="1426"/>
      <c r="AC1357" s="1249"/>
      <c r="AD1357" s="1427"/>
      <c r="AE1357" s="1427"/>
      <c r="AF1357" s="1249"/>
      <c r="AG1357" s="1249"/>
      <c r="AH1357" s="1260"/>
      <c r="AI1357" s="1249"/>
      <c r="AJ1357" s="1260"/>
      <c r="AK1357" s="1379"/>
    </row>
    <row r="1358" spans="1:37" s="1211" customFormat="1" ht="12" customHeight="1">
      <c r="A1358" s="1440"/>
      <c r="B1358" s="1442" t="s">
        <v>194</v>
      </c>
      <c r="C1358" s="1442">
        <v>15</v>
      </c>
      <c r="D1358" s="1460" t="s">
        <v>412</v>
      </c>
      <c r="E1358" s="1442" t="s">
        <v>354</v>
      </c>
      <c r="F1358" s="1460" t="s">
        <v>3119</v>
      </c>
      <c r="G1358" s="1454" t="s">
        <v>1617</v>
      </c>
      <c r="H1358" s="1454" t="s">
        <v>3900</v>
      </c>
      <c r="I1358" s="1454" t="s">
        <v>3901</v>
      </c>
      <c r="J1358" s="1444"/>
      <c r="K1358" s="1444">
        <v>22000000</v>
      </c>
      <c r="L1358" s="1458">
        <f t="shared" si="561"/>
        <v>2200000</v>
      </c>
      <c r="M1358" s="1455"/>
      <c r="N1358" s="1458">
        <f t="shared" si="441"/>
        <v>24200000</v>
      </c>
      <c r="O1358" s="1347" t="s">
        <v>239</v>
      </c>
      <c r="P1358" s="1347" t="s">
        <v>19</v>
      </c>
      <c r="Q1358" s="1348"/>
      <c r="R1358" s="1349"/>
      <c r="S1358" s="1419">
        <v>0</v>
      </c>
      <c r="T1358" s="1419">
        <f t="shared" ref="T1358" si="612">-K1358*2%</f>
        <v>-440000</v>
      </c>
      <c r="U1358" s="1229">
        <v>23760000</v>
      </c>
      <c r="V1358" s="1350"/>
      <c r="W1358" s="1351"/>
      <c r="X1358" s="1352"/>
      <c r="Y1358" s="1229"/>
      <c r="Z1358" s="1353"/>
      <c r="AA1358" s="1354"/>
      <c r="AB1358" s="1355"/>
      <c r="AC1358" s="1344"/>
      <c r="AD1358" s="1356"/>
      <c r="AE1358" s="1356"/>
      <c r="AF1358" s="1344"/>
      <c r="AG1358" s="1344"/>
      <c r="AH1358" s="1357"/>
      <c r="AI1358" s="1344"/>
      <c r="AJ1358" s="1357"/>
      <c r="AK1358" s="1210"/>
    </row>
    <row r="1359" spans="1:37" s="1405" customFormat="1" ht="12" customHeight="1">
      <c r="A1359" s="1440"/>
      <c r="B1359" s="1442" t="s">
        <v>195</v>
      </c>
      <c r="C1359" s="1442">
        <v>12</v>
      </c>
      <c r="D1359" s="1460" t="s">
        <v>412</v>
      </c>
      <c r="E1359" s="1442" t="s">
        <v>354</v>
      </c>
      <c r="F1359" s="1460" t="s">
        <v>3119</v>
      </c>
      <c r="G1359" s="1454" t="s">
        <v>4</v>
      </c>
      <c r="H1359" s="1454" t="s">
        <v>4056</v>
      </c>
      <c r="I1359" s="1454" t="s">
        <v>4057</v>
      </c>
      <c r="J1359" s="1444"/>
      <c r="K1359" s="1444">
        <v>22000000</v>
      </c>
      <c r="L1359" s="1458">
        <f t="shared" si="561"/>
        <v>2200000</v>
      </c>
      <c r="M1359" s="1455"/>
      <c r="N1359" s="1458">
        <f t="shared" si="441"/>
        <v>24200000</v>
      </c>
      <c r="O1359" s="1347" t="s">
        <v>239</v>
      </c>
      <c r="P1359" s="1347" t="s">
        <v>88</v>
      </c>
      <c r="Q1359" s="1348"/>
      <c r="R1359" s="1349"/>
      <c r="S1359" s="1419">
        <v>0</v>
      </c>
      <c r="T1359" s="1419">
        <f t="shared" ref="T1359" si="613">-K1359*2%</f>
        <v>-440000</v>
      </c>
      <c r="U1359" s="1406">
        <v>23760000</v>
      </c>
      <c r="V1359" s="1350"/>
      <c r="W1359" s="1351"/>
      <c r="X1359" s="1352"/>
      <c r="Y1359" s="1406"/>
      <c r="Z1359" s="1353"/>
      <c r="AA1359" s="1354"/>
      <c r="AB1359" s="1355"/>
      <c r="AC1359" s="1344"/>
      <c r="AD1359" s="1356"/>
      <c r="AE1359" s="1356"/>
      <c r="AF1359" s="1344"/>
      <c r="AG1359" s="1344"/>
      <c r="AH1359" s="1357"/>
      <c r="AI1359" s="1344"/>
      <c r="AJ1359" s="1357"/>
      <c r="AK1359" s="1404"/>
    </row>
    <row r="1360" spans="1:37" s="1405" customFormat="1" ht="12" customHeight="1">
      <c r="A1360" s="1440"/>
      <c r="B1360" s="1442" t="s">
        <v>239</v>
      </c>
      <c r="C1360" s="1442">
        <v>2</v>
      </c>
      <c r="D1360" s="1460" t="s">
        <v>412</v>
      </c>
      <c r="E1360" s="1442" t="s">
        <v>354</v>
      </c>
      <c r="F1360" s="1460" t="s">
        <v>3119</v>
      </c>
      <c r="G1360" s="1454" t="s">
        <v>379</v>
      </c>
      <c r="H1360" s="1454" t="s">
        <v>4239</v>
      </c>
      <c r="I1360" s="1454" t="s">
        <v>4240</v>
      </c>
      <c r="J1360" s="1444"/>
      <c r="K1360" s="1444">
        <v>22000000</v>
      </c>
      <c r="L1360" s="1458">
        <f t="shared" ref="L1360:L1363" si="614">K1360*10%</f>
        <v>2200000</v>
      </c>
      <c r="M1360" s="1455"/>
      <c r="N1360" s="1458">
        <f t="shared" ref="N1360:N1363" si="615">K1360+L1360</f>
        <v>24200000</v>
      </c>
      <c r="O1360" s="1347" t="s">
        <v>240</v>
      </c>
      <c r="P1360" s="1347" t="s">
        <v>114</v>
      </c>
      <c r="Q1360" s="1348"/>
      <c r="R1360" s="1349"/>
      <c r="S1360" s="1419">
        <v>0</v>
      </c>
      <c r="T1360" s="1419">
        <f t="shared" ref="T1360" si="616">-K1360*2%</f>
        <v>-440000</v>
      </c>
      <c r="U1360" s="1406">
        <v>23760000</v>
      </c>
      <c r="V1360" s="1350"/>
      <c r="W1360" s="1351"/>
      <c r="X1360" s="1352"/>
      <c r="Y1360" s="1406"/>
      <c r="Z1360" s="1353"/>
      <c r="AA1360" s="1354"/>
      <c r="AB1360" s="1355"/>
      <c r="AC1360" s="1344"/>
      <c r="AD1360" s="1356"/>
      <c r="AE1360" s="1356"/>
      <c r="AF1360" s="1344"/>
      <c r="AG1360" s="1344"/>
      <c r="AH1360" s="1357"/>
      <c r="AI1360" s="1344"/>
      <c r="AJ1360" s="1357"/>
      <c r="AK1360" s="1404"/>
    </row>
    <row r="1361" spans="1:37" s="1405" customFormat="1" ht="12" customHeight="1">
      <c r="A1361" s="1343"/>
      <c r="B1361" s="1442" t="s">
        <v>240</v>
      </c>
      <c r="C1361" s="1442">
        <v>10</v>
      </c>
      <c r="D1361" s="1460" t="s">
        <v>412</v>
      </c>
      <c r="E1361" s="1442" t="s">
        <v>354</v>
      </c>
      <c r="F1361" s="1460" t="s">
        <v>3119</v>
      </c>
      <c r="G1361" s="1454" t="s">
        <v>5</v>
      </c>
      <c r="H1361" s="1454" t="s">
        <v>4466</v>
      </c>
      <c r="I1361" s="1454" t="s">
        <v>4467</v>
      </c>
      <c r="J1361" s="1444"/>
      <c r="K1361" s="1444">
        <v>22000000</v>
      </c>
      <c r="L1361" s="1458">
        <f t="shared" si="614"/>
        <v>2200000</v>
      </c>
      <c r="M1361" s="1455"/>
      <c r="N1361" s="1458">
        <f t="shared" si="615"/>
        <v>24200000</v>
      </c>
      <c r="O1361" s="1347" t="s">
        <v>58</v>
      </c>
      <c r="P1361" s="1347" t="s">
        <v>105</v>
      </c>
      <c r="Q1361" s="1349"/>
      <c r="R1361" s="1349"/>
      <c r="S1361" s="1419">
        <v>0</v>
      </c>
      <c r="T1361" s="1419">
        <f t="shared" ref="T1361" si="617">-K1361*2%</f>
        <v>-440000</v>
      </c>
      <c r="U1361" s="1406">
        <v>23760000</v>
      </c>
      <c r="V1361" s="1350"/>
      <c r="W1361" s="1351"/>
      <c r="X1361" s="1352"/>
      <c r="Y1361" s="1406"/>
      <c r="Z1361" s="1353"/>
      <c r="AA1361" s="1354"/>
      <c r="AB1361" s="1355"/>
      <c r="AC1361" s="1344"/>
      <c r="AD1361" s="1356"/>
      <c r="AE1361" s="1356"/>
      <c r="AF1361" s="1344"/>
      <c r="AG1361" s="1344"/>
      <c r="AH1361" s="1357"/>
      <c r="AI1361" s="1344"/>
      <c r="AJ1361" s="1357"/>
      <c r="AK1361" s="1404"/>
    </row>
    <row r="1362" spans="1:37" s="1439" customFormat="1" ht="12" customHeight="1">
      <c r="A1362" s="1440"/>
      <c r="B1362" s="1344" t="s">
        <v>58</v>
      </c>
      <c r="C1362" s="1344">
        <v>17</v>
      </c>
      <c r="D1362" s="1345" t="s">
        <v>412</v>
      </c>
      <c r="E1362" s="1344" t="s">
        <v>354</v>
      </c>
      <c r="F1362" s="1345" t="s">
        <v>3119</v>
      </c>
      <c r="G1362" s="1398" t="s">
        <v>57</v>
      </c>
      <c r="H1362" s="1398" t="s">
        <v>4641</v>
      </c>
      <c r="I1362" s="1398" t="s">
        <v>4642</v>
      </c>
      <c r="J1362" s="1406"/>
      <c r="K1362" s="1406">
        <v>22000000</v>
      </c>
      <c r="L1362" s="1230">
        <f t="shared" si="614"/>
        <v>2200000</v>
      </c>
      <c r="M1362" s="1346"/>
      <c r="N1362" s="1230">
        <f t="shared" si="615"/>
        <v>24200000</v>
      </c>
      <c r="O1362" s="1443"/>
      <c r="P1362" s="1443"/>
      <c r="Q1362" s="1348"/>
      <c r="R1362" s="1348"/>
      <c r="S1362" s="1444"/>
      <c r="T1362" s="1444"/>
      <c r="U1362" s="1444"/>
      <c r="V1362" s="1445"/>
      <c r="W1362" s="1446"/>
      <c r="X1362" s="1447"/>
      <c r="Y1362" s="1444"/>
      <c r="Z1362" s="1448"/>
      <c r="AA1362" s="1449"/>
      <c r="AB1362" s="1450"/>
      <c r="AC1362" s="1442"/>
      <c r="AD1362" s="1451"/>
      <c r="AE1362" s="1451"/>
      <c r="AF1362" s="1442"/>
      <c r="AG1362" s="1442"/>
      <c r="AH1362" s="1452"/>
      <c r="AI1362" s="1442"/>
      <c r="AJ1362" s="1452"/>
      <c r="AK1362" s="1438"/>
    </row>
    <row r="1363" spans="1:37" s="1405" customFormat="1" ht="12" customHeight="1">
      <c r="A1363" s="1343"/>
      <c r="B1363" s="1344" t="s">
        <v>241</v>
      </c>
      <c r="C1363" s="1344">
        <v>26</v>
      </c>
      <c r="D1363" s="1345" t="s">
        <v>412</v>
      </c>
      <c r="E1363" s="1344" t="s">
        <v>354</v>
      </c>
      <c r="F1363" s="1345" t="s">
        <v>3119</v>
      </c>
      <c r="G1363" s="1398" t="s">
        <v>58</v>
      </c>
      <c r="H1363" s="1398" t="s">
        <v>4817</v>
      </c>
      <c r="I1363" s="1398" t="s">
        <v>4818</v>
      </c>
      <c r="J1363" s="1406"/>
      <c r="K1363" s="1406">
        <v>22000000</v>
      </c>
      <c r="L1363" s="1230">
        <f t="shared" si="614"/>
        <v>2200000</v>
      </c>
      <c r="M1363" s="1346"/>
      <c r="N1363" s="1230">
        <f t="shared" si="615"/>
        <v>24200000</v>
      </c>
      <c r="O1363" s="1347"/>
      <c r="P1363" s="1347"/>
      <c r="Q1363" s="1349"/>
      <c r="R1363" s="1349"/>
      <c r="S1363" s="1406"/>
      <c r="T1363" s="1406"/>
      <c r="U1363" s="1406"/>
      <c r="V1363" s="1350"/>
      <c r="W1363" s="1351"/>
      <c r="X1363" s="1352"/>
      <c r="Y1363" s="1406"/>
      <c r="Z1363" s="1353"/>
      <c r="AA1363" s="1354"/>
      <c r="AB1363" s="1355"/>
      <c r="AC1363" s="1344"/>
      <c r="AD1363" s="1356"/>
      <c r="AE1363" s="1356"/>
      <c r="AF1363" s="1344"/>
      <c r="AG1363" s="1344"/>
      <c r="AH1363" s="1357"/>
      <c r="AI1363" s="1344"/>
      <c r="AJ1363" s="1357"/>
      <c r="AK1363" s="1404"/>
    </row>
    <row r="1364" spans="1:37" s="1405" customFormat="1" ht="12" customHeight="1">
      <c r="A1364" s="1343"/>
      <c r="B1364" s="1344" t="s">
        <v>194</v>
      </c>
      <c r="C1364" s="1344">
        <v>22</v>
      </c>
      <c r="D1364" s="1345" t="s">
        <v>3754</v>
      </c>
      <c r="E1364" s="1344"/>
      <c r="F1364" s="1345" t="s">
        <v>3755</v>
      </c>
      <c r="G1364" s="1428" t="s">
        <v>14</v>
      </c>
      <c r="H1364" s="1398" t="s">
        <v>3998</v>
      </c>
      <c r="I1364" s="1398" t="s">
        <v>4024</v>
      </c>
      <c r="J1364" s="1406"/>
      <c r="K1364" s="1406">
        <v>34347025</v>
      </c>
      <c r="L1364" s="1230">
        <f t="shared" si="561"/>
        <v>3434702.5</v>
      </c>
      <c r="M1364" s="1346"/>
      <c r="N1364" s="1230">
        <f t="shared" si="441"/>
        <v>37781727.5</v>
      </c>
      <c r="O1364" s="1347"/>
      <c r="P1364" s="1347"/>
      <c r="Q1364" s="1348"/>
      <c r="R1364" s="1349"/>
      <c r="S1364" s="1407"/>
      <c r="T1364" s="1407"/>
      <c r="U1364" s="1406"/>
      <c r="V1364" s="1350"/>
      <c r="W1364" s="1351"/>
      <c r="X1364" s="1352"/>
      <c r="Y1364" s="1406"/>
      <c r="Z1364" s="1353"/>
      <c r="AA1364" s="1354"/>
      <c r="AB1364" s="1355"/>
      <c r="AC1364" s="1344"/>
      <c r="AD1364" s="1356"/>
      <c r="AE1364" s="1356"/>
      <c r="AF1364" s="1344"/>
      <c r="AG1364" s="1344"/>
      <c r="AH1364" s="1357"/>
      <c r="AI1364" s="1344"/>
      <c r="AJ1364" s="1357"/>
      <c r="AK1364" s="1404"/>
    </row>
    <row r="1365" spans="1:37" s="1405" customFormat="1" ht="12" customHeight="1">
      <c r="A1365" s="1440"/>
      <c r="B1365" s="1416" t="s">
        <v>239</v>
      </c>
      <c r="C1365" s="1416">
        <v>9</v>
      </c>
      <c r="D1365" s="1417" t="s">
        <v>4042</v>
      </c>
      <c r="E1365" s="1416" t="s">
        <v>4036</v>
      </c>
      <c r="F1365" s="1417" t="s">
        <v>4043</v>
      </c>
      <c r="G1365" s="1418" t="s">
        <v>4037</v>
      </c>
      <c r="H1365" s="1418" t="s">
        <v>4265</v>
      </c>
      <c r="I1365" s="1418" t="s">
        <v>4266</v>
      </c>
      <c r="J1365" s="1419"/>
      <c r="K1365" s="1419">
        <v>20000000</v>
      </c>
      <c r="L1365" s="1420">
        <f t="shared" si="561"/>
        <v>2000000</v>
      </c>
      <c r="M1365" s="1421"/>
      <c r="N1365" s="1420">
        <f t="shared" si="441"/>
        <v>22000000</v>
      </c>
      <c r="O1365" s="1347" t="s">
        <v>240</v>
      </c>
      <c r="P1365" s="1347" t="s">
        <v>89</v>
      </c>
      <c r="Q1365" s="1348"/>
      <c r="R1365" s="1349"/>
      <c r="S1365" s="1419">
        <v>0</v>
      </c>
      <c r="T1365" s="1419">
        <f t="shared" ref="T1365" si="618">-K1365*2%</f>
        <v>-400000</v>
      </c>
      <c r="U1365" s="1406">
        <v>21600000</v>
      </c>
      <c r="V1365" s="1350"/>
      <c r="W1365" s="1351"/>
      <c r="X1365" s="1352"/>
      <c r="Y1365" s="1406"/>
      <c r="Z1365" s="1353"/>
      <c r="AA1365" s="1354"/>
      <c r="AB1365" s="1355"/>
      <c r="AC1365" s="1344"/>
      <c r="AD1365" s="1356"/>
      <c r="AE1365" s="1356"/>
      <c r="AF1365" s="1344"/>
      <c r="AG1365" s="1344"/>
      <c r="AH1365" s="1357"/>
      <c r="AI1365" s="1344"/>
      <c r="AJ1365" s="1357"/>
      <c r="AK1365" s="1404"/>
    </row>
    <row r="1366" spans="1:37" s="1439" customFormat="1" ht="12" customHeight="1">
      <c r="A1366" s="1440"/>
      <c r="B1366" s="1416" t="s">
        <v>240</v>
      </c>
      <c r="C1366" s="1416">
        <v>24</v>
      </c>
      <c r="D1366" s="1417" t="s">
        <v>4042</v>
      </c>
      <c r="E1366" s="1416" t="s">
        <v>4036</v>
      </c>
      <c r="F1366" s="1417" t="s">
        <v>4043</v>
      </c>
      <c r="G1366" s="1418" t="s">
        <v>379</v>
      </c>
      <c r="H1366" s="1418" t="s">
        <v>4526</v>
      </c>
      <c r="I1366" s="1418" t="s">
        <v>4527</v>
      </c>
      <c r="J1366" s="1537"/>
      <c r="K1366" s="1419">
        <v>2990000</v>
      </c>
      <c r="L1366" s="1420">
        <f t="shared" si="561"/>
        <v>299000</v>
      </c>
      <c r="M1366" s="1421"/>
      <c r="N1366" s="1420">
        <f t="shared" ref="N1366" si="619">K1366+L1366</f>
        <v>3289000</v>
      </c>
      <c r="O1366" s="1443" t="s">
        <v>58</v>
      </c>
      <c r="P1366" s="1443" t="s">
        <v>93</v>
      </c>
      <c r="Q1366" s="1348"/>
      <c r="R1366" s="1348"/>
      <c r="S1366" s="1419">
        <v>0</v>
      </c>
      <c r="T1366" s="1419">
        <f t="shared" ref="T1366" si="620">-K1366*2%</f>
        <v>-59800</v>
      </c>
      <c r="U1366" s="1406">
        <v>3229200</v>
      </c>
      <c r="V1366" s="1445"/>
      <c r="W1366" s="1446"/>
      <c r="X1366" s="1447"/>
      <c r="Y1366" s="1444"/>
      <c r="Z1366" s="1448"/>
      <c r="AA1366" s="1449"/>
      <c r="AB1366" s="1450"/>
      <c r="AC1366" s="1442"/>
      <c r="AD1366" s="1451"/>
      <c r="AE1366" s="1451"/>
      <c r="AF1366" s="1442"/>
      <c r="AG1366" s="1442"/>
      <c r="AH1366" s="1452"/>
      <c r="AI1366" s="1442"/>
      <c r="AJ1366" s="1452"/>
      <c r="AK1366" s="1438"/>
    </row>
    <row r="1367" spans="1:37" s="1405" customFormat="1" ht="12" customHeight="1">
      <c r="A1367" s="1343"/>
      <c r="B1367" s="1416" t="s">
        <v>58</v>
      </c>
      <c r="C1367" s="1416">
        <v>14</v>
      </c>
      <c r="D1367" s="1417" t="s">
        <v>4042</v>
      </c>
      <c r="E1367" s="1416" t="s">
        <v>4036</v>
      </c>
      <c r="F1367" s="1417" t="s">
        <v>4043</v>
      </c>
      <c r="G1367" s="1418" t="s">
        <v>5</v>
      </c>
      <c r="H1367" s="1418" t="s">
        <v>4590</v>
      </c>
      <c r="I1367" s="1418" t="s">
        <v>4591</v>
      </c>
      <c r="J1367" s="1537"/>
      <c r="K1367" s="1419">
        <v>2990000</v>
      </c>
      <c r="L1367" s="1420">
        <f t="shared" ref="L1367" si="621">K1367*10%</f>
        <v>299000</v>
      </c>
      <c r="M1367" s="1421"/>
      <c r="N1367" s="1420">
        <f t="shared" ref="N1367" si="622">K1367+L1367</f>
        <v>3289000</v>
      </c>
      <c r="O1367" s="1347" t="s">
        <v>241</v>
      </c>
      <c r="P1367" s="1347" t="s">
        <v>26</v>
      </c>
      <c r="Q1367" s="1348"/>
      <c r="R1367" s="1349"/>
      <c r="S1367" s="1419">
        <v>0</v>
      </c>
      <c r="T1367" s="1419">
        <f t="shared" ref="T1367" si="623">-K1367*2%</f>
        <v>-59800</v>
      </c>
      <c r="U1367" s="1406">
        <v>3229200</v>
      </c>
      <c r="V1367" s="1350"/>
      <c r="W1367" s="1351"/>
      <c r="X1367" s="1352"/>
      <c r="Y1367" s="1406"/>
      <c r="Z1367" s="1353"/>
      <c r="AA1367" s="1354"/>
      <c r="AB1367" s="1355"/>
      <c r="AC1367" s="1344"/>
      <c r="AD1367" s="1356"/>
      <c r="AE1367" s="1356"/>
      <c r="AF1367" s="1344"/>
      <c r="AG1367" s="1344"/>
      <c r="AH1367" s="1357"/>
      <c r="AI1367" s="1344"/>
      <c r="AJ1367" s="1357"/>
      <c r="AK1367" s="1404"/>
    </row>
    <row r="1368" spans="1:37" s="1405" customFormat="1" ht="12" customHeight="1">
      <c r="A1368" s="1343"/>
      <c r="B1368" s="1400" t="s">
        <v>241</v>
      </c>
      <c r="C1368" s="1400">
        <v>25</v>
      </c>
      <c r="D1368" s="1401" t="s">
        <v>4042</v>
      </c>
      <c r="E1368" s="1400" t="s">
        <v>4036</v>
      </c>
      <c r="F1368" s="1401" t="s">
        <v>4043</v>
      </c>
      <c r="G1368" s="1409" t="s">
        <v>57</v>
      </c>
      <c r="H1368" s="1409" t="s">
        <v>4779</v>
      </c>
      <c r="I1368" s="1409" t="s">
        <v>4780</v>
      </c>
      <c r="J1368" s="1503"/>
      <c r="K1368" s="1413">
        <v>2990000</v>
      </c>
      <c r="L1368" s="1410">
        <f t="shared" ref="L1368" si="624">K1368*10%</f>
        <v>299000</v>
      </c>
      <c r="M1368" s="1403"/>
      <c r="N1368" s="1410">
        <f t="shared" ref="N1368" si="625">K1368+L1368</f>
        <v>3289000</v>
      </c>
      <c r="O1368" s="1486"/>
      <c r="P1368" s="1486"/>
      <c r="Q1368" s="1487"/>
      <c r="R1368" s="1488"/>
      <c r="S1368" s="1540"/>
      <c r="T1368" s="1540"/>
      <c r="U1368" s="1485"/>
      <c r="V1368" s="1490"/>
      <c r="W1368" s="1491"/>
      <c r="X1368" s="1492"/>
      <c r="Y1368" s="1485"/>
      <c r="Z1368" s="1493"/>
      <c r="AA1368" s="1494"/>
      <c r="AB1368" s="1495"/>
      <c r="AC1368" s="1343"/>
      <c r="AD1368" s="1496"/>
      <c r="AE1368" s="1496"/>
      <c r="AF1368" s="1343"/>
      <c r="AG1368" s="1343"/>
      <c r="AH1368" s="1497"/>
      <c r="AI1368" s="1343"/>
      <c r="AJ1368" s="1497"/>
      <c r="AK1368" s="1404"/>
    </row>
    <row r="1369" spans="1:37" s="1405" customFormat="1" ht="12" customHeight="1">
      <c r="A1369" s="1343"/>
      <c r="B1369" s="1498"/>
      <c r="C1369" s="1499"/>
      <c r="D1369" s="1500"/>
      <c r="E1369" s="1343"/>
      <c r="F1369" s="1500"/>
      <c r="G1369" s="1501"/>
      <c r="H1369" s="1502"/>
      <c r="I1369" s="1501"/>
      <c r="J1369" s="1503"/>
      <c r="K1369" s="1503"/>
      <c r="L1369" s="1263"/>
      <c r="M1369" s="1504"/>
      <c r="N1369" s="1263"/>
      <c r="O1369" s="1486"/>
      <c r="P1369" s="1486"/>
      <c r="Q1369" s="1487"/>
      <c r="R1369" s="1488"/>
      <c r="S1369" s="1489"/>
      <c r="T1369" s="1489"/>
      <c r="U1369" s="1485"/>
      <c r="V1369" s="1490"/>
      <c r="W1369" s="1491"/>
      <c r="X1369" s="1492"/>
      <c r="Y1369" s="1485"/>
      <c r="Z1369" s="1493"/>
      <c r="AA1369" s="1494"/>
      <c r="AB1369" s="1495"/>
      <c r="AC1369" s="1343"/>
      <c r="AD1369" s="1496"/>
      <c r="AE1369" s="1496"/>
      <c r="AF1369" s="1343"/>
      <c r="AG1369" s="1343"/>
      <c r="AH1369" s="1497"/>
      <c r="AI1369" s="1343"/>
      <c r="AJ1369" s="1497"/>
      <c r="AK1369" s="1404"/>
    </row>
    <row r="1370" spans="1:37" s="1364" customFormat="1" ht="12" customHeight="1">
      <c r="A1370" s="565"/>
      <c r="B1370" s="572"/>
      <c r="C1370" s="565"/>
      <c r="E1370" s="1365"/>
      <c r="F1370" s="1534"/>
      <c r="G1370" s="1365"/>
      <c r="H1370" s="565"/>
      <c r="I1370" s="1365"/>
      <c r="J1370" s="1365"/>
      <c r="K1370" s="1366"/>
      <c r="L1370" s="1366"/>
      <c r="M1370" s="1365"/>
      <c r="N1370" s="1365"/>
      <c r="O1370" s="1367"/>
      <c r="P1370" s="1367"/>
      <c r="Q1370" s="1366"/>
      <c r="R1370" s="1366"/>
      <c r="S1370" s="1366"/>
      <c r="T1370" s="1366"/>
      <c r="U1370" s="1366"/>
      <c r="V1370" s="1366"/>
      <c r="W1370" s="1366"/>
      <c r="X1370" s="1367"/>
      <c r="Y1370" s="1366"/>
      <c r="AC1370" s="565"/>
      <c r="AD1370" s="1368"/>
      <c r="AE1370" s="1368"/>
      <c r="AF1370" s="565"/>
      <c r="AG1370" s="565"/>
      <c r="AH1370" s="565"/>
      <c r="AI1370" s="565"/>
      <c r="AJ1370" s="565"/>
    </row>
    <row r="1371" spans="1:37" ht="12" customHeight="1">
      <c r="A1371" s="1213"/>
      <c r="B1371" s="1358" t="s">
        <v>234</v>
      </c>
      <c r="C1371" s="1359"/>
      <c r="D1371" s="1359"/>
      <c r="E1371" s="1359"/>
      <c r="F1371" s="1535"/>
      <c r="G1371" s="1359"/>
      <c r="H1371" s="1484"/>
      <c r="I1371" s="1359"/>
      <c r="J1371" s="1360"/>
      <c r="K1371" s="1359"/>
      <c r="L1371" s="1361"/>
      <c r="M1371" s="1362">
        <f>SUBTOTAL(9,M256)</f>
        <v>0</v>
      </c>
      <c r="N1371" s="1363">
        <f>SUBTOTAL(9,N938:N1370)</f>
        <v>15791239286.37401</v>
      </c>
      <c r="O1371" s="678"/>
      <c r="P1371" s="678"/>
      <c r="Q1371" s="677"/>
      <c r="R1371" s="677"/>
      <c r="S1371" s="675"/>
      <c r="T1371" s="603"/>
      <c r="U1371" s="603"/>
      <c r="V1371" s="443"/>
      <c r="W1371" s="444"/>
      <c r="AG1371" s="474"/>
      <c r="AH1371" s="474"/>
      <c r="AI1371" s="474"/>
      <c r="AJ1371" s="474"/>
    </row>
    <row r="1372" spans="1:37" ht="12.75" customHeight="1">
      <c r="A1372" s="474"/>
      <c r="B1372" s="474"/>
      <c r="C1372" s="474"/>
      <c r="H1372" s="442"/>
      <c r="R1372" s="603"/>
      <c r="S1372" s="116"/>
      <c r="T1372" s="603"/>
      <c r="U1372" s="603"/>
      <c r="V1372" s="443"/>
      <c r="W1372" s="444"/>
      <c r="AG1372" s="474"/>
      <c r="AH1372" s="474"/>
      <c r="AI1372" s="474"/>
      <c r="AJ1372" s="474"/>
    </row>
    <row r="1373" spans="1:37" ht="12.75" customHeight="1">
      <c r="A1373" s="474"/>
      <c r="B1373" s="1271" t="s">
        <v>3314</v>
      </c>
      <c r="C1373" s="474"/>
      <c r="H1373" s="442"/>
      <c r="R1373" s="603"/>
      <c r="S1373" s="1269"/>
      <c r="T1373" s="603"/>
      <c r="U1373" s="603"/>
      <c r="V1373" s="443"/>
      <c r="W1373" s="444"/>
      <c r="AG1373" s="474"/>
      <c r="AH1373" s="474"/>
      <c r="AI1373" s="474"/>
      <c r="AJ1373" s="474"/>
    </row>
    <row r="1374" spans="1:37" ht="12" customHeight="1">
      <c r="A1374" s="474"/>
      <c r="B1374" s="1270"/>
      <c r="C1374" s="1543" t="s">
        <v>4734</v>
      </c>
      <c r="D1374" s="1544"/>
      <c r="E1374" s="1544"/>
      <c r="F1374" s="1544"/>
      <c r="G1374" s="446"/>
      <c r="H1374" s="442"/>
      <c r="V1374" s="443"/>
      <c r="W1374" s="444"/>
      <c r="AG1374" s="474"/>
      <c r="AH1374" s="474"/>
      <c r="AI1374" s="474"/>
      <c r="AJ1374" s="474"/>
    </row>
    <row r="1375" spans="1:37" ht="12" customHeight="1"/>
    <row r="1376" spans="1:37" ht="20.100000000000001" hidden="1" customHeight="1" thickTop="1" thickBot="1">
      <c r="A1376" s="1545" t="s">
        <v>61</v>
      </c>
      <c r="B1376" s="1545"/>
      <c r="C1376" s="1545"/>
      <c r="D1376" s="1545"/>
      <c r="E1376" s="1545"/>
      <c r="F1376" s="1545"/>
      <c r="G1376" s="1545"/>
      <c r="H1376" s="1545"/>
      <c r="I1376" s="1545"/>
      <c r="J1376" s="593">
        <f>SUM(J258:J1375)</f>
        <v>681459119</v>
      </c>
      <c r="K1376" s="594">
        <f>SUM(K258:K1375)</f>
        <v>146806395507.68475</v>
      </c>
      <c r="L1376" s="594">
        <f>SUM(L258:L1375)</f>
        <v>10460051914.552614</v>
      </c>
      <c r="M1376" s="593">
        <f>SUM(M258:M1375)</f>
        <v>377862079</v>
      </c>
      <c r="N1376" s="594">
        <f>SUM(N258:N1375)</f>
        <v>135024844339.46263</v>
      </c>
      <c r="O1376" s="209"/>
      <c r="P1376" s="209"/>
      <c r="Q1376" s="817">
        <f>SUM(Q258:Q1375)</f>
        <v>0</v>
      </c>
      <c r="R1376" s="817">
        <f>SUM(R258:R1375)</f>
        <v>0</v>
      </c>
      <c r="S1376" s="594">
        <f>SUM(S258:S1375)</f>
        <v>29733439622.850285</v>
      </c>
      <c r="T1376" s="594">
        <f>SUM(T291:T1375)</f>
        <v>-1100759472.9361</v>
      </c>
      <c r="U1376" s="594">
        <f>SUM(U258:U1375)</f>
        <v>87825698722.490143</v>
      </c>
      <c r="V1376" s="593">
        <f>SUM(V258:V1375)</f>
        <v>12049</v>
      </c>
      <c r="W1376" s="602">
        <f>SUM(W258:W1375)</f>
        <v>12969646135.396418</v>
      </c>
      <c r="X1376" s="209"/>
      <c r="Z1376" s="594">
        <f>SUM(Z258:Z1375)</f>
        <v>1850000</v>
      </c>
      <c r="AA1376" s="602">
        <f>SUM(AA258:AA1375)</f>
        <v>6439528.5</v>
      </c>
      <c r="AD1376" s="594">
        <f>SUM(AD258:AD1375)</f>
        <v>602295261.09985995</v>
      </c>
      <c r="AE1376" s="602">
        <f>SUM(AE258:AE1375)</f>
        <v>474626816.32781994</v>
      </c>
      <c r="AG1376" s="474"/>
      <c r="AH1376" s="474"/>
      <c r="AI1376" s="474"/>
      <c r="AJ1376" s="474"/>
    </row>
    <row r="1377" spans="1:36" ht="20.100000000000001" hidden="1" customHeight="1" thickTop="1" thickBot="1">
      <c r="A1377" s="73"/>
      <c r="B1377" s="73"/>
      <c r="C1377" s="73"/>
      <c r="D1377" s="73"/>
      <c r="E1377" s="73"/>
      <c r="F1377" s="1514"/>
      <c r="G1377" s="73"/>
      <c r="H1377" s="73"/>
      <c r="I1377" s="73"/>
      <c r="J1377" s="73"/>
      <c r="K1377" s="1541">
        <f>SUM(K1376:L1376)</f>
        <v>157266447422.23737</v>
      </c>
      <c r="L1377" s="1542"/>
      <c r="M1377" s="599" t="s">
        <v>1684</v>
      </c>
      <c r="N1377" s="594">
        <f>K1377-N1376</f>
        <v>22241603082.774734</v>
      </c>
      <c r="O1377" s="209"/>
      <c r="P1377" s="209"/>
      <c r="Q1377" s="1340">
        <f>R1376-Q1376</f>
        <v>0</v>
      </c>
      <c r="R1377" s="1341"/>
      <c r="S1377" s="1338">
        <f>U1376-T1376-S1376</f>
        <v>59193018572.575958</v>
      </c>
      <c r="T1377" s="1342"/>
      <c r="U1377" s="1339"/>
      <c r="V1377" s="601" t="s">
        <v>1687</v>
      </c>
      <c r="W1377" s="594">
        <f>N1376-S1377-W1376</f>
        <v>62862179631.490257</v>
      </c>
      <c r="X1377" s="206"/>
      <c r="Y1377" s="33"/>
      <c r="Z1377" s="1338">
        <f>SUM(Z1376:AA1376)</f>
        <v>8289528.5</v>
      </c>
      <c r="AA1377" s="1339"/>
      <c r="AD1377" s="1338">
        <f>SUM(AD1376:AE1376)</f>
        <v>1076922077.42768</v>
      </c>
      <c r="AE1377" s="1339"/>
      <c r="AG1377" s="474"/>
      <c r="AH1377" s="474"/>
      <c r="AI1377" s="474"/>
      <c r="AJ1377" s="474"/>
    </row>
    <row r="1378" spans="1:36" ht="20.100000000000001" hidden="1" customHeight="1" thickTop="1">
      <c r="A1378" s="33"/>
      <c r="B1378" s="33"/>
      <c r="C1378" s="33"/>
      <c r="E1378" s="33"/>
      <c r="F1378" s="1525"/>
      <c r="G1378" s="33"/>
      <c r="H1378" s="604"/>
      <c r="I1378" s="33"/>
      <c r="J1378" s="33"/>
      <c r="K1378" s="1369" t="s">
        <v>1686</v>
      </c>
      <c r="L1378" s="1370"/>
      <c r="M1378" s="1371"/>
      <c r="N1378" s="598"/>
      <c r="R1378" s="603"/>
      <c r="S1378" s="603"/>
      <c r="T1378" s="603"/>
      <c r="U1378" s="369"/>
      <c r="V1378" s="443"/>
      <c r="W1378" s="444"/>
      <c r="X1378" s="474"/>
      <c r="Y1378" s="33"/>
      <c r="AG1378" s="474"/>
      <c r="AH1378" s="474"/>
      <c r="AI1378" s="474"/>
      <c r="AJ1378" s="474"/>
    </row>
    <row r="1379" spans="1:36" ht="20.100000000000001" hidden="1" customHeight="1">
      <c r="A1379" s="474"/>
      <c r="B1379" s="474"/>
      <c r="C1379" s="474"/>
      <c r="H1379" s="442"/>
      <c r="K1379" s="1375" t="s">
        <v>1685</v>
      </c>
      <c r="L1379" s="1376"/>
      <c r="M1379" s="1377"/>
      <c r="N1379" s="596">
        <v>-12483581</v>
      </c>
      <c r="R1379" s="603"/>
      <c r="S1379" s="603"/>
      <c r="T1379" s="603"/>
      <c r="U1379" s="603"/>
      <c r="V1379" s="443"/>
      <c r="W1379" s="444"/>
      <c r="AG1379" s="474"/>
      <c r="AH1379" s="474"/>
      <c r="AI1379" s="474"/>
      <c r="AJ1379" s="474"/>
    </row>
    <row r="1380" spans="1:36" ht="20.100000000000001" hidden="1" customHeight="1">
      <c r="A1380" s="474"/>
      <c r="B1380" s="474"/>
      <c r="C1380" s="474"/>
      <c r="H1380" s="442"/>
      <c r="K1380" s="1372" t="s">
        <v>1619</v>
      </c>
      <c r="L1380" s="1373"/>
      <c r="M1380" s="1374"/>
      <c r="N1380" s="597">
        <f>SUM(N1377:N1379)</f>
        <v>22229119501.774734</v>
      </c>
      <c r="R1380" s="603"/>
      <c r="S1380" s="603"/>
      <c r="T1380" s="603"/>
      <c r="U1380" s="603"/>
      <c r="V1380" s="443"/>
      <c r="W1380" s="444"/>
      <c r="AG1380" s="474"/>
      <c r="AH1380" s="474"/>
      <c r="AI1380" s="474"/>
      <c r="AJ1380" s="474"/>
    </row>
    <row r="1381" spans="1:36" ht="12" customHeight="1"/>
    <row r="1382" spans="1:36" ht="12" customHeight="1"/>
    <row r="1383" spans="1:36" ht="12" customHeight="1">
      <c r="F1383" s="1526" t="s">
        <v>4064</v>
      </c>
    </row>
    <row r="1384" spans="1:36" ht="12" customHeight="1"/>
    <row r="1385" spans="1:36" ht="12" customHeight="1"/>
    <row r="1386" spans="1:36" ht="12" customHeight="1"/>
    <row r="1387" spans="1:36" ht="12" customHeight="1"/>
    <row r="1388" spans="1:36" ht="12" customHeight="1"/>
    <row r="1389" spans="1:36" ht="12" customHeight="1"/>
    <row r="1390" spans="1:36" ht="12" customHeight="1"/>
    <row r="1391" spans="1:36" ht="12" customHeight="1"/>
    <row r="1392" spans="1:36" ht="12" customHeight="1"/>
    <row r="1393" spans="6:6" ht="12" customHeight="1"/>
    <row r="1394" spans="6:6" ht="12" customHeight="1"/>
    <row r="1395" spans="6:6" ht="12" customHeight="1">
      <c r="F1395" s="1526" t="s">
        <v>4819</v>
      </c>
    </row>
    <row r="1396" spans="6:6" ht="12" customHeight="1"/>
    <row r="1397" spans="6:6" ht="12" customHeight="1"/>
    <row r="1398" spans="6:6" ht="12" customHeight="1"/>
    <row r="1399" spans="6:6" ht="12" customHeight="1"/>
    <row r="1400" spans="6:6" ht="12" customHeight="1"/>
    <row r="1401" spans="6:6" ht="12" customHeight="1"/>
    <row r="1402" spans="6:6" ht="12" customHeight="1"/>
    <row r="1403" spans="6:6" ht="12" customHeight="1"/>
    <row r="1404" spans="6:6" ht="12" customHeight="1"/>
    <row r="1405" spans="6:6" ht="12" customHeight="1"/>
    <row r="1406" spans="6:6" ht="12" customHeight="1"/>
    <row r="1407" spans="6:6" ht="12" customHeight="1"/>
    <row r="1408" spans="6:6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28" ht="12" customHeight="1"/>
    <row r="1629" ht="12" customHeight="1"/>
    <row r="1630" ht="12" customHeight="1"/>
    <row r="1631" ht="12" customHeight="1"/>
    <row r="1632" ht="12" customHeight="1"/>
    <row r="1633" ht="12" customHeight="1"/>
    <row r="1634" ht="12" customHeight="1"/>
    <row r="1635" ht="12" customHeight="1"/>
    <row r="1636" ht="12" customHeight="1"/>
    <row r="1637" ht="12" customHeight="1"/>
    <row r="1638" ht="12" customHeight="1"/>
    <row r="1639" ht="12" customHeight="1"/>
    <row r="1640" ht="12" customHeight="1"/>
    <row r="1641" ht="12" customHeight="1"/>
    <row r="1642" ht="12" customHeight="1"/>
    <row r="1643" ht="12" customHeight="1"/>
    <row r="1644" ht="12" customHeight="1"/>
    <row r="1645" ht="12" customHeight="1"/>
    <row r="1646" ht="12" customHeight="1"/>
    <row r="1647" ht="12" customHeight="1"/>
    <row r="1648" ht="12" customHeight="1"/>
    <row r="1649" ht="12" customHeight="1"/>
    <row r="1650" ht="12" customHeight="1"/>
    <row r="1651" ht="12" customHeight="1"/>
    <row r="1652" ht="12" customHeight="1"/>
    <row r="1653" ht="12" customHeight="1"/>
    <row r="1654" ht="12" customHeight="1"/>
    <row r="1655" ht="12" customHeight="1"/>
    <row r="1656" ht="12" customHeight="1"/>
    <row r="1657" ht="12" customHeight="1"/>
    <row r="1658" ht="12" customHeight="1"/>
    <row r="1659" ht="12" customHeight="1"/>
    <row r="1660" ht="12" customHeight="1"/>
    <row r="1661" ht="12" customHeight="1"/>
    <row r="1662" ht="12" customHeight="1"/>
    <row r="1663" ht="12" customHeight="1"/>
    <row r="1664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65639" spans="1:36">
      <c r="B65639" s="565">
        <v>1</v>
      </c>
      <c r="C65639" s="565"/>
      <c r="D65639" s="1364"/>
    </row>
    <row r="65640" spans="1:36">
      <c r="B65640" s="565">
        <v>2</v>
      </c>
      <c r="C65640" s="565"/>
      <c r="D65640" s="1364"/>
    </row>
    <row r="65641" spans="1:36">
      <c r="A65641" s="474"/>
      <c r="B65641" s="565"/>
      <c r="C65641" s="565"/>
      <c r="D65641" s="1364"/>
      <c r="H65641" s="474"/>
      <c r="AG65641" s="474"/>
      <c r="AH65641" s="474"/>
      <c r="AI65641" s="474"/>
      <c r="AJ65641" s="474"/>
    </row>
    <row r="65642" spans="1:36">
      <c r="B65642" s="565">
        <v>4</v>
      </c>
      <c r="C65642" s="565"/>
      <c r="D65642" s="1364"/>
    </row>
    <row r="65643" spans="1:36">
      <c r="B65643" s="565">
        <v>5</v>
      </c>
      <c r="C65643" s="565"/>
      <c r="D65643" s="1364"/>
    </row>
    <row r="65644" spans="1:36">
      <c r="B65644" s="565">
        <v>6</v>
      </c>
      <c r="C65644" s="565"/>
      <c r="D65644" s="1364"/>
    </row>
    <row r="65645" spans="1:36">
      <c r="B65645" s="565">
        <v>7</v>
      </c>
      <c r="C65645" s="565"/>
      <c r="D65645" s="1364"/>
    </row>
    <row r="65646" spans="1:36">
      <c r="B65646" s="565">
        <v>8</v>
      </c>
      <c r="C65646" s="565"/>
      <c r="D65646" s="1364"/>
    </row>
    <row r="65647" spans="1:36">
      <c r="A65647" s="474"/>
      <c r="B65647" s="565">
        <v>9</v>
      </c>
      <c r="C65647" s="565"/>
      <c r="D65647" s="1364"/>
      <c r="H65647" s="474"/>
      <c r="AG65647" s="474"/>
      <c r="AH65647" s="474"/>
      <c r="AI65647" s="474"/>
      <c r="AJ65647" s="474"/>
    </row>
    <row r="65648" spans="1:36">
      <c r="B65648" s="565"/>
      <c r="C65648" s="565"/>
      <c r="D65648" s="1364"/>
    </row>
    <row r="65649" spans="2:4">
      <c r="B65649" s="565"/>
      <c r="C65649" s="565"/>
      <c r="D65649" s="1364"/>
    </row>
    <row r="65650" spans="2:4">
      <c r="B65650" s="565"/>
      <c r="C65650" s="565"/>
      <c r="D65650" s="1364"/>
    </row>
    <row r="65651" spans="2:4">
      <c r="B65651" s="565"/>
      <c r="C65651" s="565"/>
      <c r="D65651" s="1364"/>
    </row>
    <row r="65652" spans="2:4">
      <c r="B65652" s="565"/>
      <c r="C65652" s="565"/>
      <c r="D65652" s="1364"/>
    </row>
    <row r="65653" spans="2:4">
      <c r="B65653" s="565"/>
      <c r="C65653" s="565"/>
      <c r="D65653" s="1364"/>
    </row>
  </sheetData>
  <autoFilter ref="B935:N1368">
    <filterColumn colId="0"/>
    <filterColumn colId="2"/>
    <filterColumn colId="11" showButton="0"/>
  </autoFilter>
  <sortState ref="A253:D262">
    <sortCondition ref="A253:A262"/>
  </sortState>
  <mergeCells count="67">
    <mergeCell ref="K935:K937"/>
    <mergeCell ref="L935:L937"/>
    <mergeCell ref="M935:N935"/>
    <mergeCell ref="AG935:AJ935"/>
    <mergeCell ref="M936:M937"/>
    <mergeCell ref="N936:N937"/>
    <mergeCell ref="AG936:AH936"/>
    <mergeCell ref="AI936:AJ936"/>
    <mergeCell ref="I3:I5"/>
    <mergeCell ref="J3:J5"/>
    <mergeCell ref="K3:K5"/>
    <mergeCell ref="AG151:AH151"/>
    <mergeCell ref="AI151:AJ151"/>
    <mergeCell ref="AG150:AJ150"/>
    <mergeCell ref="AG3:AJ3"/>
    <mergeCell ref="AG4:AH4"/>
    <mergeCell ref="AI4:AJ4"/>
    <mergeCell ref="M3:N3"/>
    <mergeCell ref="M4:M5"/>
    <mergeCell ref="N4:N5"/>
    <mergeCell ref="K146:M146"/>
    <mergeCell ref="K147:M147"/>
    <mergeCell ref="H3:H5"/>
    <mergeCell ref="A144:I144"/>
    <mergeCell ref="K145:L145"/>
    <mergeCell ref="D150:D152"/>
    <mergeCell ref="F150:F152"/>
    <mergeCell ref="G150:G152"/>
    <mergeCell ref="A3:A5"/>
    <mergeCell ref="B3:B5"/>
    <mergeCell ref="C3:C5"/>
    <mergeCell ref="D3:D5"/>
    <mergeCell ref="E3:E5"/>
    <mergeCell ref="A150:A152"/>
    <mergeCell ref="I150:I152"/>
    <mergeCell ref="J150:J152"/>
    <mergeCell ref="L3:L5"/>
    <mergeCell ref="H150:H152"/>
    <mergeCell ref="K867:M867"/>
    <mergeCell ref="K868:M868"/>
    <mergeCell ref="K150:K152"/>
    <mergeCell ref="L150:L152"/>
    <mergeCell ref="M150:N150"/>
    <mergeCell ref="M151:M152"/>
    <mergeCell ref="N151:N152"/>
    <mergeCell ref="A864:I864"/>
    <mergeCell ref="K865:L865"/>
    <mergeCell ref="K866:M866"/>
    <mergeCell ref="B150:B152"/>
    <mergeCell ref="C150:C152"/>
    <mergeCell ref="E150:E152"/>
    <mergeCell ref="K1377:L1377"/>
    <mergeCell ref="C1374:F1374"/>
    <mergeCell ref="A1376:I1376"/>
    <mergeCell ref="C917:F917"/>
    <mergeCell ref="A870:I870"/>
    <mergeCell ref="C919:F919"/>
    <mergeCell ref="A935:A937"/>
    <mergeCell ref="B935:B937"/>
    <mergeCell ref="C935:C937"/>
    <mergeCell ref="D935:D937"/>
    <mergeCell ref="E935:E937"/>
    <mergeCell ref="F935:F937"/>
    <mergeCell ref="G935:G937"/>
    <mergeCell ref="H935:H937"/>
    <mergeCell ref="I935:I937"/>
    <mergeCell ref="J935:J937"/>
  </mergeCells>
  <printOptions horizontalCentered="1"/>
  <pageMargins left="0" right="0" top="0.93" bottom="0.36" header="0.6" footer="0.2"/>
  <pageSetup paperSize="9" scale="83" orientation="landscape" horizontalDpi="4294967293" r:id="rId1"/>
  <headerFooter>
    <oddFooter>Page &amp;P of &amp;N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AL389"/>
  <sheetViews>
    <sheetView showGridLines="0" zoomScale="70" zoomScaleNormal="70" zoomScaleSheetLayoutView="85" workbookViewId="0">
      <selection activeCell="L27" sqref="L27"/>
    </sheetView>
  </sheetViews>
  <sheetFormatPr defaultRowHeight="12.75"/>
  <cols>
    <col min="1" max="1" width="4.42578125" style="474" bestFit="1" customWidth="1"/>
    <col min="2" max="2" width="6.140625" style="474" customWidth="1"/>
    <col min="3" max="3" width="3.85546875" style="474" customWidth="1"/>
    <col min="4" max="4" width="37.85546875" style="33" customWidth="1"/>
    <col min="5" max="5" width="12.42578125" style="111" customWidth="1"/>
    <col min="6" max="6" width="29.28515625" style="474" bestFit="1" customWidth="1"/>
    <col min="7" max="7" width="20.42578125" style="111" customWidth="1"/>
    <col min="8" max="8" width="19.140625" style="111" customWidth="1"/>
    <col min="9" max="9" width="24" style="112" customWidth="1"/>
    <col min="10" max="10" width="21.42578125" style="112" customWidth="1"/>
    <col min="11" max="11" width="19.140625" style="111" customWidth="1"/>
    <col min="12" max="12" width="23.42578125" style="111" bestFit="1" customWidth="1"/>
    <col min="13" max="13" width="4.7109375" style="162" customWidth="1"/>
    <col min="14" max="14" width="3.28515625" style="162" customWidth="1"/>
    <col min="15" max="15" width="19.28515625" style="112" customWidth="1"/>
    <col min="16" max="16" width="11.28515625" style="112" customWidth="1"/>
    <col min="17" max="17" width="18.28515625" style="112" bestFit="1" customWidth="1"/>
    <col min="18" max="18" width="18.28515625" style="112" customWidth="1"/>
    <col min="19" max="19" width="25" style="112" bestFit="1" customWidth="1"/>
    <col min="20" max="20" width="17.42578125" style="112" customWidth="1"/>
    <col min="21" max="21" width="23.85546875" style="112" bestFit="1" customWidth="1"/>
    <col min="22" max="22" width="15" style="162" customWidth="1"/>
    <col min="23" max="23" width="10" style="112" bestFit="1" customWidth="1"/>
    <col min="24" max="24" width="22" style="33" bestFit="1" customWidth="1"/>
    <col min="25" max="25" width="22" style="33" customWidth="1"/>
    <col min="26" max="26" width="9.140625" style="33"/>
    <col min="27" max="27" width="10.140625" style="474" bestFit="1" customWidth="1"/>
    <col min="28" max="28" width="21.5703125" style="161" bestFit="1" customWidth="1"/>
    <col min="29" max="29" width="21.5703125" style="161" customWidth="1"/>
    <col min="30" max="30" width="27.42578125" style="474" customWidth="1"/>
    <col min="31" max="31" width="8.5703125" style="474" customWidth="1"/>
    <col min="32" max="32" width="18.85546875" style="474" bestFit="1" customWidth="1"/>
    <col min="33" max="33" width="11.140625" style="474" bestFit="1" customWidth="1"/>
    <col min="34" max="34" width="11.5703125" style="474" bestFit="1" customWidth="1"/>
    <col min="35" max="37" width="9.140625" style="33"/>
    <col min="38" max="38" width="9.5703125" style="33" bestFit="1" customWidth="1"/>
    <col min="39" max="267" width="9.140625" style="33"/>
    <col min="268" max="268" width="3.85546875" style="33" bestFit="1" customWidth="1"/>
    <col min="269" max="269" width="44.5703125" style="33" bestFit="1" customWidth="1"/>
    <col min="270" max="270" width="28.7109375" style="33" bestFit="1" customWidth="1"/>
    <col min="271" max="271" width="16.85546875" style="33" customWidth="1"/>
    <col min="272" max="272" width="8.7109375" style="33" customWidth="1"/>
    <col min="273" max="273" width="24" style="33" bestFit="1" customWidth="1"/>
    <col min="274" max="274" width="21.42578125" style="33" bestFit="1" customWidth="1"/>
    <col min="275" max="275" width="24.7109375" style="33" customWidth="1"/>
    <col min="276" max="276" width="20.7109375" style="33" customWidth="1"/>
    <col min="277" max="277" width="25.5703125" style="33" bestFit="1" customWidth="1"/>
    <col min="278" max="278" width="25.28515625" style="33" customWidth="1"/>
    <col min="279" max="279" width="21" style="33" bestFit="1" customWidth="1"/>
    <col min="280" max="280" width="20" style="33" bestFit="1" customWidth="1"/>
    <col min="281" max="281" width="19.28515625" style="33" bestFit="1" customWidth="1"/>
    <col min="282" max="282" width="16.28515625" style="33" bestFit="1" customWidth="1"/>
    <col min="283" max="283" width="15.28515625" style="33" bestFit="1" customWidth="1"/>
    <col min="284" max="523" width="9.140625" style="33"/>
    <col min="524" max="524" width="3.85546875" style="33" bestFit="1" customWidth="1"/>
    <col min="525" max="525" width="44.5703125" style="33" bestFit="1" customWidth="1"/>
    <col min="526" max="526" width="28.7109375" style="33" bestFit="1" customWidth="1"/>
    <col min="527" max="527" width="16.85546875" style="33" customWidth="1"/>
    <col min="528" max="528" width="8.7109375" style="33" customWidth="1"/>
    <col min="529" max="529" width="24" style="33" bestFit="1" customWidth="1"/>
    <col min="530" max="530" width="21.42578125" style="33" bestFit="1" customWidth="1"/>
    <col min="531" max="531" width="24.7109375" style="33" customWidth="1"/>
    <col min="532" max="532" width="20.7109375" style="33" customWidth="1"/>
    <col min="533" max="533" width="25.5703125" style="33" bestFit="1" customWidth="1"/>
    <col min="534" max="534" width="25.28515625" style="33" customWidth="1"/>
    <col min="535" max="535" width="21" style="33" bestFit="1" customWidth="1"/>
    <col min="536" max="536" width="20" style="33" bestFit="1" customWidth="1"/>
    <col min="537" max="537" width="19.28515625" style="33" bestFit="1" customWidth="1"/>
    <col min="538" max="538" width="16.28515625" style="33" bestFit="1" customWidth="1"/>
    <col min="539" max="539" width="15.28515625" style="33" bestFit="1" customWidth="1"/>
    <col min="540" max="779" width="9.140625" style="33"/>
    <col min="780" max="780" width="3.85546875" style="33" bestFit="1" customWidth="1"/>
    <col min="781" max="781" width="44.5703125" style="33" bestFit="1" customWidth="1"/>
    <col min="782" max="782" width="28.7109375" style="33" bestFit="1" customWidth="1"/>
    <col min="783" max="783" width="16.85546875" style="33" customWidth="1"/>
    <col min="784" max="784" width="8.7109375" style="33" customWidth="1"/>
    <col min="785" max="785" width="24" style="33" bestFit="1" customWidth="1"/>
    <col min="786" max="786" width="21.42578125" style="33" bestFit="1" customWidth="1"/>
    <col min="787" max="787" width="24.7109375" style="33" customWidth="1"/>
    <col min="788" max="788" width="20.7109375" style="33" customWidth="1"/>
    <col min="789" max="789" width="25.5703125" style="33" bestFit="1" customWidth="1"/>
    <col min="790" max="790" width="25.28515625" style="33" customWidth="1"/>
    <col min="791" max="791" width="21" style="33" bestFit="1" customWidth="1"/>
    <col min="792" max="792" width="20" style="33" bestFit="1" customWidth="1"/>
    <col min="793" max="793" width="19.28515625" style="33" bestFit="1" customWidth="1"/>
    <col min="794" max="794" width="16.28515625" style="33" bestFit="1" customWidth="1"/>
    <col min="795" max="795" width="15.28515625" style="33" bestFit="1" customWidth="1"/>
    <col min="796" max="1035" width="9.140625" style="33"/>
    <col min="1036" max="1036" width="3.85546875" style="33" bestFit="1" customWidth="1"/>
    <col min="1037" max="1037" width="44.5703125" style="33" bestFit="1" customWidth="1"/>
    <col min="1038" max="1038" width="28.7109375" style="33" bestFit="1" customWidth="1"/>
    <col min="1039" max="1039" width="16.85546875" style="33" customWidth="1"/>
    <col min="1040" max="1040" width="8.7109375" style="33" customWidth="1"/>
    <col min="1041" max="1041" width="24" style="33" bestFit="1" customWidth="1"/>
    <col min="1042" max="1042" width="21.42578125" style="33" bestFit="1" customWidth="1"/>
    <col min="1043" max="1043" width="24.7109375" style="33" customWidth="1"/>
    <col min="1044" max="1044" width="20.7109375" style="33" customWidth="1"/>
    <col min="1045" max="1045" width="25.5703125" style="33" bestFit="1" customWidth="1"/>
    <col min="1046" max="1046" width="25.28515625" style="33" customWidth="1"/>
    <col min="1047" max="1047" width="21" style="33" bestFit="1" customWidth="1"/>
    <col min="1048" max="1048" width="20" style="33" bestFit="1" customWidth="1"/>
    <col min="1049" max="1049" width="19.28515625" style="33" bestFit="1" customWidth="1"/>
    <col min="1050" max="1050" width="16.28515625" style="33" bestFit="1" customWidth="1"/>
    <col min="1051" max="1051" width="15.28515625" style="33" bestFit="1" customWidth="1"/>
    <col min="1052" max="1291" width="9.140625" style="33"/>
    <col min="1292" max="1292" width="3.85546875" style="33" bestFit="1" customWidth="1"/>
    <col min="1293" max="1293" width="44.5703125" style="33" bestFit="1" customWidth="1"/>
    <col min="1294" max="1294" width="28.7109375" style="33" bestFit="1" customWidth="1"/>
    <col min="1295" max="1295" width="16.85546875" style="33" customWidth="1"/>
    <col min="1296" max="1296" width="8.7109375" style="33" customWidth="1"/>
    <col min="1297" max="1297" width="24" style="33" bestFit="1" customWidth="1"/>
    <col min="1298" max="1298" width="21.42578125" style="33" bestFit="1" customWidth="1"/>
    <col min="1299" max="1299" width="24.7109375" style="33" customWidth="1"/>
    <col min="1300" max="1300" width="20.7109375" style="33" customWidth="1"/>
    <col min="1301" max="1301" width="25.5703125" style="33" bestFit="1" customWidth="1"/>
    <col min="1302" max="1302" width="25.28515625" style="33" customWidth="1"/>
    <col min="1303" max="1303" width="21" style="33" bestFit="1" customWidth="1"/>
    <col min="1304" max="1304" width="20" style="33" bestFit="1" customWidth="1"/>
    <col min="1305" max="1305" width="19.28515625" style="33" bestFit="1" customWidth="1"/>
    <col min="1306" max="1306" width="16.28515625" style="33" bestFit="1" customWidth="1"/>
    <col min="1307" max="1307" width="15.28515625" style="33" bestFit="1" customWidth="1"/>
    <col min="1308" max="1547" width="9.140625" style="33"/>
    <col min="1548" max="1548" width="3.85546875" style="33" bestFit="1" customWidth="1"/>
    <col min="1549" max="1549" width="44.5703125" style="33" bestFit="1" customWidth="1"/>
    <col min="1550" max="1550" width="28.7109375" style="33" bestFit="1" customWidth="1"/>
    <col min="1551" max="1551" width="16.85546875" style="33" customWidth="1"/>
    <col min="1552" max="1552" width="8.7109375" style="33" customWidth="1"/>
    <col min="1553" max="1553" width="24" style="33" bestFit="1" customWidth="1"/>
    <col min="1554" max="1554" width="21.42578125" style="33" bestFit="1" customWidth="1"/>
    <col min="1555" max="1555" width="24.7109375" style="33" customWidth="1"/>
    <col min="1556" max="1556" width="20.7109375" style="33" customWidth="1"/>
    <col min="1557" max="1557" width="25.5703125" style="33" bestFit="1" customWidth="1"/>
    <col min="1558" max="1558" width="25.28515625" style="33" customWidth="1"/>
    <col min="1559" max="1559" width="21" style="33" bestFit="1" customWidth="1"/>
    <col min="1560" max="1560" width="20" style="33" bestFit="1" customWidth="1"/>
    <col min="1561" max="1561" width="19.28515625" style="33" bestFit="1" customWidth="1"/>
    <col min="1562" max="1562" width="16.28515625" style="33" bestFit="1" customWidth="1"/>
    <col min="1563" max="1563" width="15.28515625" style="33" bestFit="1" customWidth="1"/>
    <col min="1564" max="1803" width="9.140625" style="33"/>
    <col min="1804" max="1804" width="3.85546875" style="33" bestFit="1" customWidth="1"/>
    <col min="1805" max="1805" width="44.5703125" style="33" bestFit="1" customWidth="1"/>
    <col min="1806" max="1806" width="28.7109375" style="33" bestFit="1" customWidth="1"/>
    <col min="1807" max="1807" width="16.85546875" style="33" customWidth="1"/>
    <col min="1808" max="1808" width="8.7109375" style="33" customWidth="1"/>
    <col min="1809" max="1809" width="24" style="33" bestFit="1" customWidth="1"/>
    <col min="1810" max="1810" width="21.42578125" style="33" bestFit="1" customWidth="1"/>
    <col min="1811" max="1811" width="24.7109375" style="33" customWidth="1"/>
    <col min="1812" max="1812" width="20.7109375" style="33" customWidth="1"/>
    <col min="1813" max="1813" width="25.5703125" style="33" bestFit="1" customWidth="1"/>
    <col min="1814" max="1814" width="25.28515625" style="33" customWidth="1"/>
    <col min="1815" max="1815" width="21" style="33" bestFit="1" customWidth="1"/>
    <col min="1816" max="1816" width="20" style="33" bestFit="1" customWidth="1"/>
    <col min="1817" max="1817" width="19.28515625" style="33" bestFit="1" customWidth="1"/>
    <col min="1818" max="1818" width="16.28515625" style="33" bestFit="1" customWidth="1"/>
    <col min="1819" max="1819" width="15.28515625" style="33" bestFit="1" customWidth="1"/>
    <col min="1820" max="2059" width="9.140625" style="33"/>
    <col min="2060" max="2060" width="3.85546875" style="33" bestFit="1" customWidth="1"/>
    <col min="2061" max="2061" width="44.5703125" style="33" bestFit="1" customWidth="1"/>
    <col min="2062" max="2062" width="28.7109375" style="33" bestFit="1" customWidth="1"/>
    <col min="2063" max="2063" width="16.85546875" style="33" customWidth="1"/>
    <col min="2064" max="2064" width="8.7109375" style="33" customWidth="1"/>
    <col min="2065" max="2065" width="24" style="33" bestFit="1" customWidth="1"/>
    <col min="2066" max="2066" width="21.42578125" style="33" bestFit="1" customWidth="1"/>
    <col min="2067" max="2067" width="24.7109375" style="33" customWidth="1"/>
    <col min="2068" max="2068" width="20.7109375" style="33" customWidth="1"/>
    <col min="2069" max="2069" width="25.5703125" style="33" bestFit="1" customWidth="1"/>
    <col min="2070" max="2070" width="25.28515625" style="33" customWidth="1"/>
    <col min="2071" max="2071" width="21" style="33" bestFit="1" customWidth="1"/>
    <col min="2072" max="2072" width="20" style="33" bestFit="1" customWidth="1"/>
    <col min="2073" max="2073" width="19.28515625" style="33" bestFit="1" customWidth="1"/>
    <col min="2074" max="2074" width="16.28515625" style="33" bestFit="1" customWidth="1"/>
    <col min="2075" max="2075" width="15.28515625" style="33" bestFit="1" customWidth="1"/>
    <col min="2076" max="2315" width="9.140625" style="33"/>
    <col min="2316" max="2316" width="3.85546875" style="33" bestFit="1" customWidth="1"/>
    <col min="2317" max="2317" width="44.5703125" style="33" bestFit="1" customWidth="1"/>
    <col min="2318" max="2318" width="28.7109375" style="33" bestFit="1" customWidth="1"/>
    <col min="2319" max="2319" width="16.85546875" style="33" customWidth="1"/>
    <col min="2320" max="2320" width="8.7109375" style="33" customWidth="1"/>
    <col min="2321" max="2321" width="24" style="33" bestFit="1" customWidth="1"/>
    <col min="2322" max="2322" width="21.42578125" style="33" bestFit="1" customWidth="1"/>
    <col min="2323" max="2323" width="24.7109375" style="33" customWidth="1"/>
    <col min="2324" max="2324" width="20.7109375" style="33" customWidth="1"/>
    <col min="2325" max="2325" width="25.5703125" style="33" bestFit="1" customWidth="1"/>
    <col min="2326" max="2326" width="25.28515625" style="33" customWidth="1"/>
    <col min="2327" max="2327" width="21" style="33" bestFit="1" customWidth="1"/>
    <col min="2328" max="2328" width="20" style="33" bestFit="1" customWidth="1"/>
    <col min="2329" max="2329" width="19.28515625" style="33" bestFit="1" customWidth="1"/>
    <col min="2330" max="2330" width="16.28515625" style="33" bestFit="1" customWidth="1"/>
    <col min="2331" max="2331" width="15.28515625" style="33" bestFit="1" customWidth="1"/>
    <col min="2332" max="2571" width="9.140625" style="33"/>
    <col min="2572" max="2572" width="3.85546875" style="33" bestFit="1" customWidth="1"/>
    <col min="2573" max="2573" width="44.5703125" style="33" bestFit="1" customWidth="1"/>
    <col min="2574" max="2574" width="28.7109375" style="33" bestFit="1" customWidth="1"/>
    <col min="2575" max="2575" width="16.85546875" style="33" customWidth="1"/>
    <col min="2576" max="2576" width="8.7109375" style="33" customWidth="1"/>
    <col min="2577" max="2577" width="24" style="33" bestFit="1" customWidth="1"/>
    <col min="2578" max="2578" width="21.42578125" style="33" bestFit="1" customWidth="1"/>
    <col min="2579" max="2579" width="24.7109375" style="33" customWidth="1"/>
    <col min="2580" max="2580" width="20.7109375" style="33" customWidth="1"/>
    <col min="2581" max="2581" width="25.5703125" style="33" bestFit="1" customWidth="1"/>
    <col min="2582" max="2582" width="25.28515625" style="33" customWidth="1"/>
    <col min="2583" max="2583" width="21" style="33" bestFit="1" customWidth="1"/>
    <col min="2584" max="2584" width="20" style="33" bestFit="1" customWidth="1"/>
    <col min="2585" max="2585" width="19.28515625" style="33" bestFit="1" customWidth="1"/>
    <col min="2586" max="2586" width="16.28515625" style="33" bestFit="1" customWidth="1"/>
    <col min="2587" max="2587" width="15.28515625" style="33" bestFit="1" customWidth="1"/>
    <col min="2588" max="2827" width="9.140625" style="33"/>
    <col min="2828" max="2828" width="3.85546875" style="33" bestFit="1" customWidth="1"/>
    <col min="2829" max="2829" width="44.5703125" style="33" bestFit="1" customWidth="1"/>
    <col min="2830" max="2830" width="28.7109375" style="33" bestFit="1" customWidth="1"/>
    <col min="2831" max="2831" width="16.85546875" style="33" customWidth="1"/>
    <col min="2832" max="2832" width="8.7109375" style="33" customWidth="1"/>
    <col min="2833" max="2833" width="24" style="33" bestFit="1" customWidth="1"/>
    <col min="2834" max="2834" width="21.42578125" style="33" bestFit="1" customWidth="1"/>
    <col min="2835" max="2835" width="24.7109375" style="33" customWidth="1"/>
    <col min="2836" max="2836" width="20.7109375" style="33" customWidth="1"/>
    <col min="2837" max="2837" width="25.5703125" style="33" bestFit="1" customWidth="1"/>
    <col min="2838" max="2838" width="25.28515625" style="33" customWidth="1"/>
    <col min="2839" max="2839" width="21" style="33" bestFit="1" customWidth="1"/>
    <col min="2840" max="2840" width="20" style="33" bestFit="1" customWidth="1"/>
    <col min="2841" max="2841" width="19.28515625" style="33" bestFit="1" customWidth="1"/>
    <col min="2842" max="2842" width="16.28515625" style="33" bestFit="1" customWidth="1"/>
    <col min="2843" max="2843" width="15.28515625" style="33" bestFit="1" customWidth="1"/>
    <col min="2844" max="3083" width="9.140625" style="33"/>
    <col min="3084" max="3084" width="3.85546875" style="33" bestFit="1" customWidth="1"/>
    <col min="3085" max="3085" width="44.5703125" style="33" bestFit="1" customWidth="1"/>
    <col min="3086" max="3086" width="28.7109375" style="33" bestFit="1" customWidth="1"/>
    <col min="3087" max="3087" width="16.85546875" style="33" customWidth="1"/>
    <col min="3088" max="3088" width="8.7109375" style="33" customWidth="1"/>
    <col min="3089" max="3089" width="24" style="33" bestFit="1" customWidth="1"/>
    <col min="3090" max="3090" width="21.42578125" style="33" bestFit="1" customWidth="1"/>
    <col min="3091" max="3091" width="24.7109375" style="33" customWidth="1"/>
    <col min="3092" max="3092" width="20.7109375" style="33" customWidth="1"/>
    <col min="3093" max="3093" width="25.5703125" style="33" bestFit="1" customWidth="1"/>
    <col min="3094" max="3094" width="25.28515625" style="33" customWidth="1"/>
    <col min="3095" max="3095" width="21" style="33" bestFit="1" customWidth="1"/>
    <col min="3096" max="3096" width="20" style="33" bestFit="1" customWidth="1"/>
    <col min="3097" max="3097" width="19.28515625" style="33" bestFit="1" customWidth="1"/>
    <col min="3098" max="3098" width="16.28515625" style="33" bestFit="1" customWidth="1"/>
    <col min="3099" max="3099" width="15.28515625" style="33" bestFit="1" customWidth="1"/>
    <col min="3100" max="3339" width="9.140625" style="33"/>
    <col min="3340" max="3340" width="3.85546875" style="33" bestFit="1" customWidth="1"/>
    <col min="3341" max="3341" width="44.5703125" style="33" bestFit="1" customWidth="1"/>
    <col min="3342" max="3342" width="28.7109375" style="33" bestFit="1" customWidth="1"/>
    <col min="3343" max="3343" width="16.85546875" style="33" customWidth="1"/>
    <col min="3344" max="3344" width="8.7109375" style="33" customWidth="1"/>
    <col min="3345" max="3345" width="24" style="33" bestFit="1" customWidth="1"/>
    <col min="3346" max="3346" width="21.42578125" style="33" bestFit="1" customWidth="1"/>
    <col min="3347" max="3347" width="24.7109375" style="33" customWidth="1"/>
    <col min="3348" max="3348" width="20.7109375" style="33" customWidth="1"/>
    <col min="3349" max="3349" width="25.5703125" style="33" bestFit="1" customWidth="1"/>
    <col min="3350" max="3350" width="25.28515625" style="33" customWidth="1"/>
    <col min="3351" max="3351" width="21" style="33" bestFit="1" customWidth="1"/>
    <col min="3352" max="3352" width="20" style="33" bestFit="1" customWidth="1"/>
    <col min="3353" max="3353" width="19.28515625" style="33" bestFit="1" customWidth="1"/>
    <col min="3354" max="3354" width="16.28515625" style="33" bestFit="1" customWidth="1"/>
    <col min="3355" max="3355" width="15.28515625" style="33" bestFit="1" customWidth="1"/>
    <col min="3356" max="3595" width="9.140625" style="33"/>
    <col min="3596" max="3596" width="3.85546875" style="33" bestFit="1" customWidth="1"/>
    <col min="3597" max="3597" width="44.5703125" style="33" bestFit="1" customWidth="1"/>
    <col min="3598" max="3598" width="28.7109375" style="33" bestFit="1" customWidth="1"/>
    <col min="3599" max="3599" width="16.85546875" style="33" customWidth="1"/>
    <col min="3600" max="3600" width="8.7109375" style="33" customWidth="1"/>
    <col min="3601" max="3601" width="24" style="33" bestFit="1" customWidth="1"/>
    <col min="3602" max="3602" width="21.42578125" style="33" bestFit="1" customWidth="1"/>
    <col min="3603" max="3603" width="24.7109375" style="33" customWidth="1"/>
    <col min="3604" max="3604" width="20.7109375" style="33" customWidth="1"/>
    <col min="3605" max="3605" width="25.5703125" style="33" bestFit="1" customWidth="1"/>
    <col min="3606" max="3606" width="25.28515625" style="33" customWidth="1"/>
    <col min="3607" max="3607" width="21" style="33" bestFit="1" customWidth="1"/>
    <col min="3608" max="3608" width="20" style="33" bestFit="1" customWidth="1"/>
    <col min="3609" max="3609" width="19.28515625" style="33" bestFit="1" customWidth="1"/>
    <col min="3610" max="3610" width="16.28515625" style="33" bestFit="1" customWidth="1"/>
    <col min="3611" max="3611" width="15.28515625" style="33" bestFit="1" customWidth="1"/>
    <col min="3612" max="3851" width="9.140625" style="33"/>
    <col min="3852" max="3852" width="3.85546875" style="33" bestFit="1" customWidth="1"/>
    <col min="3853" max="3853" width="44.5703125" style="33" bestFit="1" customWidth="1"/>
    <col min="3854" max="3854" width="28.7109375" style="33" bestFit="1" customWidth="1"/>
    <col min="3855" max="3855" width="16.85546875" style="33" customWidth="1"/>
    <col min="3856" max="3856" width="8.7109375" style="33" customWidth="1"/>
    <col min="3857" max="3857" width="24" style="33" bestFit="1" customWidth="1"/>
    <col min="3858" max="3858" width="21.42578125" style="33" bestFit="1" customWidth="1"/>
    <col min="3859" max="3859" width="24.7109375" style="33" customWidth="1"/>
    <col min="3860" max="3860" width="20.7109375" style="33" customWidth="1"/>
    <col min="3861" max="3861" width="25.5703125" style="33" bestFit="1" customWidth="1"/>
    <col min="3862" max="3862" width="25.28515625" style="33" customWidth="1"/>
    <col min="3863" max="3863" width="21" style="33" bestFit="1" customWidth="1"/>
    <col min="3864" max="3864" width="20" style="33" bestFit="1" customWidth="1"/>
    <col min="3865" max="3865" width="19.28515625" style="33" bestFit="1" customWidth="1"/>
    <col min="3866" max="3866" width="16.28515625" style="33" bestFit="1" customWidth="1"/>
    <col min="3867" max="3867" width="15.28515625" style="33" bestFit="1" customWidth="1"/>
    <col min="3868" max="4107" width="9.140625" style="33"/>
    <col min="4108" max="4108" width="3.85546875" style="33" bestFit="1" customWidth="1"/>
    <col min="4109" max="4109" width="44.5703125" style="33" bestFit="1" customWidth="1"/>
    <col min="4110" max="4110" width="28.7109375" style="33" bestFit="1" customWidth="1"/>
    <col min="4111" max="4111" width="16.85546875" style="33" customWidth="1"/>
    <col min="4112" max="4112" width="8.7109375" style="33" customWidth="1"/>
    <col min="4113" max="4113" width="24" style="33" bestFit="1" customWidth="1"/>
    <col min="4114" max="4114" width="21.42578125" style="33" bestFit="1" customWidth="1"/>
    <col min="4115" max="4115" width="24.7109375" style="33" customWidth="1"/>
    <col min="4116" max="4116" width="20.7109375" style="33" customWidth="1"/>
    <col min="4117" max="4117" width="25.5703125" style="33" bestFit="1" customWidth="1"/>
    <col min="4118" max="4118" width="25.28515625" style="33" customWidth="1"/>
    <col min="4119" max="4119" width="21" style="33" bestFit="1" customWidth="1"/>
    <col min="4120" max="4120" width="20" style="33" bestFit="1" customWidth="1"/>
    <col min="4121" max="4121" width="19.28515625" style="33" bestFit="1" customWidth="1"/>
    <col min="4122" max="4122" width="16.28515625" style="33" bestFit="1" customWidth="1"/>
    <col min="4123" max="4123" width="15.28515625" style="33" bestFit="1" customWidth="1"/>
    <col min="4124" max="4363" width="9.140625" style="33"/>
    <col min="4364" max="4364" width="3.85546875" style="33" bestFit="1" customWidth="1"/>
    <col min="4365" max="4365" width="44.5703125" style="33" bestFit="1" customWidth="1"/>
    <col min="4366" max="4366" width="28.7109375" style="33" bestFit="1" customWidth="1"/>
    <col min="4367" max="4367" width="16.85546875" style="33" customWidth="1"/>
    <col min="4368" max="4368" width="8.7109375" style="33" customWidth="1"/>
    <col min="4369" max="4369" width="24" style="33" bestFit="1" customWidth="1"/>
    <col min="4370" max="4370" width="21.42578125" style="33" bestFit="1" customWidth="1"/>
    <col min="4371" max="4371" width="24.7109375" style="33" customWidth="1"/>
    <col min="4372" max="4372" width="20.7109375" style="33" customWidth="1"/>
    <col min="4373" max="4373" width="25.5703125" style="33" bestFit="1" customWidth="1"/>
    <col min="4374" max="4374" width="25.28515625" style="33" customWidth="1"/>
    <col min="4375" max="4375" width="21" style="33" bestFit="1" customWidth="1"/>
    <col min="4376" max="4376" width="20" style="33" bestFit="1" customWidth="1"/>
    <col min="4377" max="4377" width="19.28515625" style="33" bestFit="1" customWidth="1"/>
    <col min="4378" max="4378" width="16.28515625" style="33" bestFit="1" customWidth="1"/>
    <col min="4379" max="4379" width="15.28515625" style="33" bestFit="1" customWidth="1"/>
    <col min="4380" max="4619" width="9.140625" style="33"/>
    <col min="4620" max="4620" width="3.85546875" style="33" bestFit="1" customWidth="1"/>
    <col min="4621" max="4621" width="44.5703125" style="33" bestFit="1" customWidth="1"/>
    <col min="4622" max="4622" width="28.7109375" style="33" bestFit="1" customWidth="1"/>
    <col min="4623" max="4623" width="16.85546875" style="33" customWidth="1"/>
    <col min="4624" max="4624" width="8.7109375" style="33" customWidth="1"/>
    <col min="4625" max="4625" width="24" style="33" bestFit="1" customWidth="1"/>
    <col min="4626" max="4626" width="21.42578125" style="33" bestFit="1" customWidth="1"/>
    <col min="4627" max="4627" width="24.7109375" style="33" customWidth="1"/>
    <col min="4628" max="4628" width="20.7109375" style="33" customWidth="1"/>
    <col min="4629" max="4629" width="25.5703125" style="33" bestFit="1" customWidth="1"/>
    <col min="4630" max="4630" width="25.28515625" style="33" customWidth="1"/>
    <col min="4631" max="4631" width="21" style="33" bestFit="1" customWidth="1"/>
    <col min="4632" max="4632" width="20" style="33" bestFit="1" customWidth="1"/>
    <col min="4633" max="4633" width="19.28515625" style="33" bestFit="1" customWidth="1"/>
    <col min="4634" max="4634" width="16.28515625" style="33" bestFit="1" customWidth="1"/>
    <col min="4635" max="4635" width="15.28515625" style="33" bestFit="1" customWidth="1"/>
    <col min="4636" max="4875" width="9.140625" style="33"/>
    <col min="4876" max="4876" width="3.85546875" style="33" bestFit="1" customWidth="1"/>
    <col min="4877" max="4877" width="44.5703125" style="33" bestFit="1" customWidth="1"/>
    <col min="4878" max="4878" width="28.7109375" style="33" bestFit="1" customWidth="1"/>
    <col min="4879" max="4879" width="16.85546875" style="33" customWidth="1"/>
    <col min="4880" max="4880" width="8.7109375" style="33" customWidth="1"/>
    <col min="4881" max="4881" width="24" style="33" bestFit="1" customWidth="1"/>
    <col min="4882" max="4882" width="21.42578125" style="33" bestFit="1" customWidth="1"/>
    <col min="4883" max="4883" width="24.7109375" style="33" customWidth="1"/>
    <col min="4884" max="4884" width="20.7109375" style="33" customWidth="1"/>
    <col min="4885" max="4885" width="25.5703125" style="33" bestFit="1" customWidth="1"/>
    <col min="4886" max="4886" width="25.28515625" style="33" customWidth="1"/>
    <col min="4887" max="4887" width="21" style="33" bestFit="1" customWidth="1"/>
    <col min="4888" max="4888" width="20" style="33" bestFit="1" customWidth="1"/>
    <col min="4889" max="4889" width="19.28515625" style="33" bestFit="1" customWidth="1"/>
    <col min="4890" max="4890" width="16.28515625" style="33" bestFit="1" customWidth="1"/>
    <col min="4891" max="4891" width="15.28515625" style="33" bestFit="1" customWidth="1"/>
    <col min="4892" max="5131" width="9.140625" style="33"/>
    <col min="5132" max="5132" width="3.85546875" style="33" bestFit="1" customWidth="1"/>
    <col min="5133" max="5133" width="44.5703125" style="33" bestFit="1" customWidth="1"/>
    <col min="5134" max="5134" width="28.7109375" style="33" bestFit="1" customWidth="1"/>
    <col min="5135" max="5135" width="16.85546875" style="33" customWidth="1"/>
    <col min="5136" max="5136" width="8.7109375" style="33" customWidth="1"/>
    <col min="5137" max="5137" width="24" style="33" bestFit="1" customWidth="1"/>
    <col min="5138" max="5138" width="21.42578125" style="33" bestFit="1" customWidth="1"/>
    <col min="5139" max="5139" width="24.7109375" style="33" customWidth="1"/>
    <col min="5140" max="5140" width="20.7109375" style="33" customWidth="1"/>
    <col min="5141" max="5141" width="25.5703125" style="33" bestFit="1" customWidth="1"/>
    <col min="5142" max="5142" width="25.28515625" style="33" customWidth="1"/>
    <col min="5143" max="5143" width="21" style="33" bestFit="1" customWidth="1"/>
    <col min="5144" max="5144" width="20" style="33" bestFit="1" customWidth="1"/>
    <col min="5145" max="5145" width="19.28515625" style="33" bestFit="1" customWidth="1"/>
    <col min="5146" max="5146" width="16.28515625" style="33" bestFit="1" customWidth="1"/>
    <col min="5147" max="5147" width="15.28515625" style="33" bestFit="1" customWidth="1"/>
    <col min="5148" max="5387" width="9.140625" style="33"/>
    <col min="5388" max="5388" width="3.85546875" style="33" bestFit="1" customWidth="1"/>
    <col min="5389" max="5389" width="44.5703125" style="33" bestFit="1" customWidth="1"/>
    <col min="5390" max="5390" width="28.7109375" style="33" bestFit="1" customWidth="1"/>
    <col min="5391" max="5391" width="16.85546875" style="33" customWidth="1"/>
    <col min="5392" max="5392" width="8.7109375" style="33" customWidth="1"/>
    <col min="5393" max="5393" width="24" style="33" bestFit="1" customWidth="1"/>
    <col min="5394" max="5394" width="21.42578125" style="33" bestFit="1" customWidth="1"/>
    <col min="5395" max="5395" width="24.7109375" style="33" customWidth="1"/>
    <col min="5396" max="5396" width="20.7109375" style="33" customWidth="1"/>
    <col min="5397" max="5397" width="25.5703125" style="33" bestFit="1" customWidth="1"/>
    <col min="5398" max="5398" width="25.28515625" style="33" customWidth="1"/>
    <col min="5399" max="5399" width="21" style="33" bestFit="1" customWidth="1"/>
    <col min="5400" max="5400" width="20" style="33" bestFit="1" customWidth="1"/>
    <col min="5401" max="5401" width="19.28515625" style="33" bestFit="1" customWidth="1"/>
    <col min="5402" max="5402" width="16.28515625" style="33" bestFit="1" customWidth="1"/>
    <col min="5403" max="5403" width="15.28515625" style="33" bestFit="1" customWidth="1"/>
    <col min="5404" max="5643" width="9.140625" style="33"/>
    <col min="5644" max="5644" width="3.85546875" style="33" bestFit="1" customWidth="1"/>
    <col min="5645" max="5645" width="44.5703125" style="33" bestFit="1" customWidth="1"/>
    <col min="5646" max="5646" width="28.7109375" style="33" bestFit="1" customWidth="1"/>
    <col min="5647" max="5647" width="16.85546875" style="33" customWidth="1"/>
    <col min="5648" max="5648" width="8.7109375" style="33" customWidth="1"/>
    <col min="5649" max="5649" width="24" style="33" bestFit="1" customWidth="1"/>
    <col min="5650" max="5650" width="21.42578125" style="33" bestFit="1" customWidth="1"/>
    <col min="5651" max="5651" width="24.7109375" style="33" customWidth="1"/>
    <col min="5652" max="5652" width="20.7109375" style="33" customWidth="1"/>
    <col min="5653" max="5653" width="25.5703125" style="33" bestFit="1" customWidth="1"/>
    <col min="5654" max="5654" width="25.28515625" style="33" customWidth="1"/>
    <col min="5655" max="5655" width="21" style="33" bestFit="1" customWidth="1"/>
    <col min="5656" max="5656" width="20" style="33" bestFit="1" customWidth="1"/>
    <col min="5657" max="5657" width="19.28515625" style="33" bestFit="1" customWidth="1"/>
    <col min="5658" max="5658" width="16.28515625" style="33" bestFit="1" customWidth="1"/>
    <col min="5659" max="5659" width="15.28515625" style="33" bestFit="1" customWidth="1"/>
    <col min="5660" max="5899" width="9.140625" style="33"/>
    <col min="5900" max="5900" width="3.85546875" style="33" bestFit="1" customWidth="1"/>
    <col min="5901" max="5901" width="44.5703125" style="33" bestFit="1" customWidth="1"/>
    <col min="5902" max="5902" width="28.7109375" style="33" bestFit="1" customWidth="1"/>
    <col min="5903" max="5903" width="16.85546875" style="33" customWidth="1"/>
    <col min="5904" max="5904" width="8.7109375" style="33" customWidth="1"/>
    <col min="5905" max="5905" width="24" style="33" bestFit="1" customWidth="1"/>
    <col min="5906" max="5906" width="21.42578125" style="33" bestFit="1" customWidth="1"/>
    <col min="5907" max="5907" width="24.7109375" style="33" customWidth="1"/>
    <col min="5908" max="5908" width="20.7109375" style="33" customWidth="1"/>
    <col min="5909" max="5909" width="25.5703125" style="33" bestFit="1" customWidth="1"/>
    <col min="5910" max="5910" width="25.28515625" style="33" customWidth="1"/>
    <col min="5911" max="5911" width="21" style="33" bestFit="1" customWidth="1"/>
    <col min="5912" max="5912" width="20" style="33" bestFit="1" customWidth="1"/>
    <col min="5913" max="5913" width="19.28515625" style="33" bestFit="1" customWidth="1"/>
    <col min="5914" max="5914" width="16.28515625" style="33" bestFit="1" customWidth="1"/>
    <col min="5915" max="5915" width="15.28515625" style="33" bestFit="1" customWidth="1"/>
    <col min="5916" max="6155" width="9.140625" style="33"/>
    <col min="6156" max="6156" width="3.85546875" style="33" bestFit="1" customWidth="1"/>
    <col min="6157" max="6157" width="44.5703125" style="33" bestFit="1" customWidth="1"/>
    <col min="6158" max="6158" width="28.7109375" style="33" bestFit="1" customWidth="1"/>
    <col min="6159" max="6159" width="16.85546875" style="33" customWidth="1"/>
    <col min="6160" max="6160" width="8.7109375" style="33" customWidth="1"/>
    <col min="6161" max="6161" width="24" style="33" bestFit="1" customWidth="1"/>
    <col min="6162" max="6162" width="21.42578125" style="33" bestFit="1" customWidth="1"/>
    <col min="6163" max="6163" width="24.7109375" style="33" customWidth="1"/>
    <col min="6164" max="6164" width="20.7109375" style="33" customWidth="1"/>
    <col min="6165" max="6165" width="25.5703125" style="33" bestFit="1" customWidth="1"/>
    <col min="6166" max="6166" width="25.28515625" style="33" customWidth="1"/>
    <col min="6167" max="6167" width="21" style="33" bestFit="1" customWidth="1"/>
    <col min="6168" max="6168" width="20" style="33" bestFit="1" customWidth="1"/>
    <col min="6169" max="6169" width="19.28515625" style="33" bestFit="1" customWidth="1"/>
    <col min="6170" max="6170" width="16.28515625" style="33" bestFit="1" customWidth="1"/>
    <col min="6171" max="6171" width="15.28515625" style="33" bestFit="1" customWidth="1"/>
    <col min="6172" max="6411" width="9.140625" style="33"/>
    <col min="6412" max="6412" width="3.85546875" style="33" bestFit="1" customWidth="1"/>
    <col min="6413" max="6413" width="44.5703125" style="33" bestFit="1" customWidth="1"/>
    <col min="6414" max="6414" width="28.7109375" style="33" bestFit="1" customWidth="1"/>
    <col min="6415" max="6415" width="16.85546875" style="33" customWidth="1"/>
    <col min="6416" max="6416" width="8.7109375" style="33" customWidth="1"/>
    <col min="6417" max="6417" width="24" style="33" bestFit="1" customWidth="1"/>
    <col min="6418" max="6418" width="21.42578125" style="33" bestFit="1" customWidth="1"/>
    <col min="6419" max="6419" width="24.7109375" style="33" customWidth="1"/>
    <col min="6420" max="6420" width="20.7109375" style="33" customWidth="1"/>
    <col min="6421" max="6421" width="25.5703125" style="33" bestFit="1" customWidth="1"/>
    <col min="6422" max="6422" width="25.28515625" style="33" customWidth="1"/>
    <col min="6423" max="6423" width="21" style="33" bestFit="1" customWidth="1"/>
    <col min="6424" max="6424" width="20" style="33" bestFit="1" customWidth="1"/>
    <col min="6425" max="6425" width="19.28515625" style="33" bestFit="1" customWidth="1"/>
    <col min="6426" max="6426" width="16.28515625" style="33" bestFit="1" customWidth="1"/>
    <col min="6427" max="6427" width="15.28515625" style="33" bestFit="1" customWidth="1"/>
    <col min="6428" max="6667" width="9.140625" style="33"/>
    <col min="6668" max="6668" width="3.85546875" style="33" bestFit="1" customWidth="1"/>
    <col min="6669" max="6669" width="44.5703125" style="33" bestFit="1" customWidth="1"/>
    <col min="6670" max="6670" width="28.7109375" style="33" bestFit="1" customWidth="1"/>
    <col min="6671" max="6671" width="16.85546875" style="33" customWidth="1"/>
    <col min="6672" max="6672" width="8.7109375" style="33" customWidth="1"/>
    <col min="6673" max="6673" width="24" style="33" bestFit="1" customWidth="1"/>
    <col min="6674" max="6674" width="21.42578125" style="33" bestFit="1" customWidth="1"/>
    <col min="6675" max="6675" width="24.7109375" style="33" customWidth="1"/>
    <col min="6676" max="6676" width="20.7109375" style="33" customWidth="1"/>
    <col min="6677" max="6677" width="25.5703125" style="33" bestFit="1" customWidth="1"/>
    <col min="6678" max="6678" width="25.28515625" style="33" customWidth="1"/>
    <col min="6679" max="6679" width="21" style="33" bestFit="1" customWidth="1"/>
    <col min="6680" max="6680" width="20" style="33" bestFit="1" customWidth="1"/>
    <col min="6681" max="6681" width="19.28515625" style="33" bestFit="1" customWidth="1"/>
    <col min="6682" max="6682" width="16.28515625" style="33" bestFit="1" customWidth="1"/>
    <col min="6683" max="6683" width="15.28515625" style="33" bestFit="1" customWidth="1"/>
    <col min="6684" max="6923" width="9.140625" style="33"/>
    <col min="6924" max="6924" width="3.85546875" style="33" bestFit="1" customWidth="1"/>
    <col min="6925" max="6925" width="44.5703125" style="33" bestFit="1" customWidth="1"/>
    <col min="6926" max="6926" width="28.7109375" style="33" bestFit="1" customWidth="1"/>
    <col min="6927" max="6927" width="16.85546875" style="33" customWidth="1"/>
    <col min="6928" max="6928" width="8.7109375" style="33" customWidth="1"/>
    <col min="6929" max="6929" width="24" style="33" bestFit="1" customWidth="1"/>
    <col min="6930" max="6930" width="21.42578125" style="33" bestFit="1" customWidth="1"/>
    <col min="6931" max="6931" width="24.7109375" style="33" customWidth="1"/>
    <col min="6932" max="6932" width="20.7109375" style="33" customWidth="1"/>
    <col min="6933" max="6933" width="25.5703125" style="33" bestFit="1" customWidth="1"/>
    <col min="6934" max="6934" width="25.28515625" style="33" customWidth="1"/>
    <col min="6935" max="6935" width="21" style="33" bestFit="1" customWidth="1"/>
    <col min="6936" max="6936" width="20" style="33" bestFit="1" customWidth="1"/>
    <col min="6937" max="6937" width="19.28515625" style="33" bestFit="1" customWidth="1"/>
    <col min="6938" max="6938" width="16.28515625" style="33" bestFit="1" customWidth="1"/>
    <col min="6939" max="6939" width="15.28515625" style="33" bestFit="1" customWidth="1"/>
    <col min="6940" max="7179" width="9.140625" style="33"/>
    <col min="7180" max="7180" width="3.85546875" style="33" bestFit="1" customWidth="1"/>
    <col min="7181" max="7181" width="44.5703125" style="33" bestFit="1" customWidth="1"/>
    <col min="7182" max="7182" width="28.7109375" style="33" bestFit="1" customWidth="1"/>
    <col min="7183" max="7183" width="16.85546875" style="33" customWidth="1"/>
    <col min="7184" max="7184" width="8.7109375" style="33" customWidth="1"/>
    <col min="7185" max="7185" width="24" style="33" bestFit="1" customWidth="1"/>
    <col min="7186" max="7186" width="21.42578125" style="33" bestFit="1" customWidth="1"/>
    <col min="7187" max="7187" width="24.7109375" style="33" customWidth="1"/>
    <col min="7188" max="7188" width="20.7109375" style="33" customWidth="1"/>
    <col min="7189" max="7189" width="25.5703125" style="33" bestFit="1" customWidth="1"/>
    <col min="7190" max="7190" width="25.28515625" style="33" customWidth="1"/>
    <col min="7191" max="7191" width="21" style="33" bestFit="1" customWidth="1"/>
    <col min="7192" max="7192" width="20" style="33" bestFit="1" customWidth="1"/>
    <col min="7193" max="7193" width="19.28515625" style="33" bestFit="1" customWidth="1"/>
    <col min="7194" max="7194" width="16.28515625" style="33" bestFit="1" customWidth="1"/>
    <col min="7195" max="7195" width="15.28515625" style="33" bestFit="1" customWidth="1"/>
    <col min="7196" max="7435" width="9.140625" style="33"/>
    <col min="7436" max="7436" width="3.85546875" style="33" bestFit="1" customWidth="1"/>
    <col min="7437" max="7437" width="44.5703125" style="33" bestFit="1" customWidth="1"/>
    <col min="7438" max="7438" width="28.7109375" style="33" bestFit="1" customWidth="1"/>
    <col min="7439" max="7439" width="16.85546875" style="33" customWidth="1"/>
    <col min="7440" max="7440" width="8.7109375" style="33" customWidth="1"/>
    <col min="7441" max="7441" width="24" style="33" bestFit="1" customWidth="1"/>
    <col min="7442" max="7442" width="21.42578125" style="33" bestFit="1" customWidth="1"/>
    <col min="7443" max="7443" width="24.7109375" style="33" customWidth="1"/>
    <col min="7444" max="7444" width="20.7109375" style="33" customWidth="1"/>
    <col min="7445" max="7445" width="25.5703125" style="33" bestFit="1" customWidth="1"/>
    <col min="7446" max="7446" width="25.28515625" style="33" customWidth="1"/>
    <col min="7447" max="7447" width="21" style="33" bestFit="1" customWidth="1"/>
    <col min="7448" max="7448" width="20" style="33" bestFit="1" customWidth="1"/>
    <col min="7449" max="7449" width="19.28515625" style="33" bestFit="1" customWidth="1"/>
    <col min="7450" max="7450" width="16.28515625" style="33" bestFit="1" customWidth="1"/>
    <col min="7451" max="7451" width="15.28515625" style="33" bestFit="1" customWidth="1"/>
    <col min="7452" max="7691" width="9.140625" style="33"/>
    <col min="7692" max="7692" width="3.85546875" style="33" bestFit="1" customWidth="1"/>
    <col min="7693" max="7693" width="44.5703125" style="33" bestFit="1" customWidth="1"/>
    <col min="7694" max="7694" width="28.7109375" style="33" bestFit="1" customWidth="1"/>
    <col min="7695" max="7695" width="16.85546875" style="33" customWidth="1"/>
    <col min="7696" max="7696" width="8.7109375" style="33" customWidth="1"/>
    <col min="7697" max="7697" width="24" style="33" bestFit="1" customWidth="1"/>
    <col min="7698" max="7698" width="21.42578125" style="33" bestFit="1" customWidth="1"/>
    <col min="7699" max="7699" width="24.7109375" style="33" customWidth="1"/>
    <col min="7700" max="7700" width="20.7109375" style="33" customWidth="1"/>
    <col min="7701" max="7701" width="25.5703125" style="33" bestFit="1" customWidth="1"/>
    <col min="7702" max="7702" width="25.28515625" style="33" customWidth="1"/>
    <col min="7703" max="7703" width="21" style="33" bestFit="1" customWidth="1"/>
    <col min="7704" max="7704" width="20" style="33" bestFit="1" customWidth="1"/>
    <col min="7705" max="7705" width="19.28515625" style="33" bestFit="1" customWidth="1"/>
    <col min="7706" max="7706" width="16.28515625" style="33" bestFit="1" customWidth="1"/>
    <col min="7707" max="7707" width="15.28515625" style="33" bestFit="1" customWidth="1"/>
    <col min="7708" max="7947" width="9.140625" style="33"/>
    <col min="7948" max="7948" width="3.85546875" style="33" bestFit="1" customWidth="1"/>
    <col min="7949" max="7949" width="44.5703125" style="33" bestFit="1" customWidth="1"/>
    <col min="7950" max="7950" width="28.7109375" style="33" bestFit="1" customWidth="1"/>
    <col min="7951" max="7951" width="16.85546875" style="33" customWidth="1"/>
    <col min="7952" max="7952" width="8.7109375" style="33" customWidth="1"/>
    <col min="7953" max="7953" width="24" style="33" bestFit="1" customWidth="1"/>
    <col min="7954" max="7954" width="21.42578125" style="33" bestFit="1" customWidth="1"/>
    <col min="7955" max="7955" width="24.7109375" style="33" customWidth="1"/>
    <col min="7956" max="7956" width="20.7109375" style="33" customWidth="1"/>
    <col min="7957" max="7957" width="25.5703125" style="33" bestFit="1" customWidth="1"/>
    <col min="7958" max="7958" width="25.28515625" style="33" customWidth="1"/>
    <col min="7959" max="7959" width="21" style="33" bestFit="1" customWidth="1"/>
    <col min="7960" max="7960" width="20" style="33" bestFit="1" customWidth="1"/>
    <col min="7961" max="7961" width="19.28515625" style="33" bestFit="1" customWidth="1"/>
    <col min="7962" max="7962" width="16.28515625" style="33" bestFit="1" customWidth="1"/>
    <col min="7963" max="7963" width="15.28515625" style="33" bestFit="1" customWidth="1"/>
    <col min="7964" max="8203" width="9.140625" style="33"/>
    <col min="8204" max="8204" width="3.85546875" style="33" bestFit="1" customWidth="1"/>
    <col min="8205" max="8205" width="44.5703125" style="33" bestFit="1" customWidth="1"/>
    <col min="8206" max="8206" width="28.7109375" style="33" bestFit="1" customWidth="1"/>
    <col min="8207" max="8207" width="16.85546875" style="33" customWidth="1"/>
    <col min="8208" max="8208" width="8.7109375" style="33" customWidth="1"/>
    <col min="8209" max="8209" width="24" style="33" bestFit="1" customWidth="1"/>
    <col min="8210" max="8210" width="21.42578125" style="33" bestFit="1" customWidth="1"/>
    <col min="8211" max="8211" width="24.7109375" style="33" customWidth="1"/>
    <col min="8212" max="8212" width="20.7109375" style="33" customWidth="1"/>
    <col min="8213" max="8213" width="25.5703125" style="33" bestFit="1" customWidth="1"/>
    <col min="8214" max="8214" width="25.28515625" style="33" customWidth="1"/>
    <col min="8215" max="8215" width="21" style="33" bestFit="1" customWidth="1"/>
    <col min="8216" max="8216" width="20" style="33" bestFit="1" customWidth="1"/>
    <col min="8217" max="8217" width="19.28515625" style="33" bestFit="1" customWidth="1"/>
    <col min="8218" max="8218" width="16.28515625" style="33" bestFit="1" customWidth="1"/>
    <col min="8219" max="8219" width="15.28515625" style="33" bestFit="1" customWidth="1"/>
    <col min="8220" max="8459" width="9.140625" style="33"/>
    <col min="8460" max="8460" width="3.85546875" style="33" bestFit="1" customWidth="1"/>
    <col min="8461" max="8461" width="44.5703125" style="33" bestFit="1" customWidth="1"/>
    <col min="8462" max="8462" width="28.7109375" style="33" bestFit="1" customWidth="1"/>
    <col min="8463" max="8463" width="16.85546875" style="33" customWidth="1"/>
    <col min="8464" max="8464" width="8.7109375" style="33" customWidth="1"/>
    <col min="8465" max="8465" width="24" style="33" bestFit="1" customWidth="1"/>
    <col min="8466" max="8466" width="21.42578125" style="33" bestFit="1" customWidth="1"/>
    <col min="8467" max="8467" width="24.7109375" style="33" customWidth="1"/>
    <col min="8468" max="8468" width="20.7109375" style="33" customWidth="1"/>
    <col min="8469" max="8469" width="25.5703125" style="33" bestFit="1" customWidth="1"/>
    <col min="8470" max="8470" width="25.28515625" style="33" customWidth="1"/>
    <col min="8471" max="8471" width="21" style="33" bestFit="1" customWidth="1"/>
    <col min="8472" max="8472" width="20" style="33" bestFit="1" customWidth="1"/>
    <col min="8473" max="8473" width="19.28515625" style="33" bestFit="1" customWidth="1"/>
    <col min="8474" max="8474" width="16.28515625" style="33" bestFit="1" customWidth="1"/>
    <col min="8475" max="8475" width="15.28515625" style="33" bestFit="1" customWidth="1"/>
    <col min="8476" max="8715" width="9.140625" style="33"/>
    <col min="8716" max="8716" width="3.85546875" style="33" bestFit="1" customWidth="1"/>
    <col min="8717" max="8717" width="44.5703125" style="33" bestFit="1" customWidth="1"/>
    <col min="8718" max="8718" width="28.7109375" style="33" bestFit="1" customWidth="1"/>
    <col min="8719" max="8719" width="16.85546875" style="33" customWidth="1"/>
    <col min="8720" max="8720" width="8.7109375" style="33" customWidth="1"/>
    <col min="8721" max="8721" width="24" style="33" bestFit="1" customWidth="1"/>
    <col min="8722" max="8722" width="21.42578125" style="33" bestFit="1" customWidth="1"/>
    <col min="8723" max="8723" width="24.7109375" style="33" customWidth="1"/>
    <col min="8724" max="8724" width="20.7109375" style="33" customWidth="1"/>
    <col min="8725" max="8725" width="25.5703125" style="33" bestFit="1" customWidth="1"/>
    <col min="8726" max="8726" width="25.28515625" style="33" customWidth="1"/>
    <col min="8727" max="8727" width="21" style="33" bestFit="1" customWidth="1"/>
    <col min="8728" max="8728" width="20" style="33" bestFit="1" customWidth="1"/>
    <col min="8729" max="8729" width="19.28515625" style="33" bestFit="1" customWidth="1"/>
    <col min="8730" max="8730" width="16.28515625" style="33" bestFit="1" customWidth="1"/>
    <col min="8731" max="8731" width="15.28515625" style="33" bestFit="1" customWidth="1"/>
    <col min="8732" max="8971" width="9.140625" style="33"/>
    <col min="8972" max="8972" width="3.85546875" style="33" bestFit="1" customWidth="1"/>
    <col min="8973" max="8973" width="44.5703125" style="33" bestFit="1" customWidth="1"/>
    <col min="8974" max="8974" width="28.7109375" style="33" bestFit="1" customWidth="1"/>
    <col min="8975" max="8975" width="16.85546875" style="33" customWidth="1"/>
    <col min="8976" max="8976" width="8.7109375" style="33" customWidth="1"/>
    <col min="8977" max="8977" width="24" style="33" bestFit="1" customWidth="1"/>
    <col min="8978" max="8978" width="21.42578125" style="33" bestFit="1" customWidth="1"/>
    <col min="8979" max="8979" width="24.7109375" style="33" customWidth="1"/>
    <col min="8980" max="8980" width="20.7109375" style="33" customWidth="1"/>
    <col min="8981" max="8981" width="25.5703125" style="33" bestFit="1" customWidth="1"/>
    <col min="8982" max="8982" width="25.28515625" style="33" customWidth="1"/>
    <col min="8983" max="8983" width="21" style="33" bestFit="1" customWidth="1"/>
    <col min="8984" max="8984" width="20" style="33" bestFit="1" customWidth="1"/>
    <col min="8985" max="8985" width="19.28515625" style="33" bestFit="1" customWidth="1"/>
    <col min="8986" max="8986" width="16.28515625" style="33" bestFit="1" customWidth="1"/>
    <col min="8987" max="8987" width="15.28515625" style="33" bestFit="1" customWidth="1"/>
    <col min="8988" max="9227" width="9.140625" style="33"/>
    <col min="9228" max="9228" width="3.85546875" style="33" bestFit="1" customWidth="1"/>
    <col min="9229" max="9229" width="44.5703125" style="33" bestFit="1" customWidth="1"/>
    <col min="9230" max="9230" width="28.7109375" style="33" bestFit="1" customWidth="1"/>
    <col min="9231" max="9231" width="16.85546875" style="33" customWidth="1"/>
    <col min="9232" max="9232" width="8.7109375" style="33" customWidth="1"/>
    <col min="9233" max="9233" width="24" style="33" bestFit="1" customWidth="1"/>
    <col min="9234" max="9234" width="21.42578125" style="33" bestFit="1" customWidth="1"/>
    <col min="9235" max="9235" width="24.7109375" style="33" customWidth="1"/>
    <col min="9236" max="9236" width="20.7109375" style="33" customWidth="1"/>
    <col min="9237" max="9237" width="25.5703125" style="33" bestFit="1" customWidth="1"/>
    <col min="9238" max="9238" width="25.28515625" style="33" customWidth="1"/>
    <col min="9239" max="9239" width="21" style="33" bestFit="1" customWidth="1"/>
    <col min="9240" max="9240" width="20" style="33" bestFit="1" customWidth="1"/>
    <col min="9241" max="9241" width="19.28515625" style="33" bestFit="1" customWidth="1"/>
    <col min="9242" max="9242" width="16.28515625" style="33" bestFit="1" customWidth="1"/>
    <col min="9243" max="9243" width="15.28515625" style="33" bestFit="1" customWidth="1"/>
    <col min="9244" max="9483" width="9.140625" style="33"/>
    <col min="9484" max="9484" width="3.85546875" style="33" bestFit="1" customWidth="1"/>
    <col min="9485" max="9485" width="44.5703125" style="33" bestFit="1" customWidth="1"/>
    <col min="9486" max="9486" width="28.7109375" style="33" bestFit="1" customWidth="1"/>
    <col min="9487" max="9487" width="16.85546875" style="33" customWidth="1"/>
    <col min="9488" max="9488" width="8.7109375" style="33" customWidth="1"/>
    <col min="9489" max="9489" width="24" style="33" bestFit="1" customWidth="1"/>
    <col min="9490" max="9490" width="21.42578125" style="33" bestFit="1" customWidth="1"/>
    <col min="9491" max="9491" width="24.7109375" style="33" customWidth="1"/>
    <col min="9492" max="9492" width="20.7109375" style="33" customWidth="1"/>
    <col min="9493" max="9493" width="25.5703125" style="33" bestFit="1" customWidth="1"/>
    <col min="9494" max="9494" width="25.28515625" style="33" customWidth="1"/>
    <col min="9495" max="9495" width="21" style="33" bestFit="1" customWidth="1"/>
    <col min="9496" max="9496" width="20" style="33" bestFit="1" customWidth="1"/>
    <col min="9497" max="9497" width="19.28515625" style="33" bestFit="1" customWidth="1"/>
    <col min="9498" max="9498" width="16.28515625" style="33" bestFit="1" customWidth="1"/>
    <col min="9499" max="9499" width="15.28515625" style="33" bestFit="1" customWidth="1"/>
    <col min="9500" max="9739" width="9.140625" style="33"/>
    <col min="9740" max="9740" width="3.85546875" style="33" bestFit="1" customWidth="1"/>
    <col min="9741" max="9741" width="44.5703125" style="33" bestFit="1" customWidth="1"/>
    <col min="9742" max="9742" width="28.7109375" style="33" bestFit="1" customWidth="1"/>
    <col min="9743" max="9743" width="16.85546875" style="33" customWidth="1"/>
    <col min="9744" max="9744" width="8.7109375" style="33" customWidth="1"/>
    <col min="9745" max="9745" width="24" style="33" bestFit="1" customWidth="1"/>
    <col min="9746" max="9746" width="21.42578125" style="33" bestFit="1" customWidth="1"/>
    <col min="9747" max="9747" width="24.7109375" style="33" customWidth="1"/>
    <col min="9748" max="9748" width="20.7109375" style="33" customWidth="1"/>
    <col min="9749" max="9749" width="25.5703125" style="33" bestFit="1" customWidth="1"/>
    <col min="9750" max="9750" width="25.28515625" style="33" customWidth="1"/>
    <col min="9751" max="9751" width="21" style="33" bestFit="1" customWidth="1"/>
    <col min="9752" max="9752" width="20" style="33" bestFit="1" customWidth="1"/>
    <col min="9753" max="9753" width="19.28515625" style="33" bestFit="1" customWidth="1"/>
    <col min="9754" max="9754" width="16.28515625" style="33" bestFit="1" customWidth="1"/>
    <col min="9755" max="9755" width="15.28515625" style="33" bestFit="1" customWidth="1"/>
    <col min="9756" max="9995" width="9.140625" style="33"/>
    <col min="9996" max="9996" width="3.85546875" style="33" bestFit="1" customWidth="1"/>
    <col min="9997" max="9997" width="44.5703125" style="33" bestFit="1" customWidth="1"/>
    <col min="9998" max="9998" width="28.7109375" style="33" bestFit="1" customWidth="1"/>
    <col min="9999" max="9999" width="16.85546875" style="33" customWidth="1"/>
    <col min="10000" max="10000" width="8.7109375" style="33" customWidth="1"/>
    <col min="10001" max="10001" width="24" style="33" bestFit="1" customWidth="1"/>
    <col min="10002" max="10002" width="21.42578125" style="33" bestFit="1" customWidth="1"/>
    <col min="10003" max="10003" width="24.7109375" style="33" customWidth="1"/>
    <col min="10004" max="10004" width="20.7109375" style="33" customWidth="1"/>
    <col min="10005" max="10005" width="25.5703125" style="33" bestFit="1" customWidth="1"/>
    <col min="10006" max="10006" width="25.28515625" style="33" customWidth="1"/>
    <col min="10007" max="10007" width="21" style="33" bestFit="1" customWidth="1"/>
    <col min="10008" max="10008" width="20" style="33" bestFit="1" customWidth="1"/>
    <col min="10009" max="10009" width="19.28515625" style="33" bestFit="1" customWidth="1"/>
    <col min="10010" max="10010" width="16.28515625" style="33" bestFit="1" customWidth="1"/>
    <col min="10011" max="10011" width="15.28515625" style="33" bestFit="1" customWidth="1"/>
    <col min="10012" max="10251" width="9.140625" style="33"/>
    <col min="10252" max="10252" width="3.85546875" style="33" bestFit="1" customWidth="1"/>
    <col min="10253" max="10253" width="44.5703125" style="33" bestFit="1" customWidth="1"/>
    <col min="10254" max="10254" width="28.7109375" style="33" bestFit="1" customWidth="1"/>
    <col min="10255" max="10255" width="16.85546875" style="33" customWidth="1"/>
    <col min="10256" max="10256" width="8.7109375" style="33" customWidth="1"/>
    <col min="10257" max="10257" width="24" style="33" bestFit="1" customWidth="1"/>
    <col min="10258" max="10258" width="21.42578125" style="33" bestFit="1" customWidth="1"/>
    <col min="10259" max="10259" width="24.7109375" style="33" customWidth="1"/>
    <col min="10260" max="10260" width="20.7109375" style="33" customWidth="1"/>
    <col min="10261" max="10261" width="25.5703125" style="33" bestFit="1" customWidth="1"/>
    <col min="10262" max="10262" width="25.28515625" style="33" customWidth="1"/>
    <col min="10263" max="10263" width="21" style="33" bestFit="1" customWidth="1"/>
    <col min="10264" max="10264" width="20" style="33" bestFit="1" customWidth="1"/>
    <col min="10265" max="10265" width="19.28515625" style="33" bestFit="1" customWidth="1"/>
    <col min="10266" max="10266" width="16.28515625" style="33" bestFit="1" customWidth="1"/>
    <col min="10267" max="10267" width="15.28515625" style="33" bestFit="1" customWidth="1"/>
    <col min="10268" max="10507" width="9.140625" style="33"/>
    <col min="10508" max="10508" width="3.85546875" style="33" bestFit="1" customWidth="1"/>
    <col min="10509" max="10509" width="44.5703125" style="33" bestFit="1" customWidth="1"/>
    <col min="10510" max="10510" width="28.7109375" style="33" bestFit="1" customWidth="1"/>
    <col min="10511" max="10511" width="16.85546875" style="33" customWidth="1"/>
    <col min="10512" max="10512" width="8.7109375" style="33" customWidth="1"/>
    <col min="10513" max="10513" width="24" style="33" bestFit="1" customWidth="1"/>
    <col min="10514" max="10514" width="21.42578125" style="33" bestFit="1" customWidth="1"/>
    <col min="10515" max="10515" width="24.7109375" style="33" customWidth="1"/>
    <col min="10516" max="10516" width="20.7109375" style="33" customWidth="1"/>
    <col min="10517" max="10517" width="25.5703125" style="33" bestFit="1" customWidth="1"/>
    <col min="10518" max="10518" width="25.28515625" style="33" customWidth="1"/>
    <col min="10519" max="10519" width="21" style="33" bestFit="1" customWidth="1"/>
    <col min="10520" max="10520" width="20" style="33" bestFit="1" customWidth="1"/>
    <col min="10521" max="10521" width="19.28515625" style="33" bestFit="1" customWidth="1"/>
    <col min="10522" max="10522" width="16.28515625" style="33" bestFit="1" customWidth="1"/>
    <col min="10523" max="10523" width="15.28515625" style="33" bestFit="1" customWidth="1"/>
    <col min="10524" max="10763" width="9.140625" style="33"/>
    <col min="10764" max="10764" width="3.85546875" style="33" bestFit="1" customWidth="1"/>
    <col min="10765" max="10765" width="44.5703125" style="33" bestFit="1" customWidth="1"/>
    <col min="10766" max="10766" width="28.7109375" style="33" bestFit="1" customWidth="1"/>
    <col min="10767" max="10767" width="16.85546875" style="33" customWidth="1"/>
    <col min="10768" max="10768" width="8.7109375" style="33" customWidth="1"/>
    <col min="10769" max="10769" width="24" style="33" bestFit="1" customWidth="1"/>
    <col min="10770" max="10770" width="21.42578125" style="33" bestFit="1" customWidth="1"/>
    <col min="10771" max="10771" width="24.7109375" style="33" customWidth="1"/>
    <col min="10772" max="10772" width="20.7109375" style="33" customWidth="1"/>
    <col min="10773" max="10773" width="25.5703125" style="33" bestFit="1" customWidth="1"/>
    <col min="10774" max="10774" width="25.28515625" style="33" customWidth="1"/>
    <col min="10775" max="10775" width="21" style="33" bestFit="1" customWidth="1"/>
    <col min="10776" max="10776" width="20" style="33" bestFit="1" customWidth="1"/>
    <col min="10777" max="10777" width="19.28515625" style="33" bestFit="1" customWidth="1"/>
    <col min="10778" max="10778" width="16.28515625" style="33" bestFit="1" customWidth="1"/>
    <col min="10779" max="10779" width="15.28515625" style="33" bestFit="1" customWidth="1"/>
    <col min="10780" max="11019" width="9.140625" style="33"/>
    <col min="11020" max="11020" width="3.85546875" style="33" bestFit="1" customWidth="1"/>
    <col min="11021" max="11021" width="44.5703125" style="33" bestFit="1" customWidth="1"/>
    <col min="11022" max="11022" width="28.7109375" style="33" bestFit="1" customWidth="1"/>
    <col min="11023" max="11023" width="16.85546875" style="33" customWidth="1"/>
    <col min="11024" max="11024" width="8.7109375" style="33" customWidth="1"/>
    <col min="11025" max="11025" width="24" style="33" bestFit="1" customWidth="1"/>
    <col min="11026" max="11026" width="21.42578125" style="33" bestFit="1" customWidth="1"/>
    <col min="11027" max="11027" width="24.7109375" style="33" customWidth="1"/>
    <col min="11028" max="11028" width="20.7109375" style="33" customWidth="1"/>
    <col min="11029" max="11029" width="25.5703125" style="33" bestFit="1" customWidth="1"/>
    <col min="11030" max="11030" width="25.28515625" style="33" customWidth="1"/>
    <col min="11031" max="11031" width="21" style="33" bestFit="1" customWidth="1"/>
    <col min="11032" max="11032" width="20" style="33" bestFit="1" customWidth="1"/>
    <col min="11033" max="11033" width="19.28515625" style="33" bestFit="1" customWidth="1"/>
    <col min="11034" max="11034" width="16.28515625" style="33" bestFit="1" customWidth="1"/>
    <col min="11035" max="11035" width="15.28515625" style="33" bestFit="1" customWidth="1"/>
    <col min="11036" max="11275" width="9.140625" style="33"/>
    <col min="11276" max="11276" width="3.85546875" style="33" bestFit="1" customWidth="1"/>
    <col min="11277" max="11277" width="44.5703125" style="33" bestFit="1" customWidth="1"/>
    <col min="11278" max="11278" width="28.7109375" style="33" bestFit="1" customWidth="1"/>
    <col min="11279" max="11279" width="16.85546875" style="33" customWidth="1"/>
    <col min="11280" max="11280" width="8.7109375" style="33" customWidth="1"/>
    <col min="11281" max="11281" width="24" style="33" bestFit="1" customWidth="1"/>
    <col min="11282" max="11282" width="21.42578125" style="33" bestFit="1" customWidth="1"/>
    <col min="11283" max="11283" width="24.7109375" style="33" customWidth="1"/>
    <col min="11284" max="11284" width="20.7109375" style="33" customWidth="1"/>
    <col min="11285" max="11285" width="25.5703125" style="33" bestFit="1" customWidth="1"/>
    <col min="11286" max="11286" width="25.28515625" style="33" customWidth="1"/>
    <col min="11287" max="11287" width="21" style="33" bestFit="1" customWidth="1"/>
    <col min="11288" max="11288" width="20" style="33" bestFit="1" customWidth="1"/>
    <col min="11289" max="11289" width="19.28515625" style="33" bestFit="1" customWidth="1"/>
    <col min="11290" max="11290" width="16.28515625" style="33" bestFit="1" customWidth="1"/>
    <col min="11291" max="11291" width="15.28515625" style="33" bestFit="1" customWidth="1"/>
    <col min="11292" max="11531" width="9.140625" style="33"/>
    <col min="11532" max="11532" width="3.85546875" style="33" bestFit="1" customWidth="1"/>
    <col min="11533" max="11533" width="44.5703125" style="33" bestFit="1" customWidth="1"/>
    <col min="11534" max="11534" width="28.7109375" style="33" bestFit="1" customWidth="1"/>
    <col min="11535" max="11535" width="16.85546875" style="33" customWidth="1"/>
    <col min="11536" max="11536" width="8.7109375" style="33" customWidth="1"/>
    <col min="11537" max="11537" width="24" style="33" bestFit="1" customWidth="1"/>
    <col min="11538" max="11538" width="21.42578125" style="33" bestFit="1" customWidth="1"/>
    <col min="11539" max="11539" width="24.7109375" style="33" customWidth="1"/>
    <col min="11540" max="11540" width="20.7109375" style="33" customWidth="1"/>
    <col min="11541" max="11541" width="25.5703125" style="33" bestFit="1" customWidth="1"/>
    <col min="11542" max="11542" width="25.28515625" style="33" customWidth="1"/>
    <col min="11543" max="11543" width="21" style="33" bestFit="1" customWidth="1"/>
    <col min="11544" max="11544" width="20" style="33" bestFit="1" customWidth="1"/>
    <col min="11545" max="11545" width="19.28515625" style="33" bestFit="1" customWidth="1"/>
    <col min="11546" max="11546" width="16.28515625" style="33" bestFit="1" customWidth="1"/>
    <col min="11547" max="11547" width="15.28515625" style="33" bestFit="1" customWidth="1"/>
    <col min="11548" max="11787" width="9.140625" style="33"/>
    <col min="11788" max="11788" width="3.85546875" style="33" bestFit="1" customWidth="1"/>
    <col min="11789" max="11789" width="44.5703125" style="33" bestFit="1" customWidth="1"/>
    <col min="11790" max="11790" width="28.7109375" style="33" bestFit="1" customWidth="1"/>
    <col min="11791" max="11791" width="16.85546875" style="33" customWidth="1"/>
    <col min="11792" max="11792" width="8.7109375" style="33" customWidth="1"/>
    <col min="11793" max="11793" width="24" style="33" bestFit="1" customWidth="1"/>
    <col min="11794" max="11794" width="21.42578125" style="33" bestFit="1" customWidth="1"/>
    <col min="11795" max="11795" width="24.7109375" style="33" customWidth="1"/>
    <col min="11796" max="11796" width="20.7109375" style="33" customWidth="1"/>
    <col min="11797" max="11797" width="25.5703125" style="33" bestFit="1" customWidth="1"/>
    <col min="11798" max="11798" width="25.28515625" style="33" customWidth="1"/>
    <col min="11799" max="11799" width="21" style="33" bestFit="1" customWidth="1"/>
    <col min="11800" max="11800" width="20" style="33" bestFit="1" customWidth="1"/>
    <col min="11801" max="11801" width="19.28515625" style="33" bestFit="1" customWidth="1"/>
    <col min="11802" max="11802" width="16.28515625" style="33" bestFit="1" customWidth="1"/>
    <col min="11803" max="11803" width="15.28515625" style="33" bestFit="1" customWidth="1"/>
    <col min="11804" max="12043" width="9.140625" style="33"/>
    <col min="12044" max="12044" width="3.85546875" style="33" bestFit="1" customWidth="1"/>
    <col min="12045" max="12045" width="44.5703125" style="33" bestFit="1" customWidth="1"/>
    <col min="12046" max="12046" width="28.7109375" style="33" bestFit="1" customWidth="1"/>
    <col min="12047" max="12047" width="16.85546875" style="33" customWidth="1"/>
    <col min="12048" max="12048" width="8.7109375" style="33" customWidth="1"/>
    <col min="12049" max="12049" width="24" style="33" bestFit="1" customWidth="1"/>
    <col min="12050" max="12050" width="21.42578125" style="33" bestFit="1" customWidth="1"/>
    <col min="12051" max="12051" width="24.7109375" style="33" customWidth="1"/>
    <col min="12052" max="12052" width="20.7109375" style="33" customWidth="1"/>
    <col min="12053" max="12053" width="25.5703125" style="33" bestFit="1" customWidth="1"/>
    <col min="12054" max="12054" width="25.28515625" style="33" customWidth="1"/>
    <col min="12055" max="12055" width="21" style="33" bestFit="1" customWidth="1"/>
    <col min="12056" max="12056" width="20" style="33" bestFit="1" customWidth="1"/>
    <col min="12057" max="12057" width="19.28515625" style="33" bestFit="1" customWidth="1"/>
    <col min="12058" max="12058" width="16.28515625" style="33" bestFit="1" customWidth="1"/>
    <col min="12059" max="12059" width="15.28515625" style="33" bestFit="1" customWidth="1"/>
    <col min="12060" max="12299" width="9.140625" style="33"/>
    <col min="12300" max="12300" width="3.85546875" style="33" bestFit="1" customWidth="1"/>
    <col min="12301" max="12301" width="44.5703125" style="33" bestFit="1" customWidth="1"/>
    <col min="12302" max="12302" width="28.7109375" style="33" bestFit="1" customWidth="1"/>
    <col min="12303" max="12303" width="16.85546875" style="33" customWidth="1"/>
    <col min="12304" max="12304" width="8.7109375" style="33" customWidth="1"/>
    <col min="12305" max="12305" width="24" style="33" bestFit="1" customWidth="1"/>
    <col min="12306" max="12306" width="21.42578125" style="33" bestFit="1" customWidth="1"/>
    <col min="12307" max="12307" width="24.7109375" style="33" customWidth="1"/>
    <col min="12308" max="12308" width="20.7109375" style="33" customWidth="1"/>
    <col min="12309" max="12309" width="25.5703125" style="33" bestFit="1" customWidth="1"/>
    <col min="12310" max="12310" width="25.28515625" style="33" customWidth="1"/>
    <col min="12311" max="12311" width="21" style="33" bestFit="1" customWidth="1"/>
    <col min="12312" max="12312" width="20" style="33" bestFit="1" customWidth="1"/>
    <col min="12313" max="12313" width="19.28515625" style="33" bestFit="1" customWidth="1"/>
    <col min="12314" max="12314" width="16.28515625" style="33" bestFit="1" customWidth="1"/>
    <col min="12315" max="12315" width="15.28515625" style="33" bestFit="1" customWidth="1"/>
    <col min="12316" max="12555" width="9.140625" style="33"/>
    <col min="12556" max="12556" width="3.85546875" style="33" bestFit="1" customWidth="1"/>
    <col min="12557" max="12557" width="44.5703125" style="33" bestFit="1" customWidth="1"/>
    <col min="12558" max="12558" width="28.7109375" style="33" bestFit="1" customWidth="1"/>
    <col min="12559" max="12559" width="16.85546875" style="33" customWidth="1"/>
    <col min="12560" max="12560" width="8.7109375" style="33" customWidth="1"/>
    <col min="12561" max="12561" width="24" style="33" bestFit="1" customWidth="1"/>
    <col min="12562" max="12562" width="21.42578125" style="33" bestFit="1" customWidth="1"/>
    <col min="12563" max="12563" width="24.7109375" style="33" customWidth="1"/>
    <col min="12564" max="12564" width="20.7109375" style="33" customWidth="1"/>
    <col min="12565" max="12565" width="25.5703125" style="33" bestFit="1" customWidth="1"/>
    <col min="12566" max="12566" width="25.28515625" style="33" customWidth="1"/>
    <col min="12567" max="12567" width="21" style="33" bestFit="1" customWidth="1"/>
    <col min="12568" max="12568" width="20" style="33" bestFit="1" customWidth="1"/>
    <col min="12569" max="12569" width="19.28515625" style="33" bestFit="1" customWidth="1"/>
    <col min="12570" max="12570" width="16.28515625" style="33" bestFit="1" customWidth="1"/>
    <col min="12571" max="12571" width="15.28515625" style="33" bestFit="1" customWidth="1"/>
    <col min="12572" max="12811" width="9.140625" style="33"/>
    <col min="12812" max="12812" width="3.85546875" style="33" bestFit="1" customWidth="1"/>
    <col min="12813" max="12813" width="44.5703125" style="33" bestFit="1" customWidth="1"/>
    <col min="12814" max="12814" width="28.7109375" style="33" bestFit="1" customWidth="1"/>
    <col min="12815" max="12815" width="16.85546875" style="33" customWidth="1"/>
    <col min="12816" max="12816" width="8.7109375" style="33" customWidth="1"/>
    <col min="12817" max="12817" width="24" style="33" bestFit="1" customWidth="1"/>
    <col min="12818" max="12818" width="21.42578125" style="33" bestFit="1" customWidth="1"/>
    <col min="12819" max="12819" width="24.7109375" style="33" customWidth="1"/>
    <col min="12820" max="12820" width="20.7109375" style="33" customWidth="1"/>
    <col min="12821" max="12821" width="25.5703125" style="33" bestFit="1" customWidth="1"/>
    <col min="12822" max="12822" width="25.28515625" style="33" customWidth="1"/>
    <col min="12823" max="12823" width="21" style="33" bestFit="1" customWidth="1"/>
    <col min="12824" max="12824" width="20" style="33" bestFit="1" customWidth="1"/>
    <col min="12825" max="12825" width="19.28515625" style="33" bestFit="1" customWidth="1"/>
    <col min="12826" max="12826" width="16.28515625" style="33" bestFit="1" customWidth="1"/>
    <col min="12827" max="12827" width="15.28515625" style="33" bestFit="1" customWidth="1"/>
    <col min="12828" max="13067" width="9.140625" style="33"/>
    <col min="13068" max="13068" width="3.85546875" style="33" bestFit="1" customWidth="1"/>
    <col min="13069" max="13069" width="44.5703125" style="33" bestFit="1" customWidth="1"/>
    <col min="13070" max="13070" width="28.7109375" style="33" bestFit="1" customWidth="1"/>
    <col min="13071" max="13071" width="16.85546875" style="33" customWidth="1"/>
    <col min="13072" max="13072" width="8.7109375" style="33" customWidth="1"/>
    <col min="13073" max="13073" width="24" style="33" bestFit="1" customWidth="1"/>
    <col min="13074" max="13074" width="21.42578125" style="33" bestFit="1" customWidth="1"/>
    <col min="13075" max="13075" width="24.7109375" style="33" customWidth="1"/>
    <col min="13076" max="13076" width="20.7109375" style="33" customWidth="1"/>
    <col min="13077" max="13077" width="25.5703125" style="33" bestFit="1" customWidth="1"/>
    <col min="13078" max="13078" width="25.28515625" style="33" customWidth="1"/>
    <col min="13079" max="13079" width="21" style="33" bestFit="1" customWidth="1"/>
    <col min="13080" max="13080" width="20" style="33" bestFit="1" customWidth="1"/>
    <col min="13081" max="13081" width="19.28515625" style="33" bestFit="1" customWidth="1"/>
    <col min="13082" max="13082" width="16.28515625" style="33" bestFit="1" customWidth="1"/>
    <col min="13083" max="13083" width="15.28515625" style="33" bestFit="1" customWidth="1"/>
    <col min="13084" max="13323" width="9.140625" style="33"/>
    <col min="13324" max="13324" width="3.85546875" style="33" bestFit="1" customWidth="1"/>
    <col min="13325" max="13325" width="44.5703125" style="33" bestFit="1" customWidth="1"/>
    <col min="13326" max="13326" width="28.7109375" style="33" bestFit="1" customWidth="1"/>
    <col min="13327" max="13327" width="16.85546875" style="33" customWidth="1"/>
    <col min="13328" max="13328" width="8.7109375" style="33" customWidth="1"/>
    <col min="13329" max="13329" width="24" style="33" bestFit="1" customWidth="1"/>
    <col min="13330" max="13330" width="21.42578125" style="33" bestFit="1" customWidth="1"/>
    <col min="13331" max="13331" width="24.7109375" style="33" customWidth="1"/>
    <col min="13332" max="13332" width="20.7109375" style="33" customWidth="1"/>
    <col min="13333" max="13333" width="25.5703125" style="33" bestFit="1" customWidth="1"/>
    <col min="13334" max="13334" width="25.28515625" style="33" customWidth="1"/>
    <col min="13335" max="13335" width="21" style="33" bestFit="1" customWidth="1"/>
    <col min="13336" max="13336" width="20" style="33" bestFit="1" customWidth="1"/>
    <col min="13337" max="13337" width="19.28515625" style="33" bestFit="1" customWidth="1"/>
    <col min="13338" max="13338" width="16.28515625" style="33" bestFit="1" customWidth="1"/>
    <col min="13339" max="13339" width="15.28515625" style="33" bestFit="1" customWidth="1"/>
    <col min="13340" max="13579" width="9.140625" style="33"/>
    <col min="13580" max="13580" width="3.85546875" style="33" bestFit="1" customWidth="1"/>
    <col min="13581" max="13581" width="44.5703125" style="33" bestFit="1" customWidth="1"/>
    <col min="13582" max="13582" width="28.7109375" style="33" bestFit="1" customWidth="1"/>
    <col min="13583" max="13583" width="16.85546875" style="33" customWidth="1"/>
    <col min="13584" max="13584" width="8.7109375" style="33" customWidth="1"/>
    <col min="13585" max="13585" width="24" style="33" bestFit="1" customWidth="1"/>
    <col min="13586" max="13586" width="21.42578125" style="33" bestFit="1" customWidth="1"/>
    <col min="13587" max="13587" width="24.7109375" style="33" customWidth="1"/>
    <col min="13588" max="13588" width="20.7109375" style="33" customWidth="1"/>
    <col min="13589" max="13589" width="25.5703125" style="33" bestFit="1" customWidth="1"/>
    <col min="13590" max="13590" width="25.28515625" style="33" customWidth="1"/>
    <col min="13591" max="13591" width="21" style="33" bestFit="1" customWidth="1"/>
    <col min="13592" max="13592" width="20" style="33" bestFit="1" customWidth="1"/>
    <col min="13593" max="13593" width="19.28515625" style="33" bestFit="1" customWidth="1"/>
    <col min="13594" max="13594" width="16.28515625" style="33" bestFit="1" customWidth="1"/>
    <col min="13595" max="13595" width="15.28515625" style="33" bestFit="1" customWidth="1"/>
    <col min="13596" max="13835" width="9.140625" style="33"/>
    <col min="13836" max="13836" width="3.85546875" style="33" bestFit="1" customWidth="1"/>
    <col min="13837" max="13837" width="44.5703125" style="33" bestFit="1" customWidth="1"/>
    <col min="13838" max="13838" width="28.7109375" style="33" bestFit="1" customWidth="1"/>
    <col min="13839" max="13839" width="16.85546875" style="33" customWidth="1"/>
    <col min="13840" max="13840" width="8.7109375" style="33" customWidth="1"/>
    <col min="13841" max="13841" width="24" style="33" bestFit="1" customWidth="1"/>
    <col min="13842" max="13842" width="21.42578125" style="33" bestFit="1" customWidth="1"/>
    <col min="13843" max="13843" width="24.7109375" style="33" customWidth="1"/>
    <col min="13844" max="13844" width="20.7109375" style="33" customWidth="1"/>
    <col min="13845" max="13845" width="25.5703125" style="33" bestFit="1" customWidth="1"/>
    <col min="13846" max="13846" width="25.28515625" style="33" customWidth="1"/>
    <col min="13847" max="13847" width="21" style="33" bestFit="1" customWidth="1"/>
    <col min="13848" max="13848" width="20" style="33" bestFit="1" customWidth="1"/>
    <col min="13849" max="13849" width="19.28515625" style="33" bestFit="1" customWidth="1"/>
    <col min="13850" max="13850" width="16.28515625" style="33" bestFit="1" customWidth="1"/>
    <col min="13851" max="13851" width="15.28515625" style="33" bestFit="1" customWidth="1"/>
    <col min="13852" max="14091" width="9.140625" style="33"/>
    <col min="14092" max="14092" width="3.85546875" style="33" bestFit="1" customWidth="1"/>
    <col min="14093" max="14093" width="44.5703125" style="33" bestFit="1" customWidth="1"/>
    <col min="14094" max="14094" width="28.7109375" style="33" bestFit="1" customWidth="1"/>
    <col min="14095" max="14095" width="16.85546875" style="33" customWidth="1"/>
    <col min="14096" max="14096" width="8.7109375" style="33" customWidth="1"/>
    <col min="14097" max="14097" width="24" style="33" bestFit="1" customWidth="1"/>
    <col min="14098" max="14098" width="21.42578125" style="33" bestFit="1" customWidth="1"/>
    <col min="14099" max="14099" width="24.7109375" style="33" customWidth="1"/>
    <col min="14100" max="14100" width="20.7109375" style="33" customWidth="1"/>
    <col min="14101" max="14101" width="25.5703125" style="33" bestFit="1" customWidth="1"/>
    <col min="14102" max="14102" width="25.28515625" style="33" customWidth="1"/>
    <col min="14103" max="14103" width="21" style="33" bestFit="1" customWidth="1"/>
    <col min="14104" max="14104" width="20" style="33" bestFit="1" customWidth="1"/>
    <col min="14105" max="14105" width="19.28515625" style="33" bestFit="1" customWidth="1"/>
    <col min="14106" max="14106" width="16.28515625" style="33" bestFit="1" customWidth="1"/>
    <col min="14107" max="14107" width="15.28515625" style="33" bestFit="1" customWidth="1"/>
    <col min="14108" max="14347" width="9.140625" style="33"/>
    <col min="14348" max="14348" width="3.85546875" style="33" bestFit="1" customWidth="1"/>
    <col min="14349" max="14349" width="44.5703125" style="33" bestFit="1" customWidth="1"/>
    <col min="14350" max="14350" width="28.7109375" style="33" bestFit="1" customWidth="1"/>
    <col min="14351" max="14351" width="16.85546875" style="33" customWidth="1"/>
    <col min="14352" max="14352" width="8.7109375" style="33" customWidth="1"/>
    <col min="14353" max="14353" width="24" style="33" bestFit="1" customWidth="1"/>
    <col min="14354" max="14354" width="21.42578125" style="33" bestFit="1" customWidth="1"/>
    <col min="14355" max="14355" width="24.7109375" style="33" customWidth="1"/>
    <col min="14356" max="14356" width="20.7109375" style="33" customWidth="1"/>
    <col min="14357" max="14357" width="25.5703125" style="33" bestFit="1" customWidth="1"/>
    <col min="14358" max="14358" width="25.28515625" style="33" customWidth="1"/>
    <col min="14359" max="14359" width="21" style="33" bestFit="1" customWidth="1"/>
    <col min="14360" max="14360" width="20" style="33" bestFit="1" customWidth="1"/>
    <col min="14361" max="14361" width="19.28515625" style="33" bestFit="1" customWidth="1"/>
    <col min="14362" max="14362" width="16.28515625" style="33" bestFit="1" customWidth="1"/>
    <col min="14363" max="14363" width="15.28515625" style="33" bestFit="1" customWidth="1"/>
    <col min="14364" max="14603" width="9.140625" style="33"/>
    <col min="14604" max="14604" width="3.85546875" style="33" bestFit="1" customWidth="1"/>
    <col min="14605" max="14605" width="44.5703125" style="33" bestFit="1" customWidth="1"/>
    <col min="14606" max="14606" width="28.7109375" style="33" bestFit="1" customWidth="1"/>
    <col min="14607" max="14607" width="16.85546875" style="33" customWidth="1"/>
    <col min="14608" max="14608" width="8.7109375" style="33" customWidth="1"/>
    <col min="14609" max="14609" width="24" style="33" bestFit="1" customWidth="1"/>
    <col min="14610" max="14610" width="21.42578125" style="33" bestFit="1" customWidth="1"/>
    <col min="14611" max="14611" width="24.7109375" style="33" customWidth="1"/>
    <col min="14612" max="14612" width="20.7109375" style="33" customWidth="1"/>
    <col min="14613" max="14613" width="25.5703125" style="33" bestFit="1" customWidth="1"/>
    <col min="14614" max="14614" width="25.28515625" style="33" customWidth="1"/>
    <col min="14615" max="14615" width="21" style="33" bestFit="1" customWidth="1"/>
    <col min="14616" max="14616" width="20" style="33" bestFit="1" customWidth="1"/>
    <col min="14617" max="14617" width="19.28515625" style="33" bestFit="1" customWidth="1"/>
    <col min="14618" max="14618" width="16.28515625" style="33" bestFit="1" customWidth="1"/>
    <col min="14619" max="14619" width="15.28515625" style="33" bestFit="1" customWidth="1"/>
    <col min="14620" max="14859" width="9.140625" style="33"/>
    <col min="14860" max="14860" width="3.85546875" style="33" bestFit="1" customWidth="1"/>
    <col min="14861" max="14861" width="44.5703125" style="33" bestFit="1" customWidth="1"/>
    <col min="14862" max="14862" width="28.7109375" style="33" bestFit="1" customWidth="1"/>
    <col min="14863" max="14863" width="16.85546875" style="33" customWidth="1"/>
    <col min="14864" max="14864" width="8.7109375" style="33" customWidth="1"/>
    <col min="14865" max="14865" width="24" style="33" bestFit="1" customWidth="1"/>
    <col min="14866" max="14866" width="21.42578125" style="33" bestFit="1" customWidth="1"/>
    <col min="14867" max="14867" width="24.7109375" style="33" customWidth="1"/>
    <col min="14868" max="14868" width="20.7109375" style="33" customWidth="1"/>
    <col min="14869" max="14869" width="25.5703125" style="33" bestFit="1" customWidth="1"/>
    <col min="14870" max="14870" width="25.28515625" style="33" customWidth="1"/>
    <col min="14871" max="14871" width="21" style="33" bestFit="1" customWidth="1"/>
    <col min="14872" max="14872" width="20" style="33" bestFit="1" customWidth="1"/>
    <col min="14873" max="14873" width="19.28515625" style="33" bestFit="1" customWidth="1"/>
    <col min="14874" max="14874" width="16.28515625" style="33" bestFit="1" customWidth="1"/>
    <col min="14875" max="14875" width="15.28515625" style="33" bestFit="1" customWidth="1"/>
    <col min="14876" max="15115" width="9.140625" style="33"/>
    <col min="15116" max="15116" width="3.85546875" style="33" bestFit="1" customWidth="1"/>
    <col min="15117" max="15117" width="44.5703125" style="33" bestFit="1" customWidth="1"/>
    <col min="15118" max="15118" width="28.7109375" style="33" bestFit="1" customWidth="1"/>
    <col min="15119" max="15119" width="16.85546875" style="33" customWidth="1"/>
    <col min="15120" max="15120" width="8.7109375" style="33" customWidth="1"/>
    <col min="15121" max="15121" width="24" style="33" bestFit="1" customWidth="1"/>
    <col min="15122" max="15122" width="21.42578125" style="33" bestFit="1" customWidth="1"/>
    <col min="15123" max="15123" width="24.7109375" style="33" customWidth="1"/>
    <col min="15124" max="15124" width="20.7109375" style="33" customWidth="1"/>
    <col min="15125" max="15125" width="25.5703125" style="33" bestFit="1" customWidth="1"/>
    <col min="15126" max="15126" width="25.28515625" style="33" customWidth="1"/>
    <col min="15127" max="15127" width="21" style="33" bestFit="1" customWidth="1"/>
    <col min="15128" max="15128" width="20" style="33" bestFit="1" customWidth="1"/>
    <col min="15129" max="15129" width="19.28515625" style="33" bestFit="1" customWidth="1"/>
    <col min="15130" max="15130" width="16.28515625" style="33" bestFit="1" customWidth="1"/>
    <col min="15131" max="15131" width="15.28515625" style="33" bestFit="1" customWidth="1"/>
    <col min="15132" max="15371" width="9.140625" style="33"/>
    <col min="15372" max="15372" width="3.85546875" style="33" bestFit="1" customWidth="1"/>
    <col min="15373" max="15373" width="44.5703125" style="33" bestFit="1" customWidth="1"/>
    <col min="15374" max="15374" width="28.7109375" style="33" bestFit="1" customWidth="1"/>
    <col min="15375" max="15375" width="16.85546875" style="33" customWidth="1"/>
    <col min="15376" max="15376" width="8.7109375" style="33" customWidth="1"/>
    <col min="15377" max="15377" width="24" style="33" bestFit="1" customWidth="1"/>
    <col min="15378" max="15378" width="21.42578125" style="33" bestFit="1" customWidth="1"/>
    <col min="15379" max="15379" width="24.7109375" style="33" customWidth="1"/>
    <col min="15380" max="15380" width="20.7109375" style="33" customWidth="1"/>
    <col min="15381" max="15381" width="25.5703125" style="33" bestFit="1" customWidth="1"/>
    <col min="15382" max="15382" width="25.28515625" style="33" customWidth="1"/>
    <col min="15383" max="15383" width="21" style="33" bestFit="1" customWidth="1"/>
    <col min="15384" max="15384" width="20" style="33" bestFit="1" customWidth="1"/>
    <col min="15385" max="15385" width="19.28515625" style="33" bestFit="1" customWidth="1"/>
    <col min="15386" max="15386" width="16.28515625" style="33" bestFit="1" customWidth="1"/>
    <col min="15387" max="15387" width="15.28515625" style="33" bestFit="1" customWidth="1"/>
    <col min="15388" max="15627" width="9.140625" style="33"/>
    <col min="15628" max="15628" width="3.85546875" style="33" bestFit="1" customWidth="1"/>
    <col min="15629" max="15629" width="44.5703125" style="33" bestFit="1" customWidth="1"/>
    <col min="15630" max="15630" width="28.7109375" style="33" bestFit="1" customWidth="1"/>
    <col min="15631" max="15631" width="16.85546875" style="33" customWidth="1"/>
    <col min="15632" max="15632" width="8.7109375" style="33" customWidth="1"/>
    <col min="15633" max="15633" width="24" style="33" bestFit="1" customWidth="1"/>
    <col min="15634" max="15634" width="21.42578125" style="33" bestFit="1" customWidth="1"/>
    <col min="15635" max="15635" width="24.7109375" style="33" customWidth="1"/>
    <col min="15636" max="15636" width="20.7109375" style="33" customWidth="1"/>
    <col min="15637" max="15637" width="25.5703125" style="33" bestFit="1" customWidth="1"/>
    <col min="15638" max="15638" width="25.28515625" style="33" customWidth="1"/>
    <col min="15639" max="15639" width="21" style="33" bestFit="1" customWidth="1"/>
    <col min="15640" max="15640" width="20" style="33" bestFit="1" customWidth="1"/>
    <col min="15641" max="15641" width="19.28515625" style="33" bestFit="1" customWidth="1"/>
    <col min="15642" max="15642" width="16.28515625" style="33" bestFit="1" customWidth="1"/>
    <col min="15643" max="15643" width="15.28515625" style="33" bestFit="1" customWidth="1"/>
    <col min="15644" max="15883" width="9.140625" style="33"/>
    <col min="15884" max="15884" width="3.85546875" style="33" bestFit="1" customWidth="1"/>
    <col min="15885" max="15885" width="44.5703125" style="33" bestFit="1" customWidth="1"/>
    <col min="15886" max="15886" width="28.7109375" style="33" bestFit="1" customWidth="1"/>
    <col min="15887" max="15887" width="16.85546875" style="33" customWidth="1"/>
    <col min="15888" max="15888" width="8.7109375" style="33" customWidth="1"/>
    <col min="15889" max="15889" width="24" style="33" bestFit="1" customWidth="1"/>
    <col min="15890" max="15890" width="21.42578125" style="33" bestFit="1" customWidth="1"/>
    <col min="15891" max="15891" width="24.7109375" style="33" customWidth="1"/>
    <col min="15892" max="15892" width="20.7109375" style="33" customWidth="1"/>
    <col min="15893" max="15893" width="25.5703125" style="33" bestFit="1" customWidth="1"/>
    <col min="15894" max="15894" width="25.28515625" style="33" customWidth="1"/>
    <col min="15895" max="15895" width="21" style="33" bestFit="1" customWidth="1"/>
    <col min="15896" max="15896" width="20" style="33" bestFit="1" customWidth="1"/>
    <col min="15897" max="15897" width="19.28515625" style="33" bestFit="1" customWidth="1"/>
    <col min="15898" max="15898" width="16.28515625" style="33" bestFit="1" customWidth="1"/>
    <col min="15899" max="15899" width="15.28515625" style="33" bestFit="1" customWidth="1"/>
    <col min="15900" max="16139" width="9.140625" style="33"/>
    <col min="16140" max="16140" width="3.85546875" style="33" bestFit="1" customWidth="1"/>
    <col min="16141" max="16141" width="44.5703125" style="33" bestFit="1" customWidth="1"/>
    <col min="16142" max="16142" width="28.7109375" style="33" bestFit="1" customWidth="1"/>
    <col min="16143" max="16143" width="16.85546875" style="33" customWidth="1"/>
    <col min="16144" max="16144" width="8.7109375" style="33" customWidth="1"/>
    <col min="16145" max="16145" width="24" style="33" bestFit="1" customWidth="1"/>
    <col min="16146" max="16146" width="21.42578125" style="33" bestFit="1" customWidth="1"/>
    <col min="16147" max="16147" width="24.7109375" style="33" customWidth="1"/>
    <col min="16148" max="16148" width="20.7109375" style="33" customWidth="1"/>
    <col min="16149" max="16149" width="25.5703125" style="33" bestFit="1" customWidth="1"/>
    <col min="16150" max="16150" width="25.28515625" style="33" customWidth="1"/>
    <col min="16151" max="16151" width="21" style="33" bestFit="1" customWidth="1"/>
    <col min="16152" max="16152" width="20" style="33" bestFit="1" customWidth="1"/>
    <col min="16153" max="16153" width="19.28515625" style="33" bestFit="1" customWidth="1"/>
    <col min="16154" max="16154" width="16.28515625" style="33" bestFit="1" customWidth="1"/>
    <col min="16155" max="16155" width="15.28515625" style="33" bestFit="1" customWidth="1"/>
    <col min="16156" max="16384" width="9.140625" style="33"/>
  </cols>
  <sheetData>
    <row r="1" spans="1:35">
      <c r="A1" s="124" t="s">
        <v>2208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79"/>
      <c r="N1" s="179"/>
      <c r="O1" s="124"/>
      <c r="P1" s="124"/>
      <c r="Q1" s="124"/>
      <c r="R1" s="124"/>
      <c r="S1" s="124"/>
      <c r="T1" s="124"/>
      <c r="U1" s="124"/>
      <c r="V1" s="474"/>
      <c r="W1" s="124"/>
    </row>
    <row r="2" spans="1:35">
      <c r="A2" s="124"/>
      <c r="B2" s="124"/>
      <c r="C2" s="124"/>
      <c r="D2" s="124"/>
      <c r="E2" s="124"/>
      <c r="F2" s="124"/>
      <c r="G2" s="124"/>
      <c r="H2" s="124"/>
      <c r="I2" s="124"/>
      <c r="J2" s="124" t="s">
        <v>415</v>
      </c>
      <c r="K2" s="124"/>
      <c r="L2" s="124"/>
      <c r="M2" s="179"/>
      <c r="N2" s="179"/>
      <c r="O2" s="124"/>
      <c r="P2" s="124"/>
      <c r="Q2" s="124"/>
      <c r="R2" s="124"/>
      <c r="S2" s="124"/>
      <c r="T2" s="124"/>
      <c r="U2" s="124"/>
      <c r="V2" s="474"/>
      <c r="W2" s="124"/>
    </row>
    <row r="3" spans="1:35" s="122" customFormat="1" ht="18" customHeight="1">
      <c r="A3" s="1571" t="s">
        <v>6</v>
      </c>
      <c r="B3" s="1571" t="s">
        <v>236</v>
      </c>
      <c r="C3" s="1571" t="s">
        <v>15</v>
      </c>
      <c r="D3" s="1571" t="s">
        <v>3</v>
      </c>
      <c r="E3" s="1576" t="s">
        <v>141</v>
      </c>
      <c r="F3" s="1571" t="s">
        <v>51</v>
      </c>
      <c r="G3" s="1576" t="s">
        <v>12</v>
      </c>
      <c r="H3" s="1576" t="s">
        <v>165</v>
      </c>
      <c r="I3" s="1576" t="s">
        <v>166</v>
      </c>
      <c r="J3" s="1578" t="s">
        <v>1</v>
      </c>
      <c r="K3" s="1582" t="s">
        <v>50</v>
      </c>
      <c r="L3" s="1583"/>
      <c r="M3" s="1595" t="s">
        <v>169</v>
      </c>
      <c r="N3" s="1596"/>
      <c r="O3" s="1596"/>
      <c r="P3" s="1596"/>
      <c r="Q3" s="1596"/>
      <c r="R3" s="1596"/>
      <c r="S3" s="1596"/>
      <c r="T3" s="1596"/>
      <c r="U3" s="1596"/>
      <c r="V3" s="1599"/>
      <c r="W3" s="1600" t="s">
        <v>170</v>
      </c>
      <c r="X3" s="1601"/>
      <c r="Y3" s="1601"/>
      <c r="Z3" s="1602"/>
      <c r="AA3" s="1600" t="s">
        <v>172</v>
      </c>
      <c r="AB3" s="1601"/>
      <c r="AC3" s="1601"/>
      <c r="AD3" s="1602"/>
      <c r="AE3" s="1580" t="s">
        <v>1392</v>
      </c>
      <c r="AF3" s="1580"/>
      <c r="AG3" s="1580"/>
      <c r="AH3" s="1580"/>
    </row>
    <row r="4" spans="1:35" s="122" customFormat="1" ht="18" customHeight="1">
      <c r="A4" s="1572"/>
      <c r="B4" s="1572"/>
      <c r="C4" s="1572"/>
      <c r="D4" s="1572"/>
      <c r="E4" s="1577"/>
      <c r="F4" s="1572"/>
      <c r="G4" s="1577"/>
      <c r="H4" s="1577"/>
      <c r="I4" s="1577"/>
      <c r="J4" s="1579"/>
      <c r="K4" s="1584" t="s">
        <v>54</v>
      </c>
      <c r="L4" s="1584" t="s">
        <v>55</v>
      </c>
      <c r="M4" s="1594" t="s">
        <v>236</v>
      </c>
      <c r="N4" s="1594" t="s">
        <v>15</v>
      </c>
      <c r="O4" s="1595" t="s">
        <v>54</v>
      </c>
      <c r="P4" s="1596"/>
      <c r="Q4" s="1594" t="s">
        <v>55</v>
      </c>
      <c r="R4" s="1594"/>
      <c r="S4" s="1594"/>
      <c r="T4" s="1594" t="s">
        <v>296</v>
      </c>
      <c r="U4" s="1594"/>
      <c r="V4" s="1597" t="s">
        <v>168</v>
      </c>
      <c r="W4" s="1603"/>
      <c r="X4" s="1604"/>
      <c r="Y4" s="1604"/>
      <c r="Z4" s="1605"/>
      <c r="AA4" s="1603"/>
      <c r="AB4" s="1604"/>
      <c r="AC4" s="1604"/>
      <c r="AD4" s="1605"/>
      <c r="AE4" s="1580" t="s">
        <v>1393</v>
      </c>
      <c r="AF4" s="1580"/>
      <c r="AG4" s="1581" t="s">
        <v>1394</v>
      </c>
      <c r="AH4" s="1581"/>
    </row>
    <row r="5" spans="1:35" s="220" customFormat="1" ht="18" customHeight="1">
      <c r="A5" s="1572"/>
      <c r="B5" s="1572"/>
      <c r="C5" s="1572"/>
      <c r="D5" s="1572"/>
      <c r="E5" s="1577"/>
      <c r="F5" s="1572"/>
      <c r="G5" s="1577"/>
      <c r="H5" s="1577"/>
      <c r="I5" s="1577"/>
      <c r="J5" s="1579"/>
      <c r="K5" s="1576"/>
      <c r="L5" s="1576"/>
      <c r="M5" s="1597"/>
      <c r="N5" s="1597"/>
      <c r="O5" s="659" t="s">
        <v>263</v>
      </c>
      <c r="P5" s="1049" t="s">
        <v>78</v>
      </c>
      <c r="Q5" s="1046" t="s">
        <v>1661</v>
      </c>
      <c r="R5" s="1049" t="s">
        <v>263</v>
      </c>
      <c r="S5" s="1049" t="s">
        <v>78</v>
      </c>
      <c r="T5" s="1049" t="s">
        <v>54</v>
      </c>
      <c r="U5" s="1049" t="s">
        <v>55</v>
      </c>
      <c r="V5" s="1608"/>
      <c r="W5" s="660" t="s">
        <v>15</v>
      </c>
      <c r="X5" s="1050" t="s">
        <v>167</v>
      </c>
      <c r="Y5" s="1050" t="s">
        <v>9</v>
      </c>
      <c r="Z5" s="1050" t="s">
        <v>171</v>
      </c>
      <c r="AA5" s="660" t="s">
        <v>15</v>
      </c>
      <c r="AB5" s="517" t="s">
        <v>167</v>
      </c>
      <c r="AC5" s="1050" t="s">
        <v>9</v>
      </c>
      <c r="AD5" s="1050" t="s">
        <v>171</v>
      </c>
      <c r="AE5" s="1047" t="s">
        <v>193</v>
      </c>
      <c r="AF5" s="1051" t="s">
        <v>1396</v>
      </c>
      <c r="AG5" s="1048" t="s">
        <v>193</v>
      </c>
      <c r="AH5" s="1048" t="s">
        <v>15</v>
      </c>
      <c r="AI5" s="114" t="s">
        <v>295</v>
      </c>
    </row>
    <row r="6" spans="1:35" s="115" customFormat="1" ht="12" customHeight="1" thickBot="1">
      <c r="A6" s="42">
        <v>1</v>
      </c>
      <c r="B6" s="42" t="s">
        <v>194</v>
      </c>
      <c r="C6" s="42">
        <v>16</v>
      </c>
      <c r="D6" s="123" t="s">
        <v>13</v>
      </c>
      <c r="E6" s="113" t="s">
        <v>354</v>
      </c>
      <c r="F6" s="113" t="s">
        <v>142</v>
      </c>
      <c r="G6" s="113" t="s">
        <v>14</v>
      </c>
      <c r="H6" s="661">
        <v>0</v>
      </c>
      <c r="I6" s="125">
        <v>15000000</v>
      </c>
      <c r="J6" s="125"/>
      <c r="K6" s="113"/>
      <c r="L6" s="188">
        <f>I6+J6</f>
        <v>15000000</v>
      </c>
      <c r="M6" s="196"/>
      <c r="N6" s="196"/>
      <c r="O6" s="174"/>
      <c r="P6" s="174"/>
      <c r="Q6" s="675">
        <v>0</v>
      </c>
      <c r="R6" s="125">
        <v>0</v>
      </c>
      <c r="S6" s="125"/>
      <c r="T6" s="216">
        <f>K6+O6-P6</f>
        <v>0</v>
      </c>
      <c r="U6" s="662">
        <f>L6+Q6+R6-S6</f>
        <v>15000000</v>
      </c>
      <c r="V6" s="180"/>
      <c r="W6" s="125"/>
      <c r="X6" s="184"/>
      <c r="Y6" s="663">
        <f>-Q6-X6</f>
        <v>0</v>
      </c>
      <c r="Z6" s="184"/>
      <c r="AA6" s="42" t="s">
        <v>14</v>
      </c>
      <c r="AB6" s="605">
        <v>0</v>
      </c>
      <c r="AC6" s="605">
        <f>-R6-AB6</f>
        <v>0</v>
      </c>
      <c r="AD6" s="42" t="s">
        <v>14</v>
      </c>
      <c r="AE6" s="42"/>
      <c r="AF6" s="42"/>
      <c r="AG6" s="42"/>
      <c r="AH6" s="475"/>
      <c r="AI6" s="73" t="str">
        <f>CONCATENATE(D6,M6)</f>
        <v>BANGUN OLAH SARANA SUKSES, PT</v>
      </c>
    </row>
    <row r="7" spans="1:35" s="115" customFormat="1" ht="17.25" thickTop="1" thickBot="1">
      <c r="A7" s="1545" t="s">
        <v>61</v>
      </c>
      <c r="B7" s="1545"/>
      <c r="C7" s="1545"/>
      <c r="D7" s="1545"/>
      <c r="E7" s="1545"/>
      <c r="F7" s="1545"/>
      <c r="G7" s="1545"/>
      <c r="H7" s="593">
        <f>SUM(H6:H6)</f>
        <v>0</v>
      </c>
      <c r="I7" s="594">
        <f>SUM(I6:I6)</f>
        <v>15000000</v>
      </c>
      <c r="J7" s="594">
        <f>SUM(J6:J6)</f>
        <v>0</v>
      </c>
      <c r="K7" s="593">
        <f>SUM(K6:K6)</f>
        <v>0</v>
      </c>
      <c r="L7" s="594">
        <f>SUM(L6:L6)</f>
        <v>15000000</v>
      </c>
      <c r="M7" s="209"/>
      <c r="N7" s="209"/>
      <c r="O7" s="593">
        <f t="shared" ref="O7:U7" si="0">SUM(O6:O6)</f>
        <v>0</v>
      </c>
      <c r="P7" s="593">
        <f t="shared" si="0"/>
        <v>0</v>
      </c>
      <c r="Q7" s="594">
        <f t="shared" si="0"/>
        <v>0</v>
      </c>
      <c r="R7" s="594">
        <f t="shared" si="0"/>
        <v>0</v>
      </c>
      <c r="S7" s="594">
        <f t="shared" si="0"/>
        <v>0</v>
      </c>
      <c r="T7" s="606">
        <f t="shared" si="0"/>
        <v>0</v>
      </c>
      <c r="U7" s="602">
        <f t="shared" si="0"/>
        <v>15000000</v>
      </c>
      <c r="V7" s="209"/>
      <c r="W7" s="112"/>
      <c r="X7" s="594">
        <f>SUM(X6:X6)</f>
        <v>0</v>
      </c>
      <c r="Y7" s="602">
        <f>SUM(Y6:Y6)</f>
        <v>0</v>
      </c>
      <c r="Z7" s="33"/>
      <c r="AA7" s="474"/>
      <c r="AB7" s="594">
        <f>SUM(AB6:AB6)</f>
        <v>0</v>
      </c>
      <c r="AC7" s="602">
        <f>SUM(AC6:AC6)</f>
        <v>0</v>
      </c>
      <c r="AD7" s="607"/>
      <c r="AE7" s="165"/>
      <c r="AF7" s="165"/>
      <c r="AG7" s="165"/>
      <c r="AH7" s="206"/>
      <c r="AI7" s="73" t="str">
        <f>CONCATENATE(D7,M7)</f>
        <v/>
      </c>
    </row>
    <row r="8" spans="1:35" s="115" customFormat="1" ht="14.25" thickTop="1" thickBot="1">
      <c r="A8" s="73"/>
      <c r="B8" s="73"/>
      <c r="C8" s="73"/>
      <c r="D8" s="73"/>
      <c r="E8" s="73"/>
      <c r="F8" s="73"/>
      <c r="G8" s="73"/>
      <c r="H8" s="73"/>
      <c r="I8" s="1541">
        <f>SUM(I7:J7)</f>
        <v>15000000</v>
      </c>
      <c r="J8" s="1542"/>
      <c r="K8" s="600" t="s">
        <v>1684</v>
      </c>
      <c r="L8" s="594">
        <f>I8-L7</f>
        <v>0</v>
      </c>
      <c r="M8" s="209"/>
      <c r="N8" s="209"/>
      <c r="O8" s="1606">
        <f>P7-O7</f>
        <v>0</v>
      </c>
      <c r="P8" s="1607"/>
      <c r="Q8" s="1541">
        <f>S7-R7-Q7</f>
        <v>0</v>
      </c>
      <c r="R8" s="1593"/>
      <c r="S8" s="1542"/>
      <c r="T8" s="601" t="s">
        <v>1687</v>
      </c>
      <c r="U8" s="594">
        <f>L7-Q8-U7</f>
        <v>0</v>
      </c>
      <c r="V8" s="206"/>
      <c r="W8" s="33"/>
      <c r="X8" s="1541">
        <f>SUM(X7:Y7)</f>
        <v>0</v>
      </c>
      <c r="Y8" s="1542"/>
      <c r="Z8" s="33"/>
      <c r="AA8" s="474"/>
      <c r="AB8" s="1541">
        <f>SUM(AB7:AC7)</f>
        <v>0</v>
      </c>
      <c r="AC8" s="1542"/>
      <c r="AD8" s="608"/>
      <c r="AE8" s="165"/>
      <c r="AF8" s="165"/>
      <c r="AG8" s="165"/>
      <c r="AH8" s="206"/>
      <c r="AI8" s="73" t="str">
        <f>CONCATENATE(D8,M8)</f>
        <v/>
      </c>
    </row>
    <row r="9" spans="1:35" s="115" customFormat="1" ht="13.5" thickTop="1">
      <c r="A9" s="204"/>
      <c r="B9" s="204"/>
      <c r="C9" s="204"/>
      <c r="D9" s="696"/>
      <c r="E9" s="696"/>
      <c r="F9" s="204"/>
      <c r="G9" s="204"/>
      <c r="H9" s="204"/>
      <c r="I9" s="1557" t="s">
        <v>1686</v>
      </c>
      <c r="J9" s="1558"/>
      <c r="K9" s="1559"/>
      <c r="L9" s="598" t="e">
        <f>-SUM(#REF!,#REF!,#REF!)</f>
        <v>#REF!</v>
      </c>
      <c r="M9" s="205"/>
      <c r="N9" s="205"/>
      <c r="O9" s="204"/>
      <c r="P9" s="204"/>
      <c r="Q9" s="204"/>
      <c r="R9" s="204"/>
      <c r="S9" s="204"/>
      <c r="T9" s="204"/>
      <c r="U9" s="204"/>
      <c r="V9" s="206"/>
      <c r="W9" s="204"/>
      <c r="X9" s="73"/>
      <c r="Y9" s="73"/>
      <c r="Z9" s="73"/>
      <c r="AA9" s="206"/>
      <c r="AB9" s="296"/>
      <c r="AC9" s="296"/>
      <c r="AD9" s="206"/>
      <c r="AE9" s="206"/>
      <c r="AF9" s="206"/>
      <c r="AG9" s="206"/>
      <c r="AH9" s="206"/>
      <c r="AI9" s="73"/>
    </row>
    <row r="10" spans="1:35" s="360" customFormat="1">
      <c r="A10" s="204"/>
      <c r="B10" s="204"/>
      <c r="C10" s="204"/>
      <c r="D10" s="204"/>
      <c r="E10" s="204"/>
      <c r="F10" s="204"/>
      <c r="G10" s="204"/>
      <c r="H10" s="204"/>
      <c r="I10" s="1563" t="s">
        <v>1619</v>
      </c>
      <c r="J10" s="1564"/>
      <c r="K10" s="1565"/>
      <c r="L10" s="597" t="e">
        <f>SUM(L8:L9)</f>
        <v>#REF!</v>
      </c>
      <c r="M10" s="205"/>
      <c r="N10" s="205"/>
      <c r="O10" s="204"/>
      <c r="P10" s="204"/>
      <c r="Q10" s="204"/>
      <c r="R10" s="204"/>
      <c r="S10" s="204"/>
      <c r="T10" s="204"/>
      <c r="U10" s="204"/>
      <c r="V10" s="206"/>
      <c r="W10" s="204"/>
      <c r="X10" s="73"/>
      <c r="Y10" s="73"/>
      <c r="Z10" s="73"/>
      <c r="AA10" s="206"/>
      <c r="AB10" s="296"/>
      <c r="AC10" s="296"/>
      <c r="AD10" s="206"/>
      <c r="AE10" s="206"/>
      <c r="AF10" s="206"/>
      <c r="AG10" s="206"/>
      <c r="AH10" s="206"/>
      <c r="AI10" s="73"/>
    </row>
    <row r="11" spans="1:35" s="360" customFormat="1">
      <c r="A11" s="73"/>
      <c r="B11" s="204" t="s">
        <v>1812</v>
      </c>
      <c r="C11" s="204"/>
      <c r="D11" s="204"/>
      <c r="E11" s="204"/>
      <c r="F11" s="204"/>
      <c r="G11" s="204"/>
      <c r="H11" s="204"/>
      <c r="I11" s="204"/>
      <c r="J11" s="204"/>
      <c r="K11" s="204"/>
      <c r="L11" s="204"/>
      <c r="M11" s="205"/>
      <c r="N11" s="205"/>
      <c r="O11" s="204"/>
      <c r="P11" s="204"/>
      <c r="Q11" s="204"/>
      <c r="R11" s="204"/>
      <c r="S11" s="204"/>
      <c r="T11" s="204"/>
      <c r="U11" s="204"/>
      <c r="V11" s="206"/>
      <c r="W11" s="204"/>
      <c r="X11" s="73"/>
      <c r="Y11" s="73"/>
      <c r="Z11" s="73"/>
      <c r="AA11" s="206"/>
      <c r="AB11" s="296"/>
      <c r="AC11" s="296"/>
      <c r="AD11" s="206"/>
      <c r="AE11" s="206"/>
      <c r="AF11" s="206"/>
      <c r="AG11" s="206"/>
      <c r="AH11" s="206"/>
      <c r="AI11" s="73"/>
    </row>
    <row r="12" spans="1:35" s="73" customFormat="1">
      <c r="A12" s="206"/>
      <c r="B12" s="206"/>
      <c r="C12" s="206"/>
      <c r="E12" s="207"/>
      <c r="F12" s="206"/>
      <c r="G12" s="207"/>
      <c r="H12" s="207"/>
      <c r="I12" s="208"/>
      <c r="J12" s="208"/>
      <c r="K12" s="207"/>
      <c r="L12" s="207"/>
      <c r="M12" s="209"/>
      <c r="N12" s="209"/>
      <c r="O12" s="208"/>
      <c r="P12" s="208"/>
      <c r="Q12" s="208"/>
      <c r="R12" s="208"/>
      <c r="S12" s="208"/>
      <c r="T12" s="208"/>
      <c r="U12" s="208"/>
      <c r="V12" s="209"/>
      <c r="W12" s="208"/>
      <c r="AA12" s="206"/>
      <c r="AB12" s="296"/>
      <c r="AC12" s="296"/>
      <c r="AD12" s="206"/>
      <c r="AE12" s="206"/>
      <c r="AF12" s="206"/>
      <c r="AG12" s="206"/>
      <c r="AH12" s="206"/>
    </row>
    <row r="13" spans="1:35" s="122" customFormat="1" ht="18" customHeight="1">
      <c r="A13" s="1550" t="s">
        <v>6</v>
      </c>
      <c r="B13" s="1550" t="s">
        <v>236</v>
      </c>
      <c r="C13" s="1550" t="s">
        <v>15</v>
      </c>
      <c r="D13" s="1550" t="s">
        <v>3</v>
      </c>
      <c r="E13" s="1553" t="s">
        <v>141</v>
      </c>
      <c r="F13" s="1550" t="s">
        <v>51</v>
      </c>
      <c r="G13" s="1553" t="s">
        <v>12</v>
      </c>
      <c r="H13" s="1556" t="s">
        <v>165</v>
      </c>
      <c r="I13" s="1553" t="s">
        <v>166</v>
      </c>
      <c r="J13" s="1566" t="s">
        <v>1</v>
      </c>
      <c r="K13" s="1569" t="s">
        <v>50</v>
      </c>
      <c r="L13" s="1570"/>
      <c r="M13" s="1595" t="s">
        <v>169</v>
      </c>
      <c r="N13" s="1596"/>
      <c r="O13" s="1596"/>
      <c r="P13" s="1596"/>
      <c r="Q13" s="1596"/>
      <c r="R13" s="1596"/>
      <c r="S13" s="1596"/>
      <c r="T13" s="1596"/>
      <c r="U13" s="1596"/>
      <c r="V13" s="1599"/>
      <c r="W13" s="1600" t="s">
        <v>170</v>
      </c>
      <c r="X13" s="1601"/>
      <c r="Y13" s="1601"/>
      <c r="Z13" s="1602"/>
      <c r="AA13" s="1600" t="s">
        <v>172</v>
      </c>
      <c r="AB13" s="1601"/>
      <c r="AC13" s="1601"/>
      <c r="AD13" s="1602"/>
      <c r="AE13" s="1580" t="s">
        <v>1392</v>
      </c>
      <c r="AF13" s="1580"/>
      <c r="AG13" s="1580"/>
      <c r="AH13" s="1580"/>
    </row>
    <row r="14" spans="1:35" s="122" customFormat="1" ht="18" customHeight="1">
      <c r="A14" s="1551"/>
      <c r="B14" s="1551"/>
      <c r="C14" s="1551"/>
      <c r="D14" s="1551"/>
      <c r="E14" s="1554"/>
      <c r="F14" s="1551"/>
      <c r="G14" s="1554"/>
      <c r="H14" s="1554"/>
      <c r="I14" s="1554"/>
      <c r="J14" s="1567"/>
      <c r="K14" s="1553" t="s">
        <v>54</v>
      </c>
      <c r="L14" s="1555" t="s">
        <v>55</v>
      </c>
      <c r="M14" s="1594" t="s">
        <v>236</v>
      </c>
      <c r="N14" s="1594" t="s">
        <v>15</v>
      </c>
      <c r="O14" s="1595" t="s">
        <v>54</v>
      </c>
      <c r="P14" s="1596"/>
      <c r="Q14" s="1594" t="s">
        <v>55</v>
      </c>
      <c r="R14" s="1594"/>
      <c r="S14" s="1594"/>
      <c r="T14" s="1594" t="s">
        <v>296</v>
      </c>
      <c r="U14" s="1594"/>
      <c r="V14" s="1597" t="s">
        <v>168</v>
      </c>
      <c r="W14" s="1603"/>
      <c r="X14" s="1604"/>
      <c r="Y14" s="1604"/>
      <c r="Z14" s="1605"/>
      <c r="AA14" s="1603"/>
      <c r="AB14" s="1604"/>
      <c r="AC14" s="1604"/>
      <c r="AD14" s="1605"/>
      <c r="AE14" s="1580" t="s">
        <v>1393</v>
      </c>
      <c r="AF14" s="1580"/>
      <c r="AG14" s="1581" t="s">
        <v>1394</v>
      </c>
      <c r="AH14" s="1581"/>
    </row>
    <row r="15" spans="1:35" s="122" customFormat="1" ht="18" customHeight="1">
      <c r="A15" s="1552"/>
      <c r="B15" s="1552"/>
      <c r="C15" s="1552"/>
      <c r="D15" s="1552"/>
      <c r="E15" s="1555"/>
      <c r="F15" s="1552"/>
      <c r="G15" s="1555"/>
      <c r="H15" s="1555"/>
      <c r="I15" s="1555"/>
      <c r="J15" s="1568"/>
      <c r="K15" s="1553"/>
      <c r="L15" s="1553"/>
      <c r="M15" s="1594"/>
      <c r="N15" s="1594"/>
      <c r="O15" s="680" t="s">
        <v>263</v>
      </c>
      <c r="P15" s="1046" t="s">
        <v>78</v>
      </c>
      <c r="Q15" s="1046" t="s">
        <v>1661</v>
      </c>
      <c r="R15" s="1046" t="s">
        <v>263</v>
      </c>
      <c r="S15" s="1046" t="s">
        <v>78</v>
      </c>
      <c r="T15" s="1046" t="s">
        <v>54</v>
      </c>
      <c r="U15" s="1046" t="s">
        <v>55</v>
      </c>
      <c r="V15" s="1598"/>
      <c r="W15" s="1047" t="s">
        <v>15</v>
      </c>
      <c r="X15" s="1048" t="s">
        <v>167</v>
      </c>
      <c r="Y15" s="1048" t="s">
        <v>9</v>
      </c>
      <c r="Z15" s="1048" t="s">
        <v>171</v>
      </c>
      <c r="AA15" s="1047" t="s">
        <v>15</v>
      </c>
      <c r="AB15" s="1051" t="s">
        <v>167</v>
      </c>
      <c r="AC15" s="1048" t="s">
        <v>9</v>
      </c>
      <c r="AD15" s="1048" t="s">
        <v>171</v>
      </c>
      <c r="AE15" s="1047" t="s">
        <v>193</v>
      </c>
      <c r="AF15" s="1051" t="s">
        <v>1396</v>
      </c>
      <c r="AG15" s="1048" t="s">
        <v>193</v>
      </c>
      <c r="AH15" s="1048" t="s">
        <v>15</v>
      </c>
    </row>
    <row r="16" spans="1:35" s="114" customFormat="1" ht="12" customHeight="1">
      <c r="A16" s="53"/>
      <c r="B16" s="53" t="s">
        <v>194</v>
      </c>
      <c r="C16" s="53">
        <v>26</v>
      </c>
      <c r="D16" s="193" t="s">
        <v>2854</v>
      </c>
      <c r="E16" s="672" t="s">
        <v>147</v>
      </c>
      <c r="F16" s="1052" t="s">
        <v>2855</v>
      </c>
      <c r="G16" s="672"/>
      <c r="H16" s="673">
        <v>0</v>
      </c>
      <c r="I16" s="674">
        <f>118560000+61035000</f>
        <v>179595000</v>
      </c>
      <c r="J16" s="675">
        <f>I16*10%</f>
        <v>17959500</v>
      </c>
      <c r="K16" s="658">
        <v>0</v>
      </c>
      <c r="L16" s="676">
        <f>I16+J16</f>
        <v>197554500</v>
      </c>
      <c r="M16" s="678" t="s">
        <v>242</v>
      </c>
      <c r="N16" s="678" t="s">
        <v>26</v>
      </c>
      <c r="O16" s="677"/>
      <c r="P16" s="677"/>
      <c r="Q16" s="675">
        <f>-I16*10%</f>
        <v>-17959500</v>
      </c>
      <c r="R16" s="116">
        <f>-I16*1.5%</f>
        <v>-2693925</v>
      </c>
      <c r="S16" s="194">
        <v>176807500</v>
      </c>
      <c r="T16" s="210">
        <f>K16+O16-P16</f>
        <v>0</v>
      </c>
      <c r="U16" s="115">
        <f>L16+Q16+R16-S16</f>
        <v>93575</v>
      </c>
      <c r="V16" s="679"/>
      <c r="W16" s="116"/>
      <c r="X16" s="185"/>
      <c r="Y16" s="592">
        <f>-Q16-X16</f>
        <v>17959500</v>
      </c>
      <c r="Z16" s="186"/>
      <c r="AA16" s="9"/>
      <c r="AB16" s="297"/>
      <c r="AC16" s="297"/>
      <c r="AD16" s="9"/>
      <c r="AE16" s="9"/>
      <c r="AF16" s="300"/>
      <c r="AG16" s="9"/>
      <c r="AH16" s="300"/>
      <c r="AI16" s="73" t="str">
        <f>CONCATENATE(D16,M16)</f>
        <v>KEMENTRIAN KOORDINATOR BIDANG KEMARITIMAN RIJUL</v>
      </c>
    </row>
    <row r="17" spans="1:38" s="114" customFormat="1" ht="12" customHeight="1">
      <c r="A17" s="53"/>
      <c r="B17" s="53" t="s">
        <v>195</v>
      </c>
      <c r="C17" s="53">
        <v>28</v>
      </c>
      <c r="D17" s="8" t="s">
        <v>2854</v>
      </c>
      <c r="E17" s="10" t="s">
        <v>147</v>
      </c>
      <c r="F17" s="435" t="s">
        <v>2856</v>
      </c>
      <c r="G17" s="672"/>
      <c r="H17" s="658">
        <v>0</v>
      </c>
      <c r="I17" s="118">
        <f>27500000+3500000</f>
        <v>31000000</v>
      </c>
      <c r="J17" s="116">
        <f>I17*10%</f>
        <v>3100000</v>
      </c>
      <c r="K17" s="658">
        <v>0</v>
      </c>
      <c r="L17" s="189">
        <f>I17+J17</f>
        <v>34100000</v>
      </c>
      <c r="M17" s="197" t="s">
        <v>242</v>
      </c>
      <c r="N17" s="197" t="s">
        <v>97</v>
      </c>
      <c r="O17" s="175"/>
      <c r="P17" s="175"/>
      <c r="Q17" s="675">
        <f>-I17*10%</f>
        <v>-3100000</v>
      </c>
      <c r="R17" s="116">
        <f>-I17*1.5%</f>
        <v>-465000</v>
      </c>
      <c r="S17" s="115">
        <v>44688000</v>
      </c>
      <c r="T17" s="210">
        <f>K17+O17-P17</f>
        <v>0</v>
      </c>
      <c r="U17" s="115">
        <f>L17+Q17+R17-S17</f>
        <v>-14153000</v>
      </c>
      <c r="V17" s="679"/>
      <c r="W17" s="116"/>
      <c r="X17" s="185"/>
      <c r="Y17" s="592">
        <f>-Q17-X17</f>
        <v>3100000</v>
      </c>
      <c r="Z17" s="186"/>
      <c r="AA17" s="9"/>
      <c r="AB17" s="297"/>
      <c r="AC17" s="297"/>
      <c r="AD17" s="9"/>
      <c r="AE17" s="9"/>
      <c r="AF17" s="300"/>
      <c r="AG17" s="9"/>
      <c r="AH17" s="300"/>
      <c r="AI17" s="73" t="str">
        <f>CONCATENATE(D17,M17)</f>
        <v>KEMENTRIAN KOORDINATOR BIDANG KEMARITIMAN RIJUL</v>
      </c>
    </row>
    <row r="18" spans="1:38" s="114" customFormat="1" ht="12" customHeight="1" thickBot="1">
      <c r="A18" s="53"/>
      <c r="B18" s="53" t="s">
        <v>195</v>
      </c>
      <c r="C18" s="53">
        <v>28</v>
      </c>
      <c r="D18" s="8" t="s">
        <v>2854</v>
      </c>
      <c r="E18" s="10" t="s">
        <v>147</v>
      </c>
      <c r="F18" s="435" t="s">
        <v>2857</v>
      </c>
      <c r="G18" s="672"/>
      <c r="H18" s="658">
        <v>0</v>
      </c>
      <c r="I18" s="674">
        <f>25800000+18000000+7000000</f>
        <v>50800000</v>
      </c>
      <c r="J18" s="116">
        <f>I18*10%</f>
        <v>5080000</v>
      </c>
      <c r="K18" s="658">
        <v>0</v>
      </c>
      <c r="L18" s="189">
        <f>I18+J18</f>
        <v>55880000</v>
      </c>
      <c r="M18" s="197" t="s">
        <v>242</v>
      </c>
      <c r="N18" s="197" t="s">
        <v>26</v>
      </c>
      <c r="O18" s="677"/>
      <c r="P18" s="677"/>
      <c r="Q18" s="675">
        <f>-I18*10%</f>
        <v>-5080000</v>
      </c>
      <c r="R18" s="116">
        <f>-I18*1.5%</f>
        <v>-762000</v>
      </c>
      <c r="S18" s="194">
        <v>87759000</v>
      </c>
      <c r="T18" s="210">
        <f>K18+O18-P18</f>
        <v>0</v>
      </c>
      <c r="U18" s="115">
        <f>L18+Q18+R18-S18</f>
        <v>-37721000</v>
      </c>
      <c r="V18" s="679"/>
      <c r="W18" s="116"/>
      <c r="X18" s="185"/>
      <c r="Y18" s="592"/>
      <c r="Z18" s="186"/>
      <c r="AA18" s="9"/>
      <c r="AB18" s="297"/>
      <c r="AC18" s="297"/>
      <c r="AD18" s="9"/>
      <c r="AE18" s="9"/>
      <c r="AF18" s="300"/>
      <c r="AG18" s="9"/>
      <c r="AH18" s="300"/>
      <c r="AI18" s="73" t="str">
        <f>CONCATENATE(D18,M18)</f>
        <v>KEMENTRIAN KOORDINATOR BIDANG KEMARITIMAN RIJUL</v>
      </c>
    </row>
    <row r="19" spans="1:38" ht="20.100000000000001" customHeight="1" thickTop="1" thickBot="1">
      <c r="A19" s="1545" t="s">
        <v>61</v>
      </c>
      <c r="B19" s="1545"/>
      <c r="C19" s="1545"/>
      <c r="D19" s="1545"/>
      <c r="E19" s="1545"/>
      <c r="F19" s="1545"/>
      <c r="G19" s="1545"/>
      <c r="H19" s="593">
        <f>SUM(H16:H18)</f>
        <v>0</v>
      </c>
      <c r="I19" s="594">
        <f>SUM(I16:I18)</f>
        <v>261395000</v>
      </c>
      <c r="J19" s="594">
        <f>SUM(J16:J18)</f>
        <v>26139500</v>
      </c>
      <c r="K19" s="593">
        <f>SUM(K16:K18)</f>
        <v>0</v>
      </c>
      <c r="L19" s="594">
        <f>SUM(L16:L18)</f>
        <v>287534500</v>
      </c>
      <c r="M19" s="209"/>
      <c r="N19" s="209"/>
      <c r="O19" s="817">
        <f t="shared" ref="O19:U19" si="1">SUM(O16:O18)</f>
        <v>0</v>
      </c>
      <c r="P19" s="817">
        <f t="shared" si="1"/>
        <v>0</v>
      </c>
      <c r="Q19" s="594">
        <f t="shared" si="1"/>
        <v>-26139500</v>
      </c>
      <c r="R19" s="594">
        <f t="shared" si="1"/>
        <v>-3920925</v>
      </c>
      <c r="S19" s="594">
        <f t="shared" si="1"/>
        <v>309254500</v>
      </c>
      <c r="T19" s="593">
        <f t="shared" si="1"/>
        <v>0</v>
      </c>
      <c r="U19" s="602">
        <f t="shared" si="1"/>
        <v>-51780425</v>
      </c>
      <c r="V19" s="209"/>
      <c r="X19" s="594">
        <f>SUM(X16:X18)</f>
        <v>0</v>
      </c>
      <c r="Y19" s="602">
        <f>SUM(Y16:Y18)</f>
        <v>21059500</v>
      </c>
      <c r="AB19" s="594">
        <f>SUM(AB16:AB18)</f>
        <v>0</v>
      </c>
      <c r="AC19" s="602">
        <f>SUM(AC16:AC18)</f>
        <v>0</v>
      </c>
    </row>
    <row r="20" spans="1:38" ht="20.100000000000001" customHeight="1" thickTop="1" thickBot="1">
      <c r="A20" s="73"/>
      <c r="B20" s="73"/>
      <c r="C20" s="73"/>
      <c r="D20" s="73"/>
      <c r="E20" s="73"/>
      <c r="F20" s="73"/>
      <c r="G20" s="73"/>
      <c r="H20" s="73"/>
      <c r="I20" s="1541">
        <f>SUM(I19:J19)</f>
        <v>287534500</v>
      </c>
      <c r="J20" s="1542"/>
      <c r="K20" s="599" t="s">
        <v>1684</v>
      </c>
      <c r="L20" s="594">
        <f>I20-L19</f>
        <v>0</v>
      </c>
      <c r="M20" s="209"/>
      <c r="N20" s="209"/>
      <c r="O20" s="1591">
        <f>P19-O19</f>
        <v>0</v>
      </c>
      <c r="P20" s="1592"/>
      <c r="Q20" s="1541">
        <f>S19-R19-Q19</f>
        <v>339314925</v>
      </c>
      <c r="R20" s="1593"/>
      <c r="S20" s="1542"/>
      <c r="T20" s="601" t="s">
        <v>1687</v>
      </c>
      <c r="U20" s="594">
        <f>L19-Q20-U19</f>
        <v>0</v>
      </c>
      <c r="V20" s="206"/>
      <c r="W20" s="33"/>
      <c r="X20" s="1541">
        <f>SUM(X19:Y19)</f>
        <v>21059500</v>
      </c>
      <c r="Y20" s="1542"/>
      <c r="AB20" s="1541">
        <f>SUM(AB19:AC19)</f>
        <v>0</v>
      </c>
      <c r="AC20" s="1542"/>
    </row>
    <row r="21" spans="1:38" ht="20.100000000000001" customHeight="1" thickTop="1">
      <c r="A21" s="33"/>
      <c r="B21" s="33"/>
      <c r="C21" s="33"/>
      <c r="E21" s="33"/>
      <c r="F21" s="604"/>
      <c r="G21" s="33"/>
      <c r="H21" s="33"/>
      <c r="I21" s="1557" t="s">
        <v>1686</v>
      </c>
      <c r="J21" s="1558"/>
      <c r="K21" s="1559"/>
      <c r="L21" s="598"/>
      <c r="P21" s="603"/>
      <c r="Q21" s="603"/>
      <c r="R21" s="603"/>
      <c r="S21" s="369"/>
      <c r="T21" s="443"/>
      <c r="U21" s="444"/>
      <c r="V21" s="474"/>
      <c r="W21" s="33"/>
    </row>
    <row r="22" spans="1:38" ht="20.100000000000001" customHeight="1">
      <c r="F22" s="442"/>
      <c r="I22" s="1560" t="s">
        <v>1685</v>
      </c>
      <c r="J22" s="1561"/>
      <c r="K22" s="1562"/>
      <c r="L22" s="596">
        <v>-12483581</v>
      </c>
      <c r="P22" s="603"/>
      <c r="Q22" s="603"/>
      <c r="R22" s="603"/>
      <c r="S22" s="603"/>
      <c r="T22" s="443"/>
      <c r="U22" s="444"/>
    </row>
    <row r="23" spans="1:38" ht="20.100000000000001" customHeight="1">
      <c r="F23" s="442"/>
      <c r="I23" s="1563" t="s">
        <v>1619</v>
      </c>
      <c r="J23" s="1564"/>
      <c r="K23" s="1565"/>
      <c r="L23" s="597">
        <f>SUM(L20:L22)</f>
        <v>-12483581</v>
      </c>
      <c r="P23" s="603"/>
      <c r="Q23" s="603"/>
      <c r="R23" s="603"/>
      <c r="S23" s="603"/>
      <c r="T23" s="443"/>
      <c r="U23" s="444"/>
    </row>
    <row r="24" spans="1:38" ht="20.100000000000001" hidden="1" customHeight="1" thickBot="1">
      <c r="F24" s="442"/>
      <c r="I24" s="1045"/>
      <c r="J24" s="1045"/>
      <c r="K24" s="623"/>
      <c r="L24" s="624"/>
      <c r="P24" s="603"/>
      <c r="Q24" s="603"/>
      <c r="R24" s="603"/>
      <c r="S24" s="603"/>
      <c r="T24" s="443"/>
      <c r="U24" s="444"/>
    </row>
    <row r="25" spans="1:38" ht="20.100000000000001" hidden="1" customHeight="1" thickBot="1">
      <c r="A25" s="1546" t="s">
        <v>1692</v>
      </c>
      <c r="B25" s="1547"/>
      <c r="C25" s="1547"/>
      <c r="D25" s="1547"/>
      <c r="E25" s="1547"/>
      <c r="F25" s="1547"/>
      <c r="G25" s="1548"/>
      <c r="H25" s="626">
        <f>SUM(H7,H19)</f>
        <v>0</v>
      </c>
      <c r="I25" s="627">
        <f>SUM(I7,I19)</f>
        <v>276395000</v>
      </c>
      <c r="J25" s="627">
        <f>SUM(J7,J19)</f>
        <v>26139500</v>
      </c>
      <c r="K25" s="626">
        <f>SUM(K7,K19)</f>
        <v>0</v>
      </c>
      <c r="L25" s="627">
        <f>SUM(L7,L19)</f>
        <v>302534500</v>
      </c>
      <c r="M25" s="1585"/>
      <c r="N25" s="1586"/>
      <c r="O25" s="626">
        <f t="shared" ref="O25:U25" si="2">SUM(O7,O19)</f>
        <v>0</v>
      </c>
      <c r="P25" s="626">
        <f t="shared" si="2"/>
        <v>0</v>
      </c>
      <c r="Q25" s="627">
        <f t="shared" si="2"/>
        <v>-26139500</v>
      </c>
      <c r="R25" s="627">
        <f t="shared" si="2"/>
        <v>-3920925</v>
      </c>
      <c r="S25" s="627">
        <f t="shared" si="2"/>
        <v>309254500</v>
      </c>
      <c r="T25" s="626">
        <f t="shared" si="2"/>
        <v>0</v>
      </c>
      <c r="U25" s="627">
        <f t="shared" si="2"/>
        <v>-36780425</v>
      </c>
      <c r="V25" s="1585"/>
      <c r="W25" s="1586"/>
      <c r="X25" s="627">
        <f>SUM(X7,X19)</f>
        <v>0</v>
      </c>
      <c r="Y25" s="627">
        <f>SUM(Y7,Y19)</f>
        <v>21059500</v>
      </c>
      <c r="Z25" s="1585"/>
      <c r="AA25" s="1586"/>
      <c r="AB25" s="627">
        <f>SUM(AB7,AB19)</f>
        <v>0</v>
      </c>
      <c r="AC25" s="627">
        <f>SUM(AC7,AC19)</f>
        <v>0</v>
      </c>
    </row>
    <row r="26" spans="1:38" ht="20.100000000000001" hidden="1" customHeight="1">
      <c r="F26" s="442"/>
      <c r="I26" s="595"/>
      <c r="J26" s="595"/>
      <c r="K26" s="595"/>
      <c r="L26" s="625"/>
      <c r="P26" s="603"/>
      <c r="Q26" s="603"/>
      <c r="R26" s="603"/>
      <c r="S26" s="603"/>
      <c r="T26" s="443"/>
      <c r="U26" s="444"/>
    </row>
    <row r="27" spans="1:38" ht="24" customHeight="1">
      <c r="B27" s="1587" t="s">
        <v>234</v>
      </c>
      <c r="C27" s="1588"/>
      <c r="D27" s="1588"/>
      <c r="E27" s="1588"/>
      <c r="F27" s="1588"/>
      <c r="G27" s="1588"/>
      <c r="H27" s="1589"/>
      <c r="I27" s="1588"/>
      <c r="J27" s="1590"/>
      <c r="K27" s="500" t="e">
        <f>SUBTOTAL(9,#REF!)</f>
        <v>#REF!</v>
      </c>
      <c r="L27" s="445" t="e">
        <f>SUBTOTAL(9,#REF!)</f>
        <v>#REF!</v>
      </c>
      <c r="P27" s="603"/>
      <c r="Q27" s="603"/>
      <c r="R27" s="603"/>
      <c r="S27" s="603"/>
      <c r="T27" s="443"/>
      <c r="U27" s="444"/>
    </row>
    <row r="28" spans="1:38" ht="12" customHeight="1">
      <c r="F28" s="442"/>
      <c r="T28" s="443"/>
      <c r="U28" s="444"/>
    </row>
    <row r="29" spans="1:38" s="162" customFormat="1" ht="12" customHeight="1">
      <c r="A29" s="474"/>
      <c r="B29" s="497" t="s">
        <v>782</v>
      </c>
      <c r="C29" s="446"/>
      <c r="D29" s="446"/>
      <c r="E29" s="446"/>
      <c r="F29" s="442"/>
      <c r="G29" s="111"/>
      <c r="H29" s="111"/>
      <c r="I29" s="112"/>
      <c r="J29" s="112"/>
      <c r="K29" s="111"/>
      <c r="L29" s="111"/>
      <c r="O29" s="112"/>
      <c r="P29" s="112"/>
      <c r="Q29" s="112"/>
      <c r="R29" s="112"/>
      <c r="S29" s="112"/>
      <c r="T29" s="443"/>
      <c r="U29" s="444"/>
      <c r="W29" s="112"/>
      <c r="X29" s="33"/>
      <c r="Y29" s="33"/>
      <c r="Z29" s="33"/>
      <c r="AA29" s="474"/>
      <c r="AB29" s="161"/>
      <c r="AC29" s="161"/>
      <c r="AD29" s="474"/>
      <c r="AE29" s="474"/>
      <c r="AF29" s="474"/>
      <c r="AG29" s="474"/>
      <c r="AH29" s="474"/>
      <c r="AI29" s="33"/>
      <c r="AJ29" s="33"/>
      <c r="AK29" s="33"/>
      <c r="AL29" s="33"/>
    </row>
    <row r="30" spans="1:38" s="162" customFormat="1" ht="12" customHeight="1">
      <c r="A30" s="474"/>
      <c r="B30" s="499"/>
      <c r="C30" s="498" t="s">
        <v>2825</v>
      </c>
      <c r="D30" s="447"/>
      <c r="E30" s="447"/>
      <c r="F30" s="442"/>
      <c r="G30" s="111"/>
      <c r="H30" s="111"/>
      <c r="I30" s="112"/>
      <c r="J30" s="112"/>
      <c r="K30" s="111"/>
      <c r="L30" s="111"/>
      <c r="O30" s="112"/>
      <c r="P30" s="112"/>
      <c r="Q30" s="112"/>
      <c r="R30" s="112"/>
      <c r="S30" s="112"/>
      <c r="T30" s="443"/>
      <c r="U30" s="444"/>
      <c r="W30" s="112"/>
      <c r="X30" s="33"/>
      <c r="Y30" s="33"/>
      <c r="Z30" s="33"/>
      <c r="AA30" s="474"/>
      <c r="AB30" s="161"/>
      <c r="AC30" s="161"/>
      <c r="AD30" s="474"/>
      <c r="AE30" s="474"/>
      <c r="AF30" s="474"/>
      <c r="AG30" s="474"/>
      <c r="AH30" s="474"/>
      <c r="AI30" s="33"/>
      <c r="AJ30" s="33"/>
      <c r="AK30" s="33"/>
      <c r="AL30" s="33"/>
    </row>
    <row r="31" spans="1:38" s="162" customFormat="1" ht="12" customHeight="1">
      <c r="A31" s="474"/>
      <c r="B31" s="474"/>
      <c r="C31" s="474"/>
      <c r="D31" s="33"/>
      <c r="E31" s="111"/>
      <c r="F31" s="442"/>
      <c r="G31" s="111"/>
      <c r="H31" s="111"/>
      <c r="I31" s="112"/>
      <c r="J31" s="112"/>
      <c r="K31" s="111"/>
      <c r="L31" s="111"/>
      <c r="O31" s="112"/>
      <c r="P31" s="112"/>
      <c r="Q31" s="112"/>
      <c r="R31" s="112"/>
      <c r="S31" s="112"/>
      <c r="T31" s="443"/>
      <c r="U31" s="444"/>
      <c r="W31" s="112"/>
      <c r="X31" s="33"/>
      <c r="Y31" s="33"/>
      <c r="Z31" s="33"/>
      <c r="AA31" s="474"/>
      <c r="AB31" s="161"/>
      <c r="AC31" s="161"/>
      <c r="AD31" s="474"/>
      <c r="AE31" s="474"/>
      <c r="AF31" s="474"/>
      <c r="AG31" s="474"/>
      <c r="AH31" s="474"/>
      <c r="AI31" s="33"/>
      <c r="AJ31" s="33"/>
      <c r="AK31" s="33"/>
      <c r="AL31" s="33"/>
    </row>
    <row r="32" spans="1:38" s="162" customFormat="1" ht="12" customHeight="1">
      <c r="A32" s="474"/>
      <c r="B32" s="474"/>
      <c r="C32" s="474"/>
      <c r="D32" s="33"/>
      <c r="E32" s="111"/>
      <c r="F32" s="33"/>
      <c r="G32" s="111"/>
      <c r="H32" s="111"/>
      <c r="I32" s="112"/>
      <c r="J32" s="112"/>
      <c r="K32" s="111"/>
      <c r="L32" s="111"/>
      <c r="O32" s="112"/>
      <c r="P32" s="112"/>
      <c r="Q32" s="112"/>
      <c r="R32" s="112"/>
      <c r="S32" s="112"/>
      <c r="T32" s="112"/>
      <c r="U32" s="112"/>
      <c r="W32" s="112"/>
      <c r="X32" s="33"/>
      <c r="Y32" s="33"/>
      <c r="Z32" s="33"/>
      <c r="AA32" s="474"/>
      <c r="AB32" s="161"/>
      <c r="AC32" s="161"/>
      <c r="AD32" s="474"/>
      <c r="AE32" s="474"/>
      <c r="AF32" s="474"/>
      <c r="AG32" s="474"/>
      <c r="AH32" s="474"/>
      <c r="AI32" s="33"/>
      <c r="AJ32" s="33"/>
      <c r="AK32" s="33"/>
      <c r="AL32" s="33"/>
    </row>
    <row r="33" spans="1:38" ht="12" customHeight="1">
      <c r="B33" s="165"/>
      <c r="C33" s="165"/>
      <c r="D33" s="167"/>
      <c r="E33" s="164"/>
      <c r="F33" s="165"/>
      <c r="G33" s="822"/>
      <c r="H33" s="822"/>
      <c r="I33" s="823"/>
      <c r="J33" s="166"/>
    </row>
    <row r="34" spans="1:38" ht="12" customHeight="1">
      <c r="G34" s="825"/>
      <c r="H34" s="825"/>
      <c r="I34" s="826"/>
      <c r="J34" s="826"/>
      <c r="K34" s="826"/>
    </row>
    <row r="35" spans="1:38" ht="12" customHeight="1">
      <c r="G35" s="825"/>
      <c r="H35" s="825"/>
      <c r="I35" s="826"/>
      <c r="J35" s="826"/>
      <c r="K35" s="826"/>
    </row>
    <row r="36" spans="1:38" ht="12" customHeight="1">
      <c r="G36" s="827"/>
      <c r="H36" s="825"/>
      <c r="I36" s="826"/>
      <c r="J36" s="826"/>
    </row>
    <row r="37" spans="1:38" ht="12" customHeight="1">
      <c r="G37" s="827"/>
      <c r="H37" s="827"/>
      <c r="I37" s="826"/>
      <c r="J37" s="826"/>
    </row>
    <row r="38" spans="1:38" ht="12" customHeight="1">
      <c r="G38" s="827"/>
      <c r="H38" s="827"/>
      <c r="I38" s="826"/>
      <c r="J38" s="826"/>
    </row>
    <row r="39" spans="1:38" ht="12" customHeight="1">
      <c r="G39" s="827"/>
      <c r="H39" s="827"/>
      <c r="I39" s="826"/>
      <c r="J39" s="826"/>
    </row>
    <row r="40" spans="1:38" ht="12" customHeight="1">
      <c r="A40" s="33"/>
      <c r="B40" s="33"/>
      <c r="C40" s="33"/>
      <c r="E40" s="33"/>
      <c r="F40" s="33"/>
      <c r="G40" s="474"/>
      <c r="H40" s="474"/>
      <c r="I40" s="824"/>
      <c r="J40" s="824"/>
      <c r="K40" s="33"/>
      <c r="L40" s="33"/>
      <c r="M40" s="474"/>
      <c r="N40" s="474"/>
      <c r="O40" s="33"/>
      <c r="P40" s="33"/>
      <c r="Q40" s="33"/>
      <c r="R40" s="33"/>
      <c r="S40" s="33"/>
      <c r="T40" s="33"/>
      <c r="U40" s="33"/>
      <c r="V40" s="474"/>
      <c r="W40" s="33"/>
    </row>
    <row r="41" spans="1:38" ht="12" customHeight="1">
      <c r="A41" s="33"/>
      <c r="B41" s="33"/>
      <c r="C41" s="33"/>
      <c r="E41" s="33"/>
      <c r="F41" s="33"/>
      <c r="G41" s="33"/>
      <c r="H41" s="33"/>
      <c r="I41" s="823"/>
      <c r="J41" s="823"/>
      <c r="K41" s="33"/>
      <c r="L41" s="33"/>
      <c r="M41" s="474"/>
      <c r="N41" s="474"/>
      <c r="O41" s="33"/>
      <c r="P41" s="33"/>
      <c r="Q41" s="33"/>
      <c r="R41" s="33"/>
      <c r="S41" s="33"/>
      <c r="T41" s="33"/>
      <c r="U41" s="33"/>
      <c r="V41" s="474"/>
      <c r="W41" s="33"/>
    </row>
    <row r="42" spans="1:38" ht="12" customHeight="1">
      <c r="I42" s="823"/>
      <c r="J42" s="823"/>
    </row>
    <row r="43" spans="1:38" ht="12" customHeight="1">
      <c r="I43" s="162"/>
      <c r="J43" s="162"/>
    </row>
    <row r="44" spans="1:38" ht="12" customHeight="1">
      <c r="I44" s="162"/>
      <c r="J44" s="162"/>
    </row>
    <row r="45" spans="1:38" ht="12" customHeight="1">
      <c r="J45" s="162"/>
    </row>
    <row r="46" spans="1:38" ht="12" customHeight="1">
      <c r="J46" s="162"/>
    </row>
    <row r="47" spans="1:38" ht="12" customHeight="1">
      <c r="J47" s="162"/>
    </row>
    <row r="48" spans="1:38" s="162" customFormat="1" ht="12" customHeight="1">
      <c r="A48" s="474"/>
      <c r="B48" s="474"/>
      <c r="C48" s="474"/>
      <c r="D48" s="33"/>
      <c r="E48" s="111"/>
      <c r="F48" s="474"/>
      <c r="G48" s="111"/>
      <c r="H48" s="111"/>
      <c r="I48" s="112"/>
      <c r="J48" s="112"/>
      <c r="K48" s="111"/>
      <c r="L48" s="111"/>
      <c r="O48" s="112"/>
      <c r="P48" s="112"/>
      <c r="Q48" s="112"/>
      <c r="R48" s="112"/>
      <c r="S48" s="112"/>
      <c r="T48" s="112"/>
      <c r="U48" s="112"/>
      <c r="W48" s="112"/>
      <c r="X48" s="33"/>
      <c r="Y48" s="33"/>
      <c r="Z48" s="33"/>
      <c r="AA48" s="474"/>
      <c r="AB48" s="161"/>
      <c r="AC48" s="161"/>
      <c r="AD48" s="474"/>
      <c r="AE48" s="474"/>
      <c r="AF48" s="474"/>
      <c r="AG48" s="474"/>
      <c r="AH48" s="474"/>
      <c r="AI48" s="33"/>
      <c r="AJ48" s="33"/>
      <c r="AK48" s="33"/>
      <c r="AL48" s="33"/>
    </row>
    <row r="49" spans="1:38" s="162" customFormat="1" ht="12" customHeight="1">
      <c r="A49" s="474"/>
      <c r="B49" s="474"/>
      <c r="C49" s="474"/>
      <c r="D49" s="33"/>
      <c r="E49" s="111"/>
      <c r="F49" s="474"/>
      <c r="G49" s="111"/>
      <c r="H49" s="111"/>
      <c r="I49" s="112"/>
      <c r="J49" s="112"/>
      <c r="K49" s="111"/>
      <c r="L49" s="111"/>
      <c r="O49" s="112"/>
      <c r="P49" s="112"/>
      <c r="Q49" s="112"/>
      <c r="R49" s="112"/>
      <c r="S49" s="112"/>
      <c r="T49" s="112"/>
      <c r="U49" s="112"/>
      <c r="W49" s="112"/>
      <c r="X49" s="33"/>
      <c r="Y49" s="33"/>
      <c r="Z49" s="33"/>
      <c r="AA49" s="474"/>
      <c r="AB49" s="161"/>
      <c r="AC49" s="161"/>
      <c r="AD49" s="474"/>
      <c r="AE49" s="474"/>
      <c r="AF49" s="474"/>
      <c r="AG49" s="474"/>
      <c r="AH49" s="474"/>
      <c r="AI49" s="33"/>
      <c r="AJ49" s="33"/>
      <c r="AK49" s="33"/>
      <c r="AL49" s="33"/>
    </row>
    <row r="50" spans="1:38" s="162" customFormat="1" ht="12" customHeight="1">
      <c r="A50" s="474"/>
      <c r="B50" s="474"/>
      <c r="C50" s="474"/>
      <c r="D50" s="33"/>
      <c r="E50" s="111"/>
      <c r="F50" s="474"/>
      <c r="G50" s="111"/>
      <c r="H50" s="111"/>
      <c r="I50" s="112"/>
      <c r="J50" s="112"/>
      <c r="K50" s="111"/>
      <c r="L50" s="111"/>
      <c r="O50" s="112"/>
      <c r="P50" s="112"/>
      <c r="Q50" s="112"/>
      <c r="R50" s="112"/>
      <c r="S50" s="112"/>
      <c r="T50" s="112"/>
      <c r="U50" s="112"/>
      <c r="W50" s="112"/>
      <c r="X50" s="33"/>
      <c r="Y50" s="33"/>
      <c r="Z50" s="33"/>
      <c r="AA50" s="474"/>
      <c r="AB50" s="161"/>
      <c r="AC50" s="161"/>
      <c r="AD50" s="474"/>
      <c r="AE50" s="474"/>
      <c r="AF50" s="474"/>
      <c r="AG50" s="474"/>
      <c r="AH50" s="474"/>
      <c r="AI50" s="33"/>
      <c r="AJ50" s="33"/>
      <c r="AK50" s="33"/>
      <c r="AL50" s="33"/>
    </row>
    <row r="51" spans="1:38" s="162" customFormat="1" ht="12" customHeight="1">
      <c r="A51" s="474"/>
      <c r="B51" s="474"/>
      <c r="C51" s="474"/>
      <c r="D51" s="33"/>
      <c r="E51" s="111"/>
      <c r="F51" s="474"/>
      <c r="G51" s="111"/>
      <c r="H51" s="111"/>
      <c r="I51" s="112"/>
      <c r="J51" s="112"/>
      <c r="K51" s="111"/>
      <c r="L51" s="111"/>
      <c r="O51" s="112"/>
      <c r="P51" s="112"/>
      <c r="Q51" s="112"/>
      <c r="R51" s="112"/>
      <c r="S51" s="112"/>
      <c r="T51" s="112"/>
      <c r="U51" s="112"/>
      <c r="W51" s="112"/>
      <c r="X51" s="33"/>
      <c r="Y51" s="33"/>
      <c r="Z51" s="33"/>
      <c r="AA51" s="474"/>
      <c r="AB51" s="161"/>
      <c r="AC51" s="161"/>
      <c r="AD51" s="474"/>
      <c r="AE51" s="474"/>
      <c r="AF51" s="474"/>
      <c r="AG51" s="474"/>
      <c r="AH51" s="474"/>
      <c r="AI51" s="33"/>
      <c r="AJ51" s="33"/>
      <c r="AK51" s="33"/>
      <c r="AL51" s="33"/>
    </row>
    <row r="52" spans="1:38" s="162" customFormat="1" ht="12" customHeight="1">
      <c r="A52" s="474"/>
      <c r="B52" s="474"/>
      <c r="C52" s="474"/>
      <c r="D52" s="33"/>
      <c r="E52" s="111"/>
      <c r="F52" s="474"/>
      <c r="G52" s="111"/>
      <c r="H52" s="111"/>
      <c r="I52" s="112"/>
      <c r="J52" s="112"/>
      <c r="K52" s="111"/>
      <c r="L52" s="111"/>
      <c r="O52" s="112"/>
      <c r="P52" s="112"/>
      <c r="Q52" s="112"/>
      <c r="R52" s="112"/>
      <c r="S52" s="112"/>
      <c r="T52" s="112"/>
      <c r="U52" s="112"/>
      <c r="W52" s="112"/>
      <c r="X52" s="33"/>
      <c r="Y52" s="33"/>
      <c r="Z52" s="33"/>
      <c r="AA52" s="474"/>
      <c r="AB52" s="161"/>
      <c r="AC52" s="161"/>
      <c r="AD52" s="474"/>
      <c r="AE52" s="474"/>
      <c r="AF52" s="474"/>
      <c r="AG52" s="474"/>
      <c r="AH52" s="474"/>
      <c r="AI52" s="33"/>
      <c r="AJ52" s="33"/>
      <c r="AK52" s="33"/>
      <c r="AL52" s="33"/>
    </row>
    <row r="53" spans="1:38" s="162" customFormat="1" ht="12" customHeight="1">
      <c r="A53" s="474"/>
      <c r="B53" s="474"/>
      <c r="C53" s="474"/>
      <c r="D53" s="33"/>
      <c r="E53" s="111"/>
      <c r="F53" s="474"/>
      <c r="G53" s="111"/>
      <c r="H53" s="111"/>
      <c r="I53" s="112"/>
      <c r="J53" s="112"/>
      <c r="K53" s="111"/>
      <c r="L53" s="166"/>
      <c r="O53" s="112"/>
      <c r="P53" s="112"/>
      <c r="Q53" s="112"/>
      <c r="R53" s="112"/>
      <c r="S53" s="112"/>
      <c r="T53" s="112"/>
      <c r="U53" s="112"/>
      <c r="W53" s="112"/>
      <c r="X53" s="33"/>
      <c r="Y53" s="33"/>
      <c r="Z53" s="33"/>
      <c r="AA53" s="474"/>
      <c r="AB53" s="161"/>
      <c r="AC53" s="161"/>
      <c r="AD53" s="474"/>
      <c r="AE53" s="474"/>
      <c r="AF53" s="474"/>
      <c r="AG53" s="474"/>
      <c r="AH53" s="474"/>
      <c r="AI53" s="33"/>
      <c r="AJ53" s="33"/>
      <c r="AK53" s="33"/>
      <c r="AL53" s="33"/>
    </row>
    <row r="54" spans="1:38" s="162" customFormat="1" ht="12" customHeight="1">
      <c r="A54" s="474"/>
      <c r="B54" s="474"/>
      <c r="C54" s="474"/>
      <c r="D54" s="33"/>
      <c r="E54" s="111"/>
      <c r="F54" s="474"/>
      <c r="G54" s="111"/>
      <c r="H54" s="111"/>
      <c r="I54" s="112"/>
      <c r="J54" s="112"/>
      <c r="K54" s="111"/>
      <c r="L54" s="166"/>
      <c r="O54" s="112"/>
      <c r="P54" s="112"/>
      <c r="Q54" s="112"/>
      <c r="R54" s="112"/>
      <c r="S54" s="112"/>
      <c r="T54" s="112"/>
      <c r="U54" s="112"/>
      <c r="W54" s="112"/>
      <c r="X54" s="33"/>
      <c r="Y54" s="33"/>
      <c r="Z54" s="33"/>
      <c r="AA54" s="474"/>
      <c r="AB54" s="161"/>
      <c r="AC54" s="161"/>
      <c r="AD54" s="474"/>
      <c r="AE54" s="474"/>
      <c r="AF54" s="474"/>
      <c r="AG54" s="474"/>
      <c r="AH54" s="474"/>
      <c r="AI54" s="33"/>
      <c r="AJ54" s="33"/>
      <c r="AK54" s="33"/>
      <c r="AL54" s="33"/>
    </row>
    <row r="55" spans="1:38" s="162" customFormat="1" ht="12" customHeight="1">
      <c r="A55" s="474"/>
      <c r="B55" s="474"/>
      <c r="C55" s="474"/>
      <c r="D55" s="33"/>
      <c r="E55" s="111"/>
      <c r="F55" s="474"/>
      <c r="G55" s="111"/>
      <c r="H55" s="111"/>
      <c r="I55" s="112"/>
      <c r="J55" s="112"/>
      <c r="K55" s="111"/>
      <c r="L55" s="166"/>
      <c r="O55" s="112"/>
      <c r="P55" s="112"/>
      <c r="Q55" s="112"/>
      <c r="R55" s="112"/>
      <c r="S55" s="112"/>
      <c r="T55" s="112"/>
      <c r="U55" s="112"/>
      <c r="W55" s="112"/>
      <c r="X55" s="33"/>
      <c r="Y55" s="33"/>
      <c r="Z55" s="33"/>
      <c r="AA55" s="474"/>
      <c r="AB55" s="161"/>
      <c r="AC55" s="161"/>
      <c r="AD55" s="474"/>
      <c r="AE55" s="474"/>
      <c r="AF55" s="474"/>
      <c r="AG55" s="474"/>
      <c r="AH55" s="474"/>
      <c r="AI55" s="33"/>
      <c r="AJ55" s="33"/>
      <c r="AK55" s="33"/>
      <c r="AL55" s="33"/>
    </row>
    <row r="56" spans="1:38" s="162" customFormat="1" ht="12" customHeight="1">
      <c r="A56" s="474"/>
      <c r="B56" s="474"/>
      <c r="C56" s="474"/>
      <c r="D56" s="33"/>
      <c r="E56" s="111"/>
      <c r="F56" s="474"/>
      <c r="G56" s="111"/>
      <c r="H56" s="111"/>
      <c r="I56" s="112"/>
      <c r="J56" s="112"/>
      <c r="K56" s="111"/>
      <c r="L56" s="166"/>
      <c r="O56" s="112"/>
      <c r="P56" s="112"/>
      <c r="Q56" s="112"/>
      <c r="R56" s="112"/>
      <c r="S56" s="112"/>
      <c r="T56" s="112"/>
      <c r="U56" s="112"/>
      <c r="W56" s="112"/>
      <c r="X56" s="33"/>
      <c r="Y56" s="33"/>
      <c r="Z56" s="33"/>
      <c r="AA56" s="474"/>
      <c r="AB56" s="161"/>
      <c r="AC56" s="161"/>
      <c r="AD56" s="474"/>
      <c r="AE56" s="474"/>
      <c r="AF56" s="474"/>
      <c r="AG56" s="474"/>
      <c r="AH56" s="474"/>
      <c r="AI56" s="33"/>
      <c r="AJ56" s="33"/>
      <c r="AK56" s="33"/>
      <c r="AL56" s="33"/>
    </row>
    <row r="57" spans="1:38" s="162" customFormat="1" ht="12" customHeight="1">
      <c r="A57" s="474"/>
      <c r="B57" s="474"/>
      <c r="C57" s="474"/>
      <c r="D57" s="33"/>
      <c r="E57" s="111"/>
      <c r="F57" s="474"/>
      <c r="G57" s="111"/>
      <c r="H57" s="111"/>
      <c r="I57" s="112"/>
      <c r="J57" s="112"/>
      <c r="K57" s="111"/>
      <c r="L57" s="111"/>
      <c r="O57" s="112"/>
      <c r="P57" s="112"/>
      <c r="Q57" s="112"/>
      <c r="R57" s="112"/>
      <c r="S57" s="112"/>
      <c r="T57" s="112"/>
      <c r="U57" s="112"/>
      <c r="W57" s="112"/>
      <c r="X57" s="33"/>
      <c r="Y57" s="33"/>
      <c r="Z57" s="33"/>
      <c r="AA57" s="474"/>
      <c r="AB57" s="161"/>
      <c r="AC57" s="161"/>
      <c r="AD57" s="474"/>
      <c r="AE57" s="474"/>
      <c r="AF57" s="474"/>
      <c r="AG57" s="474"/>
      <c r="AH57" s="474"/>
      <c r="AI57" s="33"/>
      <c r="AJ57" s="33"/>
      <c r="AK57" s="33"/>
      <c r="AL57" s="33"/>
    </row>
    <row r="58" spans="1:38" s="162" customFormat="1" ht="12" customHeight="1">
      <c r="A58" s="474"/>
      <c r="B58" s="474"/>
      <c r="C58" s="474"/>
      <c r="D58" s="33"/>
      <c r="E58" s="111"/>
      <c r="F58" s="474"/>
      <c r="G58" s="111"/>
      <c r="H58" s="111"/>
      <c r="I58" s="112"/>
      <c r="J58" s="112"/>
      <c r="K58" s="111"/>
      <c r="L58" s="111"/>
      <c r="O58" s="112"/>
      <c r="P58" s="112"/>
      <c r="Q58" s="112"/>
      <c r="R58" s="112"/>
      <c r="S58" s="112"/>
      <c r="T58" s="112"/>
      <c r="U58" s="112"/>
      <c r="W58" s="112"/>
      <c r="X58" s="33"/>
      <c r="Y58" s="33"/>
      <c r="Z58" s="33"/>
      <c r="AA58" s="474"/>
      <c r="AB58" s="161"/>
      <c r="AC58" s="161"/>
      <c r="AD58" s="474"/>
      <c r="AE58" s="474"/>
      <c r="AF58" s="474"/>
      <c r="AG58" s="474"/>
      <c r="AH58" s="474"/>
      <c r="AI58" s="33"/>
      <c r="AJ58" s="33"/>
      <c r="AK58" s="33"/>
      <c r="AL58" s="33"/>
    </row>
    <row r="59" spans="1:38" s="162" customFormat="1" ht="12" customHeight="1">
      <c r="A59" s="474"/>
      <c r="B59" s="474"/>
      <c r="C59" s="474"/>
      <c r="D59" s="33"/>
      <c r="E59" s="111"/>
      <c r="F59" s="474"/>
      <c r="G59" s="111"/>
      <c r="H59" s="111"/>
      <c r="I59" s="112"/>
      <c r="J59" s="112"/>
      <c r="K59" s="111"/>
      <c r="L59" s="111"/>
      <c r="O59" s="112"/>
      <c r="P59" s="112"/>
      <c r="Q59" s="112"/>
      <c r="R59" s="112"/>
      <c r="S59" s="112"/>
      <c r="T59" s="112"/>
      <c r="U59" s="112"/>
      <c r="W59" s="112"/>
      <c r="X59" s="33"/>
      <c r="Y59" s="33"/>
      <c r="Z59" s="33"/>
      <c r="AA59" s="474"/>
      <c r="AB59" s="161"/>
      <c r="AC59" s="161"/>
      <c r="AD59" s="474"/>
      <c r="AE59" s="474"/>
      <c r="AF59" s="474"/>
      <c r="AG59" s="474"/>
      <c r="AH59" s="474"/>
      <c r="AI59" s="33"/>
      <c r="AJ59" s="33"/>
      <c r="AK59" s="33"/>
      <c r="AL59" s="33"/>
    </row>
    <row r="60" spans="1:38" s="162" customFormat="1" ht="12" customHeight="1">
      <c r="A60" s="474"/>
      <c r="B60" s="474"/>
      <c r="C60" s="474"/>
      <c r="D60" s="33"/>
      <c r="E60" s="111"/>
      <c r="F60" s="474"/>
      <c r="G60" s="111"/>
      <c r="H60" s="111"/>
      <c r="I60" s="112"/>
      <c r="J60" s="112"/>
      <c r="K60" s="111"/>
      <c r="L60" s="111"/>
      <c r="O60" s="112"/>
      <c r="P60" s="112"/>
      <c r="Q60" s="112"/>
      <c r="R60" s="112"/>
      <c r="S60" s="112"/>
      <c r="T60" s="112"/>
      <c r="U60" s="112"/>
      <c r="W60" s="112"/>
      <c r="X60" s="33"/>
      <c r="Y60" s="33"/>
      <c r="Z60" s="33"/>
      <c r="AA60" s="474"/>
      <c r="AB60" s="161"/>
      <c r="AC60" s="161"/>
      <c r="AD60" s="474"/>
      <c r="AE60" s="474"/>
      <c r="AF60" s="474"/>
      <c r="AG60" s="474"/>
      <c r="AH60" s="474"/>
      <c r="AI60" s="33"/>
      <c r="AJ60" s="33"/>
      <c r="AK60" s="33"/>
      <c r="AL60" s="33"/>
    </row>
    <row r="61" spans="1:38" s="162" customFormat="1" ht="12" customHeight="1">
      <c r="A61" s="474"/>
      <c r="B61" s="474"/>
      <c r="C61" s="474"/>
      <c r="D61" s="33"/>
      <c r="E61" s="111"/>
      <c r="F61" s="474"/>
      <c r="G61" s="111"/>
      <c r="H61" s="111"/>
      <c r="I61" s="112"/>
      <c r="J61" s="112"/>
      <c r="K61" s="111"/>
      <c r="L61" s="111"/>
      <c r="O61" s="112"/>
      <c r="P61" s="112"/>
      <c r="Q61" s="112"/>
      <c r="R61" s="112"/>
      <c r="S61" s="112"/>
      <c r="T61" s="112"/>
      <c r="U61" s="112"/>
      <c r="W61" s="112"/>
      <c r="X61" s="33"/>
      <c r="Y61" s="33"/>
      <c r="Z61" s="33"/>
      <c r="AA61" s="474"/>
      <c r="AB61" s="161"/>
      <c r="AC61" s="161"/>
      <c r="AD61" s="474"/>
      <c r="AE61" s="474"/>
      <c r="AF61" s="474"/>
      <c r="AG61" s="474"/>
      <c r="AH61" s="474"/>
      <c r="AI61" s="33"/>
      <c r="AJ61" s="33"/>
      <c r="AK61" s="33"/>
      <c r="AL61" s="33"/>
    </row>
    <row r="62" spans="1:38" s="162" customFormat="1" ht="12" customHeight="1">
      <c r="A62" s="474"/>
      <c r="B62" s="474"/>
      <c r="C62" s="474"/>
      <c r="D62" s="33"/>
      <c r="E62" s="111"/>
      <c r="F62" s="474"/>
      <c r="G62" s="111"/>
      <c r="H62" s="111"/>
      <c r="I62" s="112"/>
      <c r="J62" s="112"/>
      <c r="K62" s="111"/>
      <c r="L62" s="111"/>
      <c r="O62" s="112"/>
      <c r="P62" s="112"/>
      <c r="Q62" s="112"/>
      <c r="R62" s="112"/>
      <c r="S62" s="112"/>
      <c r="T62" s="112"/>
      <c r="U62" s="112"/>
      <c r="W62" s="112"/>
      <c r="X62" s="33"/>
      <c r="Y62" s="33"/>
      <c r="Z62" s="33"/>
      <c r="AA62" s="474"/>
      <c r="AB62" s="161"/>
      <c r="AC62" s="161"/>
      <c r="AD62" s="474"/>
      <c r="AE62" s="474"/>
      <c r="AF62" s="474"/>
      <c r="AG62" s="474"/>
      <c r="AH62" s="474"/>
      <c r="AI62" s="33"/>
      <c r="AJ62" s="33"/>
      <c r="AK62" s="33"/>
      <c r="AL62" s="33"/>
    </row>
    <row r="63" spans="1:38" s="162" customFormat="1" ht="12" customHeight="1">
      <c r="A63" s="474"/>
      <c r="B63" s="474"/>
      <c r="C63" s="474"/>
      <c r="D63" s="33"/>
      <c r="E63" s="111"/>
      <c r="F63" s="474"/>
      <c r="G63" s="111"/>
      <c r="H63" s="111"/>
      <c r="I63" s="112"/>
      <c r="J63" s="112"/>
      <c r="K63" s="111"/>
      <c r="L63" s="111"/>
      <c r="O63" s="112"/>
      <c r="P63" s="112"/>
      <c r="Q63" s="112"/>
      <c r="R63" s="112"/>
      <c r="S63" s="112"/>
      <c r="T63" s="112"/>
      <c r="U63" s="112"/>
      <c r="W63" s="112"/>
      <c r="X63" s="33"/>
      <c r="Y63" s="33"/>
      <c r="Z63" s="33"/>
      <c r="AA63" s="474"/>
      <c r="AB63" s="161"/>
      <c r="AC63" s="161"/>
      <c r="AD63" s="474"/>
      <c r="AE63" s="474"/>
      <c r="AF63" s="474"/>
      <c r="AG63" s="474"/>
      <c r="AH63" s="474"/>
      <c r="AI63" s="33"/>
      <c r="AJ63" s="33"/>
      <c r="AK63" s="33"/>
      <c r="AL63" s="33"/>
    </row>
    <row r="64" spans="1:38" s="474" customFormat="1" ht="12" customHeight="1">
      <c r="D64" s="33"/>
      <c r="E64" s="111"/>
      <c r="G64" s="111"/>
      <c r="H64" s="111"/>
      <c r="I64" s="112"/>
      <c r="J64" s="112"/>
      <c r="K64" s="111"/>
      <c r="L64" s="111"/>
      <c r="M64" s="162"/>
      <c r="N64" s="162"/>
      <c r="O64" s="112"/>
      <c r="P64" s="112"/>
      <c r="Q64" s="112"/>
      <c r="R64" s="112"/>
      <c r="S64" s="112"/>
      <c r="T64" s="112"/>
      <c r="U64" s="112"/>
      <c r="V64" s="162"/>
      <c r="W64" s="112"/>
      <c r="X64" s="33"/>
      <c r="Y64" s="33"/>
      <c r="Z64" s="33"/>
      <c r="AB64" s="161"/>
      <c r="AC64" s="161"/>
      <c r="AI64" s="33"/>
      <c r="AJ64" s="33"/>
      <c r="AK64" s="33"/>
      <c r="AL64" s="33"/>
    </row>
    <row r="65" spans="4:38" s="474" customFormat="1" ht="12" customHeight="1">
      <c r="D65" s="33"/>
      <c r="E65" s="111"/>
      <c r="G65" s="111"/>
      <c r="H65" s="111"/>
      <c r="I65" s="112"/>
      <c r="J65" s="112"/>
      <c r="K65" s="111"/>
      <c r="L65" s="111"/>
      <c r="M65" s="162"/>
      <c r="N65" s="162"/>
      <c r="O65" s="112"/>
      <c r="P65" s="112"/>
      <c r="Q65" s="112"/>
      <c r="R65" s="112"/>
      <c r="S65" s="112"/>
      <c r="T65" s="112"/>
      <c r="U65" s="112"/>
      <c r="V65" s="162"/>
      <c r="W65" s="112"/>
      <c r="X65" s="33"/>
      <c r="Y65" s="33"/>
      <c r="Z65" s="33"/>
      <c r="AB65" s="161"/>
      <c r="AC65" s="161"/>
      <c r="AI65" s="33"/>
      <c r="AJ65" s="33"/>
      <c r="AK65" s="33"/>
      <c r="AL65" s="33"/>
    </row>
    <row r="66" spans="4:38" s="474" customFormat="1" ht="12" customHeight="1">
      <c r="D66" s="33"/>
      <c r="E66" s="111"/>
      <c r="G66" s="111"/>
      <c r="H66" s="111"/>
      <c r="I66" s="112"/>
      <c r="J66" s="112"/>
      <c r="K66" s="111"/>
      <c r="L66" s="111"/>
      <c r="M66" s="162"/>
      <c r="N66" s="162"/>
      <c r="O66" s="112"/>
      <c r="P66" s="112"/>
      <c r="Q66" s="112"/>
      <c r="R66" s="112"/>
      <c r="S66" s="112"/>
      <c r="T66" s="112"/>
      <c r="U66" s="112"/>
      <c r="V66" s="162"/>
      <c r="W66" s="112"/>
      <c r="X66" s="33"/>
      <c r="Y66" s="33"/>
      <c r="Z66" s="33"/>
      <c r="AB66" s="161"/>
      <c r="AC66" s="161"/>
      <c r="AI66" s="33"/>
      <c r="AJ66" s="33"/>
      <c r="AK66" s="33"/>
      <c r="AL66" s="33"/>
    </row>
    <row r="67" spans="4:38" s="474" customFormat="1" ht="12" customHeight="1">
      <c r="D67" s="33"/>
      <c r="E67" s="111"/>
      <c r="G67" s="111"/>
      <c r="H67" s="111"/>
      <c r="I67" s="112"/>
      <c r="J67" s="112"/>
      <c r="K67" s="111"/>
      <c r="L67" s="111"/>
      <c r="M67" s="162"/>
      <c r="N67" s="162"/>
      <c r="O67" s="112"/>
      <c r="P67" s="112"/>
      <c r="Q67" s="112"/>
      <c r="R67" s="112"/>
      <c r="S67" s="112"/>
      <c r="T67" s="112"/>
      <c r="U67" s="112"/>
      <c r="V67" s="162"/>
      <c r="W67" s="112"/>
      <c r="X67" s="33"/>
      <c r="Y67" s="33"/>
      <c r="Z67" s="33"/>
      <c r="AB67" s="161"/>
      <c r="AC67" s="161"/>
      <c r="AI67" s="33"/>
      <c r="AJ67" s="33"/>
      <c r="AK67" s="33"/>
      <c r="AL67" s="33"/>
    </row>
    <row r="68" spans="4:38" s="474" customFormat="1" ht="12" customHeight="1">
      <c r="D68" s="33"/>
      <c r="E68" s="111"/>
      <c r="G68" s="111"/>
      <c r="H68" s="111"/>
      <c r="I68" s="112"/>
      <c r="J68" s="112"/>
      <c r="K68" s="111"/>
      <c r="L68" s="111"/>
      <c r="M68" s="162"/>
      <c r="N68" s="162"/>
      <c r="O68" s="112"/>
      <c r="P68" s="112"/>
      <c r="Q68" s="112"/>
      <c r="R68" s="112"/>
      <c r="S68" s="112"/>
      <c r="T68" s="112"/>
      <c r="U68" s="112"/>
      <c r="V68" s="162"/>
      <c r="W68" s="112"/>
      <c r="X68" s="33"/>
      <c r="Y68" s="33"/>
      <c r="Z68" s="33"/>
      <c r="AB68" s="161"/>
      <c r="AC68" s="161"/>
      <c r="AI68" s="33"/>
      <c r="AJ68" s="33"/>
      <c r="AK68" s="33"/>
      <c r="AL68" s="33"/>
    </row>
    <row r="69" spans="4:38" s="474" customFormat="1" ht="12" customHeight="1">
      <c r="D69" s="33"/>
      <c r="E69" s="111"/>
      <c r="G69" s="111"/>
      <c r="H69" s="111"/>
      <c r="I69" s="112"/>
      <c r="J69" s="112"/>
      <c r="K69" s="111"/>
      <c r="L69" s="111"/>
      <c r="M69" s="162"/>
      <c r="N69" s="162"/>
      <c r="O69" s="112"/>
      <c r="P69" s="112"/>
      <c r="Q69" s="112"/>
      <c r="R69" s="112"/>
      <c r="S69" s="112"/>
      <c r="T69" s="112"/>
      <c r="U69" s="112"/>
      <c r="V69" s="162"/>
      <c r="W69" s="112"/>
      <c r="X69" s="33"/>
      <c r="Y69" s="33"/>
      <c r="Z69" s="33"/>
      <c r="AB69" s="161"/>
      <c r="AC69" s="161"/>
      <c r="AI69" s="33"/>
      <c r="AJ69" s="33"/>
      <c r="AK69" s="33"/>
      <c r="AL69" s="33"/>
    </row>
    <row r="70" spans="4:38" s="474" customFormat="1" ht="12" customHeight="1">
      <c r="D70" s="33"/>
      <c r="E70" s="111"/>
      <c r="G70" s="111"/>
      <c r="H70" s="111"/>
      <c r="I70" s="112"/>
      <c r="J70" s="112"/>
      <c r="K70" s="111"/>
      <c r="L70" s="111"/>
      <c r="M70" s="162"/>
      <c r="N70" s="162"/>
      <c r="O70" s="112"/>
      <c r="P70" s="112"/>
      <c r="Q70" s="112"/>
      <c r="R70" s="112"/>
      <c r="S70" s="112"/>
      <c r="T70" s="112"/>
      <c r="U70" s="112"/>
      <c r="V70" s="162"/>
      <c r="W70" s="112"/>
      <c r="X70" s="33"/>
      <c r="Y70" s="33"/>
      <c r="Z70" s="33"/>
      <c r="AB70" s="161"/>
      <c r="AC70" s="161"/>
      <c r="AI70" s="33"/>
      <c r="AJ70" s="33"/>
      <c r="AK70" s="33"/>
      <c r="AL70" s="33"/>
    </row>
    <row r="71" spans="4:38" s="474" customFormat="1" ht="12" customHeight="1">
      <c r="D71" s="33"/>
      <c r="E71" s="111"/>
      <c r="G71" s="111"/>
      <c r="H71" s="111"/>
      <c r="I71" s="112"/>
      <c r="J71" s="112"/>
      <c r="K71" s="111"/>
      <c r="L71" s="111"/>
      <c r="M71" s="162"/>
      <c r="N71" s="162"/>
      <c r="O71" s="112"/>
      <c r="P71" s="112"/>
      <c r="Q71" s="112"/>
      <c r="R71" s="112"/>
      <c r="S71" s="112"/>
      <c r="T71" s="112"/>
      <c r="U71" s="112"/>
      <c r="V71" s="162"/>
      <c r="W71" s="112"/>
      <c r="X71" s="33"/>
      <c r="Y71" s="33"/>
      <c r="Z71" s="33"/>
      <c r="AB71" s="161"/>
      <c r="AC71" s="161"/>
      <c r="AI71" s="33"/>
      <c r="AJ71" s="33"/>
      <c r="AK71" s="33"/>
      <c r="AL71" s="33"/>
    </row>
    <row r="72" spans="4:38" s="474" customFormat="1" ht="12" customHeight="1">
      <c r="D72" s="33"/>
      <c r="E72" s="111"/>
      <c r="G72" s="111"/>
      <c r="H72" s="111"/>
      <c r="I72" s="112"/>
      <c r="J72" s="112"/>
      <c r="K72" s="111"/>
      <c r="L72" s="111"/>
      <c r="M72" s="162"/>
      <c r="N72" s="162"/>
      <c r="O72" s="112"/>
      <c r="P72" s="112"/>
      <c r="Q72" s="112"/>
      <c r="R72" s="112"/>
      <c r="S72" s="112"/>
      <c r="T72" s="112"/>
      <c r="U72" s="112"/>
      <c r="V72" s="162"/>
      <c r="W72" s="112"/>
      <c r="X72" s="33"/>
      <c r="Y72" s="33"/>
      <c r="Z72" s="33"/>
      <c r="AB72" s="161"/>
      <c r="AC72" s="161"/>
      <c r="AI72" s="33"/>
      <c r="AJ72" s="33"/>
      <c r="AK72" s="33"/>
      <c r="AL72" s="33"/>
    </row>
    <row r="73" spans="4:38" s="474" customFormat="1" ht="12" customHeight="1">
      <c r="D73" s="33"/>
      <c r="E73" s="111"/>
      <c r="G73" s="111"/>
      <c r="H73" s="111"/>
      <c r="I73" s="112"/>
      <c r="J73" s="112"/>
      <c r="K73" s="111"/>
      <c r="L73" s="111"/>
      <c r="M73" s="162"/>
      <c r="N73" s="162"/>
      <c r="O73" s="112"/>
      <c r="P73" s="112"/>
      <c r="Q73" s="112"/>
      <c r="R73" s="112"/>
      <c r="S73" s="112"/>
      <c r="T73" s="112"/>
      <c r="U73" s="112"/>
      <c r="V73" s="162"/>
      <c r="W73" s="112"/>
      <c r="X73" s="33"/>
      <c r="Y73" s="33"/>
      <c r="Z73" s="33"/>
      <c r="AB73" s="161"/>
      <c r="AC73" s="161"/>
      <c r="AI73" s="33"/>
      <c r="AJ73" s="33"/>
      <c r="AK73" s="33"/>
      <c r="AL73" s="33"/>
    </row>
    <row r="74" spans="4:38" s="474" customFormat="1" ht="12" customHeight="1">
      <c r="D74" s="33"/>
      <c r="E74" s="111"/>
      <c r="G74" s="111"/>
      <c r="H74" s="111"/>
      <c r="I74" s="112"/>
      <c r="J74" s="112"/>
      <c r="K74" s="111"/>
      <c r="L74" s="111"/>
      <c r="M74" s="162"/>
      <c r="N74" s="162"/>
      <c r="O74" s="112"/>
      <c r="P74" s="112"/>
      <c r="Q74" s="112"/>
      <c r="R74" s="112"/>
      <c r="S74" s="112"/>
      <c r="T74" s="112"/>
      <c r="U74" s="112"/>
      <c r="V74" s="162"/>
      <c r="W74" s="112"/>
      <c r="X74" s="33"/>
      <c r="Y74" s="33"/>
      <c r="Z74" s="33"/>
      <c r="AB74" s="161"/>
      <c r="AC74" s="161"/>
      <c r="AI74" s="33"/>
      <c r="AJ74" s="33"/>
      <c r="AK74" s="33"/>
      <c r="AL74" s="33"/>
    </row>
    <row r="75" spans="4:38" s="474" customFormat="1" ht="12" customHeight="1">
      <c r="D75" s="33"/>
      <c r="E75" s="111"/>
      <c r="G75" s="111"/>
      <c r="H75" s="111"/>
      <c r="I75" s="112"/>
      <c r="J75" s="112"/>
      <c r="K75" s="111"/>
      <c r="L75" s="111"/>
      <c r="M75" s="162"/>
      <c r="N75" s="162"/>
      <c r="O75" s="112"/>
      <c r="P75" s="112"/>
      <c r="Q75" s="112"/>
      <c r="R75" s="112"/>
      <c r="S75" s="112"/>
      <c r="T75" s="112"/>
      <c r="U75" s="112"/>
      <c r="V75" s="162"/>
      <c r="W75" s="112"/>
      <c r="X75" s="33"/>
      <c r="Y75" s="33"/>
      <c r="Z75" s="33"/>
      <c r="AB75" s="161"/>
      <c r="AC75" s="161"/>
      <c r="AI75" s="33"/>
      <c r="AJ75" s="33"/>
      <c r="AK75" s="33"/>
      <c r="AL75" s="33"/>
    </row>
    <row r="76" spans="4:38" s="474" customFormat="1" ht="12" customHeight="1">
      <c r="D76" s="33"/>
      <c r="E76" s="111"/>
      <c r="G76" s="111"/>
      <c r="H76" s="111"/>
      <c r="I76" s="112"/>
      <c r="J76" s="112"/>
      <c r="K76" s="111"/>
      <c r="L76" s="111"/>
      <c r="M76" s="162"/>
      <c r="N76" s="162"/>
      <c r="O76" s="112"/>
      <c r="P76" s="112"/>
      <c r="Q76" s="112"/>
      <c r="R76" s="112"/>
      <c r="S76" s="112"/>
      <c r="T76" s="112"/>
      <c r="U76" s="112"/>
      <c r="V76" s="162"/>
      <c r="W76" s="112"/>
      <c r="X76" s="33"/>
      <c r="Y76" s="33"/>
      <c r="Z76" s="33"/>
      <c r="AB76" s="161"/>
      <c r="AC76" s="161"/>
      <c r="AI76" s="33"/>
      <c r="AJ76" s="33"/>
      <c r="AK76" s="33"/>
      <c r="AL76" s="33"/>
    </row>
    <row r="77" spans="4:38" s="474" customFormat="1" ht="12" customHeight="1">
      <c r="D77" s="33"/>
      <c r="E77" s="111"/>
      <c r="G77" s="111"/>
      <c r="H77" s="111"/>
      <c r="I77" s="112"/>
      <c r="J77" s="112"/>
      <c r="K77" s="111"/>
      <c r="L77" s="111"/>
      <c r="M77" s="162"/>
      <c r="N77" s="162"/>
      <c r="O77" s="112"/>
      <c r="P77" s="112"/>
      <c r="Q77" s="112"/>
      <c r="R77" s="112"/>
      <c r="S77" s="112"/>
      <c r="T77" s="112"/>
      <c r="U77" s="112"/>
      <c r="V77" s="162"/>
      <c r="W77" s="112"/>
      <c r="X77" s="33"/>
      <c r="Y77" s="33"/>
      <c r="Z77" s="33"/>
      <c r="AB77" s="161"/>
      <c r="AC77" s="161"/>
      <c r="AI77" s="33"/>
      <c r="AJ77" s="33"/>
      <c r="AK77" s="33"/>
      <c r="AL77" s="33"/>
    </row>
    <row r="78" spans="4:38" s="474" customFormat="1" ht="12" customHeight="1">
      <c r="D78" s="33"/>
      <c r="E78" s="111"/>
      <c r="G78" s="111"/>
      <c r="H78" s="111"/>
      <c r="I78" s="112"/>
      <c r="J78" s="112"/>
      <c r="K78" s="111"/>
      <c r="L78" s="111"/>
      <c r="M78" s="162"/>
      <c r="N78" s="162"/>
      <c r="O78" s="112"/>
      <c r="P78" s="112"/>
      <c r="Q78" s="112"/>
      <c r="R78" s="112"/>
      <c r="S78" s="112"/>
      <c r="T78" s="112"/>
      <c r="U78" s="112"/>
      <c r="V78" s="162"/>
      <c r="W78" s="112"/>
      <c r="X78" s="33"/>
      <c r="Y78" s="33"/>
      <c r="Z78" s="33"/>
      <c r="AB78" s="161"/>
      <c r="AC78" s="161"/>
      <c r="AI78" s="33"/>
      <c r="AJ78" s="33"/>
      <c r="AK78" s="33"/>
      <c r="AL78" s="33"/>
    </row>
    <row r="79" spans="4:38" s="474" customFormat="1" ht="12" customHeight="1">
      <c r="D79" s="33"/>
      <c r="E79" s="111"/>
      <c r="G79" s="111"/>
      <c r="H79" s="111"/>
      <c r="I79" s="112"/>
      <c r="J79" s="112"/>
      <c r="K79" s="111"/>
      <c r="L79" s="111"/>
      <c r="M79" s="162"/>
      <c r="N79" s="162"/>
      <c r="O79" s="112"/>
      <c r="P79" s="112"/>
      <c r="Q79" s="112"/>
      <c r="R79" s="112"/>
      <c r="S79" s="112"/>
      <c r="T79" s="112"/>
      <c r="U79" s="112"/>
      <c r="V79" s="162"/>
      <c r="W79" s="112"/>
      <c r="X79" s="33"/>
      <c r="Y79" s="33"/>
      <c r="Z79" s="33"/>
      <c r="AB79" s="161"/>
      <c r="AC79" s="161"/>
      <c r="AI79" s="33"/>
      <c r="AJ79" s="33"/>
      <c r="AK79" s="33"/>
      <c r="AL79" s="33"/>
    </row>
    <row r="80" spans="4:38" s="474" customFormat="1" ht="12" customHeight="1">
      <c r="D80" s="33"/>
      <c r="E80" s="111"/>
      <c r="G80" s="111"/>
      <c r="H80" s="111"/>
      <c r="I80" s="112"/>
      <c r="J80" s="112"/>
      <c r="K80" s="111"/>
      <c r="L80" s="111"/>
      <c r="M80" s="162"/>
      <c r="N80" s="162"/>
      <c r="O80" s="112"/>
      <c r="P80" s="112"/>
      <c r="Q80" s="112"/>
      <c r="R80" s="112"/>
      <c r="S80" s="112"/>
      <c r="T80" s="112"/>
      <c r="U80" s="112"/>
      <c r="V80" s="162"/>
      <c r="W80" s="112"/>
      <c r="X80" s="33"/>
      <c r="Y80" s="33"/>
      <c r="Z80" s="33"/>
      <c r="AB80" s="161"/>
      <c r="AC80" s="161"/>
      <c r="AI80" s="33"/>
      <c r="AJ80" s="33"/>
      <c r="AK80" s="33"/>
      <c r="AL80" s="33"/>
    </row>
    <row r="81" spans="4:38" s="474" customFormat="1" ht="12" customHeight="1">
      <c r="D81" s="33"/>
      <c r="E81" s="111"/>
      <c r="G81" s="111"/>
      <c r="H81" s="111"/>
      <c r="I81" s="112"/>
      <c r="J81" s="112"/>
      <c r="K81" s="111"/>
      <c r="L81" s="111"/>
      <c r="M81" s="162"/>
      <c r="N81" s="162"/>
      <c r="O81" s="112"/>
      <c r="P81" s="112"/>
      <c r="Q81" s="112"/>
      <c r="R81" s="112"/>
      <c r="S81" s="112"/>
      <c r="T81" s="112"/>
      <c r="U81" s="112"/>
      <c r="V81" s="162"/>
      <c r="W81" s="112"/>
      <c r="X81" s="33"/>
      <c r="Y81" s="33"/>
      <c r="Z81" s="33"/>
      <c r="AB81" s="161"/>
      <c r="AC81" s="161"/>
      <c r="AI81" s="33"/>
      <c r="AJ81" s="33"/>
      <c r="AK81" s="33"/>
      <c r="AL81" s="33"/>
    </row>
    <row r="82" spans="4:38" s="474" customFormat="1" ht="12" customHeight="1">
      <c r="D82" s="33"/>
      <c r="E82" s="111"/>
      <c r="G82" s="111"/>
      <c r="H82" s="111"/>
      <c r="I82" s="112"/>
      <c r="J82" s="112"/>
      <c r="K82" s="111"/>
      <c r="L82" s="111"/>
      <c r="M82" s="162"/>
      <c r="N82" s="162"/>
      <c r="O82" s="112"/>
      <c r="P82" s="112"/>
      <c r="Q82" s="112"/>
      <c r="R82" s="112"/>
      <c r="S82" s="112"/>
      <c r="T82" s="112"/>
      <c r="U82" s="112"/>
      <c r="V82" s="162"/>
      <c r="W82" s="112"/>
      <c r="X82" s="33"/>
      <c r="Y82" s="33"/>
      <c r="Z82" s="33"/>
      <c r="AB82" s="161"/>
      <c r="AC82" s="161"/>
      <c r="AI82" s="33"/>
      <c r="AJ82" s="33"/>
      <c r="AK82" s="33"/>
      <c r="AL82" s="33"/>
    </row>
    <row r="83" spans="4:38" s="474" customFormat="1" ht="12" customHeight="1">
      <c r="D83" s="33"/>
      <c r="E83" s="111"/>
      <c r="G83" s="111"/>
      <c r="H83" s="111"/>
      <c r="I83" s="112"/>
      <c r="J83" s="112"/>
      <c r="K83" s="111"/>
      <c r="L83" s="111"/>
      <c r="M83" s="162"/>
      <c r="N83" s="162"/>
      <c r="O83" s="112"/>
      <c r="P83" s="112"/>
      <c r="Q83" s="112"/>
      <c r="R83" s="112"/>
      <c r="S83" s="112"/>
      <c r="T83" s="112"/>
      <c r="U83" s="112"/>
      <c r="V83" s="162"/>
      <c r="W83" s="112"/>
      <c r="X83" s="33"/>
      <c r="Y83" s="33"/>
      <c r="Z83" s="33"/>
      <c r="AB83" s="161"/>
      <c r="AC83" s="161"/>
      <c r="AI83" s="33"/>
      <c r="AJ83" s="33"/>
      <c r="AK83" s="33"/>
      <c r="AL83" s="33"/>
    </row>
    <row r="84" spans="4:38" s="474" customFormat="1" ht="12" customHeight="1">
      <c r="D84" s="33"/>
      <c r="E84" s="111"/>
      <c r="G84" s="111"/>
      <c r="H84" s="111"/>
      <c r="I84" s="112"/>
      <c r="J84" s="112"/>
      <c r="K84" s="111"/>
      <c r="L84" s="111"/>
      <c r="M84" s="162"/>
      <c r="N84" s="162"/>
      <c r="O84" s="112"/>
      <c r="P84" s="112"/>
      <c r="Q84" s="112"/>
      <c r="R84" s="112"/>
      <c r="S84" s="112"/>
      <c r="T84" s="112"/>
      <c r="U84" s="112"/>
      <c r="V84" s="162"/>
      <c r="W84" s="112"/>
      <c r="X84" s="33"/>
      <c r="Y84" s="33"/>
      <c r="Z84" s="33"/>
      <c r="AB84" s="161"/>
      <c r="AC84" s="161"/>
      <c r="AI84" s="33"/>
      <c r="AJ84" s="33"/>
      <c r="AK84" s="33"/>
      <c r="AL84" s="33"/>
    </row>
    <row r="85" spans="4:38" s="474" customFormat="1" ht="12" customHeight="1">
      <c r="D85" s="33"/>
      <c r="E85" s="111"/>
      <c r="G85" s="111"/>
      <c r="H85" s="111"/>
      <c r="I85" s="112"/>
      <c r="J85" s="112"/>
      <c r="K85" s="111"/>
      <c r="L85" s="111"/>
      <c r="M85" s="162"/>
      <c r="N85" s="162"/>
      <c r="O85" s="112"/>
      <c r="P85" s="112"/>
      <c r="Q85" s="112"/>
      <c r="R85" s="112"/>
      <c r="S85" s="112"/>
      <c r="T85" s="112"/>
      <c r="U85" s="112"/>
      <c r="V85" s="162"/>
      <c r="W85" s="112"/>
      <c r="X85" s="33"/>
      <c r="Y85" s="33"/>
      <c r="Z85" s="33"/>
      <c r="AB85" s="161"/>
      <c r="AC85" s="161"/>
      <c r="AI85" s="33"/>
      <c r="AJ85" s="33"/>
      <c r="AK85" s="33"/>
      <c r="AL85" s="33"/>
    </row>
    <row r="86" spans="4:38" s="474" customFormat="1" ht="12" customHeight="1">
      <c r="D86" s="33"/>
      <c r="E86" s="111"/>
      <c r="G86" s="111"/>
      <c r="H86" s="111"/>
      <c r="I86" s="112"/>
      <c r="J86" s="112"/>
      <c r="K86" s="111"/>
      <c r="L86" s="111"/>
      <c r="M86" s="162"/>
      <c r="N86" s="162"/>
      <c r="O86" s="112"/>
      <c r="P86" s="112"/>
      <c r="Q86" s="112"/>
      <c r="R86" s="112"/>
      <c r="S86" s="112"/>
      <c r="T86" s="112"/>
      <c r="U86" s="112"/>
      <c r="V86" s="162"/>
      <c r="W86" s="112"/>
      <c r="X86" s="33"/>
      <c r="Y86" s="33"/>
      <c r="Z86" s="33"/>
      <c r="AB86" s="161"/>
      <c r="AC86" s="161"/>
      <c r="AI86" s="33"/>
      <c r="AJ86" s="33"/>
      <c r="AK86" s="33"/>
      <c r="AL86" s="33"/>
    </row>
    <row r="87" spans="4:38" s="474" customFormat="1" ht="12" customHeight="1">
      <c r="D87" s="33"/>
      <c r="E87" s="111"/>
      <c r="G87" s="111"/>
      <c r="H87" s="111"/>
      <c r="I87" s="112"/>
      <c r="J87" s="112"/>
      <c r="K87" s="111"/>
      <c r="L87" s="111"/>
      <c r="M87" s="162"/>
      <c r="N87" s="162"/>
      <c r="O87" s="112"/>
      <c r="P87" s="112"/>
      <c r="Q87" s="112"/>
      <c r="R87" s="112"/>
      <c r="S87" s="112"/>
      <c r="T87" s="112"/>
      <c r="U87" s="112"/>
      <c r="V87" s="162"/>
      <c r="W87" s="112"/>
      <c r="X87" s="33"/>
      <c r="Y87" s="33"/>
      <c r="Z87" s="33"/>
      <c r="AB87" s="161"/>
      <c r="AC87" s="161"/>
      <c r="AI87" s="33"/>
      <c r="AJ87" s="33"/>
      <c r="AK87" s="33"/>
      <c r="AL87" s="33"/>
    </row>
    <row r="88" spans="4:38" s="474" customFormat="1" ht="12" customHeight="1">
      <c r="D88" s="33"/>
      <c r="E88" s="111"/>
      <c r="G88" s="111"/>
      <c r="H88" s="111"/>
      <c r="I88" s="112"/>
      <c r="J88" s="112"/>
      <c r="K88" s="111"/>
      <c r="L88" s="111"/>
      <c r="M88" s="162"/>
      <c r="N88" s="162"/>
      <c r="O88" s="112"/>
      <c r="P88" s="112"/>
      <c r="Q88" s="112"/>
      <c r="R88" s="112"/>
      <c r="S88" s="112"/>
      <c r="T88" s="112"/>
      <c r="U88" s="112"/>
      <c r="V88" s="162"/>
      <c r="W88" s="112"/>
      <c r="X88" s="33"/>
      <c r="Y88" s="33"/>
      <c r="Z88" s="33"/>
      <c r="AB88" s="161"/>
      <c r="AC88" s="161"/>
      <c r="AI88" s="33"/>
      <c r="AJ88" s="33"/>
      <c r="AK88" s="33"/>
      <c r="AL88" s="33"/>
    </row>
    <row r="89" spans="4:38" s="474" customFormat="1" ht="12" customHeight="1">
      <c r="D89" s="33"/>
      <c r="E89" s="111"/>
      <c r="G89" s="111"/>
      <c r="H89" s="111"/>
      <c r="I89" s="112"/>
      <c r="J89" s="112"/>
      <c r="K89" s="111"/>
      <c r="L89" s="111"/>
      <c r="M89" s="162"/>
      <c r="N89" s="162"/>
      <c r="O89" s="112"/>
      <c r="P89" s="112"/>
      <c r="Q89" s="112"/>
      <c r="R89" s="112"/>
      <c r="S89" s="112"/>
      <c r="T89" s="112"/>
      <c r="U89" s="112"/>
      <c r="V89" s="162"/>
      <c r="W89" s="112"/>
      <c r="X89" s="33"/>
      <c r="Y89" s="33"/>
      <c r="Z89" s="33"/>
      <c r="AB89" s="161"/>
      <c r="AC89" s="161"/>
      <c r="AI89" s="33"/>
      <c r="AJ89" s="33"/>
      <c r="AK89" s="33"/>
      <c r="AL89" s="33"/>
    </row>
    <row r="90" spans="4:38" s="474" customFormat="1" ht="12" customHeight="1">
      <c r="D90" s="33"/>
      <c r="E90" s="111"/>
      <c r="G90" s="111"/>
      <c r="H90" s="111"/>
      <c r="I90" s="112"/>
      <c r="J90" s="112"/>
      <c r="K90" s="111"/>
      <c r="L90" s="111"/>
      <c r="M90" s="162"/>
      <c r="N90" s="162"/>
      <c r="O90" s="112"/>
      <c r="P90" s="112"/>
      <c r="Q90" s="112"/>
      <c r="R90" s="112"/>
      <c r="S90" s="112"/>
      <c r="T90" s="112"/>
      <c r="U90" s="112"/>
      <c r="V90" s="162"/>
      <c r="W90" s="112"/>
      <c r="X90" s="33"/>
      <c r="Y90" s="33"/>
      <c r="Z90" s="33"/>
      <c r="AB90" s="161"/>
      <c r="AC90" s="161"/>
      <c r="AI90" s="33"/>
      <c r="AJ90" s="33"/>
      <c r="AK90" s="33"/>
      <c r="AL90" s="33"/>
    </row>
    <row r="91" spans="4:38" s="474" customFormat="1" ht="12" customHeight="1">
      <c r="D91" s="33"/>
      <c r="E91" s="111"/>
      <c r="G91" s="111"/>
      <c r="H91" s="111"/>
      <c r="I91" s="112"/>
      <c r="J91" s="112"/>
      <c r="K91" s="111"/>
      <c r="L91" s="111"/>
      <c r="M91" s="162"/>
      <c r="N91" s="162"/>
      <c r="O91" s="112"/>
      <c r="P91" s="112"/>
      <c r="Q91" s="112"/>
      <c r="R91" s="112"/>
      <c r="S91" s="112"/>
      <c r="T91" s="112"/>
      <c r="U91" s="112"/>
      <c r="V91" s="162"/>
      <c r="W91" s="112"/>
      <c r="X91" s="33"/>
      <c r="Y91" s="33"/>
      <c r="Z91" s="33"/>
      <c r="AB91" s="161"/>
      <c r="AC91" s="161"/>
      <c r="AI91" s="33"/>
      <c r="AJ91" s="33"/>
      <c r="AK91" s="33"/>
      <c r="AL91" s="33"/>
    </row>
    <row r="92" spans="4:38" s="474" customFormat="1" ht="12" customHeight="1">
      <c r="D92" s="33"/>
      <c r="E92" s="111"/>
      <c r="G92" s="111"/>
      <c r="H92" s="111"/>
      <c r="I92" s="112"/>
      <c r="J92" s="112"/>
      <c r="K92" s="111"/>
      <c r="L92" s="111"/>
      <c r="M92" s="162"/>
      <c r="N92" s="162"/>
      <c r="O92" s="112"/>
      <c r="P92" s="112"/>
      <c r="Q92" s="112"/>
      <c r="R92" s="112"/>
      <c r="S92" s="112"/>
      <c r="T92" s="112"/>
      <c r="U92" s="112"/>
      <c r="V92" s="162"/>
      <c r="W92" s="112"/>
      <c r="X92" s="33"/>
      <c r="Y92" s="33"/>
      <c r="Z92" s="33"/>
      <c r="AB92" s="161"/>
      <c r="AC92" s="161"/>
      <c r="AI92" s="33"/>
      <c r="AJ92" s="33"/>
      <c r="AK92" s="33"/>
      <c r="AL92" s="33"/>
    </row>
    <row r="93" spans="4:38" s="474" customFormat="1" ht="12" customHeight="1">
      <c r="D93" s="33"/>
      <c r="E93" s="111"/>
      <c r="G93" s="111"/>
      <c r="H93" s="111"/>
      <c r="I93" s="112"/>
      <c r="J93" s="112"/>
      <c r="K93" s="111"/>
      <c r="L93" s="111"/>
      <c r="M93" s="162"/>
      <c r="N93" s="162"/>
      <c r="O93" s="112"/>
      <c r="P93" s="112"/>
      <c r="Q93" s="112"/>
      <c r="R93" s="112"/>
      <c r="S93" s="112"/>
      <c r="T93" s="112"/>
      <c r="U93" s="112"/>
      <c r="V93" s="162"/>
      <c r="W93" s="112"/>
      <c r="X93" s="33"/>
      <c r="Y93" s="33"/>
      <c r="Z93" s="33"/>
      <c r="AB93" s="161"/>
      <c r="AC93" s="161"/>
      <c r="AI93" s="33"/>
      <c r="AJ93" s="33"/>
      <c r="AK93" s="33"/>
      <c r="AL93" s="33"/>
    </row>
    <row r="94" spans="4:38" s="474" customFormat="1" ht="12" customHeight="1">
      <c r="D94" s="33"/>
      <c r="E94" s="111"/>
      <c r="G94" s="111"/>
      <c r="H94" s="111"/>
      <c r="I94" s="112"/>
      <c r="J94" s="112"/>
      <c r="K94" s="111"/>
      <c r="L94" s="111"/>
      <c r="M94" s="162"/>
      <c r="N94" s="162"/>
      <c r="O94" s="112"/>
      <c r="P94" s="112"/>
      <c r="Q94" s="112"/>
      <c r="R94" s="112"/>
      <c r="S94" s="112"/>
      <c r="T94" s="112"/>
      <c r="U94" s="112"/>
      <c r="V94" s="162"/>
      <c r="W94" s="112"/>
      <c r="X94" s="33"/>
      <c r="Y94" s="33"/>
      <c r="Z94" s="33"/>
      <c r="AB94" s="161"/>
      <c r="AC94" s="161"/>
      <c r="AI94" s="33"/>
      <c r="AJ94" s="33"/>
      <c r="AK94" s="33"/>
      <c r="AL94" s="33"/>
    </row>
    <row r="95" spans="4:38" s="474" customFormat="1" ht="12" customHeight="1">
      <c r="D95" s="33"/>
      <c r="E95" s="111"/>
      <c r="G95" s="111"/>
      <c r="H95" s="111"/>
      <c r="I95" s="112"/>
      <c r="J95" s="112"/>
      <c r="K95" s="111"/>
      <c r="L95" s="111"/>
      <c r="M95" s="162"/>
      <c r="N95" s="162"/>
      <c r="O95" s="112"/>
      <c r="P95" s="112"/>
      <c r="Q95" s="112"/>
      <c r="R95" s="112"/>
      <c r="S95" s="112"/>
      <c r="T95" s="112"/>
      <c r="U95" s="112"/>
      <c r="V95" s="162"/>
      <c r="W95" s="112"/>
      <c r="X95" s="33"/>
      <c r="Y95" s="33"/>
      <c r="Z95" s="33"/>
      <c r="AB95" s="161"/>
      <c r="AC95" s="161"/>
      <c r="AI95" s="33"/>
      <c r="AJ95" s="33"/>
      <c r="AK95" s="33"/>
      <c r="AL95" s="33"/>
    </row>
    <row r="96" spans="4:38" s="474" customFormat="1" ht="12" customHeight="1">
      <c r="D96" s="33"/>
      <c r="E96" s="111"/>
      <c r="G96" s="111"/>
      <c r="H96" s="111"/>
      <c r="I96" s="112"/>
      <c r="J96" s="112"/>
      <c r="K96" s="111"/>
      <c r="L96" s="111"/>
      <c r="M96" s="162"/>
      <c r="N96" s="162"/>
      <c r="O96" s="112"/>
      <c r="P96" s="112"/>
      <c r="Q96" s="112"/>
      <c r="R96" s="112"/>
      <c r="S96" s="112"/>
      <c r="T96" s="112"/>
      <c r="U96" s="112"/>
      <c r="V96" s="162"/>
      <c r="W96" s="112"/>
      <c r="X96" s="33"/>
      <c r="Y96" s="33"/>
      <c r="Z96" s="33"/>
      <c r="AB96" s="161"/>
      <c r="AC96" s="161"/>
      <c r="AI96" s="33"/>
      <c r="AJ96" s="33"/>
      <c r="AK96" s="33"/>
      <c r="AL96" s="33"/>
    </row>
    <row r="97" spans="4:38" s="474" customFormat="1" ht="12" customHeight="1">
      <c r="D97" s="33"/>
      <c r="E97" s="111"/>
      <c r="G97" s="111"/>
      <c r="H97" s="111"/>
      <c r="I97" s="112"/>
      <c r="J97" s="112"/>
      <c r="K97" s="111"/>
      <c r="L97" s="111"/>
      <c r="M97" s="162"/>
      <c r="N97" s="162"/>
      <c r="O97" s="112"/>
      <c r="P97" s="112"/>
      <c r="Q97" s="112"/>
      <c r="R97" s="112"/>
      <c r="S97" s="112"/>
      <c r="T97" s="112"/>
      <c r="U97" s="112"/>
      <c r="V97" s="162"/>
      <c r="W97" s="112"/>
      <c r="X97" s="33"/>
      <c r="Y97" s="33"/>
      <c r="Z97" s="33"/>
      <c r="AB97" s="161"/>
      <c r="AC97" s="161"/>
      <c r="AI97" s="33"/>
      <c r="AJ97" s="33"/>
      <c r="AK97" s="33"/>
      <c r="AL97" s="33"/>
    </row>
    <row r="98" spans="4:38" s="474" customFormat="1" ht="12" customHeight="1">
      <c r="D98" s="33"/>
      <c r="E98" s="111"/>
      <c r="G98" s="111"/>
      <c r="H98" s="111"/>
      <c r="I98" s="112"/>
      <c r="J98" s="112"/>
      <c r="K98" s="111"/>
      <c r="L98" s="111"/>
      <c r="M98" s="162"/>
      <c r="N98" s="162"/>
      <c r="O98" s="112"/>
      <c r="P98" s="112"/>
      <c r="Q98" s="112"/>
      <c r="R98" s="112"/>
      <c r="S98" s="112"/>
      <c r="T98" s="112"/>
      <c r="U98" s="112"/>
      <c r="V98" s="162"/>
      <c r="W98" s="112"/>
      <c r="X98" s="33"/>
      <c r="Y98" s="33"/>
      <c r="Z98" s="33"/>
      <c r="AB98" s="161"/>
      <c r="AC98" s="161"/>
      <c r="AI98" s="33"/>
      <c r="AJ98" s="33"/>
      <c r="AK98" s="33"/>
      <c r="AL98" s="33"/>
    </row>
    <row r="99" spans="4:38" s="474" customFormat="1" ht="12" customHeight="1">
      <c r="D99" s="33"/>
      <c r="E99" s="111"/>
      <c r="G99" s="111"/>
      <c r="H99" s="111"/>
      <c r="I99" s="112"/>
      <c r="J99" s="112"/>
      <c r="K99" s="111"/>
      <c r="L99" s="111"/>
      <c r="M99" s="162"/>
      <c r="N99" s="162"/>
      <c r="O99" s="112"/>
      <c r="P99" s="112"/>
      <c r="Q99" s="112"/>
      <c r="R99" s="112"/>
      <c r="S99" s="112"/>
      <c r="T99" s="112"/>
      <c r="U99" s="112"/>
      <c r="V99" s="162"/>
      <c r="W99" s="112"/>
      <c r="X99" s="33"/>
      <c r="Y99" s="33"/>
      <c r="Z99" s="33"/>
      <c r="AB99" s="161"/>
      <c r="AC99" s="161"/>
      <c r="AI99" s="33"/>
      <c r="AJ99" s="33"/>
      <c r="AK99" s="33"/>
      <c r="AL99" s="33"/>
    </row>
    <row r="100" spans="4:38" s="474" customFormat="1" ht="12" customHeight="1">
      <c r="D100" s="33"/>
      <c r="E100" s="111"/>
      <c r="G100" s="111"/>
      <c r="H100" s="111"/>
      <c r="I100" s="112"/>
      <c r="J100" s="112"/>
      <c r="K100" s="111"/>
      <c r="L100" s="111"/>
      <c r="M100" s="162"/>
      <c r="N100" s="162"/>
      <c r="O100" s="112"/>
      <c r="P100" s="112"/>
      <c r="Q100" s="112"/>
      <c r="R100" s="112"/>
      <c r="S100" s="112"/>
      <c r="T100" s="112"/>
      <c r="U100" s="112"/>
      <c r="V100" s="162"/>
      <c r="W100" s="112"/>
      <c r="X100" s="33"/>
      <c r="Y100" s="33"/>
      <c r="Z100" s="33"/>
      <c r="AB100" s="161"/>
      <c r="AC100" s="161"/>
      <c r="AI100" s="33"/>
      <c r="AJ100" s="33"/>
      <c r="AK100" s="33"/>
      <c r="AL100" s="33"/>
    </row>
    <row r="101" spans="4:38" s="474" customFormat="1" ht="12" customHeight="1">
      <c r="D101" s="33"/>
      <c r="E101" s="111"/>
      <c r="G101" s="111"/>
      <c r="H101" s="111"/>
      <c r="I101" s="112"/>
      <c r="J101" s="112"/>
      <c r="K101" s="111"/>
      <c r="L101" s="111"/>
      <c r="M101" s="162"/>
      <c r="N101" s="162"/>
      <c r="O101" s="112"/>
      <c r="P101" s="112"/>
      <c r="Q101" s="112"/>
      <c r="R101" s="112"/>
      <c r="S101" s="112"/>
      <c r="T101" s="112"/>
      <c r="U101" s="112"/>
      <c r="V101" s="162"/>
      <c r="W101" s="112"/>
      <c r="X101" s="33"/>
      <c r="Y101" s="33"/>
      <c r="Z101" s="33"/>
      <c r="AB101" s="161"/>
      <c r="AC101" s="161"/>
      <c r="AI101" s="33"/>
      <c r="AJ101" s="33"/>
      <c r="AK101" s="33"/>
      <c r="AL101" s="33"/>
    </row>
    <row r="102" spans="4:38" s="474" customFormat="1" ht="12" customHeight="1">
      <c r="D102" s="33"/>
      <c r="E102" s="111"/>
      <c r="G102" s="111"/>
      <c r="H102" s="111"/>
      <c r="I102" s="112"/>
      <c r="J102" s="112"/>
      <c r="K102" s="111"/>
      <c r="L102" s="111"/>
      <c r="M102" s="162"/>
      <c r="N102" s="162"/>
      <c r="O102" s="112"/>
      <c r="P102" s="112"/>
      <c r="Q102" s="112"/>
      <c r="R102" s="112"/>
      <c r="S102" s="112"/>
      <c r="T102" s="112"/>
      <c r="U102" s="112"/>
      <c r="V102" s="162"/>
      <c r="W102" s="112"/>
      <c r="X102" s="33"/>
      <c r="Y102" s="33"/>
      <c r="Z102" s="33"/>
      <c r="AB102" s="161"/>
      <c r="AC102" s="161"/>
      <c r="AI102" s="33"/>
      <c r="AJ102" s="33"/>
      <c r="AK102" s="33"/>
      <c r="AL102" s="33"/>
    </row>
    <row r="103" spans="4:38" s="474" customFormat="1" ht="12" customHeight="1">
      <c r="D103" s="33"/>
      <c r="E103" s="111"/>
      <c r="G103" s="111"/>
      <c r="H103" s="111"/>
      <c r="I103" s="112"/>
      <c r="J103" s="112"/>
      <c r="K103" s="111"/>
      <c r="L103" s="111"/>
      <c r="M103" s="162"/>
      <c r="N103" s="162"/>
      <c r="O103" s="112"/>
      <c r="P103" s="112"/>
      <c r="Q103" s="112"/>
      <c r="R103" s="112"/>
      <c r="S103" s="112"/>
      <c r="T103" s="112"/>
      <c r="U103" s="112"/>
      <c r="V103" s="162"/>
      <c r="W103" s="112"/>
      <c r="X103" s="33"/>
      <c r="Y103" s="33"/>
      <c r="Z103" s="33"/>
      <c r="AB103" s="161"/>
      <c r="AC103" s="161"/>
      <c r="AI103" s="33"/>
      <c r="AJ103" s="33"/>
      <c r="AK103" s="33"/>
      <c r="AL103" s="33"/>
    </row>
    <row r="104" spans="4:38" s="474" customFormat="1" ht="12" customHeight="1">
      <c r="D104" s="33"/>
      <c r="E104" s="111"/>
      <c r="G104" s="111"/>
      <c r="H104" s="111"/>
      <c r="I104" s="112"/>
      <c r="J104" s="112"/>
      <c r="K104" s="111"/>
      <c r="L104" s="111"/>
      <c r="M104" s="162"/>
      <c r="N104" s="162"/>
      <c r="O104" s="112"/>
      <c r="P104" s="112"/>
      <c r="Q104" s="112"/>
      <c r="R104" s="112"/>
      <c r="S104" s="112"/>
      <c r="T104" s="112"/>
      <c r="U104" s="112"/>
      <c r="V104" s="162"/>
      <c r="W104" s="112"/>
      <c r="X104" s="33"/>
      <c r="Y104" s="33"/>
      <c r="Z104" s="33"/>
      <c r="AB104" s="161"/>
      <c r="AC104" s="161"/>
      <c r="AI104" s="33"/>
      <c r="AJ104" s="33"/>
      <c r="AK104" s="33"/>
      <c r="AL104" s="33"/>
    </row>
    <row r="105" spans="4:38" s="474" customFormat="1" ht="12" customHeight="1">
      <c r="D105" s="33"/>
      <c r="E105" s="111"/>
      <c r="G105" s="111"/>
      <c r="H105" s="111"/>
      <c r="I105" s="112"/>
      <c r="J105" s="112"/>
      <c r="K105" s="111"/>
      <c r="L105" s="111"/>
      <c r="M105" s="162"/>
      <c r="N105" s="162"/>
      <c r="O105" s="112"/>
      <c r="P105" s="112"/>
      <c r="Q105" s="112"/>
      <c r="R105" s="112"/>
      <c r="S105" s="112"/>
      <c r="T105" s="112"/>
      <c r="U105" s="112"/>
      <c r="V105" s="162"/>
      <c r="W105" s="112"/>
      <c r="X105" s="33"/>
      <c r="Y105" s="33"/>
      <c r="Z105" s="33"/>
      <c r="AB105" s="161"/>
      <c r="AC105" s="161"/>
      <c r="AI105" s="33"/>
      <c r="AJ105" s="33"/>
      <c r="AK105" s="33"/>
      <c r="AL105" s="33"/>
    </row>
    <row r="106" spans="4:38" s="474" customFormat="1" ht="12" customHeight="1">
      <c r="D106" s="33"/>
      <c r="E106" s="111"/>
      <c r="G106" s="111"/>
      <c r="H106" s="111"/>
      <c r="I106" s="112"/>
      <c r="J106" s="112"/>
      <c r="K106" s="111"/>
      <c r="L106" s="111"/>
      <c r="M106" s="162"/>
      <c r="N106" s="162"/>
      <c r="O106" s="112"/>
      <c r="P106" s="112"/>
      <c r="Q106" s="112"/>
      <c r="R106" s="112"/>
      <c r="S106" s="112"/>
      <c r="T106" s="112"/>
      <c r="U106" s="112"/>
      <c r="V106" s="162"/>
      <c r="W106" s="112"/>
      <c r="X106" s="33"/>
      <c r="Y106" s="33"/>
      <c r="Z106" s="33"/>
      <c r="AB106" s="161"/>
      <c r="AC106" s="161"/>
      <c r="AI106" s="33"/>
      <c r="AJ106" s="33"/>
      <c r="AK106" s="33"/>
      <c r="AL106" s="33"/>
    </row>
    <row r="107" spans="4:38" s="474" customFormat="1" ht="12" customHeight="1">
      <c r="D107" s="33"/>
      <c r="E107" s="111"/>
      <c r="G107" s="111"/>
      <c r="H107" s="111"/>
      <c r="I107" s="112"/>
      <c r="J107" s="112"/>
      <c r="K107" s="111"/>
      <c r="L107" s="111"/>
      <c r="M107" s="162"/>
      <c r="N107" s="162"/>
      <c r="O107" s="112"/>
      <c r="P107" s="112"/>
      <c r="Q107" s="112"/>
      <c r="R107" s="112"/>
      <c r="S107" s="112"/>
      <c r="T107" s="112"/>
      <c r="U107" s="112"/>
      <c r="V107" s="162"/>
      <c r="W107" s="112"/>
      <c r="X107" s="33"/>
      <c r="Y107" s="33"/>
      <c r="Z107" s="33"/>
      <c r="AB107" s="161"/>
      <c r="AC107" s="161"/>
      <c r="AI107" s="33"/>
      <c r="AJ107" s="33"/>
      <c r="AK107" s="33"/>
      <c r="AL107" s="33"/>
    </row>
    <row r="108" spans="4:38" s="474" customFormat="1" ht="12" customHeight="1">
      <c r="D108" s="33"/>
      <c r="E108" s="111"/>
      <c r="G108" s="111"/>
      <c r="H108" s="111"/>
      <c r="I108" s="112"/>
      <c r="J108" s="112"/>
      <c r="K108" s="111"/>
      <c r="L108" s="111"/>
      <c r="M108" s="162"/>
      <c r="N108" s="162"/>
      <c r="O108" s="112"/>
      <c r="P108" s="112"/>
      <c r="Q108" s="112"/>
      <c r="R108" s="112"/>
      <c r="S108" s="112"/>
      <c r="T108" s="112"/>
      <c r="U108" s="112"/>
      <c r="V108" s="162"/>
      <c r="W108" s="112"/>
      <c r="X108" s="33"/>
      <c r="Y108" s="33"/>
      <c r="Z108" s="33"/>
      <c r="AB108" s="161"/>
      <c r="AC108" s="161"/>
      <c r="AI108" s="33"/>
      <c r="AJ108" s="33"/>
      <c r="AK108" s="33"/>
      <c r="AL108" s="33"/>
    </row>
    <row r="109" spans="4:38" s="474" customFormat="1" ht="12" customHeight="1">
      <c r="D109" s="33"/>
      <c r="E109" s="111"/>
      <c r="G109" s="111"/>
      <c r="H109" s="111"/>
      <c r="I109" s="112"/>
      <c r="J109" s="112"/>
      <c r="K109" s="111"/>
      <c r="L109" s="111"/>
      <c r="M109" s="162"/>
      <c r="N109" s="162"/>
      <c r="O109" s="112"/>
      <c r="P109" s="112"/>
      <c r="Q109" s="112"/>
      <c r="R109" s="112"/>
      <c r="S109" s="112"/>
      <c r="T109" s="112"/>
      <c r="U109" s="112"/>
      <c r="V109" s="162"/>
      <c r="W109" s="112"/>
      <c r="X109" s="33"/>
      <c r="Y109" s="33"/>
      <c r="Z109" s="33"/>
      <c r="AB109" s="161"/>
      <c r="AC109" s="161"/>
      <c r="AI109" s="33"/>
      <c r="AJ109" s="33"/>
      <c r="AK109" s="33"/>
      <c r="AL109" s="33"/>
    </row>
    <row r="110" spans="4:38" s="474" customFormat="1" ht="12" customHeight="1">
      <c r="D110" s="33"/>
      <c r="E110" s="111"/>
      <c r="G110" s="111"/>
      <c r="H110" s="111"/>
      <c r="I110" s="112"/>
      <c r="J110" s="112"/>
      <c r="K110" s="111"/>
      <c r="L110" s="111"/>
      <c r="M110" s="162"/>
      <c r="N110" s="162"/>
      <c r="O110" s="112"/>
      <c r="P110" s="112"/>
      <c r="Q110" s="112"/>
      <c r="R110" s="112"/>
      <c r="S110" s="112"/>
      <c r="T110" s="112"/>
      <c r="U110" s="112"/>
      <c r="V110" s="162"/>
      <c r="W110" s="112"/>
      <c r="X110" s="33"/>
      <c r="Y110" s="33"/>
      <c r="Z110" s="33"/>
      <c r="AB110" s="161"/>
      <c r="AC110" s="161"/>
      <c r="AI110" s="33"/>
      <c r="AJ110" s="33"/>
      <c r="AK110" s="33"/>
      <c r="AL110" s="33"/>
    </row>
    <row r="111" spans="4:38" s="474" customFormat="1" ht="12" customHeight="1">
      <c r="D111" s="33"/>
      <c r="E111" s="111"/>
      <c r="G111" s="111"/>
      <c r="H111" s="111"/>
      <c r="I111" s="112"/>
      <c r="J111" s="112"/>
      <c r="K111" s="111"/>
      <c r="L111" s="111"/>
      <c r="M111" s="162"/>
      <c r="N111" s="162"/>
      <c r="O111" s="112"/>
      <c r="P111" s="112"/>
      <c r="Q111" s="112"/>
      <c r="R111" s="112"/>
      <c r="S111" s="112"/>
      <c r="T111" s="112"/>
      <c r="U111" s="112"/>
      <c r="V111" s="162"/>
      <c r="W111" s="112"/>
      <c r="X111" s="33"/>
      <c r="Y111" s="33"/>
      <c r="Z111" s="33"/>
      <c r="AB111" s="161"/>
      <c r="AC111" s="161"/>
      <c r="AI111" s="33"/>
      <c r="AJ111" s="33"/>
      <c r="AK111" s="33"/>
      <c r="AL111" s="33"/>
    </row>
    <row r="112" spans="4:38" s="474" customFormat="1" ht="12" customHeight="1">
      <c r="D112" s="33"/>
      <c r="E112" s="111"/>
      <c r="G112" s="111"/>
      <c r="H112" s="111"/>
      <c r="I112" s="112"/>
      <c r="J112" s="112"/>
      <c r="K112" s="111"/>
      <c r="L112" s="111"/>
      <c r="M112" s="162"/>
      <c r="N112" s="162"/>
      <c r="O112" s="112"/>
      <c r="P112" s="112"/>
      <c r="Q112" s="112"/>
      <c r="R112" s="112"/>
      <c r="S112" s="112"/>
      <c r="T112" s="112"/>
      <c r="U112" s="112"/>
      <c r="V112" s="162"/>
      <c r="W112" s="112"/>
      <c r="X112" s="33"/>
      <c r="Y112" s="33"/>
      <c r="Z112" s="33"/>
      <c r="AB112" s="161"/>
      <c r="AC112" s="161"/>
      <c r="AI112" s="33"/>
      <c r="AJ112" s="33"/>
      <c r="AK112" s="33"/>
      <c r="AL112" s="33"/>
    </row>
    <row r="113" spans="4:38" s="474" customFormat="1" ht="12" customHeight="1">
      <c r="D113" s="33"/>
      <c r="E113" s="111"/>
      <c r="G113" s="111"/>
      <c r="H113" s="111"/>
      <c r="I113" s="112"/>
      <c r="J113" s="112"/>
      <c r="K113" s="111"/>
      <c r="L113" s="111"/>
      <c r="M113" s="162"/>
      <c r="N113" s="162"/>
      <c r="O113" s="112"/>
      <c r="P113" s="112"/>
      <c r="Q113" s="112"/>
      <c r="R113" s="112"/>
      <c r="S113" s="112"/>
      <c r="T113" s="112"/>
      <c r="U113" s="112"/>
      <c r="V113" s="162"/>
      <c r="W113" s="112"/>
      <c r="X113" s="33"/>
      <c r="Y113" s="33"/>
      <c r="Z113" s="33"/>
      <c r="AB113" s="161"/>
      <c r="AC113" s="161"/>
      <c r="AI113" s="33"/>
      <c r="AJ113" s="33"/>
      <c r="AK113" s="33"/>
      <c r="AL113" s="33"/>
    </row>
    <row r="114" spans="4:38" s="474" customFormat="1" ht="12" customHeight="1">
      <c r="D114" s="33"/>
      <c r="E114" s="111"/>
      <c r="G114" s="111"/>
      <c r="H114" s="111"/>
      <c r="I114" s="112"/>
      <c r="J114" s="112"/>
      <c r="K114" s="111"/>
      <c r="L114" s="111"/>
      <c r="M114" s="162"/>
      <c r="N114" s="162"/>
      <c r="O114" s="112"/>
      <c r="P114" s="112"/>
      <c r="Q114" s="112"/>
      <c r="R114" s="112"/>
      <c r="S114" s="112"/>
      <c r="T114" s="112"/>
      <c r="U114" s="112"/>
      <c r="V114" s="162"/>
      <c r="W114" s="112"/>
      <c r="X114" s="33"/>
      <c r="Y114" s="33"/>
      <c r="Z114" s="33"/>
      <c r="AB114" s="161"/>
      <c r="AC114" s="161"/>
      <c r="AI114" s="33"/>
      <c r="AJ114" s="33"/>
      <c r="AK114" s="33"/>
      <c r="AL114" s="33"/>
    </row>
    <row r="115" spans="4:38" s="474" customFormat="1" ht="12" customHeight="1">
      <c r="D115" s="33"/>
      <c r="E115" s="111"/>
      <c r="G115" s="111"/>
      <c r="H115" s="111"/>
      <c r="I115" s="112"/>
      <c r="J115" s="112"/>
      <c r="K115" s="111"/>
      <c r="L115" s="111"/>
      <c r="M115" s="162"/>
      <c r="N115" s="162"/>
      <c r="O115" s="112"/>
      <c r="P115" s="112"/>
      <c r="Q115" s="112"/>
      <c r="R115" s="112"/>
      <c r="S115" s="112"/>
      <c r="T115" s="112"/>
      <c r="U115" s="112"/>
      <c r="V115" s="162"/>
      <c r="W115" s="112"/>
      <c r="X115" s="33"/>
      <c r="Y115" s="33"/>
      <c r="Z115" s="33"/>
      <c r="AB115" s="161"/>
      <c r="AC115" s="161"/>
      <c r="AI115" s="33"/>
      <c r="AJ115" s="33"/>
      <c r="AK115" s="33"/>
      <c r="AL115" s="33"/>
    </row>
    <row r="116" spans="4:38" s="474" customFormat="1" ht="12" customHeight="1">
      <c r="D116" s="33"/>
      <c r="E116" s="111"/>
      <c r="G116" s="111"/>
      <c r="H116" s="111"/>
      <c r="I116" s="112"/>
      <c r="J116" s="112"/>
      <c r="K116" s="111"/>
      <c r="L116" s="111"/>
      <c r="M116" s="162"/>
      <c r="N116" s="162"/>
      <c r="O116" s="112"/>
      <c r="P116" s="112"/>
      <c r="Q116" s="112"/>
      <c r="R116" s="112"/>
      <c r="S116" s="112"/>
      <c r="T116" s="112"/>
      <c r="U116" s="112"/>
      <c r="V116" s="162"/>
      <c r="W116" s="112"/>
      <c r="X116" s="33"/>
      <c r="Y116" s="33"/>
      <c r="Z116" s="33"/>
      <c r="AB116" s="161"/>
      <c r="AC116" s="161"/>
      <c r="AI116" s="33"/>
      <c r="AJ116" s="33"/>
      <c r="AK116" s="33"/>
      <c r="AL116" s="33"/>
    </row>
    <row r="117" spans="4:38" s="474" customFormat="1" ht="12" customHeight="1">
      <c r="D117" s="33"/>
      <c r="E117" s="111"/>
      <c r="G117" s="111"/>
      <c r="H117" s="111"/>
      <c r="I117" s="112"/>
      <c r="J117" s="112"/>
      <c r="K117" s="111"/>
      <c r="L117" s="111"/>
      <c r="M117" s="162"/>
      <c r="N117" s="162"/>
      <c r="O117" s="112"/>
      <c r="P117" s="112"/>
      <c r="Q117" s="112"/>
      <c r="R117" s="112"/>
      <c r="S117" s="112"/>
      <c r="T117" s="112"/>
      <c r="U117" s="112"/>
      <c r="V117" s="162"/>
      <c r="W117" s="112"/>
      <c r="X117" s="33"/>
      <c r="Y117" s="33"/>
      <c r="Z117" s="33"/>
      <c r="AB117" s="161"/>
      <c r="AC117" s="161"/>
      <c r="AI117" s="33"/>
      <c r="AJ117" s="33"/>
      <c r="AK117" s="33"/>
      <c r="AL117" s="33"/>
    </row>
    <row r="118" spans="4:38" s="474" customFormat="1" ht="12" customHeight="1">
      <c r="D118" s="33"/>
      <c r="E118" s="111"/>
      <c r="G118" s="111"/>
      <c r="H118" s="111"/>
      <c r="I118" s="112"/>
      <c r="J118" s="112"/>
      <c r="K118" s="111"/>
      <c r="L118" s="111"/>
      <c r="M118" s="162"/>
      <c r="N118" s="162"/>
      <c r="O118" s="112"/>
      <c r="P118" s="112"/>
      <c r="Q118" s="112"/>
      <c r="R118" s="112"/>
      <c r="S118" s="112"/>
      <c r="T118" s="112"/>
      <c r="U118" s="112"/>
      <c r="V118" s="162"/>
      <c r="W118" s="112"/>
      <c r="X118" s="33"/>
      <c r="Y118" s="33"/>
      <c r="Z118" s="33"/>
      <c r="AB118" s="161"/>
      <c r="AC118" s="161"/>
      <c r="AI118" s="33"/>
      <c r="AJ118" s="33"/>
      <c r="AK118" s="33"/>
      <c r="AL118" s="33"/>
    </row>
    <row r="119" spans="4:38" s="474" customFormat="1" ht="12" customHeight="1">
      <c r="D119" s="33"/>
      <c r="E119" s="111"/>
      <c r="G119" s="111"/>
      <c r="H119" s="111"/>
      <c r="I119" s="112"/>
      <c r="J119" s="112"/>
      <c r="K119" s="111"/>
      <c r="L119" s="111"/>
      <c r="M119" s="162"/>
      <c r="N119" s="162"/>
      <c r="O119" s="112"/>
      <c r="P119" s="112"/>
      <c r="Q119" s="112"/>
      <c r="R119" s="112"/>
      <c r="S119" s="112"/>
      <c r="T119" s="112"/>
      <c r="U119" s="112"/>
      <c r="V119" s="162"/>
      <c r="W119" s="112"/>
      <c r="X119" s="33"/>
      <c r="Y119" s="33"/>
      <c r="Z119" s="33"/>
      <c r="AB119" s="161"/>
      <c r="AC119" s="161"/>
      <c r="AI119" s="33"/>
      <c r="AJ119" s="33"/>
      <c r="AK119" s="33"/>
      <c r="AL119" s="33"/>
    </row>
    <row r="120" spans="4:38" s="474" customFormat="1" ht="12" customHeight="1">
      <c r="D120" s="33"/>
      <c r="E120" s="111"/>
      <c r="G120" s="111"/>
      <c r="H120" s="111"/>
      <c r="I120" s="112"/>
      <c r="J120" s="112"/>
      <c r="K120" s="111"/>
      <c r="L120" s="111"/>
      <c r="M120" s="162"/>
      <c r="N120" s="162"/>
      <c r="O120" s="112"/>
      <c r="P120" s="112"/>
      <c r="Q120" s="112"/>
      <c r="R120" s="112"/>
      <c r="S120" s="112"/>
      <c r="T120" s="112"/>
      <c r="U120" s="112"/>
      <c r="V120" s="162"/>
      <c r="W120" s="112"/>
      <c r="X120" s="33"/>
      <c r="Y120" s="33"/>
      <c r="Z120" s="33"/>
      <c r="AB120" s="161"/>
      <c r="AC120" s="161"/>
      <c r="AI120" s="33"/>
      <c r="AJ120" s="33"/>
      <c r="AK120" s="33"/>
      <c r="AL120" s="33"/>
    </row>
    <row r="121" spans="4:38" s="474" customFormat="1" ht="12" customHeight="1">
      <c r="D121" s="33"/>
      <c r="E121" s="111"/>
      <c r="G121" s="111"/>
      <c r="H121" s="111"/>
      <c r="I121" s="112"/>
      <c r="J121" s="112"/>
      <c r="K121" s="111"/>
      <c r="L121" s="111"/>
      <c r="M121" s="162"/>
      <c r="N121" s="162"/>
      <c r="O121" s="112"/>
      <c r="P121" s="112"/>
      <c r="Q121" s="112"/>
      <c r="R121" s="112"/>
      <c r="S121" s="112"/>
      <c r="T121" s="112"/>
      <c r="U121" s="112"/>
      <c r="V121" s="162"/>
      <c r="W121" s="112"/>
      <c r="X121" s="33"/>
      <c r="Y121" s="33"/>
      <c r="Z121" s="33"/>
      <c r="AB121" s="161"/>
      <c r="AC121" s="161"/>
      <c r="AI121" s="33"/>
      <c r="AJ121" s="33"/>
      <c r="AK121" s="33"/>
      <c r="AL121" s="33"/>
    </row>
    <row r="122" spans="4:38" s="474" customFormat="1" ht="12" customHeight="1">
      <c r="D122" s="33"/>
      <c r="E122" s="111"/>
      <c r="G122" s="111"/>
      <c r="H122" s="111"/>
      <c r="I122" s="112"/>
      <c r="J122" s="112"/>
      <c r="K122" s="111"/>
      <c r="L122" s="111"/>
      <c r="M122" s="162"/>
      <c r="N122" s="162"/>
      <c r="O122" s="112"/>
      <c r="P122" s="112"/>
      <c r="Q122" s="112"/>
      <c r="R122" s="112"/>
      <c r="S122" s="112"/>
      <c r="T122" s="112"/>
      <c r="U122" s="112"/>
      <c r="V122" s="162"/>
      <c r="W122" s="112"/>
      <c r="X122" s="33"/>
      <c r="Y122" s="33"/>
      <c r="Z122" s="33"/>
      <c r="AB122" s="161"/>
      <c r="AC122" s="161"/>
      <c r="AI122" s="33"/>
      <c r="AJ122" s="33"/>
      <c r="AK122" s="33"/>
      <c r="AL122" s="33"/>
    </row>
    <row r="123" spans="4:38" s="474" customFormat="1" ht="12" customHeight="1">
      <c r="D123" s="33"/>
      <c r="E123" s="111"/>
      <c r="G123" s="111"/>
      <c r="H123" s="111"/>
      <c r="I123" s="112"/>
      <c r="J123" s="112"/>
      <c r="K123" s="111"/>
      <c r="L123" s="111"/>
      <c r="M123" s="162"/>
      <c r="N123" s="162"/>
      <c r="O123" s="112"/>
      <c r="P123" s="112"/>
      <c r="Q123" s="112"/>
      <c r="R123" s="112"/>
      <c r="S123" s="112"/>
      <c r="T123" s="112"/>
      <c r="U123" s="112"/>
      <c r="V123" s="162"/>
      <c r="W123" s="112"/>
      <c r="X123" s="33"/>
      <c r="Y123" s="33"/>
      <c r="Z123" s="33"/>
      <c r="AB123" s="161"/>
      <c r="AC123" s="161"/>
      <c r="AI123" s="33"/>
      <c r="AJ123" s="33"/>
      <c r="AK123" s="33"/>
      <c r="AL123" s="33"/>
    </row>
    <row r="124" spans="4:38" s="474" customFormat="1" ht="12" customHeight="1">
      <c r="D124" s="33"/>
      <c r="E124" s="111"/>
      <c r="G124" s="111"/>
      <c r="H124" s="111"/>
      <c r="I124" s="112"/>
      <c r="J124" s="112"/>
      <c r="K124" s="111"/>
      <c r="L124" s="111"/>
      <c r="M124" s="162"/>
      <c r="N124" s="162"/>
      <c r="O124" s="112"/>
      <c r="P124" s="112"/>
      <c r="Q124" s="112"/>
      <c r="R124" s="112"/>
      <c r="S124" s="112"/>
      <c r="T124" s="112"/>
      <c r="U124" s="112"/>
      <c r="V124" s="162"/>
      <c r="W124" s="112"/>
      <c r="X124" s="33"/>
      <c r="Y124" s="33"/>
      <c r="Z124" s="33"/>
      <c r="AB124" s="161"/>
      <c r="AC124" s="161"/>
      <c r="AI124" s="33"/>
      <c r="AJ124" s="33"/>
      <c r="AK124" s="33"/>
      <c r="AL124" s="33"/>
    </row>
    <row r="125" spans="4:38" s="474" customFormat="1" ht="12" customHeight="1">
      <c r="D125" s="33"/>
      <c r="E125" s="111"/>
      <c r="G125" s="111"/>
      <c r="H125" s="111"/>
      <c r="I125" s="112"/>
      <c r="J125" s="112"/>
      <c r="K125" s="111"/>
      <c r="L125" s="111"/>
      <c r="M125" s="162"/>
      <c r="N125" s="162"/>
      <c r="O125" s="112"/>
      <c r="P125" s="112"/>
      <c r="Q125" s="112"/>
      <c r="R125" s="112"/>
      <c r="S125" s="112"/>
      <c r="T125" s="112"/>
      <c r="U125" s="112"/>
      <c r="V125" s="162"/>
      <c r="W125" s="112"/>
      <c r="X125" s="33"/>
      <c r="Y125" s="33"/>
      <c r="Z125" s="33"/>
      <c r="AB125" s="161"/>
      <c r="AC125" s="161"/>
      <c r="AI125" s="33"/>
      <c r="AJ125" s="33"/>
      <c r="AK125" s="33"/>
      <c r="AL125" s="33"/>
    </row>
    <row r="126" spans="4:38" s="474" customFormat="1" ht="12" customHeight="1">
      <c r="D126" s="33"/>
      <c r="E126" s="111"/>
      <c r="G126" s="111"/>
      <c r="H126" s="111"/>
      <c r="I126" s="112"/>
      <c r="J126" s="112"/>
      <c r="K126" s="111"/>
      <c r="L126" s="111"/>
      <c r="M126" s="162"/>
      <c r="N126" s="162"/>
      <c r="O126" s="112"/>
      <c r="P126" s="112"/>
      <c r="Q126" s="112"/>
      <c r="R126" s="112"/>
      <c r="S126" s="112"/>
      <c r="T126" s="112"/>
      <c r="U126" s="112"/>
      <c r="V126" s="162"/>
      <c r="W126" s="112"/>
      <c r="X126" s="33"/>
      <c r="Y126" s="33"/>
      <c r="Z126" s="33"/>
      <c r="AB126" s="161"/>
      <c r="AC126" s="161"/>
      <c r="AI126" s="33"/>
      <c r="AJ126" s="33"/>
      <c r="AK126" s="33"/>
      <c r="AL126" s="33"/>
    </row>
    <row r="127" spans="4:38" s="474" customFormat="1" ht="12" customHeight="1">
      <c r="D127" s="33"/>
      <c r="E127" s="111"/>
      <c r="G127" s="111"/>
      <c r="H127" s="111"/>
      <c r="I127" s="112"/>
      <c r="J127" s="112"/>
      <c r="K127" s="111"/>
      <c r="L127" s="111"/>
      <c r="M127" s="162"/>
      <c r="N127" s="162"/>
      <c r="O127" s="112"/>
      <c r="P127" s="112"/>
      <c r="Q127" s="112"/>
      <c r="R127" s="112"/>
      <c r="S127" s="112"/>
      <c r="T127" s="112"/>
      <c r="U127" s="112"/>
      <c r="V127" s="162"/>
      <c r="W127" s="112"/>
      <c r="X127" s="33"/>
      <c r="Y127" s="33"/>
      <c r="Z127" s="33"/>
      <c r="AB127" s="161"/>
      <c r="AC127" s="161"/>
      <c r="AI127" s="33"/>
      <c r="AJ127" s="33"/>
      <c r="AK127" s="33"/>
      <c r="AL127" s="33"/>
    </row>
    <row r="128" spans="4:38" s="474" customFormat="1" ht="12" customHeight="1">
      <c r="D128" s="33"/>
      <c r="E128" s="111"/>
      <c r="G128" s="111"/>
      <c r="H128" s="111"/>
      <c r="I128" s="112"/>
      <c r="J128" s="112"/>
      <c r="K128" s="111"/>
      <c r="L128" s="111"/>
      <c r="M128" s="162"/>
      <c r="N128" s="162"/>
      <c r="O128" s="112"/>
      <c r="P128" s="112"/>
      <c r="Q128" s="112"/>
      <c r="R128" s="112"/>
      <c r="S128" s="112"/>
      <c r="T128" s="112"/>
      <c r="U128" s="112"/>
      <c r="V128" s="162"/>
      <c r="W128" s="112"/>
      <c r="X128" s="33"/>
      <c r="Y128" s="33"/>
      <c r="Z128" s="33"/>
      <c r="AB128" s="161"/>
      <c r="AC128" s="161"/>
      <c r="AI128" s="33"/>
      <c r="AJ128" s="33"/>
      <c r="AK128" s="33"/>
      <c r="AL128" s="33"/>
    </row>
    <row r="129" spans="4:38" s="474" customFormat="1" ht="12" customHeight="1">
      <c r="D129" s="33"/>
      <c r="E129" s="111"/>
      <c r="G129" s="111"/>
      <c r="H129" s="111"/>
      <c r="I129" s="112"/>
      <c r="J129" s="112"/>
      <c r="K129" s="111"/>
      <c r="L129" s="111"/>
      <c r="M129" s="162"/>
      <c r="N129" s="162"/>
      <c r="O129" s="112"/>
      <c r="P129" s="112"/>
      <c r="Q129" s="112"/>
      <c r="R129" s="112"/>
      <c r="S129" s="112"/>
      <c r="T129" s="112"/>
      <c r="U129" s="112"/>
      <c r="V129" s="162"/>
      <c r="W129" s="112"/>
      <c r="X129" s="33"/>
      <c r="Y129" s="33"/>
      <c r="Z129" s="33"/>
      <c r="AB129" s="161"/>
      <c r="AC129" s="161"/>
      <c r="AI129" s="33"/>
      <c r="AJ129" s="33"/>
      <c r="AK129" s="33"/>
      <c r="AL129" s="33"/>
    </row>
    <row r="130" spans="4:38" s="474" customFormat="1" ht="12" customHeight="1">
      <c r="D130" s="33"/>
      <c r="E130" s="111"/>
      <c r="G130" s="111"/>
      <c r="H130" s="111"/>
      <c r="I130" s="112"/>
      <c r="J130" s="112"/>
      <c r="K130" s="111"/>
      <c r="L130" s="111"/>
      <c r="M130" s="162"/>
      <c r="N130" s="162"/>
      <c r="O130" s="112"/>
      <c r="P130" s="112"/>
      <c r="Q130" s="112"/>
      <c r="R130" s="112"/>
      <c r="S130" s="112"/>
      <c r="T130" s="112"/>
      <c r="U130" s="112"/>
      <c r="V130" s="162"/>
      <c r="W130" s="112"/>
      <c r="X130" s="33"/>
      <c r="Y130" s="33"/>
      <c r="Z130" s="33"/>
      <c r="AB130" s="161"/>
      <c r="AC130" s="161"/>
      <c r="AI130" s="33"/>
      <c r="AJ130" s="33"/>
      <c r="AK130" s="33"/>
      <c r="AL130" s="33"/>
    </row>
    <row r="131" spans="4:38" s="474" customFormat="1" ht="12" customHeight="1">
      <c r="D131" s="33"/>
      <c r="E131" s="111"/>
      <c r="G131" s="111"/>
      <c r="H131" s="111"/>
      <c r="I131" s="112"/>
      <c r="J131" s="112"/>
      <c r="K131" s="111"/>
      <c r="L131" s="111"/>
      <c r="M131" s="162"/>
      <c r="N131" s="162"/>
      <c r="O131" s="112"/>
      <c r="P131" s="112"/>
      <c r="Q131" s="112"/>
      <c r="R131" s="112"/>
      <c r="S131" s="112"/>
      <c r="T131" s="112"/>
      <c r="U131" s="112"/>
      <c r="V131" s="162"/>
      <c r="W131" s="112"/>
      <c r="X131" s="33"/>
      <c r="Y131" s="33"/>
      <c r="Z131" s="33"/>
      <c r="AB131" s="161"/>
      <c r="AC131" s="161"/>
      <c r="AI131" s="33"/>
      <c r="AJ131" s="33"/>
      <c r="AK131" s="33"/>
      <c r="AL131" s="33"/>
    </row>
    <row r="132" spans="4:38" s="474" customFormat="1" ht="12" customHeight="1">
      <c r="D132" s="33"/>
      <c r="E132" s="111"/>
      <c r="G132" s="111"/>
      <c r="H132" s="111"/>
      <c r="I132" s="112"/>
      <c r="J132" s="112"/>
      <c r="K132" s="111"/>
      <c r="L132" s="111"/>
      <c r="M132" s="162"/>
      <c r="N132" s="162"/>
      <c r="O132" s="112"/>
      <c r="P132" s="112"/>
      <c r="Q132" s="112"/>
      <c r="R132" s="112"/>
      <c r="S132" s="112"/>
      <c r="T132" s="112"/>
      <c r="U132" s="112"/>
      <c r="V132" s="162"/>
      <c r="W132" s="112"/>
      <c r="X132" s="33"/>
      <c r="Y132" s="33"/>
      <c r="Z132" s="33"/>
      <c r="AB132" s="161"/>
      <c r="AC132" s="161"/>
      <c r="AI132" s="33"/>
      <c r="AJ132" s="33"/>
      <c r="AK132" s="33"/>
      <c r="AL132" s="33"/>
    </row>
    <row r="133" spans="4:38" s="474" customFormat="1" ht="12" customHeight="1">
      <c r="D133" s="33"/>
      <c r="E133" s="111"/>
      <c r="G133" s="111"/>
      <c r="H133" s="111"/>
      <c r="I133" s="112"/>
      <c r="J133" s="112"/>
      <c r="K133" s="111"/>
      <c r="L133" s="111"/>
      <c r="M133" s="162"/>
      <c r="N133" s="162"/>
      <c r="O133" s="112"/>
      <c r="P133" s="112"/>
      <c r="Q133" s="112"/>
      <c r="R133" s="112"/>
      <c r="S133" s="112"/>
      <c r="T133" s="112"/>
      <c r="U133" s="112"/>
      <c r="V133" s="162"/>
      <c r="W133" s="112"/>
      <c r="X133" s="33"/>
      <c r="Y133" s="33"/>
      <c r="Z133" s="33"/>
      <c r="AB133" s="161"/>
      <c r="AC133" s="161"/>
      <c r="AI133" s="33"/>
      <c r="AJ133" s="33"/>
      <c r="AK133" s="33"/>
      <c r="AL133" s="33"/>
    </row>
    <row r="134" spans="4:38" s="474" customFormat="1" ht="12" customHeight="1">
      <c r="D134" s="33"/>
      <c r="E134" s="111"/>
      <c r="G134" s="111"/>
      <c r="H134" s="111"/>
      <c r="I134" s="112"/>
      <c r="J134" s="112"/>
      <c r="K134" s="111"/>
      <c r="L134" s="111"/>
      <c r="M134" s="162"/>
      <c r="N134" s="162"/>
      <c r="O134" s="112"/>
      <c r="P134" s="112"/>
      <c r="Q134" s="112"/>
      <c r="R134" s="112"/>
      <c r="S134" s="112"/>
      <c r="T134" s="112"/>
      <c r="U134" s="112"/>
      <c r="V134" s="162"/>
      <c r="W134" s="112"/>
      <c r="X134" s="33"/>
      <c r="Y134" s="33"/>
      <c r="Z134" s="33"/>
      <c r="AB134" s="161"/>
      <c r="AC134" s="161"/>
      <c r="AI134" s="33"/>
      <c r="AJ134" s="33"/>
      <c r="AK134" s="33"/>
      <c r="AL134" s="33"/>
    </row>
    <row r="135" spans="4:38" s="474" customFormat="1" ht="12" customHeight="1">
      <c r="D135" s="33"/>
      <c r="E135" s="111"/>
      <c r="G135" s="111"/>
      <c r="H135" s="111"/>
      <c r="I135" s="112"/>
      <c r="J135" s="112"/>
      <c r="K135" s="111"/>
      <c r="L135" s="111"/>
      <c r="M135" s="162"/>
      <c r="N135" s="162"/>
      <c r="O135" s="112"/>
      <c r="P135" s="112"/>
      <c r="Q135" s="112"/>
      <c r="R135" s="112"/>
      <c r="S135" s="112"/>
      <c r="T135" s="112"/>
      <c r="U135" s="112"/>
      <c r="V135" s="162"/>
      <c r="W135" s="112"/>
      <c r="X135" s="33"/>
      <c r="Y135" s="33"/>
      <c r="Z135" s="33"/>
      <c r="AB135" s="161"/>
      <c r="AC135" s="161"/>
      <c r="AI135" s="33"/>
      <c r="AJ135" s="33"/>
      <c r="AK135" s="33"/>
      <c r="AL135" s="33"/>
    </row>
    <row r="136" spans="4:38" s="474" customFormat="1" ht="12" customHeight="1">
      <c r="D136" s="33"/>
      <c r="E136" s="111"/>
      <c r="G136" s="111"/>
      <c r="H136" s="111"/>
      <c r="I136" s="112"/>
      <c r="J136" s="112"/>
      <c r="K136" s="111"/>
      <c r="L136" s="111"/>
      <c r="M136" s="162"/>
      <c r="N136" s="162"/>
      <c r="O136" s="112"/>
      <c r="P136" s="112"/>
      <c r="Q136" s="112"/>
      <c r="R136" s="112"/>
      <c r="S136" s="112"/>
      <c r="T136" s="112"/>
      <c r="U136" s="112"/>
      <c r="V136" s="162"/>
      <c r="W136" s="112"/>
      <c r="X136" s="33"/>
      <c r="Y136" s="33"/>
      <c r="Z136" s="33"/>
      <c r="AB136" s="161"/>
      <c r="AC136" s="161"/>
      <c r="AI136" s="33"/>
      <c r="AJ136" s="33"/>
      <c r="AK136" s="33"/>
      <c r="AL136" s="33"/>
    </row>
    <row r="137" spans="4:38" s="474" customFormat="1" ht="12" customHeight="1">
      <c r="D137" s="33"/>
      <c r="E137" s="111"/>
      <c r="G137" s="111"/>
      <c r="H137" s="111"/>
      <c r="I137" s="112"/>
      <c r="J137" s="112"/>
      <c r="K137" s="111"/>
      <c r="L137" s="111"/>
      <c r="M137" s="162"/>
      <c r="N137" s="162"/>
      <c r="O137" s="112"/>
      <c r="P137" s="112"/>
      <c r="Q137" s="112"/>
      <c r="R137" s="112"/>
      <c r="S137" s="112"/>
      <c r="T137" s="112"/>
      <c r="U137" s="112"/>
      <c r="V137" s="162"/>
      <c r="W137" s="112"/>
      <c r="X137" s="33"/>
      <c r="Y137" s="33"/>
      <c r="Z137" s="33"/>
      <c r="AB137" s="161"/>
      <c r="AC137" s="161"/>
      <c r="AI137" s="33"/>
      <c r="AJ137" s="33"/>
      <c r="AK137" s="33"/>
      <c r="AL137" s="33"/>
    </row>
    <row r="138" spans="4:38" s="474" customFormat="1" ht="12" customHeight="1">
      <c r="D138" s="33"/>
      <c r="E138" s="111"/>
      <c r="G138" s="111"/>
      <c r="H138" s="111"/>
      <c r="I138" s="112"/>
      <c r="J138" s="112"/>
      <c r="K138" s="111"/>
      <c r="L138" s="111"/>
      <c r="M138" s="162"/>
      <c r="N138" s="162"/>
      <c r="O138" s="112"/>
      <c r="P138" s="112"/>
      <c r="Q138" s="112"/>
      <c r="R138" s="112"/>
      <c r="S138" s="112"/>
      <c r="T138" s="112"/>
      <c r="U138" s="112"/>
      <c r="V138" s="162"/>
      <c r="W138" s="112"/>
      <c r="X138" s="33"/>
      <c r="Y138" s="33"/>
      <c r="Z138" s="33"/>
      <c r="AB138" s="161"/>
      <c r="AC138" s="161"/>
      <c r="AI138" s="33"/>
      <c r="AJ138" s="33"/>
      <c r="AK138" s="33"/>
      <c r="AL138" s="33"/>
    </row>
    <row r="139" spans="4:38" s="474" customFormat="1" ht="12" customHeight="1">
      <c r="D139" s="33"/>
      <c r="E139" s="111"/>
      <c r="G139" s="111"/>
      <c r="H139" s="111"/>
      <c r="I139" s="112"/>
      <c r="J139" s="112"/>
      <c r="K139" s="111"/>
      <c r="L139" s="111"/>
      <c r="M139" s="162"/>
      <c r="N139" s="162"/>
      <c r="O139" s="112"/>
      <c r="P139" s="112"/>
      <c r="Q139" s="112"/>
      <c r="R139" s="112"/>
      <c r="S139" s="112"/>
      <c r="T139" s="112"/>
      <c r="U139" s="112"/>
      <c r="V139" s="162"/>
      <c r="W139" s="112"/>
      <c r="X139" s="33"/>
      <c r="Y139" s="33"/>
      <c r="Z139" s="33"/>
      <c r="AB139" s="161"/>
      <c r="AC139" s="161"/>
      <c r="AI139" s="33"/>
      <c r="AJ139" s="33"/>
      <c r="AK139" s="33"/>
      <c r="AL139" s="33"/>
    </row>
    <row r="140" spans="4:38" s="474" customFormat="1" ht="12" customHeight="1">
      <c r="D140" s="33"/>
      <c r="E140" s="111"/>
      <c r="G140" s="111"/>
      <c r="H140" s="111"/>
      <c r="I140" s="112"/>
      <c r="J140" s="112"/>
      <c r="K140" s="111"/>
      <c r="L140" s="111"/>
      <c r="M140" s="162"/>
      <c r="N140" s="162"/>
      <c r="O140" s="112"/>
      <c r="P140" s="112"/>
      <c r="Q140" s="112"/>
      <c r="R140" s="112"/>
      <c r="S140" s="112"/>
      <c r="T140" s="112"/>
      <c r="U140" s="112"/>
      <c r="V140" s="162"/>
      <c r="W140" s="112"/>
      <c r="X140" s="33"/>
      <c r="Y140" s="33"/>
      <c r="Z140" s="33"/>
      <c r="AB140" s="161"/>
      <c r="AC140" s="161"/>
      <c r="AI140" s="33"/>
      <c r="AJ140" s="33"/>
      <c r="AK140" s="33"/>
      <c r="AL140" s="33"/>
    </row>
    <row r="141" spans="4:38" s="474" customFormat="1" ht="12" customHeight="1">
      <c r="D141" s="33"/>
      <c r="E141" s="111"/>
      <c r="G141" s="111"/>
      <c r="H141" s="111"/>
      <c r="I141" s="112"/>
      <c r="J141" s="112"/>
      <c r="K141" s="111"/>
      <c r="L141" s="111"/>
      <c r="M141" s="162"/>
      <c r="N141" s="162"/>
      <c r="O141" s="112"/>
      <c r="P141" s="112"/>
      <c r="Q141" s="112"/>
      <c r="R141" s="112"/>
      <c r="S141" s="112"/>
      <c r="T141" s="112"/>
      <c r="U141" s="112"/>
      <c r="V141" s="162"/>
      <c r="W141" s="112"/>
      <c r="X141" s="33"/>
      <c r="Y141" s="33"/>
      <c r="Z141" s="33"/>
      <c r="AB141" s="161"/>
      <c r="AC141" s="161"/>
      <c r="AI141" s="33"/>
      <c r="AJ141" s="33"/>
      <c r="AK141" s="33"/>
      <c r="AL141" s="33"/>
    </row>
    <row r="142" spans="4:38" s="474" customFormat="1" ht="12" customHeight="1">
      <c r="D142" s="33"/>
      <c r="E142" s="111"/>
      <c r="G142" s="111"/>
      <c r="H142" s="111"/>
      <c r="I142" s="112"/>
      <c r="J142" s="112"/>
      <c r="K142" s="111"/>
      <c r="L142" s="111"/>
      <c r="M142" s="162"/>
      <c r="N142" s="162"/>
      <c r="O142" s="112"/>
      <c r="P142" s="112"/>
      <c r="Q142" s="112"/>
      <c r="R142" s="112"/>
      <c r="S142" s="112"/>
      <c r="T142" s="112"/>
      <c r="U142" s="112"/>
      <c r="V142" s="162"/>
      <c r="W142" s="112"/>
      <c r="X142" s="33"/>
      <c r="Y142" s="33"/>
      <c r="Z142" s="33"/>
      <c r="AB142" s="161"/>
      <c r="AC142" s="161"/>
      <c r="AI142" s="33"/>
      <c r="AJ142" s="33"/>
      <c r="AK142" s="33"/>
      <c r="AL142" s="33"/>
    </row>
    <row r="143" spans="4:38" s="474" customFormat="1" ht="12" customHeight="1">
      <c r="D143" s="33"/>
      <c r="E143" s="111"/>
      <c r="G143" s="111"/>
      <c r="H143" s="111"/>
      <c r="I143" s="112"/>
      <c r="J143" s="112"/>
      <c r="K143" s="111"/>
      <c r="L143" s="111"/>
      <c r="M143" s="162"/>
      <c r="N143" s="162"/>
      <c r="O143" s="112"/>
      <c r="P143" s="112"/>
      <c r="Q143" s="112"/>
      <c r="R143" s="112"/>
      <c r="S143" s="112"/>
      <c r="T143" s="112"/>
      <c r="U143" s="112"/>
      <c r="V143" s="162"/>
      <c r="W143" s="112"/>
      <c r="X143" s="33"/>
      <c r="Y143" s="33"/>
      <c r="Z143" s="33"/>
      <c r="AB143" s="161"/>
      <c r="AC143" s="161"/>
      <c r="AI143" s="33"/>
      <c r="AJ143" s="33"/>
      <c r="AK143" s="33"/>
      <c r="AL143" s="33"/>
    </row>
    <row r="144" spans="4:38" s="474" customFormat="1" ht="12" customHeight="1">
      <c r="D144" s="33"/>
      <c r="E144" s="111"/>
      <c r="G144" s="111"/>
      <c r="H144" s="111"/>
      <c r="I144" s="112"/>
      <c r="J144" s="112"/>
      <c r="K144" s="111"/>
      <c r="L144" s="111"/>
      <c r="M144" s="162"/>
      <c r="N144" s="162"/>
      <c r="O144" s="112"/>
      <c r="P144" s="112"/>
      <c r="Q144" s="112"/>
      <c r="R144" s="112"/>
      <c r="S144" s="112"/>
      <c r="T144" s="112"/>
      <c r="U144" s="112"/>
      <c r="V144" s="162"/>
      <c r="W144" s="112"/>
      <c r="X144" s="33"/>
      <c r="Y144" s="33"/>
      <c r="Z144" s="33"/>
      <c r="AB144" s="161"/>
      <c r="AC144" s="161"/>
      <c r="AI144" s="33"/>
      <c r="AJ144" s="33"/>
      <c r="AK144" s="33"/>
      <c r="AL144" s="33"/>
    </row>
    <row r="145" spans="4:38" s="474" customFormat="1" ht="12" customHeight="1">
      <c r="D145" s="33"/>
      <c r="E145" s="111"/>
      <c r="G145" s="111"/>
      <c r="H145" s="111"/>
      <c r="I145" s="112"/>
      <c r="J145" s="112"/>
      <c r="K145" s="111"/>
      <c r="L145" s="111"/>
      <c r="M145" s="162"/>
      <c r="N145" s="162"/>
      <c r="O145" s="112"/>
      <c r="P145" s="112"/>
      <c r="Q145" s="112"/>
      <c r="R145" s="112"/>
      <c r="S145" s="112"/>
      <c r="T145" s="112"/>
      <c r="U145" s="112"/>
      <c r="V145" s="162"/>
      <c r="W145" s="112"/>
      <c r="X145" s="33"/>
      <c r="Y145" s="33"/>
      <c r="Z145" s="33"/>
      <c r="AB145" s="161"/>
      <c r="AC145" s="161"/>
      <c r="AI145" s="33"/>
      <c r="AJ145" s="33"/>
      <c r="AK145" s="33"/>
      <c r="AL145" s="33"/>
    </row>
    <row r="146" spans="4:38" s="474" customFormat="1" ht="12" customHeight="1">
      <c r="D146" s="33"/>
      <c r="E146" s="111"/>
      <c r="G146" s="111"/>
      <c r="H146" s="111"/>
      <c r="I146" s="112"/>
      <c r="J146" s="112"/>
      <c r="K146" s="111"/>
      <c r="L146" s="111"/>
      <c r="M146" s="162"/>
      <c r="N146" s="162"/>
      <c r="O146" s="112"/>
      <c r="P146" s="112"/>
      <c r="Q146" s="112"/>
      <c r="R146" s="112"/>
      <c r="S146" s="112"/>
      <c r="T146" s="112"/>
      <c r="U146" s="112"/>
      <c r="V146" s="162"/>
      <c r="W146" s="112"/>
      <c r="X146" s="33"/>
      <c r="Y146" s="33"/>
      <c r="Z146" s="33"/>
      <c r="AB146" s="161"/>
      <c r="AC146" s="161"/>
      <c r="AI146" s="33"/>
      <c r="AJ146" s="33"/>
      <c r="AK146" s="33"/>
      <c r="AL146" s="33"/>
    </row>
    <row r="147" spans="4:38" s="474" customFormat="1" ht="12" customHeight="1">
      <c r="D147" s="33"/>
      <c r="E147" s="111"/>
      <c r="G147" s="111"/>
      <c r="H147" s="111"/>
      <c r="I147" s="112"/>
      <c r="J147" s="112"/>
      <c r="K147" s="111"/>
      <c r="L147" s="111"/>
      <c r="M147" s="162"/>
      <c r="N147" s="162"/>
      <c r="O147" s="112"/>
      <c r="P147" s="112"/>
      <c r="Q147" s="112"/>
      <c r="R147" s="112"/>
      <c r="S147" s="112"/>
      <c r="T147" s="112"/>
      <c r="U147" s="112"/>
      <c r="V147" s="162"/>
      <c r="W147" s="112"/>
      <c r="X147" s="33"/>
      <c r="Y147" s="33"/>
      <c r="Z147" s="33"/>
      <c r="AB147" s="161"/>
      <c r="AC147" s="161"/>
      <c r="AI147" s="33"/>
      <c r="AJ147" s="33"/>
      <c r="AK147" s="33"/>
      <c r="AL147" s="33"/>
    </row>
    <row r="148" spans="4:38" s="474" customFormat="1" ht="12" customHeight="1">
      <c r="D148" s="33"/>
      <c r="E148" s="111"/>
      <c r="G148" s="111"/>
      <c r="H148" s="111"/>
      <c r="I148" s="112"/>
      <c r="J148" s="112"/>
      <c r="K148" s="111"/>
      <c r="L148" s="111"/>
      <c r="M148" s="162"/>
      <c r="N148" s="162"/>
      <c r="O148" s="112"/>
      <c r="P148" s="112"/>
      <c r="Q148" s="112"/>
      <c r="R148" s="112"/>
      <c r="S148" s="112"/>
      <c r="T148" s="112"/>
      <c r="U148" s="112"/>
      <c r="V148" s="162"/>
      <c r="W148" s="112"/>
      <c r="X148" s="33"/>
      <c r="Y148" s="33"/>
      <c r="Z148" s="33"/>
      <c r="AB148" s="161"/>
      <c r="AC148" s="161"/>
      <c r="AI148" s="33"/>
      <c r="AJ148" s="33"/>
      <c r="AK148" s="33"/>
      <c r="AL148" s="33"/>
    </row>
    <row r="149" spans="4:38" s="474" customFormat="1" ht="12" customHeight="1">
      <c r="D149" s="33"/>
      <c r="E149" s="111"/>
      <c r="G149" s="111"/>
      <c r="H149" s="111"/>
      <c r="I149" s="112"/>
      <c r="J149" s="112"/>
      <c r="K149" s="111"/>
      <c r="L149" s="111"/>
      <c r="M149" s="162"/>
      <c r="N149" s="162"/>
      <c r="O149" s="112"/>
      <c r="P149" s="112"/>
      <c r="Q149" s="112"/>
      <c r="R149" s="112"/>
      <c r="S149" s="112"/>
      <c r="T149" s="112"/>
      <c r="U149" s="112"/>
      <c r="V149" s="162"/>
      <c r="W149" s="112"/>
      <c r="X149" s="33"/>
      <c r="Y149" s="33"/>
      <c r="Z149" s="33"/>
      <c r="AB149" s="161"/>
      <c r="AC149" s="161"/>
      <c r="AI149" s="33"/>
      <c r="AJ149" s="33"/>
      <c r="AK149" s="33"/>
      <c r="AL149" s="33"/>
    </row>
    <row r="150" spans="4:38" s="474" customFormat="1" ht="12" customHeight="1">
      <c r="D150" s="33"/>
      <c r="E150" s="111"/>
      <c r="G150" s="111"/>
      <c r="H150" s="111"/>
      <c r="I150" s="112"/>
      <c r="J150" s="112"/>
      <c r="K150" s="111"/>
      <c r="L150" s="111"/>
      <c r="M150" s="162"/>
      <c r="N150" s="162"/>
      <c r="O150" s="112"/>
      <c r="P150" s="112"/>
      <c r="Q150" s="112"/>
      <c r="R150" s="112"/>
      <c r="S150" s="112"/>
      <c r="T150" s="112"/>
      <c r="U150" s="112"/>
      <c r="V150" s="162"/>
      <c r="W150" s="112"/>
      <c r="X150" s="33"/>
      <c r="Y150" s="33"/>
      <c r="Z150" s="33"/>
      <c r="AB150" s="161"/>
      <c r="AC150" s="161"/>
      <c r="AI150" s="33"/>
      <c r="AJ150" s="33"/>
      <c r="AK150" s="33"/>
      <c r="AL150" s="33"/>
    </row>
    <row r="151" spans="4:38" s="474" customFormat="1" ht="12" customHeight="1">
      <c r="D151" s="33"/>
      <c r="E151" s="111"/>
      <c r="G151" s="111"/>
      <c r="H151" s="111"/>
      <c r="I151" s="112"/>
      <c r="J151" s="112"/>
      <c r="K151" s="111"/>
      <c r="L151" s="111"/>
      <c r="M151" s="162"/>
      <c r="N151" s="162"/>
      <c r="O151" s="112"/>
      <c r="P151" s="112"/>
      <c r="Q151" s="112"/>
      <c r="R151" s="112"/>
      <c r="S151" s="112"/>
      <c r="T151" s="112"/>
      <c r="U151" s="112"/>
      <c r="V151" s="162"/>
      <c r="W151" s="112"/>
      <c r="X151" s="33"/>
      <c r="Y151" s="33"/>
      <c r="Z151" s="33"/>
      <c r="AB151" s="161"/>
      <c r="AC151" s="161"/>
      <c r="AI151" s="33"/>
      <c r="AJ151" s="33"/>
      <c r="AK151" s="33"/>
      <c r="AL151" s="33"/>
    </row>
    <row r="152" spans="4:38" s="474" customFormat="1" ht="12" customHeight="1">
      <c r="D152" s="33"/>
      <c r="E152" s="111"/>
      <c r="G152" s="111"/>
      <c r="H152" s="111"/>
      <c r="I152" s="112"/>
      <c r="J152" s="112"/>
      <c r="K152" s="111"/>
      <c r="L152" s="111"/>
      <c r="M152" s="162"/>
      <c r="N152" s="162"/>
      <c r="O152" s="112"/>
      <c r="P152" s="112"/>
      <c r="Q152" s="112"/>
      <c r="R152" s="112"/>
      <c r="S152" s="112"/>
      <c r="T152" s="112"/>
      <c r="U152" s="112"/>
      <c r="V152" s="162"/>
      <c r="W152" s="112"/>
      <c r="X152" s="33"/>
      <c r="Y152" s="33"/>
      <c r="Z152" s="33"/>
      <c r="AB152" s="161"/>
      <c r="AC152" s="161"/>
      <c r="AI152" s="33"/>
      <c r="AJ152" s="33"/>
      <c r="AK152" s="33"/>
      <c r="AL152" s="33"/>
    </row>
    <row r="153" spans="4:38" s="474" customFormat="1" ht="12" customHeight="1">
      <c r="D153" s="33"/>
      <c r="E153" s="111"/>
      <c r="G153" s="111"/>
      <c r="H153" s="111"/>
      <c r="I153" s="112"/>
      <c r="J153" s="112"/>
      <c r="K153" s="111"/>
      <c r="L153" s="111"/>
      <c r="M153" s="162"/>
      <c r="N153" s="162"/>
      <c r="O153" s="112"/>
      <c r="P153" s="112"/>
      <c r="Q153" s="112"/>
      <c r="R153" s="112"/>
      <c r="S153" s="112"/>
      <c r="T153" s="112"/>
      <c r="U153" s="112"/>
      <c r="V153" s="162"/>
      <c r="W153" s="112"/>
      <c r="X153" s="33"/>
      <c r="Y153" s="33"/>
      <c r="Z153" s="33"/>
      <c r="AB153" s="161"/>
      <c r="AC153" s="161"/>
      <c r="AI153" s="33"/>
      <c r="AJ153" s="33"/>
      <c r="AK153" s="33"/>
      <c r="AL153" s="33"/>
    </row>
    <row r="154" spans="4:38" s="474" customFormat="1" ht="12" customHeight="1">
      <c r="D154" s="33"/>
      <c r="E154" s="111"/>
      <c r="G154" s="111"/>
      <c r="H154" s="111"/>
      <c r="I154" s="112"/>
      <c r="J154" s="112"/>
      <c r="K154" s="111"/>
      <c r="L154" s="111"/>
      <c r="M154" s="162"/>
      <c r="N154" s="162"/>
      <c r="O154" s="112"/>
      <c r="P154" s="112"/>
      <c r="Q154" s="112"/>
      <c r="R154" s="112"/>
      <c r="S154" s="112"/>
      <c r="T154" s="112"/>
      <c r="U154" s="112"/>
      <c r="V154" s="162"/>
      <c r="W154" s="112"/>
      <c r="X154" s="33"/>
      <c r="Y154" s="33"/>
      <c r="Z154" s="33"/>
      <c r="AB154" s="161"/>
      <c r="AC154" s="161"/>
      <c r="AI154" s="33"/>
      <c r="AJ154" s="33"/>
      <c r="AK154" s="33"/>
      <c r="AL154" s="33"/>
    </row>
    <row r="155" spans="4:38" s="474" customFormat="1" ht="12" customHeight="1">
      <c r="D155" s="33"/>
      <c r="E155" s="111"/>
      <c r="G155" s="111"/>
      <c r="H155" s="111"/>
      <c r="I155" s="112"/>
      <c r="J155" s="112"/>
      <c r="K155" s="111"/>
      <c r="L155" s="111"/>
      <c r="M155" s="162"/>
      <c r="N155" s="162"/>
      <c r="O155" s="112"/>
      <c r="P155" s="112"/>
      <c r="Q155" s="112"/>
      <c r="R155" s="112"/>
      <c r="S155" s="112"/>
      <c r="T155" s="112"/>
      <c r="U155" s="112"/>
      <c r="V155" s="162"/>
      <c r="W155" s="112"/>
      <c r="X155" s="33"/>
      <c r="Y155" s="33"/>
      <c r="Z155" s="33"/>
      <c r="AB155" s="161"/>
      <c r="AC155" s="161"/>
      <c r="AI155" s="33"/>
      <c r="AJ155" s="33"/>
      <c r="AK155" s="33"/>
      <c r="AL155" s="33"/>
    </row>
    <row r="156" spans="4:38" s="474" customFormat="1" ht="12" customHeight="1">
      <c r="D156" s="33"/>
      <c r="E156" s="111"/>
      <c r="G156" s="111"/>
      <c r="H156" s="111"/>
      <c r="I156" s="112"/>
      <c r="J156" s="112"/>
      <c r="K156" s="111"/>
      <c r="L156" s="111"/>
      <c r="M156" s="162"/>
      <c r="N156" s="162"/>
      <c r="O156" s="112"/>
      <c r="P156" s="112"/>
      <c r="Q156" s="112"/>
      <c r="R156" s="112"/>
      <c r="S156" s="112"/>
      <c r="T156" s="112"/>
      <c r="U156" s="112"/>
      <c r="V156" s="162"/>
      <c r="W156" s="112"/>
      <c r="X156" s="33"/>
      <c r="Y156" s="33"/>
      <c r="Z156" s="33"/>
      <c r="AB156" s="161"/>
      <c r="AC156" s="161"/>
      <c r="AI156" s="33"/>
      <c r="AJ156" s="33"/>
      <c r="AK156" s="33"/>
      <c r="AL156" s="33"/>
    </row>
    <row r="157" spans="4:38" s="474" customFormat="1" ht="12" customHeight="1">
      <c r="D157" s="33"/>
      <c r="E157" s="111"/>
      <c r="G157" s="111"/>
      <c r="H157" s="111"/>
      <c r="I157" s="112"/>
      <c r="J157" s="112"/>
      <c r="K157" s="111"/>
      <c r="L157" s="111"/>
      <c r="M157" s="162"/>
      <c r="N157" s="162"/>
      <c r="O157" s="112"/>
      <c r="P157" s="112"/>
      <c r="Q157" s="112"/>
      <c r="R157" s="112"/>
      <c r="S157" s="112"/>
      <c r="T157" s="112"/>
      <c r="U157" s="112"/>
      <c r="V157" s="162"/>
      <c r="W157" s="112"/>
      <c r="X157" s="33"/>
      <c r="Y157" s="33"/>
      <c r="Z157" s="33"/>
      <c r="AB157" s="161"/>
      <c r="AC157" s="161"/>
      <c r="AI157" s="33"/>
      <c r="AJ157" s="33"/>
      <c r="AK157" s="33"/>
      <c r="AL157" s="33"/>
    </row>
    <row r="158" spans="4:38" s="474" customFormat="1" ht="12" customHeight="1">
      <c r="D158" s="33"/>
      <c r="E158" s="111"/>
      <c r="G158" s="111"/>
      <c r="H158" s="111"/>
      <c r="I158" s="112"/>
      <c r="J158" s="112"/>
      <c r="K158" s="111"/>
      <c r="L158" s="111"/>
      <c r="M158" s="162"/>
      <c r="N158" s="162"/>
      <c r="O158" s="112"/>
      <c r="P158" s="112"/>
      <c r="Q158" s="112"/>
      <c r="R158" s="112"/>
      <c r="S158" s="112"/>
      <c r="T158" s="112"/>
      <c r="U158" s="112"/>
      <c r="V158" s="162"/>
      <c r="W158" s="112"/>
      <c r="X158" s="33"/>
      <c r="Y158" s="33"/>
      <c r="Z158" s="33"/>
      <c r="AB158" s="161"/>
      <c r="AC158" s="161"/>
      <c r="AI158" s="33"/>
      <c r="AJ158" s="33"/>
      <c r="AK158" s="33"/>
      <c r="AL158" s="33"/>
    </row>
    <row r="159" spans="4:38" s="474" customFormat="1" ht="12" customHeight="1">
      <c r="D159" s="33"/>
      <c r="E159" s="111"/>
      <c r="G159" s="111"/>
      <c r="H159" s="111"/>
      <c r="I159" s="112"/>
      <c r="J159" s="112"/>
      <c r="K159" s="111"/>
      <c r="L159" s="111"/>
      <c r="M159" s="162"/>
      <c r="N159" s="162"/>
      <c r="O159" s="112"/>
      <c r="P159" s="112"/>
      <c r="Q159" s="112"/>
      <c r="R159" s="112"/>
      <c r="S159" s="112"/>
      <c r="T159" s="112"/>
      <c r="U159" s="112"/>
      <c r="V159" s="162"/>
      <c r="W159" s="112"/>
      <c r="X159" s="33"/>
      <c r="Y159" s="33"/>
      <c r="Z159" s="33"/>
      <c r="AB159" s="161"/>
      <c r="AC159" s="161"/>
      <c r="AI159" s="33"/>
      <c r="AJ159" s="33"/>
      <c r="AK159" s="33"/>
      <c r="AL159" s="33"/>
    </row>
    <row r="160" spans="4:38" s="474" customFormat="1" ht="12" customHeight="1">
      <c r="D160" s="33"/>
      <c r="E160" s="111"/>
      <c r="G160" s="111"/>
      <c r="H160" s="111"/>
      <c r="I160" s="112"/>
      <c r="J160" s="112"/>
      <c r="K160" s="111"/>
      <c r="L160" s="111"/>
      <c r="M160" s="162"/>
      <c r="N160" s="162"/>
      <c r="O160" s="112"/>
      <c r="P160" s="112"/>
      <c r="Q160" s="112"/>
      <c r="R160" s="112"/>
      <c r="S160" s="112"/>
      <c r="T160" s="112"/>
      <c r="U160" s="112"/>
      <c r="V160" s="162"/>
      <c r="W160" s="112"/>
      <c r="X160" s="33"/>
      <c r="Y160" s="33"/>
      <c r="Z160" s="33"/>
      <c r="AB160" s="161"/>
      <c r="AC160" s="161"/>
      <c r="AI160" s="33"/>
      <c r="AJ160" s="33"/>
      <c r="AK160" s="33"/>
      <c r="AL160" s="33"/>
    </row>
    <row r="161" spans="4:38" s="474" customFormat="1" ht="12" customHeight="1">
      <c r="D161" s="33"/>
      <c r="E161" s="111"/>
      <c r="G161" s="111"/>
      <c r="H161" s="111"/>
      <c r="I161" s="112"/>
      <c r="J161" s="112"/>
      <c r="K161" s="111"/>
      <c r="L161" s="111"/>
      <c r="M161" s="162"/>
      <c r="N161" s="162"/>
      <c r="O161" s="112"/>
      <c r="P161" s="112"/>
      <c r="Q161" s="112"/>
      <c r="R161" s="112"/>
      <c r="S161" s="112"/>
      <c r="T161" s="112"/>
      <c r="U161" s="112"/>
      <c r="V161" s="162"/>
      <c r="W161" s="112"/>
      <c r="X161" s="33"/>
      <c r="Y161" s="33"/>
      <c r="Z161" s="33"/>
      <c r="AB161" s="161"/>
      <c r="AC161" s="161"/>
      <c r="AI161" s="33"/>
      <c r="AJ161" s="33"/>
      <c r="AK161" s="33"/>
      <c r="AL161" s="33"/>
    </row>
    <row r="162" spans="4:38" s="474" customFormat="1" ht="12" customHeight="1">
      <c r="D162" s="33"/>
      <c r="E162" s="111"/>
      <c r="G162" s="111"/>
      <c r="H162" s="111"/>
      <c r="I162" s="112"/>
      <c r="J162" s="112"/>
      <c r="K162" s="111"/>
      <c r="L162" s="111"/>
      <c r="M162" s="162"/>
      <c r="N162" s="162"/>
      <c r="O162" s="112"/>
      <c r="P162" s="112"/>
      <c r="Q162" s="112"/>
      <c r="R162" s="112"/>
      <c r="S162" s="112"/>
      <c r="T162" s="112"/>
      <c r="U162" s="112"/>
      <c r="V162" s="162"/>
      <c r="W162" s="112"/>
      <c r="X162" s="33"/>
      <c r="Y162" s="33"/>
      <c r="Z162" s="33"/>
      <c r="AB162" s="161"/>
      <c r="AC162" s="161"/>
      <c r="AI162" s="33"/>
      <c r="AJ162" s="33"/>
      <c r="AK162" s="33"/>
      <c r="AL162" s="33"/>
    </row>
    <row r="163" spans="4:38" s="474" customFormat="1" ht="12" customHeight="1">
      <c r="D163" s="33"/>
      <c r="E163" s="111"/>
      <c r="G163" s="111"/>
      <c r="H163" s="111"/>
      <c r="I163" s="112"/>
      <c r="J163" s="112"/>
      <c r="K163" s="111"/>
      <c r="L163" s="111"/>
      <c r="M163" s="162"/>
      <c r="N163" s="162"/>
      <c r="O163" s="112"/>
      <c r="P163" s="112"/>
      <c r="Q163" s="112"/>
      <c r="R163" s="112"/>
      <c r="S163" s="112"/>
      <c r="T163" s="112"/>
      <c r="U163" s="112"/>
      <c r="V163" s="162"/>
      <c r="W163" s="112"/>
      <c r="X163" s="33"/>
      <c r="Y163" s="33"/>
      <c r="Z163" s="33"/>
      <c r="AB163" s="161"/>
      <c r="AC163" s="161"/>
      <c r="AI163" s="33"/>
      <c r="AJ163" s="33"/>
      <c r="AK163" s="33"/>
      <c r="AL163" s="33"/>
    </row>
    <row r="164" spans="4:38" s="474" customFormat="1" ht="12" customHeight="1">
      <c r="D164" s="33"/>
      <c r="E164" s="111"/>
      <c r="G164" s="111"/>
      <c r="H164" s="111"/>
      <c r="I164" s="112"/>
      <c r="J164" s="112"/>
      <c r="K164" s="111"/>
      <c r="L164" s="111"/>
      <c r="M164" s="162"/>
      <c r="N164" s="162"/>
      <c r="O164" s="112"/>
      <c r="P164" s="112"/>
      <c r="Q164" s="112"/>
      <c r="R164" s="112"/>
      <c r="S164" s="112"/>
      <c r="T164" s="112"/>
      <c r="U164" s="112"/>
      <c r="V164" s="162"/>
      <c r="W164" s="112"/>
      <c r="X164" s="33"/>
      <c r="Y164" s="33"/>
      <c r="Z164" s="33"/>
      <c r="AB164" s="161"/>
      <c r="AC164" s="161"/>
      <c r="AI164" s="33"/>
      <c r="AJ164" s="33"/>
      <c r="AK164" s="33"/>
      <c r="AL164" s="33"/>
    </row>
    <row r="165" spans="4:38" s="474" customFormat="1" ht="12" customHeight="1">
      <c r="D165" s="33"/>
      <c r="E165" s="111"/>
      <c r="G165" s="111"/>
      <c r="H165" s="111"/>
      <c r="I165" s="112"/>
      <c r="J165" s="112"/>
      <c r="K165" s="111"/>
      <c r="L165" s="111"/>
      <c r="M165" s="162"/>
      <c r="N165" s="162"/>
      <c r="O165" s="112"/>
      <c r="P165" s="112"/>
      <c r="Q165" s="112"/>
      <c r="R165" s="112"/>
      <c r="S165" s="112"/>
      <c r="T165" s="112"/>
      <c r="U165" s="112"/>
      <c r="V165" s="162"/>
      <c r="W165" s="112"/>
      <c r="X165" s="33"/>
      <c r="Y165" s="33"/>
      <c r="Z165" s="33"/>
      <c r="AB165" s="161"/>
      <c r="AC165" s="161"/>
      <c r="AI165" s="33"/>
      <c r="AJ165" s="33"/>
      <c r="AK165" s="33"/>
      <c r="AL165" s="33"/>
    </row>
    <row r="166" spans="4:38" s="474" customFormat="1" ht="12" customHeight="1">
      <c r="D166" s="33"/>
      <c r="E166" s="111"/>
      <c r="G166" s="111"/>
      <c r="H166" s="111"/>
      <c r="I166" s="112"/>
      <c r="J166" s="112"/>
      <c r="K166" s="111"/>
      <c r="L166" s="111"/>
      <c r="M166" s="162"/>
      <c r="N166" s="162"/>
      <c r="O166" s="112"/>
      <c r="P166" s="112"/>
      <c r="Q166" s="112"/>
      <c r="R166" s="112"/>
      <c r="S166" s="112"/>
      <c r="T166" s="112"/>
      <c r="U166" s="112"/>
      <c r="V166" s="162"/>
      <c r="W166" s="112"/>
      <c r="X166" s="33"/>
      <c r="Y166" s="33"/>
      <c r="Z166" s="33"/>
      <c r="AB166" s="161"/>
      <c r="AC166" s="161"/>
      <c r="AI166" s="33"/>
      <c r="AJ166" s="33"/>
      <c r="AK166" s="33"/>
      <c r="AL166" s="33"/>
    </row>
    <row r="167" spans="4:38" s="474" customFormat="1" ht="12" customHeight="1">
      <c r="D167" s="33"/>
      <c r="E167" s="111"/>
      <c r="G167" s="111"/>
      <c r="H167" s="111"/>
      <c r="I167" s="112"/>
      <c r="J167" s="112"/>
      <c r="K167" s="111"/>
      <c r="L167" s="111"/>
      <c r="M167" s="162"/>
      <c r="N167" s="162"/>
      <c r="O167" s="112"/>
      <c r="P167" s="112"/>
      <c r="Q167" s="112"/>
      <c r="R167" s="112"/>
      <c r="S167" s="112"/>
      <c r="T167" s="112"/>
      <c r="U167" s="112"/>
      <c r="V167" s="162"/>
      <c r="W167" s="112"/>
      <c r="X167" s="33"/>
      <c r="Y167" s="33"/>
      <c r="Z167" s="33"/>
      <c r="AB167" s="161"/>
      <c r="AC167" s="161"/>
      <c r="AI167" s="33"/>
      <c r="AJ167" s="33"/>
      <c r="AK167" s="33"/>
      <c r="AL167" s="33"/>
    </row>
    <row r="168" spans="4:38" s="474" customFormat="1" ht="12" customHeight="1">
      <c r="D168" s="33"/>
      <c r="E168" s="111"/>
      <c r="G168" s="111"/>
      <c r="H168" s="111"/>
      <c r="I168" s="112"/>
      <c r="J168" s="112"/>
      <c r="K168" s="111"/>
      <c r="L168" s="111"/>
      <c r="M168" s="162"/>
      <c r="N168" s="162"/>
      <c r="O168" s="112"/>
      <c r="P168" s="112"/>
      <c r="Q168" s="112"/>
      <c r="R168" s="112"/>
      <c r="S168" s="112"/>
      <c r="T168" s="112"/>
      <c r="U168" s="112"/>
      <c r="V168" s="162"/>
      <c r="W168" s="112"/>
      <c r="X168" s="33"/>
      <c r="Y168" s="33"/>
      <c r="Z168" s="33"/>
      <c r="AB168" s="161"/>
      <c r="AC168" s="161"/>
      <c r="AI168" s="33"/>
      <c r="AJ168" s="33"/>
      <c r="AK168" s="33"/>
      <c r="AL168" s="33"/>
    </row>
    <row r="169" spans="4:38" s="474" customFormat="1" ht="12" customHeight="1">
      <c r="D169" s="33"/>
      <c r="E169" s="111"/>
      <c r="G169" s="111"/>
      <c r="H169" s="111"/>
      <c r="I169" s="112"/>
      <c r="J169" s="112"/>
      <c r="K169" s="111"/>
      <c r="L169" s="111"/>
      <c r="M169" s="162"/>
      <c r="N169" s="162"/>
      <c r="O169" s="112"/>
      <c r="P169" s="112"/>
      <c r="Q169" s="112"/>
      <c r="R169" s="112"/>
      <c r="S169" s="112"/>
      <c r="T169" s="112"/>
      <c r="U169" s="112"/>
      <c r="V169" s="162"/>
      <c r="W169" s="112"/>
      <c r="X169" s="33"/>
      <c r="Y169" s="33"/>
      <c r="Z169" s="33"/>
      <c r="AB169" s="161"/>
      <c r="AC169" s="161"/>
      <c r="AI169" s="33"/>
      <c r="AJ169" s="33"/>
      <c r="AK169" s="33"/>
      <c r="AL169" s="33"/>
    </row>
    <row r="170" spans="4:38" s="474" customFormat="1" ht="12" customHeight="1">
      <c r="D170" s="33"/>
      <c r="E170" s="111"/>
      <c r="G170" s="111"/>
      <c r="H170" s="111"/>
      <c r="I170" s="112"/>
      <c r="J170" s="112"/>
      <c r="K170" s="111"/>
      <c r="L170" s="111"/>
      <c r="M170" s="162"/>
      <c r="N170" s="162"/>
      <c r="O170" s="112"/>
      <c r="P170" s="112"/>
      <c r="Q170" s="112"/>
      <c r="R170" s="112"/>
      <c r="S170" s="112"/>
      <c r="T170" s="112"/>
      <c r="U170" s="112"/>
      <c r="V170" s="162"/>
      <c r="W170" s="112"/>
      <c r="X170" s="33"/>
      <c r="Y170" s="33"/>
      <c r="Z170" s="33"/>
      <c r="AB170" s="161"/>
      <c r="AC170" s="161"/>
      <c r="AI170" s="33"/>
      <c r="AJ170" s="33"/>
      <c r="AK170" s="33"/>
      <c r="AL170" s="33"/>
    </row>
    <row r="171" spans="4:38" s="474" customFormat="1" ht="12" customHeight="1">
      <c r="D171" s="33"/>
      <c r="E171" s="111"/>
      <c r="G171" s="111"/>
      <c r="H171" s="111"/>
      <c r="I171" s="112"/>
      <c r="J171" s="112"/>
      <c r="K171" s="111"/>
      <c r="L171" s="111"/>
      <c r="M171" s="162"/>
      <c r="N171" s="162"/>
      <c r="O171" s="112"/>
      <c r="P171" s="112"/>
      <c r="Q171" s="112"/>
      <c r="R171" s="112"/>
      <c r="S171" s="112"/>
      <c r="T171" s="112"/>
      <c r="U171" s="112"/>
      <c r="V171" s="162"/>
      <c r="W171" s="112"/>
      <c r="X171" s="33"/>
      <c r="Y171" s="33"/>
      <c r="Z171" s="33"/>
      <c r="AB171" s="161"/>
      <c r="AC171" s="161"/>
      <c r="AI171" s="33"/>
      <c r="AJ171" s="33"/>
      <c r="AK171" s="33"/>
      <c r="AL171" s="33"/>
    </row>
    <row r="172" spans="4:38" s="474" customFormat="1" ht="12" customHeight="1">
      <c r="D172" s="33"/>
      <c r="E172" s="111"/>
      <c r="G172" s="111"/>
      <c r="H172" s="111"/>
      <c r="I172" s="112"/>
      <c r="J172" s="112"/>
      <c r="K172" s="111"/>
      <c r="L172" s="111"/>
      <c r="M172" s="162"/>
      <c r="N172" s="162"/>
      <c r="O172" s="112"/>
      <c r="P172" s="112"/>
      <c r="Q172" s="112"/>
      <c r="R172" s="112"/>
      <c r="S172" s="112"/>
      <c r="T172" s="112"/>
      <c r="U172" s="112"/>
      <c r="V172" s="162"/>
      <c r="W172" s="112"/>
      <c r="X172" s="33"/>
      <c r="Y172" s="33"/>
      <c r="Z172" s="33"/>
      <c r="AB172" s="161"/>
      <c r="AC172" s="161"/>
      <c r="AI172" s="33"/>
      <c r="AJ172" s="33"/>
      <c r="AK172" s="33"/>
      <c r="AL172" s="33"/>
    </row>
    <row r="173" spans="4:38" s="474" customFormat="1" ht="12" customHeight="1">
      <c r="D173" s="33"/>
      <c r="E173" s="111"/>
      <c r="G173" s="111"/>
      <c r="H173" s="111"/>
      <c r="I173" s="112"/>
      <c r="J173" s="112"/>
      <c r="K173" s="111"/>
      <c r="L173" s="111"/>
      <c r="M173" s="162"/>
      <c r="N173" s="162"/>
      <c r="O173" s="112"/>
      <c r="P173" s="112"/>
      <c r="Q173" s="112"/>
      <c r="R173" s="112"/>
      <c r="S173" s="112"/>
      <c r="T173" s="112"/>
      <c r="U173" s="112"/>
      <c r="V173" s="162"/>
      <c r="W173" s="112"/>
      <c r="X173" s="33"/>
      <c r="Y173" s="33"/>
      <c r="Z173" s="33"/>
      <c r="AB173" s="161"/>
      <c r="AC173" s="161"/>
      <c r="AI173" s="33"/>
      <c r="AJ173" s="33"/>
      <c r="AK173" s="33"/>
      <c r="AL173" s="33"/>
    </row>
    <row r="174" spans="4:38" s="474" customFormat="1" ht="12" customHeight="1">
      <c r="D174" s="33"/>
      <c r="E174" s="111"/>
      <c r="G174" s="111"/>
      <c r="H174" s="111"/>
      <c r="I174" s="112"/>
      <c r="J174" s="112"/>
      <c r="K174" s="111"/>
      <c r="L174" s="111"/>
      <c r="M174" s="162"/>
      <c r="N174" s="162"/>
      <c r="O174" s="112"/>
      <c r="P174" s="112"/>
      <c r="Q174" s="112"/>
      <c r="R174" s="112"/>
      <c r="S174" s="112"/>
      <c r="T174" s="112"/>
      <c r="U174" s="112"/>
      <c r="V174" s="162"/>
      <c r="W174" s="112"/>
      <c r="X174" s="33"/>
      <c r="Y174" s="33"/>
      <c r="Z174" s="33"/>
      <c r="AB174" s="161"/>
      <c r="AC174" s="161"/>
      <c r="AI174" s="33"/>
      <c r="AJ174" s="33"/>
      <c r="AK174" s="33"/>
      <c r="AL174" s="33"/>
    </row>
    <row r="175" spans="4:38" s="474" customFormat="1" ht="12" customHeight="1">
      <c r="D175" s="33"/>
      <c r="E175" s="111"/>
      <c r="G175" s="111"/>
      <c r="H175" s="111"/>
      <c r="I175" s="112"/>
      <c r="J175" s="112"/>
      <c r="K175" s="111"/>
      <c r="L175" s="111"/>
      <c r="M175" s="162"/>
      <c r="N175" s="162"/>
      <c r="O175" s="112"/>
      <c r="P175" s="112"/>
      <c r="Q175" s="112"/>
      <c r="R175" s="112"/>
      <c r="S175" s="112"/>
      <c r="T175" s="112"/>
      <c r="U175" s="112"/>
      <c r="V175" s="162"/>
      <c r="W175" s="112"/>
      <c r="X175" s="33"/>
      <c r="Y175" s="33"/>
      <c r="Z175" s="33"/>
      <c r="AB175" s="161"/>
      <c r="AC175" s="161"/>
      <c r="AI175" s="33"/>
      <c r="AJ175" s="33"/>
      <c r="AK175" s="33"/>
      <c r="AL175" s="33"/>
    </row>
    <row r="176" spans="4:38" s="474" customFormat="1" ht="12" customHeight="1">
      <c r="D176" s="33"/>
      <c r="E176" s="111"/>
      <c r="G176" s="111"/>
      <c r="H176" s="111"/>
      <c r="I176" s="112"/>
      <c r="J176" s="112"/>
      <c r="K176" s="111"/>
      <c r="L176" s="111"/>
      <c r="M176" s="162"/>
      <c r="N176" s="162"/>
      <c r="O176" s="112"/>
      <c r="P176" s="112"/>
      <c r="Q176" s="112"/>
      <c r="R176" s="112"/>
      <c r="S176" s="112"/>
      <c r="T176" s="112"/>
      <c r="U176" s="112"/>
      <c r="V176" s="162"/>
      <c r="W176" s="112"/>
      <c r="X176" s="33"/>
      <c r="Y176" s="33"/>
      <c r="Z176" s="33"/>
      <c r="AB176" s="161"/>
      <c r="AC176" s="161"/>
      <c r="AI176" s="33"/>
      <c r="AJ176" s="33"/>
      <c r="AK176" s="33"/>
      <c r="AL176" s="33"/>
    </row>
    <row r="177" spans="4:38" s="474" customFormat="1" ht="12" customHeight="1">
      <c r="D177" s="33"/>
      <c r="E177" s="111"/>
      <c r="G177" s="111"/>
      <c r="H177" s="111"/>
      <c r="I177" s="112"/>
      <c r="J177" s="112"/>
      <c r="K177" s="111"/>
      <c r="L177" s="111"/>
      <c r="M177" s="162"/>
      <c r="N177" s="162"/>
      <c r="O177" s="112"/>
      <c r="P177" s="112"/>
      <c r="Q177" s="112"/>
      <c r="R177" s="112"/>
      <c r="S177" s="112"/>
      <c r="T177" s="112"/>
      <c r="U177" s="112"/>
      <c r="V177" s="162"/>
      <c r="W177" s="112"/>
      <c r="X177" s="33"/>
      <c r="Y177" s="33"/>
      <c r="Z177" s="33"/>
      <c r="AB177" s="161"/>
      <c r="AC177" s="161"/>
      <c r="AI177" s="33"/>
      <c r="AJ177" s="33"/>
      <c r="AK177" s="33"/>
      <c r="AL177" s="33"/>
    </row>
    <row r="178" spans="4:38" s="474" customFormat="1" ht="12" customHeight="1">
      <c r="D178" s="33"/>
      <c r="E178" s="111"/>
      <c r="G178" s="111"/>
      <c r="H178" s="111"/>
      <c r="I178" s="112"/>
      <c r="J178" s="112"/>
      <c r="K178" s="111"/>
      <c r="L178" s="111"/>
      <c r="M178" s="162"/>
      <c r="N178" s="162"/>
      <c r="O178" s="112"/>
      <c r="P178" s="112"/>
      <c r="Q178" s="112"/>
      <c r="R178" s="112"/>
      <c r="S178" s="112"/>
      <c r="T178" s="112"/>
      <c r="U178" s="112"/>
      <c r="V178" s="162"/>
      <c r="W178" s="112"/>
      <c r="X178" s="33"/>
      <c r="Y178" s="33"/>
      <c r="Z178" s="33"/>
      <c r="AB178" s="161"/>
      <c r="AC178" s="161"/>
      <c r="AI178" s="33"/>
      <c r="AJ178" s="33"/>
      <c r="AK178" s="33"/>
      <c r="AL178" s="33"/>
    </row>
    <row r="179" spans="4:38" s="474" customFormat="1" ht="12" customHeight="1">
      <c r="D179" s="33"/>
      <c r="E179" s="111"/>
      <c r="G179" s="111"/>
      <c r="H179" s="111"/>
      <c r="I179" s="112"/>
      <c r="J179" s="112"/>
      <c r="K179" s="111"/>
      <c r="L179" s="111"/>
      <c r="M179" s="162"/>
      <c r="N179" s="162"/>
      <c r="O179" s="112"/>
      <c r="P179" s="112"/>
      <c r="Q179" s="112"/>
      <c r="R179" s="112"/>
      <c r="S179" s="112"/>
      <c r="T179" s="112"/>
      <c r="U179" s="112"/>
      <c r="V179" s="162"/>
      <c r="W179" s="112"/>
      <c r="X179" s="33"/>
      <c r="Y179" s="33"/>
      <c r="Z179" s="33"/>
      <c r="AB179" s="161"/>
      <c r="AC179" s="161"/>
      <c r="AI179" s="33"/>
      <c r="AJ179" s="33"/>
      <c r="AK179" s="33"/>
      <c r="AL179" s="33"/>
    </row>
    <row r="180" spans="4:38" s="474" customFormat="1" ht="12" customHeight="1">
      <c r="D180" s="33"/>
      <c r="E180" s="111"/>
      <c r="G180" s="111"/>
      <c r="H180" s="111"/>
      <c r="I180" s="112"/>
      <c r="J180" s="112"/>
      <c r="K180" s="111"/>
      <c r="L180" s="111"/>
      <c r="M180" s="162"/>
      <c r="N180" s="162"/>
      <c r="O180" s="112"/>
      <c r="P180" s="112"/>
      <c r="Q180" s="112"/>
      <c r="R180" s="112"/>
      <c r="S180" s="112"/>
      <c r="T180" s="112"/>
      <c r="U180" s="112"/>
      <c r="V180" s="162"/>
      <c r="W180" s="112"/>
      <c r="X180" s="33"/>
      <c r="Y180" s="33"/>
      <c r="Z180" s="33"/>
      <c r="AB180" s="161"/>
      <c r="AC180" s="161"/>
      <c r="AI180" s="33"/>
      <c r="AJ180" s="33"/>
      <c r="AK180" s="33"/>
      <c r="AL180" s="33"/>
    </row>
    <row r="181" spans="4:38" s="474" customFormat="1" ht="12" customHeight="1">
      <c r="D181" s="33"/>
      <c r="E181" s="111"/>
      <c r="G181" s="111"/>
      <c r="H181" s="111"/>
      <c r="I181" s="112"/>
      <c r="J181" s="112"/>
      <c r="K181" s="111"/>
      <c r="L181" s="111"/>
      <c r="M181" s="162"/>
      <c r="N181" s="162"/>
      <c r="O181" s="112"/>
      <c r="P181" s="112"/>
      <c r="Q181" s="112"/>
      <c r="R181" s="112"/>
      <c r="S181" s="112"/>
      <c r="T181" s="112"/>
      <c r="U181" s="112"/>
      <c r="V181" s="162"/>
      <c r="W181" s="112"/>
      <c r="X181" s="33"/>
      <c r="Y181" s="33"/>
      <c r="Z181" s="33"/>
      <c r="AB181" s="161"/>
      <c r="AC181" s="161"/>
      <c r="AI181" s="33"/>
      <c r="AJ181" s="33"/>
      <c r="AK181" s="33"/>
      <c r="AL181" s="33"/>
    </row>
    <row r="182" spans="4:38" s="474" customFormat="1" ht="12" customHeight="1">
      <c r="D182" s="33"/>
      <c r="E182" s="111"/>
      <c r="G182" s="111"/>
      <c r="H182" s="111"/>
      <c r="I182" s="112"/>
      <c r="J182" s="112"/>
      <c r="K182" s="111"/>
      <c r="L182" s="111"/>
      <c r="M182" s="162"/>
      <c r="N182" s="162"/>
      <c r="O182" s="112"/>
      <c r="P182" s="112"/>
      <c r="Q182" s="112"/>
      <c r="R182" s="112"/>
      <c r="S182" s="112"/>
      <c r="T182" s="112"/>
      <c r="U182" s="112"/>
      <c r="V182" s="162"/>
      <c r="W182" s="112"/>
      <c r="X182" s="33"/>
      <c r="Y182" s="33"/>
      <c r="Z182" s="33"/>
      <c r="AB182" s="161"/>
      <c r="AC182" s="161"/>
      <c r="AI182" s="33"/>
      <c r="AJ182" s="33"/>
      <c r="AK182" s="33"/>
      <c r="AL182" s="33"/>
    </row>
    <row r="183" spans="4:38" s="474" customFormat="1" ht="12" customHeight="1">
      <c r="D183" s="33"/>
      <c r="E183" s="111"/>
      <c r="G183" s="111"/>
      <c r="H183" s="111"/>
      <c r="I183" s="112"/>
      <c r="J183" s="112"/>
      <c r="K183" s="111"/>
      <c r="L183" s="111"/>
      <c r="M183" s="162"/>
      <c r="N183" s="162"/>
      <c r="O183" s="112"/>
      <c r="P183" s="112"/>
      <c r="Q183" s="112"/>
      <c r="R183" s="112"/>
      <c r="S183" s="112"/>
      <c r="T183" s="112"/>
      <c r="U183" s="112"/>
      <c r="V183" s="162"/>
      <c r="W183" s="112"/>
      <c r="X183" s="33"/>
      <c r="Y183" s="33"/>
      <c r="Z183" s="33"/>
      <c r="AB183" s="161"/>
      <c r="AC183" s="161"/>
      <c r="AI183" s="33"/>
      <c r="AJ183" s="33"/>
      <c r="AK183" s="33"/>
      <c r="AL183" s="33"/>
    </row>
    <row r="184" spans="4:38" s="474" customFormat="1" ht="12" customHeight="1">
      <c r="D184" s="33"/>
      <c r="E184" s="111"/>
      <c r="G184" s="111"/>
      <c r="H184" s="111"/>
      <c r="I184" s="112"/>
      <c r="J184" s="112"/>
      <c r="K184" s="111"/>
      <c r="L184" s="111"/>
      <c r="M184" s="162"/>
      <c r="N184" s="162"/>
      <c r="O184" s="112"/>
      <c r="P184" s="112"/>
      <c r="Q184" s="112"/>
      <c r="R184" s="112"/>
      <c r="S184" s="112"/>
      <c r="T184" s="112"/>
      <c r="U184" s="112"/>
      <c r="V184" s="162"/>
      <c r="W184" s="112"/>
      <c r="X184" s="33"/>
      <c r="Y184" s="33"/>
      <c r="Z184" s="33"/>
      <c r="AB184" s="161"/>
      <c r="AC184" s="161"/>
      <c r="AI184" s="33"/>
      <c r="AJ184" s="33"/>
      <c r="AK184" s="33"/>
      <c r="AL184" s="33"/>
    </row>
    <row r="185" spans="4:38" s="474" customFormat="1" ht="12" customHeight="1">
      <c r="D185" s="33"/>
      <c r="E185" s="111"/>
      <c r="G185" s="111"/>
      <c r="H185" s="111"/>
      <c r="I185" s="112"/>
      <c r="J185" s="112"/>
      <c r="K185" s="111"/>
      <c r="L185" s="111"/>
      <c r="M185" s="162"/>
      <c r="N185" s="162"/>
      <c r="O185" s="112"/>
      <c r="P185" s="112"/>
      <c r="Q185" s="112"/>
      <c r="R185" s="112"/>
      <c r="S185" s="112"/>
      <c r="T185" s="112"/>
      <c r="U185" s="112"/>
      <c r="V185" s="162"/>
      <c r="W185" s="112"/>
      <c r="X185" s="33"/>
      <c r="Y185" s="33"/>
      <c r="Z185" s="33"/>
      <c r="AB185" s="161"/>
      <c r="AC185" s="161"/>
      <c r="AI185" s="33"/>
      <c r="AJ185" s="33"/>
      <c r="AK185" s="33"/>
      <c r="AL185" s="33"/>
    </row>
    <row r="186" spans="4:38" s="474" customFormat="1" ht="12" customHeight="1">
      <c r="D186" s="33"/>
      <c r="E186" s="111"/>
      <c r="G186" s="111"/>
      <c r="H186" s="111"/>
      <c r="I186" s="112"/>
      <c r="J186" s="112"/>
      <c r="K186" s="111"/>
      <c r="L186" s="111"/>
      <c r="M186" s="162"/>
      <c r="N186" s="162"/>
      <c r="O186" s="112"/>
      <c r="P186" s="112"/>
      <c r="Q186" s="112"/>
      <c r="R186" s="112"/>
      <c r="S186" s="112"/>
      <c r="T186" s="112"/>
      <c r="U186" s="112"/>
      <c r="V186" s="162"/>
      <c r="W186" s="112"/>
      <c r="X186" s="33"/>
      <c r="Y186" s="33"/>
      <c r="Z186" s="33"/>
      <c r="AB186" s="161"/>
      <c r="AC186" s="161"/>
      <c r="AI186" s="33"/>
      <c r="AJ186" s="33"/>
      <c r="AK186" s="33"/>
      <c r="AL186" s="33"/>
    </row>
    <row r="187" spans="4:38" s="474" customFormat="1" ht="12" customHeight="1">
      <c r="D187" s="33"/>
      <c r="E187" s="111"/>
      <c r="G187" s="111"/>
      <c r="H187" s="111"/>
      <c r="I187" s="112"/>
      <c r="J187" s="112"/>
      <c r="K187" s="111"/>
      <c r="L187" s="111"/>
      <c r="M187" s="162"/>
      <c r="N187" s="162"/>
      <c r="O187" s="112"/>
      <c r="P187" s="112"/>
      <c r="Q187" s="112"/>
      <c r="R187" s="112"/>
      <c r="S187" s="112"/>
      <c r="T187" s="112"/>
      <c r="U187" s="112"/>
      <c r="V187" s="162"/>
      <c r="W187" s="112"/>
      <c r="X187" s="33"/>
      <c r="Y187" s="33"/>
      <c r="Z187" s="33"/>
      <c r="AB187" s="161"/>
      <c r="AC187" s="161"/>
      <c r="AI187" s="33"/>
      <c r="AJ187" s="33"/>
      <c r="AK187" s="33"/>
      <c r="AL187" s="33"/>
    </row>
    <row r="188" spans="4:38" s="474" customFormat="1" ht="12" customHeight="1">
      <c r="D188" s="33"/>
      <c r="E188" s="111"/>
      <c r="G188" s="111"/>
      <c r="H188" s="111"/>
      <c r="I188" s="112"/>
      <c r="J188" s="112"/>
      <c r="K188" s="111"/>
      <c r="L188" s="111"/>
      <c r="M188" s="162"/>
      <c r="N188" s="162"/>
      <c r="O188" s="112"/>
      <c r="P188" s="112"/>
      <c r="Q188" s="112"/>
      <c r="R188" s="112"/>
      <c r="S188" s="112"/>
      <c r="T188" s="112"/>
      <c r="U188" s="112"/>
      <c r="V188" s="162"/>
      <c r="W188" s="112"/>
      <c r="X188" s="33"/>
      <c r="Y188" s="33"/>
      <c r="Z188" s="33"/>
      <c r="AB188" s="161"/>
      <c r="AC188" s="161"/>
      <c r="AI188" s="33"/>
      <c r="AJ188" s="33"/>
      <c r="AK188" s="33"/>
      <c r="AL188" s="33"/>
    </row>
    <row r="189" spans="4:38" s="474" customFormat="1" ht="12" customHeight="1">
      <c r="D189" s="33"/>
      <c r="E189" s="111"/>
      <c r="G189" s="111"/>
      <c r="H189" s="111"/>
      <c r="I189" s="112"/>
      <c r="J189" s="112"/>
      <c r="K189" s="111"/>
      <c r="L189" s="111"/>
      <c r="M189" s="162"/>
      <c r="N189" s="162"/>
      <c r="O189" s="112"/>
      <c r="P189" s="112"/>
      <c r="Q189" s="112"/>
      <c r="R189" s="112"/>
      <c r="S189" s="112"/>
      <c r="T189" s="112"/>
      <c r="U189" s="112"/>
      <c r="V189" s="162"/>
      <c r="W189" s="112"/>
      <c r="X189" s="33"/>
      <c r="Y189" s="33"/>
      <c r="Z189" s="33"/>
      <c r="AB189" s="161"/>
      <c r="AC189" s="161"/>
      <c r="AI189" s="33"/>
      <c r="AJ189" s="33"/>
      <c r="AK189" s="33"/>
      <c r="AL189" s="33"/>
    </row>
    <row r="190" spans="4:38" s="474" customFormat="1" ht="12" customHeight="1">
      <c r="D190" s="33"/>
      <c r="E190" s="111"/>
      <c r="G190" s="111"/>
      <c r="H190" s="111"/>
      <c r="I190" s="112"/>
      <c r="J190" s="112"/>
      <c r="K190" s="111"/>
      <c r="L190" s="111"/>
      <c r="M190" s="162"/>
      <c r="N190" s="162"/>
      <c r="O190" s="112"/>
      <c r="P190" s="112"/>
      <c r="Q190" s="112"/>
      <c r="R190" s="112"/>
      <c r="S190" s="112"/>
      <c r="T190" s="112"/>
      <c r="U190" s="112"/>
      <c r="V190" s="162"/>
      <c r="W190" s="112"/>
      <c r="X190" s="33"/>
      <c r="Y190" s="33"/>
      <c r="Z190" s="33"/>
      <c r="AB190" s="161"/>
      <c r="AC190" s="161"/>
      <c r="AI190" s="33"/>
      <c r="AJ190" s="33"/>
      <c r="AK190" s="33"/>
      <c r="AL190" s="33"/>
    </row>
    <row r="191" spans="4:38" s="474" customFormat="1" ht="12" customHeight="1">
      <c r="D191" s="33"/>
      <c r="E191" s="111"/>
      <c r="G191" s="111"/>
      <c r="H191" s="111"/>
      <c r="I191" s="112"/>
      <c r="J191" s="112"/>
      <c r="K191" s="111"/>
      <c r="L191" s="111"/>
      <c r="M191" s="162"/>
      <c r="N191" s="162"/>
      <c r="O191" s="112"/>
      <c r="P191" s="112"/>
      <c r="Q191" s="112"/>
      <c r="R191" s="112"/>
      <c r="S191" s="112"/>
      <c r="T191" s="112"/>
      <c r="U191" s="112"/>
      <c r="V191" s="162"/>
      <c r="W191" s="112"/>
      <c r="X191" s="33"/>
      <c r="Y191" s="33"/>
      <c r="Z191" s="33"/>
      <c r="AB191" s="161"/>
      <c r="AC191" s="161"/>
      <c r="AI191" s="33"/>
      <c r="AJ191" s="33"/>
      <c r="AK191" s="33"/>
      <c r="AL191" s="33"/>
    </row>
    <row r="192" spans="4:38" s="474" customFormat="1" ht="12" customHeight="1">
      <c r="D192" s="33"/>
      <c r="E192" s="111"/>
      <c r="G192" s="111"/>
      <c r="H192" s="111"/>
      <c r="I192" s="112"/>
      <c r="J192" s="112"/>
      <c r="K192" s="111"/>
      <c r="L192" s="111"/>
      <c r="M192" s="162"/>
      <c r="N192" s="162"/>
      <c r="O192" s="112"/>
      <c r="P192" s="112"/>
      <c r="Q192" s="112"/>
      <c r="R192" s="112"/>
      <c r="S192" s="112"/>
      <c r="T192" s="112"/>
      <c r="U192" s="112"/>
      <c r="V192" s="162"/>
      <c r="W192" s="112"/>
      <c r="X192" s="33"/>
      <c r="Y192" s="33"/>
      <c r="Z192" s="33"/>
      <c r="AB192" s="161"/>
      <c r="AC192" s="161"/>
      <c r="AI192" s="33"/>
      <c r="AJ192" s="33"/>
      <c r="AK192" s="33"/>
      <c r="AL192" s="33"/>
    </row>
    <row r="193" spans="4:38" s="474" customFormat="1" ht="12" customHeight="1">
      <c r="D193" s="33"/>
      <c r="E193" s="111"/>
      <c r="G193" s="111"/>
      <c r="H193" s="111"/>
      <c r="I193" s="112"/>
      <c r="J193" s="112"/>
      <c r="K193" s="111"/>
      <c r="L193" s="111"/>
      <c r="M193" s="162"/>
      <c r="N193" s="162"/>
      <c r="O193" s="112"/>
      <c r="P193" s="112"/>
      <c r="Q193" s="112"/>
      <c r="R193" s="112"/>
      <c r="S193" s="112"/>
      <c r="T193" s="112"/>
      <c r="U193" s="112"/>
      <c r="V193" s="162"/>
      <c r="W193" s="112"/>
      <c r="X193" s="33"/>
      <c r="Y193" s="33"/>
      <c r="Z193" s="33"/>
      <c r="AB193" s="161"/>
      <c r="AC193" s="161"/>
      <c r="AI193" s="33"/>
      <c r="AJ193" s="33"/>
      <c r="AK193" s="33"/>
      <c r="AL193" s="33"/>
    </row>
    <row r="194" spans="4:38" s="474" customFormat="1" ht="12" customHeight="1">
      <c r="D194" s="33"/>
      <c r="E194" s="111"/>
      <c r="G194" s="111"/>
      <c r="H194" s="111"/>
      <c r="I194" s="112"/>
      <c r="J194" s="112"/>
      <c r="K194" s="111"/>
      <c r="L194" s="111"/>
      <c r="M194" s="162"/>
      <c r="N194" s="162"/>
      <c r="O194" s="112"/>
      <c r="P194" s="112"/>
      <c r="Q194" s="112"/>
      <c r="R194" s="112"/>
      <c r="S194" s="112"/>
      <c r="T194" s="112"/>
      <c r="U194" s="112"/>
      <c r="V194" s="162"/>
      <c r="W194" s="112"/>
      <c r="X194" s="33"/>
      <c r="Y194" s="33"/>
      <c r="Z194" s="33"/>
      <c r="AB194" s="161"/>
      <c r="AC194" s="161"/>
      <c r="AI194" s="33"/>
      <c r="AJ194" s="33"/>
      <c r="AK194" s="33"/>
      <c r="AL194" s="33"/>
    </row>
    <row r="195" spans="4:38" s="474" customFormat="1" ht="12" customHeight="1">
      <c r="D195" s="33"/>
      <c r="E195" s="111"/>
      <c r="G195" s="111"/>
      <c r="H195" s="111"/>
      <c r="I195" s="112"/>
      <c r="J195" s="112"/>
      <c r="K195" s="111"/>
      <c r="L195" s="111"/>
      <c r="M195" s="162"/>
      <c r="N195" s="162"/>
      <c r="O195" s="112"/>
      <c r="P195" s="112"/>
      <c r="Q195" s="112"/>
      <c r="R195" s="112"/>
      <c r="S195" s="112"/>
      <c r="T195" s="112"/>
      <c r="U195" s="112"/>
      <c r="V195" s="162"/>
      <c r="W195" s="112"/>
      <c r="X195" s="33"/>
      <c r="Y195" s="33"/>
      <c r="Z195" s="33"/>
      <c r="AB195" s="161"/>
      <c r="AC195" s="161"/>
      <c r="AI195" s="33"/>
      <c r="AJ195" s="33"/>
      <c r="AK195" s="33"/>
      <c r="AL195" s="33"/>
    </row>
    <row r="196" spans="4:38" s="474" customFormat="1" ht="12" customHeight="1">
      <c r="D196" s="33"/>
      <c r="E196" s="111"/>
      <c r="G196" s="111"/>
      <c r="H196" s="111"/>
      <c r="I196" s="112"/>
      <c r="J196" s="112"/>
      <c r="K196" s="111"/>
      <c r="L196" s="111"/>
      <c r="M196" s="162"/>
      <c r="N196" s="162"/>
      <c r="O196" s="112"/>
      <c r="P196" s="112"/>
      <c r="Q196" s="112"/>
      <c r="R196" s="112"/>
      <c r="S196" s="112"/>
      <c r="T196" s="112"/>
      <c r="U196" s="112"/>
      <c r="V196" s="162"/>
      <c r="W196" s="112"/>
      <c r="X196" s="33"/>
      <c r="Y196" s="33"/>
      <c r="Z196" s="33"/>
      <c r="AB196" s="161"/>
      <c r="AC196" s="161"/>
      <c r="AI196" s="33"/>
      <c r="AJ196" s="33"/>
      <c r="AK196" s="33"/>
      <c r="AL196" s="33"/>
    </row>
    <row r="197" spans="4:38" s="474" customFormat="1" ht="12" customHeight="1">
      <c r="D197" s="33"/>
      <c r="E197" s="111"/>
      <c r="G197" s="111"/>
      <c r="H197" s="111"/>
      <c r="I197" s="112"/>
      <c r="J197" s="112"/>
      <c r="K197" s="111"/>
      <c r="L197" s="111"/>
      <c r="M197" s="162"/>
      <c r="N197" s="162"/>
      <c r="O197" s="112"/>
      <c r="P197" s="112"/>
      <c r="Q197" s="112"/>
      <c r="R197" s="112"/>
      <c r="S197" s="112"/>
      <c r="T197" s="112"/>
      <c r="U197" s="112"/>
      <c r="V197" s="162"/>
      <c r="W197" s="112"/>
      <c r="X197" s="33"/>
      <c r="Y197" s="33"/>
      <c r="Z197" s="33"/>
      <c r="AB197" s="161"/>
      <c r="AC197" s="161"/>
      <c r="AI197" s="33"/>
      <c r="AJ197" s="33"/>
      <c r="AK197" s="33"/>
      <c r="AL197" s="33"/>
    </row>
    <row r="198" spans="4:38" s="474" customFormat="1" ht="12" customHeight="1">
      <c r="D198" s="33"/>
      <c r="E198" s="111"/>
      <c r="G198" s="111"/>
      <c r="H198" s="111"/>
      <c r="I198" s="112"/>
      <c r="J198" s="112"/>
      <c r="K198" s="111"/>
      <c r="L198" s="111"/>
      <c r="M198" s="162"/>
      <c r="N198" s="162"/>
      <c r="O198" s="112"/>
      <c r="P198" s="112"/>
      <c r="Q198" s="112"/>
      <c r="R198" s="112"/>
      <c r="S198" s="112"/>
      <c r="T198" s="112"/>
      <c r="U198" s="112"/>
      <c r="V198" s="162"/>
      <c r="W198" s="112"/>
      <c r="X198" s="33"/>
      <c r="Y198" s="33"/>
      <c r="Z198" s="33"/>
      <c r="AB198" s="161"/>
      <c r="AC198" s="161"/>
      <c r="AI198" s="33"/>
      <c r="AJ198" s="33"/>
      <c r="AK198" s="33"/>
      <c r="AL198" s="33"/>
    </row>
    <row r="199" spans="4:38" s="474" customFormat="1" ht="12" customHeight="1">
      <c r="D199" s="33"/>
      <c r="E199" s="111"/>
      <c r="G199" s="111"/>
      <c r="H199" s="111"/>
      <c r="I199" s="112"/>
      <c r="J199" s="112"/>
      <c r="K199" s="111"/>
      <c r="L199" s="111"/>
      <c r="M199" s="162"/>
      <c r="N199" s="162"/>
      <c r="O199" s="112"/>
      <c r="P199" s="112"/>
      <c r="Q199" s="112"/>
      <c r="R199" s="112"/>
      <c r="S199" s="112"/>
      <c r="T199" s="112"/>
      <c r="U199" s="112"/>
      <c r="V199" s="162"/>
      <c r="W199" s="112"/>
      <c r="X199" s="33"/>
      <c r="Y199" s="33"/>
      <c r="Z199" s="33"/>
      <c r="AB199" s="161"/>
      <c r="AC199" s="161"/>
      <c r="AI199" s="33"/>
      <c r="AJ199" s="33"/>
      <c r="AK199" s="33"/>
      <c r="AL199" s="33"/>
    </row>
    <row r="200" spans="4:38" s="474" customFormat="1" ht="12" customHeight="1">
      <c r="D200" s="33"/>
      <c r="E200" s="111"/>
      <c r="G200" s="111"/>
      <c r="H200" s="111"/>
      <c r="I200" s="112"/>
      <c r="J200" s="112"/>
      <c r="K200" s="111"/>
      <c r="L200" s="111"/>
      <c r="M200" s="162"/>
      <c r="N200" s="162"/>
      <c r="O200" s="112"/>
      <c r="P200" s="112"/>
      <c r="Q200" s="112"/>
      <c r="R200" s="112"/>
      <c r="S200" s="112"/>
      <c r="T200" s="112"/>
      <c r="U200" s="112"/>
      <c r="V200" s="162"/>
      <c r="W200" s="112"/>
      <c r="X200" s="33"/>
      <c r="Y200" s="33"/>
      <c r="Z200" s="33"/>
      <c r="AB200" s="161"/>
      <c r="AC200" s="161"/>
      <c r="AI200" s="33"/>
      <c r="AJ200" s="33"/>
      <c r="AK200" s="33"/>
      <c r="AL200" s="33"/>
    </row>
    <row r="201" spans="4:38" s="474" customFormat="1" ht="12" customHeight="1">
      <c r="D201" s="33"/>
      <c r="E201" s="111"/>
      <c r="G201" s="111"/>
      <c r="H201" s="111"/>
      <c r="I201" s="112"/>
      <c r="J201" s="112"/>
      <c r="K201" s="111"/>
      <c r="L201" s="111"/>
      <c r="M201" s="162"/>
      <c r="N201" s="162"/>
      <c r="O201" s="112"/>
      <c r="P201" s="112"/>
      <c r="Q201" s="112"/>
      <c r="R201" s="112"/>
      <c r="S201" s="112"/>
      <c r="T201" s="112"/>
      <c r="U201" s="112"/>
      <c r="V201" s="162"/>
      <c r="W201" s="112"/>
      <c r="X201" s="33"/>
      <c r="Y201" s="33"/>
      <c r="Z201" s="33"/>
      <c r="AB201" s="161"/>
      <c r="AC201" s="161"/>
      <c r="AI201" s="33"/>
      <c r="AJ201" s="33"/>
      <c r="AK201" s="33"/>
      <c r="AL201" s="33"/>
    </row>
    <row r="202" spans="4:38" s="474" customFormat="1" ht="12" customHeight="1">
      <c r="D202" s="33"/>
      <c r="E202" s="111"/>
      <c r="G202" s="111"/>
      <c r="H202" s="111"/>
      <c r="I202" s="112"/>
      <c r="J202" s="112"/>
      <c r="K202" s="111"/>
      <c r="L202" s="111"/>
      <c r="M202" s="162"/>
      <c r="N202" s="162"/>
      <c r="O202" s="112"/>
      <c r="P202" s="112"/>
      <c r="Q202" s="112"/>
      <c r="R202" s="112"/>
      <c r="S202" s="112"/>
      <c r="T202" s="112"/>
      <c r="U202" s="112"/>
      <c r="V202" s="162"/>
      <c r="W202" s="112"/>
      <c r="X202" s="33"/>
      <c r="Y202" s="33"/>
      <c r="Z202" s="33"/>
      <c r="AB202" s="161"/>
      <c r="AC202" s="161"/>
      <c r="AI202" s="33"/>
      <c r="AJ202" s="33"/>
      <c r="AK202" s="33"/>
      <c r="AL202" s="33"/>
    </row>
    <row r="203" spans="4:38" s="474" customFormat="1" ht="12" customHeight="1">
      <c r="D203" s="33"/>
      <c r="E203" s="111"/>
      <c r="G203" s="111"/>
      <c r="H203" s="111"/>
      <c r="I203" s="112"/>
      <c r="J203" s="112"/>
      <c r="K203" s="111"/>
      <c r="L203" s="111"/>
      <c r="M203" s="162"/>
      <c r="N203" s="162"/>
      <c r="O203" s="112"/>
      <c r="P203" s="112"/>
      <c r="Q203" s="112"/>
      <c r="R203" s="112"/>
      <c r="S203" s="112"/>
      <c r="T203" s="112"/>
      <c r="U203" s="112"/>
      <c r="V203" s="162"/>
      <c r="W203" s="112"/>
      <c r="X203" s="33"/>
      <c r="Y203" s="33"/>
      <c r="Z203" s="33"/>
      <c r="AB203" s="161"/>
      <c r="AC203" s="161"/>
      <c r="AI203" s="33"/>
      <c r="AJ203" s="33"/>
      <c r="AK203" s="33"/>
      <c r="AL203" s="33"/>
    </row>
    <row r="204" spans="4:38" s="474" customFormat="1" ht="12" customHeight="1">
      <c r="D204" s="33"/>
      <c r="E204" s="111"/>
      <c r="G204" s="111"/>
      <c r="H204" s="111"/>
      <c r="I204" s="112"/>
      <c r="J204" s="112"/>
      <c r="K204" s="111"/>
      <c r="L204" s="111"/>
      <c r="M204" s="162"/>
      <c r="N204" s="162"/>
      <c r="O204" s="112"/>
      <c r="P204" s="112"/>
      <c r="Q204" s="112"/>
      <c r="R204" s="112"/>
      <c r="S204" s="112"/>
      <c r="T204" s="112"/>
      <c r="U204" s="112"/>
      <c r="V204" s="162"/>
      <c r="W204" s="112"/>
      <c r="X204" s="33"/>
      <c r="Y204" s="33"/>
      <c r="Z204" s="33"/>
      <c r="AB204" s="161"/>
      <c r="AC204" s="161"/>
      <c r="AI204" s="33"/>
      <c r="AJ204" s="33"/>
      <c r="AK204" s="33"/>
      <c r="AL204" s="33"/>
    </row>
    <row r="205" spans="4:38" s="474" customFormat="1" ht="12" customHeight="1">
      <c r="D205" s="33"/>
      <c r="E205" s="111"/>
      <c r="G205" s="111"/>
      <c r="H205" s="111"/>
      <c r="I205" s="112"/>
      <c r="J205" s="112"/>
      <c r="K205" s="111"/>
      <c r="L205" s="111"/>
      <c r="M205" s="162"/>
      <c r="N205" s="162"/>
      <c r="O205" s="112"/>
      <c r="P205" s="112"/>
      <c r="Q205" s="112"/>
      <c r="R205" s="112"/>
      <c r="S205" s="112"/>
      <c r="T205" s="112"/>
      <c r="U205" s="112"/>
      <c r="V205" s="162"/>
      <c r="W205" s="112"/>
      <c r="X205" s="33"/>
      <c r="Y205" s="33"/>
      <c r="Z205" s="33"/>
      <c r="AB205" s="161"/>
      <c r="AC205" s="161"/>
      <c r="AI205" s="33"/>
      <c r="AJ205" s="33"/>
      <c r="AK205" s="33"/>
      <c r="AL205" s="33"/>
    </row>
    <row r="206" spans="4:38" s="474" customFormat="1" ht="12" customHeight="1">
      <c r="D206" s="33"/>
      <c r="E206" s="111"/>
      <c r="G206" s="111"/>
      <c r="H206" s="111"/>
      <c r="I206" s="112"/>
      <c r="J206" s="112"/>
      <c r="K206" s="111"/>
      <c r="L206" s="111"/>
      <c r="M206" s="162"/>
      <c r="N206" s="162"/>
      <c r="O206" s="112"/>
      <c r="P206" s="112"/>
      <c r="Q206" s="112"/>
      <c r="R206" s="112"/>
      <c r="S206" s="112"/>
      <c r="T206" s="112"/>
      <c r="U206" s="112"/>
      <c r="V206" s="162"/>
      <c r="W206" s="112"/>
      <c r="X206" s="33"/>
      <c r="Y206" s="33"/>
      <c r="Z206" s="33"/>
      <c r="AB206" s="161"/>
      <c r="AC206" s="161"/>
      <c r="AI206" s="33"/>
      <c r="AJ206" s="33"/>
      <c r="AK206" s="33"/>
      <c r="AL206" s="33"/>
    </row>
    <row r="207" spans="4:38" s="474" customFormat="1" ht="12" customHeight="1">
      <c r="D207" s="33"/>
      <c r="E207" s="111"/>
      <c r="G207" s="111"/>
      <c r="H207" s="111"/>
      <c r="I207" s="112"/>
      <c r="J207" s="112"/>
      <c r="K207" s="111"/>
      <c r="L207" s="111"/>
      <c r="M207" s="162"/>
      <c r="N207" s="162"/>
      <c r="O207" s="112"/>
      <c r="P207" s="112"/>
      <c r="Q207" s="112"/>
      <c r="R207" s="112"/>
      <c r="S207" s="112"/>
      <c r="T207" s="112"/>
      <c r="U207" s="112"/>
      <c r="V207" s="162"/>
      <c r="W207" s="112"/>
      <c r="X207" s="33"/>
      <c r="Y207" s="33"/>
      <c r="Z207" s="33"/>
      <c r="AB207" s="161"/>
      <c r="AC207" s="161"/>
      <c r="AI207" s="33"/>
      <c r="AJ207" s="33"/>
      <c r="AK207" s="33"/>
      <c r="AL207" s="33"/>
    </row>
    <row r="208" spans="4:38" s="474" customFormat="1" ht="12" customHeight="1">
      <c r="D208" s="33"/>
      <c r="E208" s="111"/>
      <c r="G208" s="111"/>
      <c r="H208" s="111"/>
      <c r="I208" s="112"/>
      <c r="J208" s="112"/>
      <c r="K208" s="111"/>
      <c r="L208" s="111"/>
      <c r="M208" s="162"/>
      <c r="N208" s="162"/>
      <c r="O208" s="112"/>
      <c r="P208" s="112"/>
      <c r="Q208" s="112"/>
      <c r="R208" s="112"/>
      <c r="S208" s="112"/>
      <c r="T208" s="112"/>
      <c r="U208" s="112"/>
      <c r="V208" s="162"/>
      <c r="W208" s="112"/>
      <c r="X208" s="33"/>
      <c r="Y208" s="33"/>
      <c r="Z208" s="33"/>
      <c r="AB208" s="161"/>
      <c r="AC208" s="161"/>
      <c r="AI208" s="33"/>
      <c r="AJ208" s="33"/>
      <c r="AK208" s="33"/>
      <c r="AL208" s="33"/>
    </row>
    <row r="209" spans="4:38" s="474" customFormat="1" ht="12" customHeight="1">
      <c r="D209" s="33"/>
      <c r="E209" s="111"/>
      <c r="G209" s="111"/>
      <c r="H209" s="111"/>
      <c r="I209" s="112"/>
      <c r="J209" s="112"/>
      <c r="K209" s="111"/>
      <c r="L209" s="111"/>
      <c r="M209" s="162"/>
      <c r="N209" s="162"/>
      <c r="O209" s="112"/>
      <c r="P209" s="112"/>
      <c r="Q209" s="112"/>
      <c r="R209" s="112"/>
      <c r="S209" s="112"/>
      <c r="T209" s="112"/>
      <c r="U209" s="112"/>
      <c r="V209" s="162"/>
      <c r="W209" s="112"/>
      <c r="X209" s="33"/>
      <c r="Y209" s="33"/>
      <c r="Z209" s="33"/>
      <c r="AB209" s="161"/>
      <c r="AC209" s="161"/>
      <c r="AI209" s="33"/>
      <c r="AJ209" s="33"/>
      <c r="AK209" s="33"/>
      <c r="AL209" s="33"/>
    </row>
    <row r="210" spans="4:38" s="474" customFormat="1" ht="12" customHeight="1">
      <c r="D210" s="33"/>
      <c r="E210" s="111"/>
      <c r="G210" s="111"/>
      <c r="H210" s="111"/>
      <c r="I210" s="112"/>
      <c r="J210" s="112"/>
      <c r="K210" s="111"/>
      <c r="L210" s="111"/>
      <c r="M210" s="162"/>
      <c r="N210" s="162"/>
      <c r="O210" s="112"/>
      <c r="P210" s="112"/>
      <c r="Q210" s="112"/>
      <c r="R210" s="112"/>
      <c r="S210" s="112"/>
      <c r="T210" s="112"/>
      <c r="U210" s="112"/>
      <c r="V210" s="162"/>
      <c r="W210" s="112"/>
      <c r="X210" s="33"/>
      <c r="Y210" s="33"/>
      <c r="Z210" s="33"/>
      <c r="AB210" s="161"/>
      <c r="AC210" s="161"/>
      <c r="AI210" s="33"/>
      <c r="AJ210" s="33"/>
      <c r="AK210" s="33"/>
      <c r="AL210" s="33"/>
    </row>
    <row r="211" spans="4:38" s="474" customFormat="1" ht="12" customHeight="1">
      <c r="D211" s="33"/>
      <c r="E211" s="111"/>
      <c r="G211" s="111"/>
      <c r="H211" s="111"/>
      <c r="I211" s="112"/>
      <c r="J211" s="112"/>
      <c r="K211" s="111"/>
      <c r="L211" s="111"/>
      <c r="M211" s="162"/>
      <c r="N211" s="162"/>
      <c r="O211" s="112"/>
      <c r="P211" s="112"/>
      <c r="Q211" s="112"/>
      <c r="R211" s="112"/>
      <c r="S211" s="112"/>
      <c r="T211" s="112"/>
      <c r="U211" s="112"/>
      <c r="V211" s="162"/>
      <c r="W211" s="112"/>
      <c r="X211" s="33"/>
      <c r="Y211" s="33"/>
      <c r="Z211" s="33"/>
      <c r="AB211" s="161"/>
      <c r="AC211" s="161"/>
      <c r="AI211" s="33"/>
      <c r="AJ211" s="33"/>
      <c r="AK211" s="33"/>
      <c r="AL211" s="33"/>
    </row>
    <row r="212" spans="4:38" s="474" customFormat="1" ht="12" customHeight="1">
      <c r="D212" s="33"/>
      <c r="E212" s="111"/>
      <c r="G212" s="111"/>
      <c r="H212" s="111"/>
      <c r="I212" s="112"/>
      <c r="J212" s="112"/>
      <c r="K212" s="111"/>
      <c r="L212" s="111"/>
      <c r="M212" s="162"/>
      <c r="N212" s="162"/>
      <c r="O212" s="112"/>
      <c r="P212" s="112"/>
      <c r="Q212" s="112"/>
      <c r="R212" s="112"/>
      <c r="S212" s="112"/>
      <c r="T212" s="112"/>
      <c r="U212" s="112"/>
      <c r="V212" s="162"/>
      <c r="W212" s="112"/>
      <c r="X212" s="33"/>
      <c r="Y212" s="33"/>
      <c r="Z212" s="33"/>
      <c r="AB212" s="161"/>
      <c r="AC212" s="161"/>
      <c r="AI212" s="33"/>
      <c r="AJ212" s="33"/>
      <c r="AK212" s="33"/>
      <c r="AL212" s="33"/>
    </row>
    <row r="213" spans="4:38" s="474" customFormat="1" ht="12" customHeight="1">
      <c r="D213" s="33"/>
      <c r="E213" s="111"/>
      <c r="G213" s="111"/>
      <c r="H213" s="111"/>
      <c r="I213" s="112"/>
      <c r="J213" s="112"/>
      <c r="K213" s="111"/>
      <c r="L213" s="111"/>
      <c r="M213" s="162"/>
      <c r="N213" s="162"/>
      <c r="O213" s="112"/>
      <c r="P213" s="112"/>
      <c r="Q213" s="112"/>
      <c r="R213" s="112"/>
      <c r="S213" s="112"/>
      <c r="T213" s="112"/>
      <c r="U213" s="112"/>
      <c r="V213" s="162"/>
      <c r="W213" s="112"/>
      <c r="X213" s="33"/>
      <c r="Y213" s="33"/>
      <c r="Z213" s="33"/>
      <c r="AB213" s="161"/>
      <c r="AC213" s="161"/>
      <c r="AI213" s="33"/>
      <c r="AJ213" s="33"/>
      <c r="AK213" s="33"/>
      <c r="AL213" s="33"/>
    </row>
    <row r="214" spans="4:38" s="474" customFormat="1" ht="12" customHeight="1">
      <c r="D214" s="33"/>
      <c r="E214" s="111"/>
      <c r="G214" s="111"/>
      <c r="H214" s="111"/>
      <c r="I214" s="112"/>
      <c r="J214" s="112"/>
      <c r="K214" s="111"/>
      <c r="L214" s="111"/>
      <c r="M214" s="162"/>
      <c r="N214" s="162"/>
      <c r="O214" s="112"/>
      <c r="P214" s="112"/>
      <c r="Q214" s="112"/>
      <c r="R214" s="112"/>
      <c r="S214" s="112"/>
      <c r="T214" s="112"/>
      <c r="U214" s="112"/>
      <c r="V214" s="162"/>
      <c r="W214" s="112"/>
      <c r="X214" s="33"/>
      <c r="Y214" s="33"/>
      <c r="Z214" s="33"/>
      <c r="AB214" s="161"/>
      <c r="AC214" s="161"/>
      <c r="AI214" s="33"/>
      <c r="AJ214" s="33"/>
      <c r="AK214" s="33"/>
      <c r="AL214" s="33"/>
    </row>
    <row r="215" spans="4:38" s="474" customFormat="1" ht="12" customHeight="1">
      <c r="D215" s="33"/>
      <c r="E215" s="111"/>
      <c r="G215" s="111"/>
      <c r="H215" s="111"/>
      <c r="I215" s="112"/>
      <c r="J215" s="112"/>
      <c r="K215" s="111"/>
      <c r="L215" s="111"/>
      <c r="M215" s="162"/>
      <c r="N215" s="162"/>
      <c r="O215" s="112"/>
      <c r="P215" s="112"/>
      <c r="Q215" s="112"/>
      <c r="R215" s="112"/>
      <c r="S215" s="112"/>
      <c r="T215" s="112"/>
      <c r="U215" s="112"/>
      <c r="V215" s="162"/>
      <c r="W215" s="112"/>
      <c r="X215" s="33"/>
      <c r="Y215" s="33"/>
      <c r="Z215" s="33"/>
      <c r="AB215" s="161"/>
      <c r="AC215" s="161"/>
      <c r="AI215" s="33"/>
      <c r="AJ215" s="33"/>
      <c r="AK215" s="33"/>
      <c r="AL215" s="33"/>
    </row>
    <row r="216" spans="4:38" s="474" customFormat="1" ht="12" customHeight="1">
      <c r="D216" s="33"/>
      <c r="E216" s="111"/>
      <c r="G216" s="111"/>
      <c r="H216" s="111"/>
      <c r="I216" s="112"/>
      <c r="J216" s="112"/>
      <c r="K216" s="111"/>
      <c r="L216" s="111"/>
      <c r="M216" s="162"/>
      <c r="N216" s="162"/>
      <c r="O216" s="112"/>
      <c r="P216" s="112"/>
      <c r="Q216" s="112"/>
      <c r="R216" s="112"/>
      <c r="S216" s="112"/>
      <c r="T216" s="112"/>
      <c r="U216" s="112"/>
      <c r="V216" s="162"/>
      <c r="W216" s="112"/>
      <c r="X216" s="33"/>
      <c r="Y216" s="33"/>
      <c r="Z216" s="33"/>
      <c r="AB216" s="161"/>
      <c r="AC216" s="161"/>
      <c r="AI216" s="33"/>
      <c r="AJ216" s="33"/>
      <c r="AK216" s="33"/>
      <c r="AL216" s="33"/>
    </row>
    <row r="217" spans="4:38" s="474" customFormat="1" ht="12" customHeight="1">
      <c r="D217" s="33"/>
      <c r="E217" s="111"/>
      <c r="G217" s="111"/>
      <c r="H217" s="111"/>
      <c r="I217" s="112"/>
      <c r="J217" s="112"/>
      <c r="K217" s="111"/>
      <c r="L217" s="111"/>
      <c r="M217" s="162"/>
      <c r="N217" s="162"/>
      <c r="O217" s="112"/>
      <c r="P217" s="112"/>
      <c r="Q217" s="112"/>
      <c r="R217" s="112"/>
      <c r="S217" s="112"/>
      <c r="T217" s="112"/>
      <c r="U217" s="112"/>
      <c r="V217" s="162"/>
      <c r="W217" s="112"/>
      <c r="X217" s="33"/>
      <c r="Y217" s="33"/>
      <c r="Z217" s="33"/>
      <c r="AB217" s="161"/>
      <c r="AC217" s="161"/>
      <c r="AI217" s="33"/>
      <c r="AJ217" s="33"/>
      <c r="AK217" s="33"/>
      <c r="AL217" s="33"/>
    </row>
    <row r="218" spans="4:38" s="474" customFormat="1" ht="12" customHeight="1">
      <c r="D218" s="33"/>
      <c r="E218" s="111"/>
      <c r="G218" s="111"/>
      <c r="H218" s="111"/>
      <c r="I218" s="112"/>
      <c r="J218" s="112"/>
      <c r="K218" s="111"/>
      <c r="L218" s="111"/>
      <c r="M218" s="162"/>
      <c r="N218" s="162"/>
      <c r="O218" s="112"/>
      <c r="P218" s="112"/>
      <c r="Q218" s="112"/>
      <c r="R218" s="112"/>
      <c r="S218" s="112"/>
      <c r="T218" s="112"/>
      <c r="U218" s="112"/>
      <c r="V218" s="162"/>
      <c r="W218" s="112"/>
      <c r="X218" s="33"/>
      <c r="Y218" s="33"/>
      <c r="Z218" s="33"/>
      <c r="AB218" s="161"/>
      <c r="AC218" s="161"/>
      <c r="AI218" s="33"/>
      <c r="AJ218" s="33"/>
      <c r="AK218" s="33"/>
      <c r="AL218" s="33"/>
    </row>
    <row r="219" spans="4:38" s="474" customFormat="1" ht="12" customHeight="1">
      <c r="D219" s="33"/>
      <c r="E219" s="111"/>
      <c r="G219" s="111"/>
      <c r="H219" s="111"/>
      <c r="I219" s="112"/>
      <c r="J219" s="112"/>
      <c r="K219" s="111"/>
      <c r="L219" s="111"/>
      <c r="M219" s="162"/>
      <c r="N219" s="162"/>
      <c r="O219" s="112"/>
      <c r="P219" s="112"/>
      <c r="Q219" s="112"/>
      <c r="R219" s="112"/>
      <c r="S219" s="112"/>
      <c r="T219" s="112"/>
      <c r="U219" s="112"/>
      <c r="V219" s="162"/>
      <c r="W219" s="112"/>
      <c r="X219" s="33"/>
      <c r="Y219" s="33"/>
      <c r="Z219" s="33"/>
      <c r="AB219" s="161"/>
      <c r="AC219" s="161"/>
      <c r="AI219" s="33"/>
      <c r="AJ219" s="33"/>
      <c r="AK219" s="33"/>
      <c r="AL219" s="33"/>
    </row>
    <row r="220" spans="4:38" s="474" customFormat="1" ht="12" customHeight="1">
      <c r="D220" s="33"/>
      <c r="E220" s="111"/>
      <c r="G220" s="111"/>
      <c r="H220" s="111"/>
      <c r="I220" s="112"/>
      <c r="J220" s="112"/>
      <c r="K220" s="111"/>
      <c r="L220" s="111"/>
      <c r="M220" s="162"/>
      <c r="N220" s="162"/>
      <c r="O220" s="112"/>
      <c r="P220" s="112"/>
      <c r="Q220" s="112"/>
      <c r="R220" s="112"/>
      <c r="S220" s="112"/>
      <c r="T220" s="112"/>
      <c r="U220" s="112"/>
      <c r="V220" s="162"/>
      <c r="W220" s="112"/>
      <c r="X220" s="33"/>
      <c r="Y220" s="33"/>
      <c r="Z220" s="33"/>
      <c r="AB220" s="161"/>
      <c r="AC220" s="161"/>
      <c r="AI220" s="33"/>
      <c r="AJ220" s="33"/>
      <c r="AK220" s="33"/>
      <c r="AL220" s="33"/>
    </row>
    <row r="221" spans="4:38" s="474" customFormat="1" ht="12" customHeight="1">
      <c r="D221" s="33"/>
      <c r="E221" s="111"/>
      <c r="G221" s="111"/>
      <c r="H221" s="111"/>
      <c r="I221" s="112"/>
      <c r="J221" s="112"/>
      <c r="K221" s="111"/>
      <c r="L221" s="111"/>
      <c r="M221" s="162"/>
      <c r="N221" s="162"/>
      <c r="O221" s="112"/>
      <c r="P221" s="112"/>
      <c r="Q221" s="112"/>
      <c r="R221" s="112"/>
      <c r="S221" s="112"/>
      <c r="T221" s="112"/>
      <c r="U221" s="112"/>
      <c r="V221" s="162"/>
      <c r="W221" s="112"/>
      <c r="X221" s="33"/>
      <c r="Y221" s="33"/>
      <c r="Z221" s="33"/>
      <c r="AB221" s="161"/>
      <c r="AC221" s="161"/>
      <c r="AI221" s="33"/>
      <c r="AJ221" s="33"/>
      <c r="AK221" s="33"/>
      <c r="AL221" s="33"/>
    </row>
    <row r="222" spans="4:38" s="474" customFormat="1" ht="12" customHeight="1">
      <c r="D222" s="33"/>
      <c r="E222" s="111"/>
      <c r="G222" s="111"/>
      <c r="H222" s="111"/>
      <c r="I222" s="112"/>
      <c r="J222" s="112"/>
      <c r="K222" s="111"/>
      <c r="L222" s="111"/>
      <c r="M222" s="162"/>
      <c r="N222" s="162"/>
      <c r="O222" s="112"/>
      <c r="P222" s="112"/>
      <c r="Q222" s="112"/>
      <c r="R222" s="112"/>
      <c r="S222" s="112"/>
      <c r="T222" s="112"/>
      <c r="U222" s="112"/>
      <c r="V222" s="162"/>
      <c r="W222" s="112"/>
      <c r="X222" s="33"/>
      <c r="Y222" s="33"/>
      <c r="Z222" s="33"/>
      <c r="AB222" s="161"/>
      <c r="AC222" s="161"/>
      <c r="AI222" s="33"/>
      <c r="AJ222" s="33"/>
      <c r="AK222" s="33"/>
      <c r="AL222" s="33"/>
    </row>
    <row r="223" spans="4:38" s="474" customFormat="1" ht="12" customHeight="1">
      <c r="D223" s="33"/>
      <c r="E223" s="111"/>
      <c r="G223" s="111"/>
      <c r="H223" s="111"/>
      <c r="I223" s="112"/>
      <c r="J223" s="112"/>
      <c r="K223" s="111"/>
      <c r="L223" s="111"/>
      <c r="M223" s="162"/>
      <c r="N223" s="162"/>
      <c r="O223" s="112"/>
      <c r="P223" s="112"/>
      <c r="Q223" s="112"/>
      <c r="R223" s="112"/>
      <c r="S223" s="112"/>
      <c r="T223" s="112"/>
      <c r="U223" s="112"/>
      <c r="V223" s="162"/>
      <c r="W223" s="112"/>
      <c r="X223" s="33"/>
      <c r="Y223" s="33"/>
      <c r="Z223" s="33"/>
      <c r="AB223" s="161"/>
      <c r="AC223" s="161"/>
      <c r="AI223" s="33"/>
      <c r="AJ223" s="33"/>
      <c r="AK223" s="33"/>
      <c r="AL223" s="33"/>
    </row>
    <row r="224" spans="4:38" s="474" customFormat="1" ht="12" customHeight="1">
      <c r="D224" s="33"/>
      <c r="E224" s="111"/>
      <c r="G224" s="111"/>
      <c r="H224" s="111"/>
      <c r="I224" s="112"/>
      <c r="J224" s="112"/>
      <c r="K224" s="111"/>
      <c r="L224" s="111"/>
      <c r="M224" s="162"/>
      <c r="N224" s="162"/>
      <c r="O224" s="112"/>
      <c r="P224" s="112"/>
      <c r="Q224" s="112"/>
      <c r="R224" s="112"/>
      <c r="S224" s="112"/>
      <c r="T224" s="112"/>
      <c r="U224" s="112"/>
      <c r="V224" s="162"/>
      <c r="W224" s="112"/>
      <c r="X224" s="33"/>
      <c r="Y224" s="33"/>
      <c r="Z224" s="33"/>
      <c r="AB224" s="161"/>
      <c r="AC224" s="161"/>
      <c r="AI224" s="33"/>
      <c r="AJ224" s="33"/>
      <c r="AK224" s="33"/>
      <c r="AL224" s="33"/>
    </row>
    <row r="225" spans="4:38" s="474" customFormat="1" ht="12" customHeight="1">
      <c r="D225" s="33"/>
      <c r="E225" s="111"/>
      <c r="G225" s="111"/>
      <c r="H225" s="111"/>
      <c r="I225" s="112"/>
      <c r="J225" s="112"/>
      <c r="K225" s="111"/>
      <c r="L225" s="111"/>
      <c r="M225" s="162"/>
      <c r="N225" s="162"/>
      <c r="O225" s="112"/>
      <c r="P225" s="112"/>
      <c r="Q225" s="112"/>
      <c r="R225" s="112"/>
      <c r="S225" s="112"/>
      <c r="T225" s="112"/>
      <c r="U225" s="112"/>
      <c r="V225" s="162"/>
      <c r="W225" s="112"/>
      <c r="X225" s="33"/>
      <c r="Y225" s="33"/>
      <c r="Z225" s="33"/>
      <c r="AB225" s="161"/>
      <c r="AC225" s="161"/>
      <c r="AI225" s="33"/>
      <c r="AJ225" s="33"/>
      <c r="AK225" s="33"/>
      <c r="AL225" s="33"/>
    </row>
    <row r="226" spans="4:38" s="474" customFormat="1" ht="12" customHeight="1">
      <c r="D226" s="33"/>
      <c r="E226" s="111"/>
      <c r="G226" s="111"/>
      <c r="H226" s="111"/>
      <c r="I226" s="112"/>
      <c r="J226" s="112"/>
      <c r="K226" s="111"/>
      <c r="L226" s="111"/>
      <c r="M226" s="162"/>
      <c r="N226" s="162"/>
      <c r="O226" s="112"/>
      <c r="P226" s="112"/>
      <c r="Q226" s="112"/>
      <c r="R226" s="112"/>
      <c r="S226" s="112"/>
      <c r="T226" s="112"/>
      <c r="U226" s="112"/>
      <c r="V226" s="162"/>
      <c r="W226" s="112"/>
      <c r="X226" s="33"/>
      <c r="Y226" s="33"/>
      <c r="Z226" s="33"/>
      <c r="AB226" s="161"/>
      <c r="AC226" s="161"/>
      <c r="AI226" s="33"/>
      <c r="AJ226" s="33"/>
      <c r="AK226" s="33"/>
      <c r="AL226" s="33"/>
    </row>
    <row r="227" spans="4:38" s="474" customFormat="1" ht="12" customHeight="1">
      <c r="D227" s="33"/>
      <c r="E227" s="111"/>
      <c r="G227" s="111"/>
      <c r="H227" s="111"/>
      <c r="I227" s="112"/>
      <c r="J227" s="112"/>
      <c r="K227" s="111"/>
      <c r="L227" s="111"/>
      <c r="M227" s="162"/>
      <c r="N227" s="162"/>
      <c r="O227" s="112"/>
      <c r="P227" s="112"/>
      <c r="Q227" s="112"/>
      <c r="R227" s="112"/>
      <c r="S227" s="112"/>
      <c r="T227" s="112"/>
      <c r="U227" s="112"/>
      <c r="V227" s="162"/>
      <c r="W227" s="112"/>
      <c r="X227" s="33"/>
      <c r="Y227" s="33"/>
      <c r="Z227" s="33"/>
      <c r="AB227" s="161"/>
      <c r="AC227" s="161"/>
      <c r="AI227" s="33"/>
      <c r="AJ227" s="33"/>
      <c r="AK227" s="33"/>
      <c r="AL227" s="33"/>
    </row>
    <row r="228" spans="4:38" s="474" customFormat="1" ht="12" customHeight="1">
      <c r="D228" s="33"/>
      <c r="E228" s="111"/>
      <c r="G228" s="111"/>
      <c r="H228" s="111"/>
      <c r="I228" s="112"/>
      <c r="J228" s="112"/>
      <c r="K228" s="111"/>
      <c r="L228" s="111"/>
      <c r="M228" s="162"/>
      <c r="N228" s="162"/>
      <c r="O228" s="112"/>
      <c r="P228" s="112"/>
      <c r="Q228" s="112"/>
      <c r="R228" s="112"/>
      <c r="S228" s="112"/>
      <c r="T228" s="112"/>
      <c r="U228" s="112"/>
      <c r="V228" s="162"/>
      <c r="W228" s="112"/>
      <c r="X228" s="33"/>
      <c r="Y228" s="33"/>
      <c r="Z228" s="33"/>
      <c r="AB228" s="161"/>
      <c r="AC228" s="161"/>
      <c r="AI228" s="33"/>
      <c r="AJ228" s="33"/>
      <c r="AK228" s="33"/>
      <c r="AL228" s="33"/>
    </row>
    <row r="229" spans="4:38" s="474" customFormat="1" ht="12" customHeight="1">
      <c r="D229" s="33"/>
      <c r="E229" s="111"/>
      <c r="G229" s="111"/>
      <c r="H229" s="111"/>
      <c r="I229" s="112"/>
      <c r="J229" s="112"/>
      <c r="K229" s="111"/>
      <c r="L229" s="111"/>
      <c r="M229" s="162"/>
      <c r="N229" s="162"/>
      <c r="O229" s="112"/>
      <c r="P229" s="112"/>
      <c r="Q229" s="112"/>
      <c r="R229" s="112"/>
      <c r="S229" s="112"/>
      <c r="T229" s="112"/>
      <c r="U229" s="112"/>
      <c r="V229" s="162"/>
      <c r="W229" s="112"/>
      <c r="X229" s="33"/>
      <c r="Y229" s="33"/>
      <c r="Z229" s="33"/>
      <c r="AB229" s="161"/>
      <c r="AC229" s="161"/>
      <c r="AI229" s="33"/>
      <c r="AJ229" s="33"/>
      <c r="AK229" s="33"/>
      <c r="AL229" s="33"/>
    </row>
    <row r="230" spans="4:38" s="474" customFormat="1" ht="12" customHeight="1">
      <c r="D230" s="33"/>
      <c r="E230" s="111"/>
      <c r="G230" s="111"/>
      <c r="H230" s="111"/>
      <c r="I230" s="112"/>
      <c r="J230" s="112"/>
      <c r="K230" s="111"/>
      <c r="L230" s="111"/>
      <c r="M230" s="162"/>
      <c r="N230" s="162"/>
      <c r="O230" s="112"/>
      <c r="P230" s="112"/>
      <c r="Q230" s="112"/>
      <c r="R230" s="112"/>
      <c r="S230" s="112"/>
      <c r="T230" s="112"/>
      <c r="U230" s="112"/>
      <c r="V230" s="162"/>
      <c r="W230" s="112"/>
      <c r="X230" s="33"/>
      <c r="Y230" s="33"/>
      <c r="Z230" s="33"/>
      <c r="AB230" s="161"/>
      <c r="AC230" s="161"/>
      <c r="AI230" s="33"/>
      <c r="AJ230" s="33"/>
      <c r="AK230" s="33"/>
      <c r="AL230" s="33"/>
    </row>
    <row r="231" spans="4:38" s="474" customFormat="1" ht="12" customHeight="1">
      <c r="D231" s="33"/>
      <c r="E231" s="111"/>
      <c r="G231" s="111"/>
      <c r="H231" s="111"/>
      <c r="I231" s="112"/>
      <c r="J231" s="112"/>
      <c r="K231" s="111"/>
      <c r="L231" s="111"/>
      <c r="M231" s="162"/>
      <c r="N231" s="162"/>
      <c r="O231" s="112"/>
      <c r="P231" s="112"/>
      <c r="Q231" s="112"/>
      <c r="R231" s="112"/>
      <c r="S231" s="112"/>
      <c r="T231" s="112"/>
      <c r="U231" s="112"/>
      <c r="V231" s="162"/>
      <c r="W231" s="112"/>
      <c r="X231" s="33"/>
      <c r="Y231" s="33"/>
      <c r="Z231" s="33"/>
      <c r="AB231" s="161"/>
      <c r="AC231" s="161"/>
      <c r="AI231" s="33"/>
      <c r="AJ231" s="33"/>
      <c r="AK231" s="33"/>
      <c r="AL231" s="33"/>
    </row>
    <row r="232" spans="4:38" s="474" customFormat="1" ht="12" customHeight="1">
      <c r="D232" s="33"/>
      <c r="E232" s="111"/>
      <c r="G232" s="111"/>
      <c r="H232" s="111"/>
      <c r="I232" s="112"/>
      <c r="J232" s="112"/>
      <c r="K232" s="111"/>
      <c r="L232" s="111"/>
      <c r="M232" s="162"/>
      <c r="N232" s="162"/>
      <c r="O232" s="112"/>
      <c r="P232" s="112"/>
      <c r="Q232" s="112"/>
      <c r="R232" s="112"/>
      <c r="S232" s="112"/>
      <c r="T232" s="112"/>
      <c r="U232" s="112"/>
      <c r="V232" s="162"/>
      <c r="W232" s="112"/>
      <c r="X232" s="33"/>
      <c r="Y232" s="33"/>
      <c r="Z232" s="33"/>
      <c r="AB232" s="161"/>
      <c r="AC232" s="161"/>
      <c r="AI232" s="33"/>
      <c r="AJ232" s="33"/>
      <c r="AK232" s="33"/>
      <c r="AL232" s="33"/>
    </row>
    <row r="233" spans="4:38" s="474" customFormat="1" ht="12" customHeight="1">
      <c r="D233" s="33"/>
      <c r="E233" s="111"/>
      <c r="G233" s="111"/>
      <c r="H233" s="111"/>
      <c r="I233" s="112"/>
      <c r="J233" s="112"/>
      <c r="K233" s="111"/>
      <c r="L233" s="111"/>
      <c r="M233" s="162"/>
      <c r="N233" s="162"/>
      <c r="O233" s="112"/>
      <c r="P233" s="112"/>
      <c r="Q233" s="112"/>
      <c r="R233" s="112"/>
      <c r="S233" s="112"/>
      <c r="T233" s="112"/>
      <c r="U233" s="112"/>
      <c r="V233" s="162"/>
      <c r="W233" s="112"/>
      <c r="X233" s="33"/>
      <c r="Y233" s="33"/>
      <c r="Z233" s="33"/>
      <c r="AB233" s="161"/>
      <c r="AC233" s="161"/>
      <c r="AI233" s="33"/>
      <c r="AJ233" s="33"/>
      <c r="AK233" s="33"/>
      <c r="AL233" s="33"/>
    </row>
    <row r="234" spans="4:38" s="474" customFormat="1" ht="12" customHeight="1">
      <c r="D234" s="33"/>
      <c r="E234" s="111"/>
      <c r="G234" s="111"/>
      <c r="H234" s="111"/>
      <c r="I234" s="112"/>
      <c r="J234" s="112"/>
      <c r="K234" s="111"/>
      <c r="L234" s="111"/>
      <c r="M234" s="162"/>
      <c r="N234" s="162"/>
      <c r="O234" s="112"/>
      <c r="P234" s="112"/>
      <c r="Q234" s="112"/>
      <c r="R234" s="112"/>
      <c r="S234" s="112"/>
      <c r="T234" s="112"/>
      <c r="U234" s="112"/>
      <c r="V234" s="162"/>
      <c r="W234" s="112"/>
      <c r="X234" s="33"/>
      <c r="Y234" s="33"/>
      <c r="Z234" s="33"/>
      <c r="AB234" s="161"/>
      <c r="AC234" s="161"/>
      <c r="AI234" s="33"/>
      <c r="AJ234" s="33"/>
      <c r="AK234" s="33"/>
      <c r="AL234" s="33"/>
    </row>
    <row r="235" spans="4:38" s="474" customFormat="1" ht="12" customHeight="1">
      <c r="D235" s="33"/>
      <c r="E235" s="111"/>
      <c r="G235" s="111"/>
      <c r="H235" s="111"/>
      <c r="I235" s="112"/>
      <c r="J235" s="112"/>
      <c r="K235" s="111"/>
      <c r="L235" s="111"/>
      <c r="M235" s="162"/>
      <c r="N235" s="162"/>
      <c r="O235" s="112"/>
      <c r="P235" s="112"/>
      <c r="Q235" s="112"/>
      <c r="R235" s="112"/>
      <c r="S235" s="112"/>
      <c r="T235" s="112"/>
      <c r="U235" s="112"/>
      <c r="V235" s="162"/>
      <c r="W235" s="112"/>
      <c r="X235" s="33"/>
      <c r="Y235" s="33"/>
      <c r="Z235" s="33"/>
      <c r="AB235" s="161"/>
      <c r="AC235" s="161"/>
      <c r="AI235" s="33"/>
      <c r="AJ235" s="33"/>
      <c r="AK235" s="33"/>
      <c r="AL235" s="33"/>
    </row>
    <row r="236" spans="4:38" s="474" customFormat="1" ht="12" customHeight="1">
      <c r="D236" s="33"/>
      <c r="E236" s="111"/>
      <c r="G236" s="111"/>
      <c r="H236" s="111"/>
      <c r="I236" s="112"/>
      <c r="J236" s="112"/>
      <c r="K236" s="111"/>
      <c r="L236" s="111"/>
      <c r="M236" s="162"/>
      <c r="N236" s="162"/>
      <c r="O236" s="112"/>
      <c r="P236" s="112"/>
      <c r="Q236" s="112"/>
      <c r="R236" s="112"/>
      <c r="S236" s="112"/>
      <c r="T236" s="112"/>
      <c r="U236" s="112"/>
      <c r="V236" s="162"/>
      <c r="W236" s="112"/>
      <c r="X236" s="33"/>
      <c r="Y236" s="33"/>
      <c r="Z236" s="33"/>
      <c r="AB236" s="161"/>
      <c r="AC236" s="161"/>
      <c r="AI236" s="33"/>
      <c r="AJ236" s="33"/>
      <c r="AK236" s="33"/>
      <c r="AL236" s="33"/>
    </row>
    <row r="237" spans="4:38" s="474" customFormat="1" ht="12" customHeight="1">
      <c r="D237" s="33"/>
      <c r="E237" s="111"/>
      <c r="G237" s="111"/>
      <c r="H237" s="111"/>
      <c r="I237" s="112"/>
      <c r="J237" s="112"/>
      <c r="K237" s="111"/>
      <c r="L237" s="111"/>
      <c r="M237" s="162"/>
      <c r="N237" s="162"/>
      <c r="O237" s="112"/>
      <c r="P237" s="112"/>
      <c r="Q237" s="112"/>
      <c r="R237" s="112"/>
      <c r="S237" s="112"/>
      <c r="T237" s="112"/>
      <c r="U237" s="112"/>
      <c r="V237" s="162"/>
      <c r="W237" s="112"/>
      <c r="X237" s="33"/>
      <c r="Y237" s="33"/>
      <c r="Z237" s="33"/>
      <c r="AB237" s="161"/>
      <c r="AC237" s="161"/>
      <c r="AI237" s="33"/>
      <c r="AJ237" s="33"/>
      <c r="AK237" s="33"/>
      <c r="AL237" s="33"/>
    </row>
    <row r="238" spans="4:38" s="474" customFormat="1" ht="12" customHeight="1">
      <c r="D238" s="33"/>
      <c r="E238" s="111"/>
      <c r="G238" s="111"/>
      <c r="H238" s="111"/>
      <c r="I238" s="112"/>
      <c r="J238" s="112"/>
      <c r="K238" s="111"/>
      <c r="L238" s="111"/>
      <c r="M238" s="162"/>
      <c r="N238" s="162"/>
      <c r="O238" s="112"/>
      <c r="P238" s="112"/>
      <c r="Q238" s="112"/>
      <c r="R238" s="112"/>
      <c r="S238" s="112"/>
      <c r="T238" s="112"/>
      <c r="U238" s="112"/>
      <c r="V238" s="162"/>
      <c r="W238" s="112"/>
      <c r="X238" s="33"/>
      <c r="Y238" s="33"/>
      <c r="Z238" s="33"/>
      <c r="AB238" s="161"/>
      <c r="AC238" s="161"/>
      <c r="AI238" s="33"/>
      <c r="AJ238" s="33"/>
      <c r="AK238" s="33"/>
      <c r="AL238" s="33"/>
    </row>
    <row r="239" spans="4:38" s="474" customFormat="1" ht="12" customHeight="1">
      <c r="D239" s="33"/>
      <c r="E239" s="111"/>
      <c r="G239" s="111"/>
      <c r="H239" s="111"/>
      <c r="I239" s="112"/>
      <c r="J239" s="112"/>
      <c r="K239" s="111"/>
      <c r="L239" s="111"/>
      <c r="M239" s="162"/>
      <c r="N239" s="162"/>
      <c r="O239" s="112"/>
      <c r="P239" s="112"/>
      <c r="Q239" s="112"/>
      <c r="R239" s="112"/>
      <c r="S239" s="112"/>
      <c r="T239" s="112"/>
      <c r="U239" s="112"/>
      <c r="V239" s="162"/>
      <c r="W239" s="112"/>
      <c r="X239" s="33"/>
      <c r="Y239" s="33"/>
      <c r="Z239" s="33"/>
      <c r="AB239" s="161"/>
      <c r="AC239" s="161"/>
      <c r="AI239" s="33"/>
      <c r="AJ239" s="33"/>
      <c r="AK239" s="33"/>
      <c r="AL239" s="33"/>
    </row>
    <row r="240" spans="4:38" s="474" customFormat="1" ht="12" customHeight="1">
      <c r="D240" s="33"/>
      <c r="E240" s="111"/>
      <c r="G240" s="111"/>
      <c r="H240" s="111"/>
      <c r="I240" s="112"/>
      <c r="J240" s="112"/>
      <c r="K240" s="111"/>
      <c r="L240" s="111"/>
      <c r="M240" s="162"/>
      <c r="N240" s="162"/>
      <c r="O240" s="112"/>
      <c r="P240" s="112"/>
      <c r="Q240" s="112"/>
      <c r="R240" s="112"/>
      <c r="S240" s="112"/>
      <c r="T240" s="112"/>
      <c r="U240" s="112"/>
      <c r="V240" s="162"/>
      <c r="W240" s="112"/>
      <c r="X240" s="33"/>
      <c r="Y240" s="33"/>
      <c r="Z240" s="33"/>
      <c r="AB240" s="161"/>
      <c r="AC240" s="161"/>
      <c r="AI240" s="33"/>
      <c r="AJ240" s="33"/>
      <c r="AK240" s="33"/>
      <c r="AL240" s="33"/>
    </row>
    <row r="241" spans="4:38" s="474" customFormat="1" ht="12" customHeight="1">
      <c r="D241" s="33"/>
      <c r="E241" s="111"/>
      <c r="G241" s="111"/>
      <c r="H241" s="111"/>
      <c r="I241" s="112"/>
      <c r="J241" s="112"/>
      <c r="K241" s="111"/>
      <c r="L241" s="111"/>
      <c r="M241" s="162"/>
      <c r="N241" s="162"/>
      <c r="O241" s="112"/>
      <c r="P241" s="112"/>
      <c r="Q241" s="112"/>
      <c r="R241" s="112"/>
      <c r="S241" s="112"/>
      <c r="T241" s="112"/>
      <c r="U241" s="112"/>
      <c r="V241" s="162"/>
      <c r="W241" s="112"/>
      <c r="X241" s="33"/>
      <c r="Y241" s="33"/>
      <c r="Z241" s="33"/>
      <c r="AB241" s="161"/>
      <c r="AC241" s="161"/>
      <c r="AI241" s="33"/>
      <c r="AJ241" s="33"/>
      <c r="AK241" s="33"/>
      <c r="AL241" s="33"/>
    </row>
    <row r="242" spans="4:38" s="474" customFormat="1" ht="12" customHeight="1">
      <c r="D242" s="33"/>
      <c r="E242" s="111"/>
      <c r="G242" s="111"/>
      <c r="H242" s="111"/>
      <c r="I242" s="112"/>
      <c r="J242" s="112"/>
      <c r="K242" s="111"/>
      <c r="L242" s="111"/>
      <c r="M242" s="162"/>
      <c r="N242" s="162"/>
      <c r="O242" s="112"/>
      <c r="P242" s="112"/>
      <c r="Q242" s="112"/>
      <c r="R242" s="112"/>
      <c r="S242" s="112"/>
      <c r="T242" s="112"/>
      <c r="U242" s="112"/>
      <c r="V242" s="162"/>
      <c r="W242" s="112"/>
      <c r="X242" s="33"/>
      <c r="Y242" s="33"/>
      <c r="Z242" s="33"/>
      <c r="AB242" s="161"/>
      <c r="AC242" s="161"/>
      <c r="AI242" s="33"/>
      <c r="AJ242" s="33"/>
      <c r="AK242" s="33"/>
      <c r="AL242" s="33"/>
    </row>
    <row r="243" spans="4:38" s="474" customFormat="1" ht="12" customHeight="1">
      <c r="D243" s="33"/>
      <c r="E243" s="111"/>
      <c r="G243" s="111"/>
      <c r="H243" s="111"/>
      <c r="I243" s="112"/>
      <c r="J243" s="112"/>
      <c r="K243" s="111"/>
      <c r="L243" s="111"/>
      <c r="M243" s="162"/>
      <c r="N243" s="162"/>
      <c r="O243" s="112"/>
      <c r="P243" s="112"/>
      <c r="Q243" s="112"/>
      <c r="R243" s="112"/>
      <c r="S243" s="112"/>
      <c r="T243" s="112"/>
      <c r="U243" s="112"/>
      <c r="V243" s="162"/>
      <c r="W243" s="112"/>
      <c r="X243" s="33"/>
      <c r="Y243" s="33"/>
      <c r="Z243" s="33"/>
      <c r="AB243" s="161"/>
      <c r="AC243" s="161"/>
      <c r="AI243" s="33"/>
      <c r="AJ243" s="33"/>
      <c r="AK243" s="33"/>
      <c r="AL243" s="33"/>
    </row>
    <row r="244" spans="4:38" s="474" customFormat="1" ht="12" customHeight="1">
      <c r="D244" s="33"/>
      <c r="E244" s="111"/>
      <c r="G244" s="111"/>
      <c r="H244" s="111"/>
      <c r="I244" s="112"/>
      <c r="J244" s="112"/>
      <c r="K244" s="111"/>
      <c r="L244" s="111"/>
      <c r="M244" s="162"/>
      <c r="N244" s="162"/>
      <c r="O244" s="112"/>
      <c r="P244" s="112"/>
      <c r="Q244" s="112"/>
      <c r="R244" s="112"/>
      <c r="S244" s="112"/>
      <c r="T244" s="112"/>
      <c r="U244" s="112"/>
      <c r="V244" s="162"/>
      <c r="W244" s="112"/>
      <c r="X244" s="33"/>
      <c r="Y244" s="33"/>
      <c r="Z244" s="33"/>
      <c r="AB244" s="161"/>
      <c r="AC244" s="161"/>
      <c r="AI244" s="33"/>
      <c r="AJ244" s="33"/>
      <c r="AK244" s="33"/>
      <c r="AL244" s="33"/>
    </row>
    <row r="245" spans="4:38" s="474" customFormat="1" ht="12" customHeight="1">
      <c r="D245" s="33"/>
      <c r="E245" s="111"/>
      <c r="G245" s="111"/>
      <c r="H245" s="111"/>
      <c r="I245" s="112"/>
      <c r="J245" s="112"/>
      <c r="K245" s="111"/>
      <c r="L245" s="111"/>
      <c r="M245" s="162"/>
      <c r="N245" s="162"/>
      <c r="O245" s="112"/>
      <c r="P245" s="112"/>
      <c r="Q245" s="112"/>
      <c r="R245" s="112"/>
      <c r="S245" s="112"/>
      <c r="T245" s="112"/>
      <c r="U245" s="112"/>
      <c r="V245" s="162"/>
      <c r="W245" s="112"/>
      <c r="X245" s="33"/>
      <c r="Y245" s="33"/>
      <c r="Z245" s="33"/>
      <c r="AB245" s="161"/>
      <c r="AC245" s="161"/>
      <c r="AI245" s="33"/>
      <c r="AJ245" s="33"/>
      <c r="AK245" s="33"/>
      <c r="AL245" s="33"/>
    </row>
    <row r="246" spans="4:38" s="474" customFormat="1" ht="12" customHeight="1">
      <c r="D246" s="33"/>
      <c r="E246" s="111"/>
      <c r="G246" s="111"/>
      <c r="H246" s="111"/>
      <c r="I246" s="112"/>
      <c r="J246" s="112"/>
      <c r="K246" s="111"/>
      <c r="L246" s="111"/>
      <c r="M246" s="162"/>
      <c r="N246" s="162"/>
      <c r="O246" s="112"/>
      <c r="P246" s="112"/>
      <c r="Q246" s="112"/>
      <c r="R246" s="112"/>
      <c r="S246" s="112"/>
      <c r="T246" s="112"/>
      <c r="U246" s="112"/>
      <c r="V246" s="162"/>
      <c r="W246" s="112"/>
      <c r="X246" s="33"/>
      <c r="Y246" s="33"/>
      <c r="Z246" s="33"/>
      <c r="AB246" s="161"/>
      <c r="AC246" s="161"/>
      <c r="AI246" s="33"/>
      <c r="AJ246" s="33"/>
      <c r="AK246" s="33"/>
      <c r="AL246" s="33"/>
    </row>
    <row r="247" spans="4:38" s="474" customFormat="1" ht="12" customHeight="1">
      <c r="D247" s="33"/>
      <c r="E247" s="111"/>
      <c r="G247" s="111"/>
      <c r="H247" s="111"/>
      <c r="I247" s="112"/>
      <c r="J247" s="112"/>
      <c r="K247" s="111"/>
      <c r="L247" s="111"/>
      <c r="M247" s="162"/>
      <c r="N247" s="162"/>
      <c r="O247" s="112"/>
      <c r="P247" s="112"/>
      <c r="Q247" s="112"/>
      <c r="R247" s="112"/>
      <c r="S247" s="112"/>
      <c r="T247" s="112"/>
      <c r="U247" s="112"/>
      <c r="V247" s="162"/>
      <c r="W247" s="112"/>
      <c r="X247" s="33"/>
      <c r="Y247" s="33"/>
      <c r="Z247" s="33"/>
      <c r="AB247" s="161"/>
      <c r="AC247" s="161"/>
      <c r="AI247" s="33"/>
      <c r="AJ247" s="33"/>
      <c r="AK247" s="33"/>
      <c r="AL247" s="33"/>
    </row>
    <row r="248" spans="4:38" s="474" customFormat="1" ht="12" customHeight="1">
      <c r="D248" s="33"/>
      <c r="E248" s="111"/>
      <c r="G248" s="111"/>
      <c r="H248" s="111"/>
      <c r="I248" s="112"/>
      <c r="J248" s="112"/>
      <c r="K248" s="111"/>
      <c r="L248" s="111"/>
      <c r="M248" s="162"/>
      <c r="N248" s="162"/>
      <c r="O248" s="112"/>
      <c r="P248" s="112"/>
      <c r="Q248" s="112"/>
      <c r="R248" s="112"/>
      <c r="S248" s="112"/>
      <c r="T248" s="112"/>
      <c r="U248" s="112"/>
      <c r="V248" s="162"/>
      <c r="W248" s="112"/>
      <c r="X248" s="33"/>
      <c r="Y248" s="33"/>
      <c r="Z248" s="33"/>
      <c r="AB248" s="161"/>
      <c r="AC248" s="161"/>
      <c r="AI248" s="33"/>
      <c r="AJ248" s="33"/>
      <c r="AK248" s="33"/>
      <c r="AL248" s="33"/>
    </row>
    <row r="249" spans="4:38" s="474" customFormat="1" ht="12" customHeight="1">
      <c r="D249" s="33"/>
      <c r="E249" s="111"/>
      <c r="G249" s="111"/>
      <c r="H249" s="111"/>
      <c r="I249" s="112"/>
      <c r="J249" s="112"/>
      <c r="K249" s="111"/>
      <c r="L249" s="111"/>
      <c r="M249" s="162"/>
      <c r="N249" s="162"/>
      <c r="O249" s="112"/>
      <c r="P249" s="112"/>
      <c r="Q249" s="112"/>
      <c r="R249" s="112"/>
      <c r="S249" s="112"/>
      <c r="T249" s="112"/>
      <c r="U249" s="112"/>
      <c r="V249" s="162"/>
      <c r="W249" s="112"/>
      <c r="X249" s="33"/>
      <c r="Y249" s="33"/>
      <c r="Z249" s="33"/>
      <c r="AB249" s="161"/>
      <c r="AC249" s="161"/>
      <c r="AI249" s="33"/>
      <c r="AJ249" s="33"/>
      <c r="AK249" s="33"/>
      <c r="AL249" s="33"/>
    </row>
    <row r="250" spans="4:38" s="474" customFormat="1" ht="12" customHeight="1">
      <c r="D250" s="33"/>
      <c r="E250" s="111"/>
      <c r="G250" s="111"/>
      <c r="H250" s="111"/>
      <c r="I250" s="112"/>
      <c r="J250" s="112"/>
      <c r="K250" s="111"/>
      <c r="L250" s="111"/>
      <c r="M250" s="162"/>
      <c r="N250" s="162"/>
      <c r="O250" s="112"/>
      <c r="P250" s="112"/>
      <c r="Q250" s="112"/>
      <c r="R250" s="112"/>
      <c r="S250" s="112"/>
      <c r="T250" s="112"/>
      <c r="U250" s="112"/>
      <c r="V250" s="162"/>
      <c r="W250" s="112"/>
      <c r="X250" s="33"/>
      <c r="Y250" s="33"/>
      <c r="Z250" s="33"/>
      <c r="AB250" s="161"/>
      <c r="AC250" s="161"/>
      <c r="AI250" s="33"/>
      <c r="AJ250" s="33"/>
      <c r="AK250" s="33"/>
      <c r="AL250" s="33"/>
    </row>
    <row r="251" spans="4:38" s="474" customFormat="1" ht="12" customHeight="1">
      <c r="D251" s="33"/>
      <c r="E251" s="111"/>
      <c r="G251" s="111"/>
      <c r="H251" s="111"/>
      <c r="I251" s="112"/>
      <c r="J251" s="112"/>
      <c r="K251" s="111"/>
      <c r="L251" s="111"/>
      <c r="M251" s="162"/>
      <c r="N251" s="162"/>
      <c r="O251" s="112"/>
      <c r="P251" s="112"/>
      <c r="Q251" s="112"/>
      <c r="R251" s="112"/>
      <c r="S251" s="112"/>
      <c r="T251" s="112"/>
      <c r="U251" s="112"/>
      <c r="V251" s="162"/>
      <c r="W251" s="112"/>
      <c r="X251" s="33"/>
      <c r="Y251" s="33"/>
      <c r="Z251" s="33"/>
      <c r="AB251" s="161"/>
      <c r="AC251" s="161"/>
      <c r="AI251" s="33"/>
      <c r="AJ251" s="33"/>
      <c r="AK251" s="33"/>
      <c r="AL251" s="33"/>
    </row>
    <row r="252" spans="4:38" s="474" customFormat="1" ht="12" customHeight="1">
      <c r="D252" s="33"/>
      <c r="E252" s="111"/>
      <c r="G252" s="111"/>
      <c r="H252" s="111"/>
      <c r="I252" s="112"/>
      <c r="J252" s="112"/>
      <c r="K252" s="111"/>
      <c r="L252" s="111"/>
      <c r="M252" s="162"/>
      <c r="N252" s="162"/>
      <c r="O252" s="112"/>
      <c r="P252" s="112"/>
      <c r="Q252" s="112"/>
      <c r="R252" s="112"/>
      <c r="S252" s="112"/>
      <c r="T252" s="112"/>
      <c r="U252" s="112"/>
      <c r="V252" s="162"/>
      <c r="W252" s="112"/>
      <c r="X252" s="33"/>
      <c r="Y252" s="33"/>
      <c r="Z252" s="33"/>
      <c r="AB252" s="161"/>
      <c r="AC252" s="161"/>
      <c r="AI252" s="33"/>
      <c r="AJ252" s="33"/>
      <c r="AK252" s="33"/>
      <c r="AL252" s="33"/>
    </row>
    <row r="253" spans="4:38" s="474" customFormat="1" ht="12" customHeight="1">
      <c r="D253" s="33"/>
      <c r="E253" s="111"/>
      <c r="G253" s="111"/>
      <c r="H253" s="111"/>
      <c r="I253" s="112"/>
      <c r="J253" s="112"/>
      <c r="K253" s="111"/>
      <c r="L253" s="111"/>
      <c r="M253" s="162"/>
      <c r="N253" s="162"/>
      <c r="O253" s="112"/>
      <c r="P253" s="112"/>
      <c r="Q253" s="112"/>
      <c r="R253" s="112"/>
      <c r="S253" s="112"/>
      <c r="T253" s="112"/>
      <c r="U253" s="112"/>
      <c r="V253" s="162"/>
      <c r="W253" s="112"/>
      <c r="X253" s="33"/>
      <c r="Y253" s="33"/>
      <c r="Z253" s="33"/>
      <c r="AB253" s="161"/>
      <c r="AC253" s="161"/>
      <c r="AI253" s="33"/>
      <c r="AJ253" s="33"/>
      <c r="AK253" s="33"/>
      <c r="AL253" s="33"/>
    </row>
    <row r="254" spans="4:38" s="474" customFormat="1" ht="12" customHeight="1">
      <c r="D254" s="33"/>
      <c r="E254" s="111"/>
      <c r="G254" s="111"/>
      <c r="H254" s="111"/>
      <c r="I254" s="112"/>
      <c r="J254" s="112"/>
      <c r="K254" s="111"/>
      <c r="L254" s="111"/>
      <c r="M254" s="162"/>
      <c r="N254" s="162"/>
      <c r="O254" s="112"/>
      <c r="P254" s="112"/>
      <c r="Q254" s="112"/>
      <c r="R254" s="112"/>
      <c r="S254" s="112"/>
      <c r="T254" s="112"/>
      <c r="U254" s="112"/>
      <c r="V254" s="162"/>
      <c r="W254" s="112"/>
      <c r="X254" s="33"/>
      <c r="Y254" s="33"/>
      <c r="Z254" s="33"/>
      <c r="AB254" s="161"/>
      <c r="AC254" s="161"/>
      <c r="AI254" s="33"/>
      <c r="AJ254" s="33"/>
      <c r="AK254" s="33"/>
      <c r="AL254" s="33"/>
    </row>
    <row r="255" spans="4:38" s="474" customFormat="1" ht="12" customHeight="1">
      <c r="D255" s="33"/>
      <c r="E255" s="111"/>
      <c r="G255" s="111"/>
      <c r="H255" s="111"/>
      <c r="I255" s="112"/>
      <c r="J255" s="112"/>
      <c r="K255" s="111"/>
      <c r="L255" s="111"/>
      <c r="M255" s="162"/>
      <c r="N255" s="162"/>
      <c r="O255" s="112"/>
      <c r="P255" s="112"/>
      <c r="Q255" s="112"/>
      <c r="R255" s="112"/>
      <c r="S255" s="112"/>
      <c r="T255" s="112"/>
      <c r="U255" s="112"/>
      <c r="V255" s="162"/>
      <c r="W255" s="112"/>
      <c r="X255" s="33"/>
      <c r="Y255" s="33"/>
      <c r="Z255" s="33"/>
      <c r="AB255" s="161"/>
      <c r="AC255" s="161"/>
      <c r="AI255" s="33"/>
      <c r="AJ255" s="33"/>
      <c r="AK255" s="33"/>
      <c r="AL255" s="33"/>
    </row>
    <row r="256" spans="4:38" s="474" customFormat="1" ht="12" customHeight="1">
      <c r="D256" s="33"/>
      <c r="E256" s="111"/>
      <c r="G256" s="111"/>
      <c r="H256" s="111"/>
      <c r="I256" s="112"/>
      <c r="J256" s="112"/>
      <c r="K256" s="111"/>
      <c r="L256" s="111"/>
      <c r="M256" s="162"/>
      <c r="N256" s="162"/>
      <c r="O256" s="112"/>
      <c r="P256" s="112"/>
      <c r="Q256" s="112"/>
      <c r="R256" s="112"/>
      <c r="S256" s="112"/>
      <c r="T256" s="112"/>
      <c r="U256" s="112"/>
      <c r="V256" s="162"/>
      <c r="W256" s="112"/>
      <c r="X256" s="33"/>
      <c r="Y256" s="33"/>
      <c r="Z256" s="33"/>
      <c r="AB256" s="161"/>
      <c r="AC256" s="161"/>
      <c r="AI256" s="33"/>
      <c r="AJ256" s="33"/>
      <c r="AK256" s="33"/>
      <c r="AL256" s="33"/>
    </row>
    <row r="257" spans="4:38" s="474" customFormat="1" ht="12" customHeight="1">
      <c r="D257" s="33"/>
      <c r="E257" s="111"/>
      <c r="G257" s="111"/>
      <c r="H257" s="111"/>
      <c r="I257" s="112"/>
      <c r="J257" s="112"/>
      <c r="K257" s="111"/>
      <c r="L257" s="111"/>
      <c r="M257" s="162"/>
      <c r="N257" s="162"/>
      <c r="O257" s="112"/>
      <c r="P257" s="112"/>
      <c r="Q257" s="112"/>
      <c r="R257" s="112"/>
      <c r="S257" s="112"/>
      <c r="T257" s="112"/>
      <c r="U257" s="112"/>
      <c r="V257" s="162"/>
      <c r="W257" s="112"/>
      <c r="X257" s="33"/>
      <c r="Y257" s="33"/>
      <c r="Z257" s="33"/>
      <c r="AB257" s="161"/>
      <c r="AC257" s="161"/>
      <c r="AI257" s="33"/>
      <c r="AJ257" s="33"/>
      <c r="AK257" s="33"/>
      <c r="AL257" s="33"/>
    </row>
    <row r="258" spans="4:38" s="474" customFormat="1" ht="12" customHeight="1">
      <c r="D258" s="33"/>
      <c r="E258" s="111"/>
      <c r="G258" s="111"/>
      <c r="H258" s="111"/>
      <c r="I258" s="112"/>
      <c r="J258" s="112"/>
      <c r="K258" s="111"/>
      <c r="L258" s="111"/>
      <c r="M258" s="162"/>
      <c r="N258" s="162"/>
      <c r="O258" s="112"/>
      <c r="P258" s="112"/>
      <c r="Q258" s="112"/>
      <c r="R258" s="112"/>
      <c r="S258" s="112"/>
      <c r="T258" s="112"/>
      <c r="U258" s="112"/>
      <c r="V258" s="162"/>
      <c r="W258" s="112"/>
      <c r="X258" s="33"/>
      <c r="Y258" s="33"/>
      <c r="Z258" s="33"/>
      <c r="AB258" s="161"/>
      <c r="AC258" s="161"/>
      <c r="AI258" s="33"/>
      <c r="AJ258" s="33"/>
      <c r="AK258" s="33"/>
      <c r="AL258" s="33"/>
    </row>
    <row r="259" spans="4:38" s="474" customFormat="1" ht="12" customHeight="1">
      <c r="D259" s="33"/>
      <c r="E259" s="111"/>
      <c r="G259" s="111"/>
      <c r="H259" s="111"/>
      <c r="I259" s="112"/>
      <c r="J259" s="112"/>
      <c r="K259" s="111"/>
      <c r="L259" s="111"/>
      <c r="M259" s="162"/>
      <c r="N259" s="162"/>
      <c r="O259" s="112"/>
      <c r="P259" s="112"/>
      <c r="Q259" s="112"/>
      <c r="R259" s="112"/>
      <c r="S259" s="112"/>
      <c r="T259" s="112"/>
      <c r="U259" s="112"/>
      <c r="V259" s="162"/>
      <c r="W259" s="112"/>
      <c r="X259" s="33"/>
      <c r="Y259" s="33"/>
      <c r="Z259" s="33"/>
      <c r="AB259" s="161"/>
      <c r="AC259" s="161"/>
      <c r="AI259" s="33"/>
      <c r="AJ259" s="33"/>
      <c r="AK259" s="33"/>
      <c r="AL259" s="33"/>
    </row>
    <row r="260" spans="4:38" s="474" customFormat="1" ht="12" customHeight="1">
      <c r="D260" s="33"/>
      <c r="E260" s="111"/>
      <c r="G260" s="111"/>
      <c r="H260" s="111"/>
      <c r="I260" s="112"/>
      <c r="J260" s="112"/>
      <c r="K260" s="111"/>
      <c r="L260" s="111"/>
      <c r="M260" s="162"/>
      <c r="N260" s="162"/>
      <c r="O260" s="112"/>
      <c r="P260" s="112"/>
      <c r="Q260" s="112"/>
      <c r="R260" s="112"/>
      <c r="S260" s="112"/>
      <c r="T260" s="112"/>
      <c r="U260" s="112"/>
      <c r="V260" s="162"/>
      <c r="W260" s="112"/>
      <c r="X260" s="33"/>
      <c r="Y260" s="33"/>
      <c r="Z260" s="33"/>
      <c r="AB260" s="161"/>
      <c r="AC260" s="161"/>
      <c r="AI260" s="33"/>
      <c r="AJ260" s="33"/>
      <c r="AK260" s="33"/>
      <c r="AL260" s="33"/>
    </row>
    <row r="261" spans="4:38" s="474" customFormat="1" ht="12" customHeight="1">
      <c r="D261" s="33"/>
      <c r="E261" s="111"/>
      <c r="G261" s="111"/>
      <c r="H261" s="111"/>
      <c r="I261" s="112"/>
      <c r="J261" s="112"/>
      <c r="K261" s="111"/>
      <c r="L261" s="111"/>
      <c r="M261" s="162"/>
      <c r="N261" s="162"/>
      <c r="O261" s="112"/>
      <c r="P261" s="112"/>
      <c r="Q261" s="112"/>
      <c r="R261" s="112"/>
      <c r="S261" s="112"/>
      <c r="T261" s="112"/>
      <c r="U261" s="112"/>
      <c r="V261" s="162"/>
      <c r="W261" s="112"/>
      <c r="X261" s="33"/>
      <c r="Y261" s="33"/>
      <c r="Z261" s="33"/>
      <c r="AB261" s="161"/>
      <c r="AC261" s="161"/>
      <c r="AI261" s="33"/>
      <c r="AJ261" s="33"/>
      <c r="AK261" s="33"/>
      <c r="AL261" s="33"/>
    </row>
    <row r="262" spans="4:38" s="474" customFormat="1" ht="12" customHeight="1">
      <c r="D262" s="33"/>
      <c r="E262" s="111"/>
      <c r="G262" s="111"/>
      <c r="H262" s="111"/>
      <c r="I262" s="112"/>
      <c r="J262" s="112"/>
      <c r="K262" s="111"/>
      <c r="L262" s="111"/>
      <c r="M262" s="162"/>
      <c r="N262" s="162"/>
      <c r="O262" s="112"/>
      <c r="P262" s="112"/>
      <c r="Q262" s="112"/>
      <c r="R262" s="112"/>
      <c r="S262" s="112"/>
      <c r="T262" s="112"/>
      <c r="U262" s="112"/>
      <c r="V262" s="162"/>
      <c r="W262" s="112"/>
      <c r="X262" s="33"/>
      <c r="Y262" s="33"/>
      <c r="Z262" s="33"/>
      <c r="AB262" s="161"/>
      <c r="AC262" s="161"/>
      <c r="AI262" s="33"/>
      <c r="AJ262" s="33"/>
      <c r="AK262" s="33"/>
      <c r="AL262" s="33"/>
    </row>
    <row r="263" spans="4:38" s="474" customFormat="1" ht="12" customHeight="1">
      <c r="D263" s="33"/>
      <c r="E263" s="111"/>
      <c r="G263" s="111"/>
      <c r="H263" s="111"/>
      <c r="I263" s="112"/>
      <c r="J263" s="112"/>
      <c r="K263" s="111"/>
      <c r="L263" s="111"/>
      <c r="M263" s="162"/>
      <c r="N263" s="162"/>
      <c r="O263" s="112"/>
      <c r="P263" s="112"/>
      <c r="Q263" s="112"/>
      <c r="R263" s="112"/>
      <c r="S263" s="112"/>
      <c r="T263" s="112"/>
      <c r="U263" s="112"/>
      <c r="V263" s="162"/>
      <c r="W263" s="112"/>
      <c r="X263" s="33"/>
      <c r="Y263" s="33"/>
      <c r="Z263" s="33"/>
      <c r="AB263" s="161"/>
      <c r="AC263" s="161"/>
      <c r="AI263" s="33"/>
      <c r="AJ263" s="33"/>
      <c r="AK263" s="33"/>
      <c r="AL263" s="33"/>
    </row>
    <row r="264" spans="4:38" s="474" customFormat="1" ht="12" customHeight="1">
      <c r="D264" s="33"/>
      <c r="E264" s="111"/>
      <c r="G264" s="111"/>
      <c r="H264" s="111"/>
      <c r="I264" s="112"/>
      <c r="J264" s="112"/>
      <c r="K264" s="111"/>
      <c r="L264" s="111"/>
      <c r="M264" s="162"/>
      <c r="N264" s="162"/>
      <c r="O264" s="112"/>
      <c r="P264" s="112"/>
      <c r="Q264" s="112"/>
      <c r="R264" s="112"/>
      <c r="S264" s="112"/>
      <c r="T264" s="112"/>
      <c r="U264" s="112"/>
      <c r="V264" s="162"/>
      <c r="W264" s="112"/>
      <c r="X264" s="33"/>
      <c r="Y264" s="33"/>
      <c r="Z264" s="33"/>
      <c r="AB264" s="161"/>
      <c r="AC264" s="161"/>
      <c r="AI264" s="33"/>
      <c r="AJ264" s="33"/>
      <c r="AK264" s="33"/>
      <c r="AL264" s="33"/>
    </row>
    <row r="265" spans="4:38" s="474" customFormat="1" ht="12" customHeight="1">
      <c r="D265" s="33"/>
      <c r="E265" s="111"/>
      <c r="G265" s="111"/>
      <c r="H265" s="111"/>
      <c r="I265" s="112"/>
      <c r="J265" s="112"/>
      <c r="K265" s="111"/>
      <c r="L265" s="111"/>
      <c r="M265" s="162"/>
      <c r="N265" s="162"/>
      <c r="O265" s="112"/>
      <c r="P265" s="112"/>
      <c r="Q265" s="112"/>
      <c r="R265" s="112"/>
      <c r="S265" s="112"/>
      <c r="T265" s="112"/>
      <c r="U265" s="112"/>
      <c r="V265" s="162"/>
      <c r="W265" s="112"/>
      <c r="X265" s="33"/>
      <c r="Y265" s="33"/>
      <c r="Z265" s="33"/>
      <c r="AB265" s="161"/>
      <c r="AC265" s="161"/>
      <c r="AI265" s="33"/>
      <c r="AJ265" s="33"/>
      <c r="AK265" s="33"/>
      <c r="AL265" s="33"/>
    </row>
    <row r="266" spans="4:38" s="474" customFormat="1" ht="12" customHeight="1">
      <c r="D266" s="33"/>
      <c r="E266" s="111"/>
      <c r="G266" s="111"/>
      <c r="H266" s="111"/>
      <c r="I266" s="112"/>
      <c r="J266" s="112"/>
      <c r="K266" s="111"/>
      <c r="L266" s="111"/>
      <c r="M266" s="162"/>
      <c r="N266" s="162"/>
      <c r="O266" s="112"/>
      <c r="P266" s="112"/>
      <c r="Q266" s="112"/>
      <c r="R266" s="112"/>
      <c r="S266" s="112"/>
      <c r="T266" s="112"/>
      <c r="U266" s="112"/>
      <c r="V266" s="162"/>
      <c r="W266" s="112"/>
      <c r="X266" s="33"/>
      <c r="Y266" s="33"/>
      <c r="Z266" s="33"/>
      <c r="AB266" s="161"/>
      <c r="AC266" s="161"/>
      <c r="AI266" s="33"/>
      <c r="AJ266" s="33"/>
      <c r="AK266" s="33"/>
      <c r="AL266" s="33"/>
    </row>
    <row r="267" spans="4:38" s="474" customFormat="1" ht="12" customHeight="1">
      <c r="D267" s="33"/>
      <c r="E267" s="111"/>
      <c r="G267" s="111"/>
      <c r="H267" s="111"/>
      <c r="I267" s="112"/>
      <c r="J267" s="112"/>
      <c r="K267" s="111"/>
      <c r="L267" s="111"/>
      <c r="M267" s="162"/>
      <c r="N267" s="162"/>
      <c r="O267" s="112"/>
      <c r="P267" s="112"/>
      <c r="Q267" s="112"/>
      <c r="R267" s="112"/>
      <c r="S267" s="112"/>
      <c r="T267" s="112"/>
      <c r="U267" s="112"/>
      <c r="V267" s="162"/>
      <c r="W267" s="112"/>
      <c r="X267" s="33"/>
      <c r="Y267" s="33"/>
      <c r="Z267" s="33"/>
      <c r="AB267" s="161"/>
      <c r="AC267" s="161"/>
      <c r="AI267" s="33"/>
      <c r="AJ267" s="33"/>
      <c r="AK267" s="33"/>
      <c r="AL267" s="33"/>
    </row>
    <row r="268" spans="4:38" s="474" customFormat="1" ht="12" customHeight="1">
      <c r="D268" s="33"/>
      <c r="E268" s="111"/>
      <c r="G268" s="111"/>
      <c r="H268" s="111"/>
      <c r="I268" s="112"/>
      <c r="J268" s="112"/>
      <c r="K268" s="111"/>
      <c r="L268" s="111"/>
      <c r="M268" s="162"/>
      <c r="N268" s="162"/>
      <c r="O268" s="112"/>
      <c r="P268" s="112"/>
      <c r="Q268" s="112"/>
      <c r="R268" s="112"/>
      <c r="S268" s="112"/>
      <c r="T268" s="112"/>
      <c r="U268" s="112"/>
      <c r="V268" s="162"/>
      <c r="W268" s="112"/>
      <c r="X268" s="33"/>
      <c r="Y268" s="33"/>
      <c r="Z268" s="33"/>
      <c r="AB268" s="161"/>
      <c r="AC268" s="161"/>
      <c r="AI268" s="33"/>
      <c r="AJ268" s="33"/>
      <c r="AK268" s="33"/>
      <c r="AL268" s="33"/>
    </row>
    <row r="269" spans="4:38" s="474" customFormat="1" ht="12" customHeight="1">
      <c r="D269" s="33"/>
      <c r="E269" s="111"/>
      <c r="G269" s="111"/>
      <c r="H269" s="111"/>
      <c r="I269" s="112"/>
      <c r="J269" s="112"/>
      <c r="K269" s="111"/>
      <c r="L269" s="111"/>
      <c r="M269" s="162"/>
      <c r="N269" s="162"/>
      <c r="O269" s="112"/>
      <c r="P269" s="112"/>
      <c r="Q269" s="112"/>
      <c r="R269" s="112"/>
      <c r="S269" s="112"/>
      <c r="T269" s="112"/>
      <c r="U269" s="112"/>
      <c r="V269" s="162"/>
      <c r="W269" s="112"/>
      <c r="X269" s="33"/>
      <c r="Y269" s="33"/>
      <c r="Z269" s="33"/>
      <c r="AB269" s="161"/>
      <c r="AC269" s="161"/>
      <c r="AI269" s="33"/>
      <c r="AJ269" s="33"/>
      <c r="AK269" s="33"/>
      <c r="AL269" s="33"/>
    </row>
    <row r="270" spans="4:38" s="474" customFormat="1" ht="12" customHeight="1">
      <c r="D270" s="33"/>
      <c r="E270" s="111"/>
      <c r="G270" s="111"/>
      <c r="H270" s="111"/>
      <c r="I270" s="112"/>
      <c r="J270" s="112"/>
      <c r="K270" s="111"/>
      <c r="L270" s="111"/>
      <c r="M270" s="162"/>
      <c r="N270" s="162"/>
      <c r="O270" s="112"/>
      <c r="P270" s="112"/>
      <c r="Q270" s="112"/>
      <c r="R270" s="112"/>
      <c r="S270" s="112"/>
      <c r="T270" s="112"/>
      <c r="U270" s="112"/>
      <c r="V270" s="162"/>
      <c r="W270" s="112"/>
      <c r="X270" s="33"/>
      <c r="Y270" s="33"/>
      <c r="Z270" s="33"/>
      <c r="AB270" s="161"/>
      <c r="AC270" s="161"/>
      <c r="AI270" s="33"/>
      <c r="AJ270" s="33"/>
      <c r="AK270" s="33"/>
      <c r="AL270" s="33"/>
    </row>
    <row r="271" spans="4:38" s="474" customFormat="1" ht="12" customHeight="1">
      <c r="D271" s="33"/>
      <c r="E271" s="111"/>
      <c r="G271" s="111"/>
      <c r="H271" s="111"/>
      <c r="I271" s="112"/>
      <c r="J271" s="112"/>
      <c r="K271" s="111"/>
      <c r="L271" s="111"/>
      <c r="M271" s="162"/>
      <c r="N271" s="162"/>
      <c r="O271" s="112"/>
      <c r="P271" s="112"/>
      <c r="Q271" s="112"/>
      <c r="R271" s="112"/>
      <c r="S271" s="112"/>
      <c r="T271" s="112"/>
      <c r="U271" s="112"/>
      <c r="V271" s="162"/>
      <c r="W271" s="112"/>
      <c r="X271" s="33"/>
      <c r="Y271" s="33"/>
      <c r="Z271" s="33"/>
      <c r="AB271" s="161"/>
      <c r="AC271" s="161"/>
      <c r="AI271" s="33"/>
      <c r="AJ271" s="33"/>
      <c r="AK271" s="33"/>
      <c r="AL271" s="33"/>
    </row>
    <row r="272" spans="4:38" s="474" customFormat="1" ht="12" customHeight="1">
      <c r="D272" s="33"/>
      <c r="E272" s="111"/>
      <c r="G272" s="111"/>
      <c r="H272" s="111"/>
      <c r="I272" s="112"/>
      <c r="J272" s="112"/>
      <c r="K272" s="111"/>
      <c r="L272" s="111"/>
      <c r="M272" s="162"/>
      <c r="N272" s="162"/>
      <c r="O272" s="112"/>
      <c r="P272" s="112"/>
      <c r="Q272" s="112"/>
      <c r="R272" s="112"/>
      <c r="S272" s="112"/>
      <c r="T272" s="112"/>
      <c r="U272" s="112"/>
      <c r="V272" s="162"/>
      <c r="W272" s="112"/>
      <c r="X272" s="33"/>
      <c r="Y272" s="33"/>
      <c r="Z272" s="33"/>
      <c r="AB272" s="161"/>
      <c r="AC272" s="161"/>
      <c r="AI272" s="33"/>
      <c r="AJ272" s="33"/>
      <c r="AK272" s="33"/>
      <c r="AL272" s="33"/>
    </row>
    <row r="273" spans="4:38" s="474" customFormat="1" ht="12" customHeight="1">
      <c r="D273" s="33"/>
      <c r="E273" s="111"/>
      <c r="G273" s="111"/>
      <c r="H273" s="111"/>
      <c r="I273" s="112"/>
      <c r="J273" s="112"/>
      <c r="K273" s="111"/>
      <c r="L273" s="111"/>
      <c r="M273" s="162"/>
      <c r="N273" s="162"/>
      <c r="O273" s="112"/>
      <c r="P273" s="112"/>
      <c r="Q273" s="112"/>
      <c r="R273" s="112"/>
      <c r="S273" s="112"/>
      <c r="T273" s="112"/>
      <c r="U273" s="112"/>
      <c r="V273" s="162"/>
      <c r="W273" s="112"/>
      <c r="X273" s="33"/>
      <c r="Y273" s="33"/>
      <c r="Z273" s="33"/>
      <c r="AB273" s="161"/>
      <c r="AC273" s="161"/>
      <c r="AI273" s="33"/>
      <c r="AJ273" s="33"/>
      <c r="AK273" s="33"/>
      <c r="AL273" s="33"/>
    </row>
    <row r="274" spans="4:38" s="474" customFormat="1" ht="12" customHeight="1">
      <c r="D274" s="33"/>
      <c r="E274" s="111"/>
      <c r="G274" s="111"/>
      <c r="H274" s="111"/>
      <c r="I274" s="112"/>
      <c r="J274" s="112"/>
      <c r="K274" s="111"/>
      <c r="L274" s="111"/>
      <c r="M274" s="162"/>
      <c r="N274" s="162"/>
      <c r="O274" s="112"/>
      <c r="P274" s="112"/>
      <c r="Q274" s="112"/>
      <c r="R274" s="112"/>
      <c r="S274" s="112"/>
      <c r="T274" s="112"/>
      <c r="U274" s="112"/>
      <c r="V274" s="162"/>
      <c r="W274" s="112"/>
      <c r="X274" s="33"/>
      <c r="Y274" s="33"/>
      <c r="Z274" s="33"/>
      <c r="AB274" s="161"/>
      <c r="AC274" s="161"/>
      <c r="AI274" s="33"/>
      <c r="AJ274" s="33"/>
      <c r="AK274" s="33"/>
      <c r="AL274" s="33"/>
    </row>
    <row r="275" spans="4:38" s="474" customFormat="1" ht="12" customHeight="1">
      <c r="D275" s="33"/>
      <c r="E275" s="111"/>
      <c r="G275" s="111"/>
      <c r="H275" s="111"/>
      <c r="I275" s="112"/>
      <c r="J275" s="112"/>
      <c r="K275" s="111"/>
      <c r="L275" s="111"/>
      <c r="M275" s="162"/>
      <c r="N275" s="162"/>
      <c r="O275" s="112"/>
      <c r="P275" s="112"/>
      <c r="Q275" s="112"/>
      <c r="R275" s="112"/>
      <c r="S275" s="112"/>
      <c r="T275" s="112"/>
      <c r="U275" s="112"/>
      <c r="V275" s="162"/>
      <c r="W275" s="112"/>
      <c r="X275" s="33"/>
      <c r="Y275" s="33"/>
      <c r="Z275" s="33"/>
      <c r="AB275" s="161"/>
      <c r="AC275" s="161"/>
      <c r="AI275" s="33"/>
      <c r="AJ275" s="33"/>
      <c r="AK275" s="33"/>
      <c r="AL275" s="33"/>
    </row>
    <row r="276" spans="4:38" s="474" customFormat="1" ht="12" customHeight="1">
      <c r="D276" s="33"/>
      <c r="E276" s="111"/>
      <c r="G276" s="111"/>
      <c r="H276" s="111"/>
      <c r="I276" s="112"/>
      <c r="J276" s="112"/>
      <c r="K276" s="111"/>
      <c r="L276" s="111"/>
      <c r="M276" s="162"/>
      <c r="N276" s="162"/>
      <c r="O276" s="112"/>
      <c r="P276" s="112"/>
      <c r="Q276" s="112"/>
      <c r="R276" s="112"/>
      <c r="S276" s="112"/>
      <c r="T276" s="112"/>
      <c r="U276" s="112"/>
      <c r="V276" s="162"/>
      <c r="W276" s="112"/>
      <c r="X276" s="33"/>
      <c r="Y276" s="33"/>
      <c r="Z276" s="33"/>
      <c r="AB276" s="161"/>
      <c r="AC276" s="161"/>
      <c r="AI276" s="33"/>
      <c r="AJ276" s="33"/>
      <c r="AK276" s="33"/>
      <c r="AL276" s="33"/>
    </row>
    <row r="277" spans="4:38" s="474" customFormat="1" ht="12" customHeight="1">
      <c r="D277" s="33"/>
      <c r="E277" s="111"/>
      <c r="G277" s="111"/>
      <c r="H277" s="111"/>
      <c r="I277" s="112"/>
      <c r="J277" s="112"/>
      <c r="K277" s="111"/>
      <c r="L277" s="111"/>
      <c r="M277" s="162"/>
      <c r="N277" s="162"/>
      <c r="O277" s="112"/>
      <c r="P277" s="112"/>
      <c r="Q277" s="112"/>
      <c r="R277" s="112"/>
      <c r="S277" s="112"/>
      <c r="T277" s="112"/>
      <c r="U277" s="112"/>
      <c r="V277" s="162"/>
      <c r="W277" s="112"/>
      <c r="X277" s="33"/>
      <c r="Y277" s="33"/>
      <c r="Z277" s="33"/>
      <c r="AB277" s="161"/>
      <c r="AC277" s="161"/>
      <c r="AI277" s="33"/>
      <c r="AJ277" s="33"/>
      <c r="AK277" s="33"/>
      <c r="AL277" s="33"/>
    </row>
    <row r="278" spans="4:38" s="474" customFormat="1" ht="12" customHeight="1">
      <c r="D278" s="33"/>
      <c r="E278" s="111"/>
      <c r="G278" s="111"/>
      <c r="H278" s="111"/>
      <c r="I278" s="112"/>
      <c r="J278" s="112"/>
      <c r="K278" s="111"/>
      <c r="L278" s="111"/>
      <c r="M278" s="162"/>
      <c r="N278" s="162"/>
      <c r="O278" s="112"/>
      <c r="P278" s="112"/>
      <c r="Q278" s="112"/>
      <c r="R278" s="112"/>
      <c r="S278" s="112"/>
      <c r="T278" s="112"/>
      <c r="U278" s="112"/>
      <c r="V278" s="162"/>
      <c r="W278" s="112"/>
      <c r="X278" s="33"/>
      <c r="Y278" s="33"/>
      <c r="Z278" s="33"/>
      <c r="AB278" s="161"/>
      <c r="AC278" s="161"/>
      <c r="AI278" s="33"/>
      <c r="AJ278" s="33"/>
      <c r="AK278" s="33"/>
      <c r="AL278" s="33"/>
    </row>
    <row r="279" spans="4:38" s="474" customFormat="1" ht="12" customHeight="1">
      <c r="D279" s="33"/>
      <c r="E279" s="111"/>
      <c r="G279" s="111"/>
      <c r="H279" s="111"/>
      <c r="I279" s="112"/>
      <c r="J279" s="112"/>
      <c r="K279" s="111"/>
      <c r="L279" s="111"/>
      <c r="M279" s="162"/>
      <c r="N279" s="162"/>
      <c r="O279" s="112"/>
      <c r="P279" s="112"/>
      <c r="Q279" s="112"/>
      <c r="R279" s="112"/>
      <c r="S279" s="112"/>
      <c r="T279" s="112"/>
      <c r="U279" s="112"/>
      <c r="V279" s="162"/>
      <c r="W279" s="112"/>
      <c r="X279" s="33"/>
      <c r="Y279" s="33"/>
      <c r="Z279" s="33"/>
      <c r="AB279" s="161"/>
      <c r="AC279" s="161"/>
      <c r="AI279" s="33"/>
      <c r="AJ279" s="33"/>
      <c r="AK279" s="33"/>
      <c r="AL279" s="33"/>
    </row>
    <row r="280" spans="4:38" s="474" customFormat="1" ht="12" customHeight="1">
      <c r="D280" s="33"/>
      <c r="E280" s="111"/>
      <c r="G280" s="111"/>
      <c r="H280" s="111"/>
      <c r="I280" s="112"/>
      <c r="J280" s="112"/>
      <c r="K280" s="111"/>
      <c r="L280" s="111"/>
      <c r="M280" s="162"/>
      <c r="N280" s="162"/>
      <c r="O280" s="112"/>
      <c r="P280" s="112"/>
      <c r="Q280" s="112"/>
      <c r="R280" s="112"/>
      <c r="S280" s="112"/>
      <c r="T280" s="112"/>
      <c r="U280" s="112"/>
      <c r="V280" s="162"/>
      <c r="W280" s="112"/>
      <c r="X280" s="33"/>
      <c r="Y280" s="33"/>
      <c r="Z280" s="33"/>
      <c r="AB280" s="161"/>
      <c r="AC280" s="161"/>
      <c r="AI280" s="33"/>
      <c r="AJ280" s="33"/>
      <c r="AK280" s="33"/>
      <c r="AL280" s="33"/>
    </row>
    <row r="281" spans="4:38" s="474" customFormat="1" ht="12" customHeight="1">
      <c r="D281" s="33"/>
      <c r="E281" s="111"/>
      <c r="G281" s="111"/>
      <c r="H281" s="111"/>
      <c r="I281" s="112"/>
      <c r="J281" s="112"/>
      <c r="K281" s="111"/>
      <c r="L281" s="111"/>
      <c r="M281" s="162"/>
      <c r="N281" s="162"/>
      <c r="O281" s="112"/>
      <c r="P281" s="112"/>
      <c r="Q281" s="112"/>
      <c r="R281" s="112"/>
      <c r="S281" s="112"/>
      <c r="T281" s="112"/>
      <c r="U281" s="112"/>
      <c r="V281" s="162"/>
      <c r="W281" s="112"/>
      <c r="X281" s="33"/>
      <c r="Y281" s="33"/>
      <c r="Z281" s="33"/>
      <c r="AB281" s="161"/>
      <c r="AC281" s="161"/>
      <c r="AI281" s="33"/>
      <c r="AJ281" s="33"/>
      <c r="AK281" s="33"/>
      <c r="AL281" s="33"/>
    </row>
    <row r="282" spans="4:38" s="474" customFormat="1" ht="12" customHeight="1">
      <c r="D282" s="33"/>
      <c r="E282" s="111"/>
      <c r="G282" s="111"/>
      <c r="H282" s="111"/>
      <c r="I282" s="112"/>
      <c r="J282" s="112"/>
      <c r="K282" s="111"/>
      <c r="L282" s="111"/>
      <c r="M282" s="162"/>
      <c r="N282" s="162"/>
      <c r="O282" s="112"/>
      <c r="P282" s="112"/>
      <c r="Q282" s="112"/>
      <c r="R282" s="112"/>
      <c r="S282" s="112"/>
      <c r="T282" s="112"/>
      <c r="U282" s="112"/>
      <c r="V282" s="162"/>
      <c r="W282" s="112"/>
      <c r="X282" s="33"/>
      <c r="Y282" s="33"/>
      <c r="Z282" s="33"/>
      <c r="AB282" s="161"/>
      <c r="AC282" s="161"/>
      <c r="AI282" s="33"/>
      <c r="AJ282" s="33"/>
      <c r="AK282" s="33"/>
      <c r="AL282" s="33"/>
    </row>
    <row r="283" spans="4:38" s="474" customFormat="1" ht="12" customHeight="1">
      <c r="D283" s="33"/>
      <c r="E283" s="111"/>
      <c r="G283" s="111"/>
      <c r="H283" s="111"/>
      <c r="I283" s="112"/>
      <c r="J283" s="112"/>
      <c r="K283" s="111"/>
      <c r="L283" s="111"/>
      <c r="M283" s="162"/>
      <c r="N283" s="162"/>
      <c r="O283" s="112"/>
      <c r="P283" s="112"/>
      <c r="Q283" s="112"/>
      <c r="R283" s="112"/>
      <c r="S283" s="112"/>
      <c r="T283" s="112"/>
      <c r="U283" s="112"/>
      <c r="V283" s="162"/>
      <c r="W283" s="112"/>
      <c r="X283" s="33"/>
      <c r="Y283" s="33"/>
      <c r="Z283" s="33"/>
      <c r="AB283" s="161"/>
      <c r="AC283" s="161"/>
      <c r="AI283" s="33"/>
      <c r="AJ283" s="33"/>
      <c r="AK283" s="33"/>
      <c r="AL283" s="33"/>
    </row>
    <row r="284" spans="4:38" s="474" customFormat="1" ht="12" customHeight="1">
      <c r="D284" s="33"/>
      <c r="E284" s="111"/>
      <c r="G284" s="111"/>
      <c r="H284" s="111"/>
      <c r="I284" s="112"/>
      <c r="J284" s="112"/>
      <c r="K284" s="111"/>
      <c r="L284" s="111"/>
      <c r="M284" s="162"/>
      <c r="N284" s="162"/>
      <c r="O284" s="112"/>
      <c r="P284" s="112"/>
      <c r="Q284" s="112"/>
      <c r="R284" s="112"/>
      <c r="S284" s="112"/>
      <c r="T284" s="112"/>
      <c r="U284" s="112"/>
      <c r="V284" s="162"/>
      <c r="W284" s="112"/>
      <c r="X284" s="33"/>
      <c r="Y284" s="33"/>
      <c r="Z284" s="33"/>
      <c r="AB284" s="161"/>
      <c r="AC284" s="161"/>
      <c r="AI284" s="33"/>
      <c r="AJ284" s="33"/>
      <c r="AK284" s="33"/>
      <c r="AL284" s="33"/>
    </row>
    <row r="285" spans="4:38" s="474" customFormat="1" ht="12" customHeight="1">
      <c r="D285" s="33"/>
      <c r="E285" s="111"/>
      <c r="G285" s="111"/>
      <c r="H285" s="111"/>
      <c r="I285" s="112"/>
      <c r="J285" s="112"/>
      <c r="K285" s="111"/>
      <c r="L285" s="111"/>
      <c r="M285" s="162"/>
      <c r="N285" s="162"/>
      <c r="O285" s="112"/>
      <c r="P285" s="112"/>
      <c r="Q285" s="112"/>
      <c r="R285" s="112"/>
      <c r="S285" s="112"/>
      <c r="T285" s="112"/>
      <c r="U285" s="112"/>
      <c r="V285" s="162"/>
      <c r="W285" s="112"/>
      <c r="X285" s="33"/>
      <c r="Y285" s="33"/>
      <c r="Z285" s="33"/>
      <c r="AB285" s="161"/>
      <c r="AC285" s="161"/>
      <c r="AI285" s="33"/>
      <c r="AJ285" s="33"/>
      <c r="AK285" s="33"/>
      <c r="AL285" s="33"/>
    </row>
    <row r="286" spans="4:38" s="474" customFormat="1" ht="12" customHeight="1">
      <c r="D286" s="33"/>
      <c r="E286" s="111"/>
      <c r="G286" s="111"/>
      <c r="H286" s="111"/>
      <c r="I286" s="112"/>
      <c r="J286" s="112"/>
      <c r="K286" s="111"/>
      <c r="L286" s="111"/>
      <c r="M286" s="162"/>
      <c r="N286" s="162"/>
      <c r="O286" s="112"/>
      <c r="P286" s="112"/>
      <c r="Q286" s="112"/>
      <c r="R286" s="112"/>
      <c r="S286" s="112"/>
      <c r="T286" s="112"/>
      <c r="U286" s="112"/>
      <c r="V286" s="162"/>
      <c r="W286" s="112"/>
      <c r="X286" s="33"/>
      <c r="Y286" s="33"/>
      <c r="Z286" s="33"/>
      <c r="AB286" s="161"/>
      <c r="AC286" s="161"/>
      <c r="AI286" s="33"/>
      <c r="AJ286" s="33"/>
      <c r="AK286" s="33"/>
      <c r="AL286" s="33"/>
    </row>
    <row r="287" spans="4:38" s="474" customFormat="1" ht="12" customHeight="1">
      <c r="D287" s="33"/>
      <c r="E287" s="111"/>
      <c r="G287" s="111"/>
      <c r="H287" s="111"/>
      <c r="I287" s="112"/>
      <c r="J287" s="112"/>
      <c r="K287" s="111"/>
      <c r="L287" s="111"/>
      <c r="M287" s="162"/>
      <c r="N287" s="162"/>
      <c r="O287" s="112"/>
      <c r="P287" s="112"/>
      <c r="Q287" s="112"/>
      <c r="R287" s="112"/>
      <c r="S287" s="112"/>
      <c r="T287" s="112"/>
      <c r="U287" s="112"/>
      <c r="V287" s="162"/>
      <c r="W287" s="112"/>
      <c r="X287" s="33"/>
      <c r="Y287" s="33"/>
      <c r="Z287" s="33"/>
      <c r="AB287" s="161"/>
      <c r="AC287" s="161"/>
      <c r="AI287" s="33"/>
      <c r="AJ287" s="33"/>
      <c r="AK287" s="33"/>
      <c r="AL287" s="33"/>
    </row>
    <row r="288" spans="4:38" s="474" customFormat="1" ht="12" customHeight="1">
      <c r="D288" s="33"/>
      <c r="E288" s="111"/>
      <c r="G288" s="111"/>
      <c r="H288" s="111"/>
      <c r="I288" s="112"/>
      <c r="J288" s="112"/>
      <c r="K288" s="111"/>
      <c r="L288" s="111"/>
      <c r="M288" s="162"/>
      <c r="N288" s="162"/>
      <c r="O288" s="112"/>
      <c r="P288" s="112"/>
      <c r="Q288" s="112"/>
      <c r="R288" s="112"/>
      <c r="S288" s="112"/>
      <c r="T288" s="112"/>
      <c r="U288" s="112"/>
      <c r="V288" s="162"/>
      <c r="W288" s="112"/>
      <c r="X288" s="33"/>
      <c r="Y288" s="33"/>
      <c r="Z288" s="33"/>
      <c r="AB288" s="161"/>
      <c r="AC288" s="161"/>
      <c r="AI288" s="33"/>
      <c r="AJ288" s="33"/>
      <c r="AK288" s="33"/>
      <c r="AL288" s="33"/>
    </row>
    <row r="289" spans="4:38" s="474" customFormat="1" ht="12" customHeight="1">
      <c r="D289" s="33"/>
      <c r="E289" s="111"/>
      <c r="G289" s="111"/>
      <c r="H289" s="111"/>
      <c r="I289" s="112"/>
      <c r="J289" s="112"/>
      <c r="K289" s="111"/>
      <c r="L289" s="111"/>
      <c r="M289" s="162"/>
      <c r="N289" s="162"/>
      <c r="O289" s="112"/>
      <c r="P289" s="112"/>
      <c r="Q289" s="112"/>
      <c r="R289" s="112"/>
      <c r="S289" s="112"/>
      <c r="T289" s="112"/>
      <c r="U289" s="112"/>
      <c r="V289" s="162"/>
      <c r="W289" s="112"/>
      <c r="X289" s="33"/>
      <c r="Y289" s="33"/>
      <c r="Z289" s="33"/>
      <c r="AB289" s="161"/>
      <c r="AC289" s="161"/>
      <c r="AI289" s="33"/>
      <c r="AJ289" s="33"/>
      <c r="AK289" s="33"/>
      <c r="AL289" s="33"/>
    </row>
    <row r="290" spans="4:38" s="474" customFormat="1" ht="12" customHeight="1">
      <c r="D290" s="33"/>
      <c r="E290" s="111"/>
      <c r="G290" s="111"/>
      <c r="H290" s="111"/>
      <c r="I290" s="112"/>
      <c r="J290" s="112"/>
      <c r="K290" s="111"/>
      <c r="L290" s="111"/>
      <c r="M290" s="162"/>
      <c r="N290" s="162"/>
      <c r="O290" s="112"/>
      <c r="P290" s="112"/>
      <c r="Q290" s="112"/>
      <c r="R290" s="112"/>
      <c r="S290" s="112"/>
      <c r="T290" s="112"/>
      <c r="U290" s="112"/>
      <c r="V290" s="162"/>
      <c r="W290" s="112"/>
      <c r="X290" s="33"/>
      <c r="Y290" s="33"/>
      <c r="Z290" s="33"/>
      <c r="AB290" s="161"/>
      <c r="AC290" s="161"/>
      <c r="AI290" s="33"/>
      <c r="AJ290" s="33"/>
      <c r="AK290" s="33"/>
      <c r="AL290" s="33"/>
    </row>
    <row r="291" spans="4:38" s="474" customFormat="1" ht="12" customHeight="1">
      <c r="D291" s="33"/>
      <c r="E291" s="111"/>
      <c r="G291" s="111"/>
      <c r="H291" s="111"/>
      <c r="I291" s="112"/>
      <c r="J291" s="112"/>
      <c r="K291" s="111"/>
      <c r="L291" s="111"/>
      <c r="M291" s="162"/>
      <c r="N291" s="162"/>
      <c r="O291" s="112"/>
      <c r="P291" s="112"/>
      <c r="Q291" s="112"/>
      <c r="R291" s="112"/>
      <c r="S291" s="112"/>
      <c r="T291" s="112"/>
      <c r="U291" s="112"/>
      <c r="V291" s="162"/>
      <c r="W291" s="112"/>
      <c r="X291" s="33"/>
      <c r="Y291" s="33"/>
      <c r="Z291" s="33"/>
      <c r="AB291" s="161"/>
      <c r="AC291" s="161"/>
      <c r="AI291" s="33"/>
      <c r="AJ291" s="33"/>
      <c r="AK291" s="33"/>
      <c r="AL291" s="33"/>
    </row>
    <row r="292" spans="4:38" s="474" customFormat="1" ht="12" customHeight="1">
      <c r="D292" s="33"/>
      <c r="E292" s="111"/>
      <c r="G292" s="111"/>
      <c r="H292" s="111"/>
      <c r="I292" s="112"/>
      <c r="J292" s="112"/>
      <c r="K292" s="111"/>
      <c r="L292" s="111"/>
      <c r="M292" s="162"/>
      <c r="N292" s="162"/>
      <c r="O292" s="112"/>
      <c r="P292" s="112"/>
      <c r="Q292" s="112"/>
      <c r="R292" s="112"/>
      <c r="S292" s="112"/>
      <c r="T292" s="112"/>
      <c r="U292" s="112"/>
      <c r="V292" s="162"/>
      <c r="W292" s="112"/>
      <c r="X292" s="33"/>
      <c r="Y292" s="33"/>
      <c r="Z292" s="33"/>
      <c r="AB292" s="161"/>
      <c r="AC292" s="161"/>
      <c r="AI292" s="33"/>
      <c r="AJ292" s="33"/>
      <c r="AK292" s="33"/>
      <c r="AL292" s="33"/>
    </row>
    <row r="293" spans="4:38" s="474" customFormat="1" ht="12" customHeight="1">
      <c r="D293" s="33"/>
      <c r="E293" s="111"/>
      <c r="G293" s="111"/>
      <c r="H293" s="111"/>
      <c r="I293" s="112"/>
      <c r="J293" s="112"/>
      <c r="K293" s="111"/>
      <c r="L293" s="111"/>
      <c r="M293" s="162"/>
      <c r="N293" s="162"/>
      <c r="O293" s="112"/>
      <c r="P293" s="112"/>
      <c r="Q293" s="112"/>
      <c r="R293" s="112"/>
      <c r="S293" s="112"/>
      <c r="T293" s="112"/>
      <c r="U293" s="112"/>
      <c r="V293" s="162"/>
      <c r="W293" s="112"/>
      <c r="X293" s="33"/>
      <c r="Y293" s="33"/>
      <c r="Z293" s="33"/>
      <c r="AB293" s="161"/>
      <c r="AC293" s="161"/>
      <c r="AI293" s="33"/>
      <c r="AJ293" s="33"/>
      <c r="AK293" s="33"/>
      <c r="AL293" s="33"/>
    </row>
    <row r="294" spans="4:38" s="474" customFormat="1" ht="12" customHeight="1">
      <c r="D294" s="33"/>
      <c r="E294" s="111"/>
      <c r="G294" s="111"/>
      <c r="H294" s="111"/>
      <c r="I294" s="112"/>
      <c r="J294" s="112"/>
      <c r="K294" s="111"/>
      <c r="L294" s="111"/>
      <c r="M294" s="162"/>
      <c r="N294" s="162"/>
      <c r="O294" s="112"/>
      <c r="P294" s="112"/>
      <c r="Q294" s="112"/>
      <c r="R294" s="112"/>
      <c r="S294" s="112"/>
      <c r="T294" s="112"/>
      <c r="U294" s="112"/>
      <c r="V294" s="162"/>
      <c r="W294" s="112"/>
      <c r="X294" s="33"/>
      <c r="Y294" s="33"/>
      <c r="Z294" s="33"/>
      <c r="AB294" s="161"/>
      <c r="AC294" s="161"/>
      <c r="AI294" s="33"/>
      <c r="AJ294" s="33"/>
      <c r="AK294" s="33"/>
      <c r="AL294" s="33"/>
    </row>
    <row r="295" spans="4:38" s="474" customFormat="1" ht="12" customHeight="1">
      <c r="D295" s="33"/>
      <c r="E295" s="111"/>
      <c r="G295" s="111"/>
      <c r="H295" s="111"/>
      <c r="I295" s="112"/>
      <c r="J295" s="112"/>
      <c r="K295" s="111"/>
      <c r="L295" s="111"/>
      <c r="M295" s="162"/>
      <c r="N295" s="162"/>
      <c r="O295" s="112"/>
      <c r="P295" s="112"/>
      <c r="Q295" s="112"/>
      <c r="R295" s="112"/>
      <c r="S295" s="112"/>
      <c r="T295" s="112"/>
      <c r="U295" s="112"/>
      <c r="V295" s="162"/>
      <c r="W295" s="112"/>
      <c r="X295" s="33"/>
      <c r="Y295" s="33"/>
      <c r="Z295" s="33"/>
      <c r="AB295" s="161"/>
      <c r="AC295" s="161"/>
      <c r="AI295" s="33"/>
      <c r="AJ295" s="33"/>
      <c r="AK295" s="33"/>
      <c r="AL295" s="33"/>
    </row>
    <row r="296" spans="4:38" s="474" customFormat="1" ht="12" customHeight="1">
      <c r="D296" s="33"/>
      <c r="E296" s="111"/>
      <c r="G296" s="111"/>
      <c r="H296" s="111"/>
      <c r="I296" s="112"/>
      <c r="J296" s="112"/>
      <c r="K296" s="111"/>
      <c r="L296" s="111"/>
      <c r="M296" s="162"/>
      <c r="N296" s="162"/>
      <c r="O296" s="112"/>
      <c r="P296" s="112"/>
      <c r="Q296" s="112"/>
      <c r="R296" s="112"/>
      <c r="S296" s="112"/>
      <c r="T296" s="112"/>
      <c r="U296" s="112"/>
      <c r="V296" s="162"/>
      <c r="W296" s="112"/>
      <c r="X296" s="33"/>
      <c r="Y296" s="33"/>
      <c r="Z296" s="33"/>
      <c r="AB296" s="161"/>
      <c r="AC296" s="161"/>
      <c r="AI296" s="33"/>
      <c r="AJ296" s="33"/>
      <c r="AK296" s="33"/>
      <c r="AL296" s="33"/>
    </row>
    <row r="297" spans="4:38" s="474" customFormat="1" ht="12" customHeight="1">
      <c r="D297" s="33"/>
      <c r="E297" s="111"/>
      <c r="G297" s="111"/>
      <c r="H297" s="111"/>
      <c r="I297" s="112"/>
      <c r="J297" s="112"/>
      <c r="K297" s="111"/>
      <c r="L297" s="111"/>
      <c r="M297" s="162"/>
      <c r="N297" s="162"/>
      <c r="O297" s="112"/>
      <c r="P297" s="112"/>
      <c r="Q297" s="112"/>
      <c r="R297" s="112"/>
      <c r="S297" s="112"/>
      <c r="T297" s="112"/>
      <c r="U297" s="112"/>
      <c r="V297" s="162"/>
      <c r="W297" s="112"/>
      <c r="X297" s="33"/>
      <c r="Y297" s="33"/>
      <c r="Z297" s="33"/>
      <c r="AB297" s="161"/>
      <c r="AC297" s="161"/>
      <c r="AI297" s="33"/>
      <c r="AJ297" s="33"/>
      <c r="AK297" s="33"/>
      <c r="AL297" s="33"/>
    </row>
    <row r="298" spans="4:38" s="474" customFormat="1" ht="12" customHeight="1">
      <c r="D298" s="33"/>
      <c r="E298" s="111"/>
      <c r="G298" s="111"/>
      <c r="H298" s="111"/>
      <c r="I298" s="112"/>
      <c r="J298" s="112"/>
      <c r="K298" s="111"/>
      <c r="L298" s="111"/>
      <c r="M298" s="162"/>
      <c r="N298" s="162"/>
      <c r="O298" s="112"/>
      <c r="P298" s="112"/>
      <c r="Q298" s="112"/>
      <c r="R298" s="112"/>
      <c r="S298" s="112"/>
      <c r="T298" s="112"/>
      <c r="U298" s="112"/>
      <c r="V298" s="162"/>
      <c r="W298" s="112"/>
      <c r="X298" s="33"/>
      <c r="Y298" s="33"/>
      <c r="Z298" s="33"/>
      <c r="AB298" s="161"/>
      <c r="AC298" s="161"/>
      <c r="AI298" s="33"/>
      <c r="AJ298" s="33"/>
      <c r="AK298" s="33"/>
      <c r="AL298" s="33"/>
    </row>
    <row r="299" spans="4:38" s="474" customFormat="1" ht="12" customHeight="1">
      <c r="D299" s="33"/>
      <c r="E299" s="111"/>
      <c r="G299" s="111"/>
      <c r="H299" s="111"/>
      <c r="I299" s="112"/>
      <c r="J299" s="112"/>
      <c r="K299" s="111"/>
      <c r="L299" s="111"/>
      <c r="M299" s="162"/>
      <c r="N299" s="162"/>
      <c r="O299" s="112"/>
      <c r="P299" s="112"/>
      <c r="Q299" s="112"/>
      <c r="R299" s="112"/>
      <c r="S299" s="112"/>
      <c r="T299" s="112"/>
      <c r="U299" s="112"/>
      <c r="V299" s="162"/>
      <c r="W299" s="112"/>
      <c r="X299" s="33"/>
      <c r="Y299" s="33"/>
      <c r="Z299" s="33"/>
      <c r="AB299" s="161"/>
      <c r="AC299" s="161"/>
      <c r="AI299" s="33"/>
      <c r="AJ299" s="33"/>
      <c r="AK299" s="33"/>
      <c r="AL299" s="33"/>
    </row>
    <row r="300" spans="4:38" s="474" customFormat="1" ht="12" customHeight="1">
      <c r="D300" s="33"/>
      <c r="E300" s="111"/>
      <c r="G300" s="111"/>
      <c r="H300" s="111"/>
      <c r="I300" s="112"/>
      <c r="J300" s="112"/>
      <c r="K300" s="111"/>
      <c r="L300" s="111"/>
      <c r="M300" s="162"/>
      <c r="N300" s="162"/>
      <c r="O300" s="112"/>
      <c r="P300" s="112"/>
      <c r="Q300" s="112"/>
      <c r="R300" s="112"/>
      <c r="S300" s="112"/>
      <c r="T300" s="112"/>
      <c r="U300" s="112"/>
      <c r="V300" s="162"/>
      <c r="W300" s="112"/>
      <c r="X300" s="33"/>
      <c r="Y300" s="33"/>
      <c r="Z300" s="33"/>
      <c r="AB300" s="161"/>
      <c r="AC300" s="161"/>
      <c r="AI300" s="33"/>
      <c r="AJ300" s="33"/>
      <c r="AK300" s="33"/>
      <c r="AL300" s="33"/>
    </row>
    <row r="301" spans="4:38" s="474" customFormat="1" ht="12" customHeight="1">
      <c r="D301" s="33"/>
      <c r="E301" s="111"/>
      <c r="G301" s="111"/>
      <c r="H301" s="111"/>
      <c r="I301" s="112"/>
      <c r="J301" s="112"/>
      <c r="K301" s="111"/>
      <c r="L301" s="111"/>
      <c r="M301" s="162"/>
      <c r="N301" s="162"/>
      <c r="O301" s="112"/>
      <c r="P301" s="112"/>
      <c r="Q301" s="112"/>
      <c r="R301" s="112"/>
      <c r="S301" s="112"/>
      <c r="T301" s="112"/>
      <c r="U301" s="112"/>
      <c r="V301" s="162"/>
      <c r="W301" s="112"/>
      <c r="X301" s="33"/>
      <c r="Y301" s="33"/>
      <c r="Z301" s="33"/>
      <c r="AB301" s="161"/>
      <c r="AC301" s="161"/>
      <c r="AI301" s="33"/>
      <c r="AJ301" s="33"/>
      <c r="AK301" s="33"/>
      <c r="AL301" s="33"/>
    </row>
    <row r="302" spans="4:38" s="474" customFormat="1" ht="12" customHeight="1">
      <c r="D302" s="33"/>
      <c r="E302" s="111"/>
      <c r="G302" s="111"/>
      <c r="H302" s="111"/>
      <c r="I302" s="112"/>
      <c r="J302" s="112"/>
      <c r="K302" s="111"/>
      <c r="L302" s="111"/>
      <c r="M302" s="162"/>
      <c r="N302" s="162"/>
      <c r="O302" s="112"/>
      <c r="P302" s="112"/>
      <c r="Q302" s="112"/>
      <c r="R302" s="112"/>
      <c r="S302" s="112"/>
      <c r="T302" s="112"/>
      <c r="U302" s="112"/>
      <c r="V302" s="162"/>
      <c r="W302" s="112"/>
      <c r="X302" s="33"/>
      <c r="Y302" s="33"/>
      <c r="Z302" s="33"/>
      <c r="AB302" s="161"/>
      <c r="AC302" s="161"/>
      <c r="AI302" s="33"/>
      <c r="AJ302" s="33"/>
      <c r="AK302" s="33"/>
      <c r="AL302" s="33"/>
    </row>
    <row r="303" spans="4:38" s="474" customFormat="1" ht="12" customHeight="1">
      <c r="D303" s="33"/>
      <c r="E303" s="111"/>
      <c r="G303" s="111"/>
      <c r="H303" s="111"/>
      <c r="I303" s="112"/>
      <c r="J303" s="112"/>
      <c r="K303" s="111"/>
      <c r="L303" s="111"/>
      <c r="M303" s="162"/>
      <c r="N303" s="162"/>
      <c r="O303" s="112"/>
      <c r="P303" s="112"/>
      <c r="Q303" s="112"/>
      <c r="R303" s="112"/>
      <c r="S303" s="112"/>
      <c r="T303" s="112"/>
      <c r="U303" s="112"/>
      <c r="V303" s="162"/>
      <c r="W303" s="112"/>
      <c r="X303" s="33"/>
      <c r="Y303" s="33"/>
      <c r="Z303" s="33"/>
      <c r="AB303" s="161"/>
      <c r="AC303" s="161"/>
      <c r="AI303" s="33"/>
      <c r="AJ303" s="33"/>
      <c r="AK303" s="33"/>
      <c r="AL303" s="33"/>
    </row>
    <row r="304" spans="4:38" s="474" customFormat="1" ht="12" customHeight="1">
      <c r="D304" s="33"/>
      <c r="E304" s="111"/>
      <c r="G304" s="111"/>
      <c r="H304" s="111"/>
      <c r="I304" s="112"/>
      <c r="J304" s="112"/>
      <c r="K304" s="111"/>
      <c r="L304" s="111"/>
      <c r="M304" s="162"/>
      <c r="N304" s="162"/>
      <c r="O304" s="112"/>
      <c r="P304" s="112"/>
      <c r="Q304" s="112"/>
      <c r="R304" s="112"/>
      <c r="S304" s="112"/>
      <c r="T304" s="112"/>
      <c r="U304" s="112"/>
      <c r="V304" s="162"/>
      <c r="W304" s="112"/>
      <c r="X304" s="33"/>
      <c r="Y304" s="33"/>
      <c r="Z304" s="33"/>
      <c r="AB304" s="161"/>
      <c r="AC304" s="161"/>
      <c r="AI304" s="33"/>
      <c r="AJ304" s="33"/>
      <c r="AK304" s="33"/>
      <c r="AL304" s="33"/>
    </row>
    <row r="305" spans="4:38" s="474" customFormat="1" ht="12" customHeight="1">
      <c r="D305" s="33"/>
      <c r="E305" s="111"/>
      <c r="G305" s="111"/>
      <c r="H305" s="111"/>
      <c r="I305" s="112"/>
      <c r="J305" s="112"/>
      <c r="K305" s="111"/>
      <c r="L305" s="111"/>
      <c r="M305" s="162"/>
      <c r="N305" s="162"/>
      <c r="O305" s="112"/>
      <c r="P305" s="112"/>
      <c r="Q305" s="112"/>
      <c r="R305" s="112"/>
      <c r="S305" s="112"/>
      <c r="T305" s="112"/>
      <c r="U305" s="112"/>
      <c r="V305" s="162"/>
      <c r="W305" s="112"/>
      <c r="X305" s="33"/>
      <c r="Y305" s="33"/>
      <c r="Z305" s="33"/>
      <c r="AB305" s="161"/>
      <c r="AC305" s="161"/>
      <c r="AI305" s="33"/>
      <c r="AJ305" s="33"/>
      <c r="AK305" s="33"/>
      <c r="AL305" s="33"/>
    </row>
    <row r="306" spans="4:38" s="474" customFormat="1" ht="12" customHeight="1">
      <c r="D306" s="33"/>
      <c r="E306" s="111"/>
      <c r="G306" s="111"/>
      <c r="H306" s="111"/>
      <c r="I306" s="112"/>
      <c r="J306" s="112"/>
      <c r="K306" s="111"/>
      <c r="L306" s="111"/>
      <c r="M306" s="162"/>
      <c r="N306" s="162"/>
      <c r="O306" s="112"/>
      <c r="P306" s="112"/>
      <c r="Q306" s="112"/>
      <c r="R306" s="112"/>
      <c r="S306" s="112"/>
      <c r="T306" s="112"/>
      <c r="U306" s="112"/>
      <c r="V306" s="162"/>
      <c r="W306" s="112"/>
      <c r="X306" s="33"/>
      <c r="Y306" s="33"/>
      <c r="Z306" s="33"/>
      <c r="AB306" s="161"/>
      <c r="AC306" s="161"/>
      <c r="AI306" s="33"/>
      <c r="AJ306" s="33"/>
      <c r="AK306" s="33"/>
      <c r="AL306" s="33"/>
    </row>
    <row r="307" spans="4:38" s="474" customFormat="1" ht="12" customHeight="1">
      <c r="D307" s="33"/>
      <c r="E307" s="111"/>
      <c r="G307" s="111"/>
      <c r="H307" s="111"/>
      <c r="I307" s="112"/>
      <c r="J307" s="112"/>
      <c r="K307" s="111"/>
      <c r="L307" s="111"/>
      <c r="M307" s="162"/>
      <c r="N307" s="162"/>
      <c r="O307" s="112"/>
      <c r="P307" s="112"/>
      <c r="Q307" s="112"/>
      <c r="R307" s="112"/>
      <c r="S307" s="112"/>
      <c r="T307" s="112"/>
      <c r="U307" s="112"/>
      <c r="V307" s="162"/>
      <c r="W307" s="112"/>
      <c r="X307" s="33"/>
      <c r="Y307" s="33"/>
      <c r="Z307" s="33"/>
      <c r="AB307" s="161"/>
      <c r="AC307" s="161"/>
      <c r="AI307" s="33"/>
      <c r="AJ307" s="33"/>
      <c r="AK307" s="33"/>
      <c r="AL307" s="33"/>
    </row>
    <row r="308" spans="4:38" s="474" customFormat="1" ht="12" customHeight="1">
      <c r="D308" s="33"/>
      <c r="E308" s="111"/>
      <c r="G308" s="111"/>
      <c r="H308" s="111"/>
      <c r="I308" s="112"/>
      <c r="J308" s="112"/>
      <c r="K308" s="111"/>
      <c r="L308" s="111"/>
      <c r="M308" s="162"/>
      <c r="N308" s="162"/>
      <c r="O308" s="112"/>
      <c r="P308" s="112"/>
      <c r="Q308" s="112"/>
      <c r="R308" s="112"/>
      <c r="S308" s="112"/>
      <c r="T308" s="112"/>
      <c r="U308" s="112"/>
      <c r="V308" s="162"/>
      <c r="W308" s="112"/>
      <c r="X308" s="33"/>
      <c r="Y308" s="33"/>
      <c r="Z308" s="33"/>
      <c r="AB308" s="161"/>
      <c r="AC308" s="161"/>
      <c r="AI308" s="33"/>
      <c r="AJ308" s="33"/>
      <c r="AK308" s="33"/>
      <c r="AL308" s="33"/>
    </row>
    <row r="309" spans="4:38" s="474" customFormat="1" ht="12" customHeight="1">
      <c r="D309" s="33"/>
      <c r="E309" s="111"/>
      <c r="G309" s="111"/>
      <c r="H309" s="111"/>
      <c r="I309" s="112"/>
      <c r="J309" s="112"/>
      <c r="K309" s="111"/>
      <c r="L309" s="111"/>
      <c r="M309" s="162"/>
      <c r="N309" s="162"/>
      <c r="O309" s="112"/>
      <c r="P309" s="112"/>
      <c r="Q309" s="112"/>
      <c r="R309" s="112"/>
      <c r="S309" s="112"/>
      <c r="T309" s="112"/>
      <c r="U309" s="112"/>
      <c r="V309" s="162"/>
      <c r="W309" s="112"/>
      <c r="X309" s="33"/>
      <c r="Y309" s="33"/>
      <c r="Z309" s="33"/>
      <c r="AB309" s="161"/>
      <c r="AC309" s="161"/>
      <c r="AI309" s="33"/>
      <c r="AJ309" s="33"/>
      <c r="AK309" s="33"/>
      <c r="AL309" s="33"/>
    </row>
    <row r="310" spans="4:38" s="474" customFormat="1" ht="12" customHeight="1">
      <c r="D310" s="33"/>
      <c r="E310" s="111"/>
      <c r="G310" s="111"/>
      <c r="H310" s="111"/>
      <c r="I310" s="112"/>
      <c r="J310" s="112"/>
      <c r="K310" s="111"/>
      <c r="L310" s="111"/>
      <c r="M310" s="162"/>
      <c r="N310" s="162"/>
      <c r="O310" s="112"/>
      <c r="P310" s="112"/>
      <c r="Q310" s="112"/>
      <c r="R310" s="112"/>
      <c r="S310" s="112"/>
      <c r="T310" s="112"/>
      <c r="U310" s="112"/>
      <c r="V310" s="162"/>
      <c r="W310" s="112"/>
      <c r="X310" s="33"/>
      <c r="Y310" s="33"/>
      <c r="Z310" s="33"/>
      <c r="AB310" s="161"/>
      <c r="AC310" s="161"/>
      <c r="AI310" s="33"/>
      <c r="AJ310" s="33"/>
      <c r="AK310" s="33"/>
      <c r="AL310" s="33"/>
    </row>
    <row r="311" spans="4:38" s="474" customFormat="1" ht="12" customHeight="1">
      <c r="D311" s="33"/>
      <c r="E311" s="111"/>
      <c r="G311" s="111"/>
      <c r="H311" s="111"/>
      <c r="I311" s="112"/>
      <c r="J311" s="112"/>
      <c r="K311" s="111"/>
      <c r="L311" s="111"/>
      <c r="M311" s="162"/>
      <c r="N311" s="162"/>
      <c r="O311" s="112"/>
      <c r="P311" s="112"/>
      <c r="Q311" s="112"/>
      <c r="R311" s="112"/>
      <c r="S311" s="112"/>
      <c r="T311" s="112"/>
      <c r="U311" s="112"/>
      <c r="V311" s="162"/>
      <c r="W311" s="112"/>
      <c r="X311" s="33"/>
      <c r="Y311" s="33"/>
      <c r="Z311" s="33"/>
      <c r="AB311" s="161"/>
      <c r="AC311" s="161"/>
      <c r="AI311" s="33"/>
      <c r="AJ311" s="33"/>
      <c r="AK311" s="33"/>
      <c r="AL311" s="33"/>
    </row>
    <row r="312" spans="4:38" s="474" customFormat="1" ht="12" customHeight="1">
      <c r="D312" s="33"/>
      <c r="E312" s="111"/>
      <c r="G312" s="111"/>
      <c r="H312" s="111"/>
      <c r="I312" s="112"/>
      <c r="J312" s="112"/>
      <c r="K312" s="111"/>
      <c r="L312" s="111"/>
      <c r="M312" s="162"/>
      <c r="N312" s="162"/>
      <c r="O312" s="112"/>
      <c r="P312" s="112"/>
      <c r="Q312" s="112"/>
      <c r="R312" s="112"/>
      <c r="S312" s="112"/>
      <c r="T312" s="112"/>
      <c r="U312" s="112"/>
      <c r="V312" s="162"/>
      <c r="W312" s="112"/>
      <c r="X312" s="33"/>
      <c r="Y312" s="33"/>
      <c r="Z312" s="33"/>
      <c r="AB312" s="161"/>
      <c r="AC312" s="161"/>
      <c r="AI312" s="33"/>
      <c r="AJ312" s="33"/>
      <c r="AK312" s="33"/>
      <c r="AL312" s="33"/>
    </row>
    <row r="313" spans="4:38" s="474" customFormat="1" ht="12" customHeight="1">
      <c r="D313" s="33"/>
      <c r="E313" s="111"/>
      <c r="G313" s="111"/>
      <c r="H313" s="111"/>
      <c r="I313" s="112"/>
      <c r="J313" s="112"/>
      <c r="K313" s="111"/>
      <c r="L313" s="111"/>
      <c r="M313" s="162"/>
      <c r="N313" s="162"/>
      <c r="O313" s="112"/>
      <c r="P313" s="112"/>
      <c r="Q313" s="112"/>
      <c r="R313" s="112"/>
      <c r="S313" s="112"/>
      <c r="T313" s="112"/>
      <c r="U313" s="112"/>
      <c r="V313" s="162"/>
      <c r="W313" s="112"/>
      <c r="X313" s="33"/>
      <c r="Y313" s="33"/>
      <c r="Z313" s="33"/>
      <c r="AB313" s="161"/>
      <c r="AC313" s="161"/>
      <c r="AI313" s="33"/>
      <c r="AJ313" s="33"/>
      <c r="AK313" s="33"/>
      <c r="AL313" s="33"/>
    </row>
    <row r="314" spans="4:38" s="474" customFormat="1" ht="12" customHeight="1">
      <c r="D314" s="33"/>
      <c r="E314" s="111"/>
      <c r="G314" s="111"/>
      <c r="H314" s="111"/>
      <c r="I314" s="112"/>
      <c r="J314" s="112"/>
      <c r="K314" s="111"/>
      <c r="L314" s="111"/>
      <c r="M314" s="162"/>
      <c r="N314" s="162"/>
      <c r="O314" s="112"/>
      <c r="P314" s="112"/>
      <c r="Q314" s="112"/>
      <c r="R314" s="112"/>
      <c r="S314" s="112"/>
      <c r="T314" s="112"/>
      <c r="U314" s="112"/>
      <c r="V314" s="162"/>
      <c r="W314" s="112"/>
      <c r="X314" s="33"/>
      <c r="Y314" s="33"/>
      <c r="Z314" s="33"/>
      <c r="AB314" s="161"/>
      <c r="AC314" s="161"/>
      <c r="AI314" s="33"/>
      <c r="AJ314" s="33"/>
      <c r="AK314" s="33"/>
      <c r="AL314" s="33"/>
    </row>
    <row r="315" spans="4:38" s="474" customFormat="1" ht="12" customHeight="1">
      <c r="D315" s="33"/>
      <c r="E315" s="111"/>
      <c r="G315" s="111"/>
      <c r="H315" s="111"/>
      <c r="I315" s="112"/>
      <c r="J315" s="112"/>
      <c r="K315" s="111"/>
      <c r="L315" s="111"/>
      <c r="M315" s="162"/>
      <c r="N315" s="162"/>
      <c r="O315" s="112"/>
      <c r="P315" s="112"/>
      <c r="Q315" s="112"/>
      <c r="R315" s="112"/>
      <c r="S315" s="112"/>
      <c r="T315" s="112"/>
      <c r="U315" s="112"/>
      <c r="V315" s="162"/>
      <c r="W315" s="112"/>
      <c r="X315" s="33"/>
      <c r="Y315" s="33"/>
      <c r="Z315" s="33"/>
      <c r="AB315" s="161"/>
      <c r="AC315" s="161"/>
      <c r="AI315" s="33"/>
      <c r="AJ315" s="33"/>
      <c r="AK315" s="33"/>
      <c r="AL315" s="33"/>
    </row>
    <row r="316" spans="4:38" s="474" customFormat="1" ht="12" customHeight="1">
      <c r="D316" s="33"/>
      <c r="E316" s="111"/>
      <c r="G316" s="111"/>
      <c r="H316" s="111"/>
      <c r="I316" s="112"/>
      <c r="J316" s="112"/>
      <c r="K316" s="111"/>
      <c r="L316" s="111"/>
      <c r="M316" s="162"/>
      <c r="N316" s="162"/>
      <c r="O316" s="112"/>
      <c r="P316" s="112"/>
      <c r="Q316" s="112"/>
      <c r="R316" s="112"/>
      <c r="S316" s="112"/>
      <c r="T316" s="112"/>
      <c r="U316" s="112"/>
      <c r="V316" s="162"/>
      <c r="W316" s="112"/>
      <c r="X316" s="33"/>
      <c r="Y316" s="33"/>
      <c r="Z316" s="33"/>
      <c r="AB316" s="161"/>
      <c r="AC316" s="161"/>
      <c r="AI316" s="33"/>
      <c r="AJ316" s="33"/>
      <c r="AK316" s="33"/>
      <c r="AL316" s="33"/>
    </row>
    <row r="317" spans="4:38" s="474" customFormat="1" ht="12" customHeight="1">
      <c r="D317" s="33"/>
      <c r="E317" s="111"/>
      <c r="G317" s="111"/>
      <c r="H317" s="111"/>
      <c r="I317" s="112"/>
      <c r="J317" s="112"/>
      <c r="K317" s="111"/>
      <c r="L317" s="111"/>
      <c r="M317" s="162"/>
      <c r="N317" s="162"/>
      <c r="O317" s="112"/>
      <c r="P317" s="112"/>
      <c r="Q317" s="112"/>
      <c r="R317" s="112"/>
      <c r="S317" s="112"/>
      <c r="T317" s="112"/>
      <c r="U317" s="112"/>
      <c r="V317" s="162"/>
      <c r="W317" s="112"/>
      <c r="X317" s="33"/>
      <c r="Y317" s="33"/>
      <c r="Z317" s="33"/>
      <c r="AB317" s="161"/>
      <c r="AC317" s="161"/>
      <c r="AI317" s="33"/>
      <c r="AJ317" s="33"/>
      <c r="AK317" s="33"/>
      <c r="AL317" s="33"/>
    </row>
    <row r="318" spans="4:38" s="474" customFormat="1" ht="12" customHeight="1">
      <c r="D318" s="33"/>
      <c r="E318" s="111"/>
      <c r="G318" s="111"/>
      <c r="H318" s="111"/>
      <c r="I318" s="112"/>
      <c r="J318" s="112"/>
      <c r="K318" s="111"/>
      <c r="L318" s="111"/>
      <c r="M318" s="162"/>
      <c r="N318" s="162"/>
      <c r="O318" s="112"/>
      <c r="P318" s="112"/>
      <c r="Q318" s="112"/>
      <c r="R318" s="112"/>
      <c r="S318" s="112"/>
      <c r="T318" s="112"/>
      <c r="U318" s="112"/>
      <c r="V318" s="162"/>
      <c r="W318" s="112"/>
      <c r="X318" s="33"/>
      <c r="Y318" s="33"/>
      <c r="Z318" s="33"/>
      <c r="AB318" s="161"/>
      <c r="AC318" s="161"/>
      <c r="AI318" s="33"/>
      <c r="AJ318" s="33"/>
      <c r="AK318" s="33"/>
      <c r="AL318" s="33"/>
    </row>
    <row r="319" spans="4:38" s="474" customFormat="1" ht="12" customHeight="1">
      <c r="D319" s="33"/>
      <c r="E319" s="111"/>
      <c r="G319" s="111"/>
      <c r="H319" s="111"/>
      <c r="I319" s="112"/>
      <c r="J319" s="112"/>
      <c r="K319" s="111"/>
      <c r="L319" s="111"/>
      <c r="M319" s="162"/>
      <c r="N319" s="162"/>
      <c r="O319" s="112"/>
      <c r="P319" s="112"/>
      <c r="Q319" s="112"/>
      <c r="R319" s="112"/>
      <c r="S319" s="112"/>
      <c r="T319" s="112"/>
      <c r="U319" s="112"/>
      <c r="V319" s="162"/>
      <c r="W319" s="112"/>
      <c r="X319" s="33"/>
      <c r="Y319" s="33"/>
      <c r="Z319" s="33"/>
      <c r="AB319" s="161"/>
      <c r="AC319" s="161"/>
      <c r="AI319" s="33"/>
      <c r="AJ319" s="33"/>
      <c r="AK319" s="33"/>
      <c r="AL319" s="33"/>
    </row>
    <row r="320" spans="4:38" s="474" customFormat="1" ht="12" customHeight="1">
      <c r="D320" s="33"/>
      <c r="E320" s="111"/>
      <c r="G320" s="111"/>
      <c r="H320" s="111"/>
      <c r="I320" s="112"/>
      <c r="J320" s="112"/>
      <c r="K320" s="111"/>
      <c r="L320" s="111"/>
      <c r="M320" s="162"/>
      <c r="N320" s="162"/>
      <c r="O320" s="112"/>
      <c r="P320" s="112"/>
      <c r="Q320" s="112"/>
      <c r="R320" s="112"/>
      <c r="S320" s="112"/>
      <c r="T320" s="112"/>
      <c r="U320" s="112"/>
      <c r="V320" s="162"/>
      <c r="W320" s="112"/>
      <c r="X320" s="33"/>
      <c r="Y320" s="33"/>
      <c r="Z320" s="33"/>
      <c r="AB320" s="161"/>
      <c r="AC320" s="161"/>
      <c r="AI320" s="33"/>
      <c r="AJ320" s="33"/>
      <c r="AK320" s="33"/>
      <c r="AL320" s="33"/>
    </row>
    <row r="321" spans="4:38" s="474" customFormat="1" ht="12" customHeight="1">
      <c r="D321" s="33"/>
      <c r="E321" s="111"/>
      <c r="G321" s="111"/>
      <c r="H321" s="111"/>
      <c r="I321" s="112"/>
      <c r="J321" s="112"/>
      <c r="K321" s="111"/>
      <c r="L321" s="111"/>
      <c r="M321" s="162"/>
      <c r="N321" s="162"/>
      <c r="O321" s="112"/>
      <c r="P321" s="112"/>
      <c r="Q321" s="112"/>
      <c r="R321" s="112"/>
      <c r="S321" s="112"/>
      <c r="T321" s="112"/>
      <c r="U321" s="112"/>
      <c r="V321" s="162"/>
      <c r="W321" s="112"/>
      <c r="X321" s="33"/>
      <c r="Y321" s="33"/>
      <c r="Z321" s="33"/>
      <c r="AB321" s="161"/>
      <c r="AC321" s="161"/>
      <c r="AI321" s="33"/>
      <c r="AJ321" s="33"/>
      <c r="AK321" s="33"/>
      <c r="AL321" s="33"/>
    </row>
    <row r="322" spans="4:38" s="474" customFormat="1" ht="12" customHeight="1">
      <c r="D322" s="33"/>
      <c r="E322" s="111"/>
      <c r="G322" s="111"/>
      <c r="H322" s="111"/>
      <c r="I322" s="112"/>
      <c r="J322" s="112"/>
      <c r="K322" s="111"/>
      <c r="L322" s="111"/>
      <c r="M322" s="162"/>
      <c r="N322" s="162"/>
      <c r="O322" s="112"/>
      <c r="P322" s="112"/>
      <c r="Q322" s="112"/>
      <c r="R322" s="112"/>
      <c r="S322" s="112"/>
      <c r="T322" s="112"/>
      <c r="U322" s="112"/>
      <c r="V322" s="162"/>
      <c r="W322" s="112"/>
      <c r="X322" s="33"/>
      <c r="Y322" s="33"/>
      <c r="Z322" s="33"/>
      <c r="AB322" s="161"/>
      <c r="AC322" s="161"/>
      <c r="AI322" s="33"/>
      <c r="AJ322" s="33"/>
      <c r="AK322" s="33"/>
      <c r="AL322" s="33"/>
    </row>
    <row r="323" spans="4:38" s="474" customFormat="1" ht="12" customHeight="1">
      <c r="D323" s="33"/>
      <c r="E323" s="111"/>
      <c r="G323" s="111"/>
      <c r="H323" s="111"/>
      <c r="I323" s="112"/>
      <c r="J323" s="112"/>
      <c r="K323" s="111"/>
      <c r="L323" s="111"/>
      <c r="M323" s="162"/>
      <c r="N323" s="162"/>
      <c r="O323" s="112"/>
      <c r="P323" s="112"/>
      <c r="Q323" s="112"/>
      <c r="R323" s="112"/>
      <c r="S323" s="112"/>
      <c r="T323" s="112"/>
      <c r="U323" s="112"/>
      <c r="V323" s="162"/>
      <c r="W323" s="112"/>
      <c r="X323" s="33"/>
      <c r="Y323" s="33"/>
      <c r="Z323" s="33"/>
      <c r="AB323" s="161"/>
      <c r="AC323" s="161"/>
      <c r="AI323" s="33"/>
      <c r="AJ323" s="33"/>
      <c r="AK323" s="33"/>
      <c r="AL323" s="33"/>
    </row>
    <row r="324" spans="4:38" s="474" customFormat="1" ht="12" customHeight="1">
      <c r="D324" s="33"/>
      <c r="E324" s="111"/>
      <c r="G324" s="111"/>
      <c r="H324" s="111"/>
      <c r="I324" s="112"/>
      <c r="J324" s="112"/>
      <c r="K324" s="111"/>
      <c r="L324" s="111"/>
      <c r="M324" s="162"/>
      <c r="N324" s="162"/>
      <c r="O324" s="112"/>
      <c r="P324" s="112"/>
      <c r="Q324" s="112"/>
      <c r="R324" s="112"/>
      <c r="S324" s="112"/>
      <c r="T324" s="112"/>
      <c r="U324" s="112"/>
      <c r="V324" s="162"/>
      <c r="W324" s="112"/>
      <c r="X324" s="33"/>
      <c r="Y324" s="33"/>
      <c r="Z324" s="33"/>
      <c r="AB324" s="161"/>
      <c r="AC324" s="161"/>
      <c r="AI324" s="33"/>
      <c r="AJ324" s="33"/>
      <c r="AK324" s="33"/>
      <c r="AL324" s="33"/>
    </row>
    <row r="325" spans="4:38" s="474" customFormat="1" ht="12" customHeight="1">
      <c r="D325" s="33"/>
      <c r="E325" s="111"/>
      <c r="G325" s="111"/>
      <c r="H325" s="111"/>
      <c r="I325" s="112"/>
      <c r="J325" s="112"/>
      <c r="K325" s="111"/>
      <c r="L325" s="111"/>
      <c r="M325" s="162"/>
      <c r="N325" s="162"/>
      <c r="O325" s="112"/>
      <c r="P325" s="112"/>
      <c r="Q325" s="112"/>
      <c r="R325" s="112"/>
      <c r="S325" s="112"/>
      <c r="T325" s="112"/>
      <c r="U325" s="112"/>
      <c r="V325" s="162"/>
      <c r="W325" s="112"/>
      <c r="X325" s="33"/>
      <c r="Y325" s="33"/>
      <c r="Z325" s="33"/>
      <c r="AB325" s="161"/>
      <c r="AC325" s="161"/>
      <c r="AI325" s="33"/>
      <c r="AJ325" s="33"/>
      <c r="AK325" s="33"/>
      <c r="AL325" s="33"/>
    </row>
    <row r="326" spans="4:38" s="474" customFormat="1" ht="12" customHeight="1">
      <c r="D326" s="33"/>
      <c r="E326" s="111"/>
      <c r="G326" s="111"/>
      <c r="H326" s="111"/>
      <c r="I326" s="112"/>
      <c r="J326" s="112"/>
      <c r="K326" s="111"/>
      <c r="L326" s="111"/>
      <c r="M326" s="162"/>
      <c r="N326" s="162"/>
      <c r="O326" s="112"/>
      <c r="P326" s="112"/>
      <c r="Q326" s="112"/>
      <c r="R326" s="112"/>
      <c r="S326" s="112"/>
      <c r="T326" s="112"/>
      <c r="U326" s="112"/>
      <c r="V326" s="162"/>
      <c r="W326" s="112"/>
      <c r="X326" s="33"/>
      <c r="Y326" s="33"/>
      <c r="Z326" s="33"/>
      <c r="AB326" s="161"/>
      <c r="AC326" s="161"/>
      <c r="AI326" s="33"/>
      <c r="AJ326" s="33"/>
      <c r="AK326" s="33"/>
      <c r="AL326" s="33"/>
    </row>
    <row r="327" spans="4:38" s="474" customFormat="1" ht="12" customHeight="1">
      <c r="D327" s="33"/>
      <c r="E327" s="111"/>
      <c r="G327" s="111"/>
      <c r="H327" s="111"/>
      <c r="I327" s="112"/>
      <c r="J327" s="112"/>
      <c r="K327" s="111"/>
      <c r="L327" s="111"/>
      <c r="M327" s="162"/>
      <c r="N327" s="162"/>
      <c r="O327" s="112"/>
      <c r="P327" s="112"/>
      <c r="Q327" s="112"/>
      <c r="R327" s="112"/>
      <c r="S327" s="112"/>
      <c r="T327" s="112"/>
      <c r="U327" s="112"/>
      <c r="V327" s="162"/>
      <c r="W327" s="112"/>
      <c r="X327" s="33"/>
      <c r="Y327" s="33"/>
      <c r="Z327" s="33"/>
      <c r="AB327" s="161"/>
      <c r="AC327" s="161"/>
      <c r="AI327" s="33"/>
      <c r="AJ327" s="33"/>
      <c r="AK327" s="33"/>
      <c r="AL327" s="33"/>
    </row>
    <row r="328" spans="4:38" s="474" customFormat="1" ht="12" customHeight="1">
      <c r="D328" s="33"/>
      <c r="E328" s="111"/>
      <c r="G328" s="111"/>
      <c r="H328" s="111"/>
      <c r="I328" s="112"/>
      <c r="J328" s="112"/>
      <c r="K328" s="111"/>
      <c r="L328" s="111"/>
      <c r="M328" s="162"/>
      <c r="N328" s="162"/>
      <c r="O328" s="112"/>
      <c r="P328" s="112"/>
      <c r="Q328" s="112"/>
      <c r="R328" s="112"/>
      <c r="S328" s="112"/>
      <c r="T328" s="112"/>
      <c r="U328" s="112"/>
      <c r="V328" s="162"/>
      <c r="W328" s="112"/>
      <c r="X328" s="33"/>
      <c r="Y328" s="33"/>
      <c r="Z328" s="33"/>
      <c r="AB328" s="161"/>
      <c r="AC328" s="161"/>
      <c r="AI328" s="33"/>
      <c r="AJ328" s="33"/>
      <c r="AK328" s="33"/>
      <c r="AL328" s="33"/>
    </row>
    <row r="329" spans="4:38" s="474" customFormat="1" ht="12" customHeight="1">
      <c r="D329" s="33"/>
      <c r="E329" s="111"/>
      <c r="G329" s="111"/>
      <c r="H329" s="111"/>
      <c r="I329" s="112"/>
      <c r="J329" s="112"/>
      <c r="K329" s="111"/>
      <c r="L329" s="111"/>
      <c r="M329" s="162"/>
      <c r="N329" s="162"/>
      <c r="O329" s="112"/>
      <c r="P329" s="112"/>
      <c r="Q329" s="112"/>
      <c r="R329" s="112"/>
      <c r="S329" s="112"/>
      <c r="T329" s="112"/>
      <c r="U329" s="112"/>
      <c r="V329" s="162"/>
      <c r="W329" s="112"/>
      <c r="X329" s="33"/>
      <c r="Y329" s="33"/>
      <c r="Z329" s="33"/>
      <c r="AB329" s="161"/>
      <c r="AC329" s="161"/>
      <c r="AI329" s="33"/>
      <c r="AJ329" s="33"/>
      <c r="AK329" s="33"/>
      <c r="AL329" s="33"/>
    </row>
    <row r="330" spans="4:38" s="474" customFormat="1" ht="12" customHeight="1">
      <c r="D330" s="33"/>
      <c r="E330" s="111"/>
      <c r="G330" s="111"/>
      <c r="H330" s="111"/>
      <c r="I330" s="112"/>
      <c r="J330" s="112"/>
      <c r="K330" s="111"/>
      <c r="L330" s="111"/>
      <c r="M330" s="162"/>
      <c r="N330" s="162"/>
      <c r="O330" s="112"/>
      <c r="P330" s="112"/>
      <c r="Q330" s="112"/>
      <c r="R330" s="112"/>
      <c r="S330" s="112"/>
      <c r="T330" s="112"/>
      <c r="U330" s="112"/>
      <c r="V330" s="162"/>
      <c r="W330" s="112"/>
      <c r="X330" s="33"/>
      <c r="Y330" s="33"/>
      <c r="Z330" s="33"/>
      <c r="AB330" s="161"/>
      <c r="AC330" s="161"/>
      <c r="AI330" s="33"/>
      <c r="AJ330" s="33"/>
      <c r="AK330" s="33"/>
      <c r="AL330" s="33"/>
    </row>
    <row r="331" spans="4:38" s="474" customFormat="1" ht="12" customHeight="1">
      <c r="D331" s="33"/>
      <c r="E331" s="111"/>
      <c r="G331" s="111"/>
      <c r="H331" s="111"/>
      <c r="I331" s="112"/>
      <c r="J331" s="112"/>
      <c r="K331" s="111"/>
      <c r="L331" s="111"/>
      <c r="M331" s="162"/>
      <c r="N331" s="162"/>
      <c r="O331" s="112"/>
      <c r="P331" s="112"/>
      <c r="Q331" s="112"/>
      <c r="R331" s="112"/>
      <c r="S331" s="112"/>
      <c r="T331" s="112"/>
      <c r="U331" s="112"/>
      <c r="V331" s="162"/>
      <c r="W331" s="112"/>
      <c r="X331" s="33"/>
      <c r="Y331" s="33"/>
      <c r="Z331" s="33"/>
      <c r="AB331" s="161"/>
      <c r="AC331" s="161"/>
      <c r="AI331" s="33"/>
      <c r="AJ331" s="33"/>
      <c r="AK331" s="33"/>
      <c r="AL331" s="33"/>
    </row>
    <row r="332" spans="4:38" s="474" customFormat="1" ht="12" customHeight="1">
      <c r="D332" s="33"/>
      <c r="E332" s="111"/>
      <c r="G332" s="111"/>
      <c r="H332" s="111"/>
      <c r="I332" s="112"/>
      <c r="J332" s="112"/>
      <c r="K332" s="111"/>
      <c r="L332" s="111"/>
      <c r="M332" s="162"/>
      <c r="N332" s="162"/>
      <c r="O332" s="112"/>
      <c r="P332" s="112"/>
      <c r="Q332" s="112"/>
      <c r="R332" s="112"/>
      <c r="S332" s="112"/>
      <c r="T332" s="112"/>
      <c r="U332" s="112"/>
      <c r="V332" s="162"/>
      <c r="W332" s="112"/>
      <c r="X332" s="33"/>
      <c r="Y332" s="33"/>
      <c r="Z332" s="33"/>
      <c r="AB332" s="161"/>
      <c r="AC332" s="161"/>
      <c r="AI332" s="33"/>
      <c r="AJ332" s="33"/>
      <c r="AK332" s="33"/>
      <c r="AL332" s="33"/>
    </row>
    <row r="333" spans="4:38" s="474" customFormat="1" ht="12" customHeight="1">
      <c r="D333" s="33"/>
      <c r="E333" s="111"/>
      <c r="G333" s="111"/>
      <c r="H333" s="111"/>
      <c r="I333" s="112"/>
      <c r="J333" s="112"/>
      <c r="K333" s="111"/>
      <c r="L333" s="111"/>
      <c r="M333" s="162"/>
      <c r="N333" s="162"/>
      <c r="O333" s="112"/>
      <c r="P333" s="112"/>
      <c r="Q333" s="112"/>
      <c r="R333" s="112"/>
      <c r="S333" s="112"/>
      <c r="T333" s="112"/>
      <c r="U333" s="112"/>
      <c r="V333" s="162"/>
      <c r="W333" s="112"/>
      <c r="X333" s="33"/>
      <c r="Y333" s="33"/>
      <c r="Z333" s="33"/>
      <c r="AB333" s="161"/>
      <c r="AC333" s="161"/>
      <c r="AI333" s="33"/>
      <c r="AJ333" s="33"/>
      <c r="AK333" s="33"/>
      <c r="AL333" s="33"/>
    </row>
    <row r="334" spans="4:38" s="474" customFormat="1" ht="12" customHeight="1">
      <c r="D334" s="33"/>
      <c r="E334" s="111"/>
      <c r="G334" s="111"/>
      <c r="H334" s="111"/>
      <c r="I334" s="112"/>
      <c r="J334" s="112"/>
      <c r="K334" s="111"/>
      <c r="L334" s="111"/>
      <c r="M334" s="162"/>
      <c r="N334" s="162"/>
      <c r="O334" s="112"/>
      <c r="P334" s="112"/>
      <c r="Q334" s="112"/>
      <c r="R334" s="112"/>
      <c r="S334" s="112"/>
      <c r="T334" s="112"/>
      <c r="U334" s="112"/>
      <c r="V334" s="162"/>
      <c r="W334" s="112"/>
      <c r="X334" s="33"/>
      <c r="Y334" s="33"/>
      <c r="Z334" s="33"/>
      <c r="AB334" s="161"/>
      <c r="AC334" s="161"/>
      <c r="AI334" s="33"/>
      <c r="AJ334" s="33"/>
      <c r="AK334" s="33"/>
      <c r="AL334" s="33"/>
    </row>
    <row r="335" spans="4:38" s="474" customFormat="1" ht="12" customHeight="1">
      <c r="D335" s="33"/>
      <c r="E335" s="111"/>
      <c r="G335" s="111"/>
      <c r="H335" s="111"/>
      <c r="I335" s="112"/>
      <c r="J335" s="112"/>
      <c r="K335" s="111"/>
      <c r="L335" s="111"/>
      <c r="M335" s="162"/>
      <c r="N335" s="162"/>
      <c r="O335" s="112"/>
      <c r="P335" s="112"/>
      <c r="Q335" s="112"/>
      <c r="R335" s="112"/>
      <c r="S335" s="112"/>
      <c r="T335" s="112"/>
      <c r="U335" s="112"/>
      <c r="V335" s="162"/>
      <c r="W335" s="112"/>
      <c r="X335" s="33"/>
      <c r="Y335" s="33"/>
      <c r="Z335" s="33"/>
      <c r="AB335" s="161"/>
      <c r="AC335" s="161"/>
      <c r="AI335" s="33"/>
      <c r="AJ335" s="33"/>
      <c r="AK335" s="33"/>
      <c r="AL335" s="33"/>
    </row>
    <row r="336" spans="4:38" s="474" customFormat="1" ht="12" customHeight="1">
      <c r="D336" s="33"/>
      <c r="E336" s="111"/>
      <c r="G336" s="111"/>
      <c r="H336" s="111"/>
      <c r="I336" s="112"/>
      <c r="J336" s="112"/>
      <c r="K336" s="111"/>
      <c r="L336" s="111"/>
      <c r="M336" s="162"/>
      <c r="N336" s="162"/>
      <c r="O336" s="112"/>
      <c r="P336" s="112"/>
      <c r="Q336" s="112"/>
      <c r="R336" s="112"/>
      <c r="S336" s="112"/>
      <c r="T336" s="112"/>
      <c r="U336" s="112"/>
      <c r="V336" s="162"/>
      <c r="W336" s="112"/>
      <c r="X336" s="33"/>
      <c r="Y336" s="33"/>
      <c r="Z336" s="33"/>
      <c r="AB336" s="161"/>
      <c r="AC336" s="161"/>
      <c r="AI336" s="33"/>
      <c r="AJ336" s="33"/>
      <c r="AK336" s="33"/>
      <c r="AL336" s="33"/>
    </row>
    <row r="337" spans="4:38" s="474" customFormat="1" ht="12" customHeight="1">
      <c r="D337" s="33"/>
      <c r="E337" s="111"/>
      <c r="G337" s="111"/>
      <c r="H337" s="111"/>
      <c r="I337" s="112"/>
      <c r="J337" s="112"/>
      <c r="K337" s="111"/>
      <c r="L337" s="111"/>
      <c r="M337" s="162"/>
      <c r="N337" s="162"/>
      <c r="O337" s="112"/>
      <c r="P337" s="112"/>
      <c r="Q337" s="112"/>
      <c r="R337" s="112"/>
      <c r="S337" s="112"/>
      <c r="T337" s="112"/>
      <c r="U337" s="112"/>
      <c r="V337" s="162"/>
      <c r="W337" s="112"/>
      <c r="X337" s="33"/>
      <c r="Y337" s="33"/>
      <c r="Z337" s="33"/>
      <c r="AB337" s="161"/>
      <c r="AC337" s="161"/>
      <c r="AI337" s="33"/>
      <c r="AJ337" s="33"/>
      <c r="AK337" s="33"/>
      <c r="AL337" s="33"/>
    </row>
    <row r="338" spans="4:38" s="474" customFormat="1" ht="12" customHeight="1">
      <c r="D338" s="33"/>
      <c r="E338" s="111"/>
      <c r="G338" s="111"/>
      <c r="H338" s="111"/>
      <c r="I338" s="112"/>
      <c r="J338" s="112"/>
      <c r="K338" s="111"/>
      <c r="L338" s="111"/>
      <c r="M338" s="162"/>
      <c r="N338" s="162"/>
      <c r="O338" s="112"/>
      <c r="P338" s="112"/>
      <c r="Q338" s="112"/>
      <c r="R338" s="112"/>
      <c r="S338" s="112"/>
      <c r="T338" s="112"/>
      <c r="U338" s="112"/>
      <c r="V338" s="162"/>
      <c r="W338" s="112"/>
      <c r="X338" s="33"/>
      <c r="Y338" s="33"/>
      <c r="Z338" s="33"/>
      <c r="AB338" s="161"/>
      <c r="AC338" s="161"/>
      <c r="AI338" s="33"/>
      <c r="AJ338" s="33"/>
      <c r="AK338" s="33"/>
      <c r="AL338" s="33"/>
    </row>
    <row r="339" spans="4:38" s="474" customFormat="1" ht="12" customHeight="1">
      <c r="D339" s="33"/>
      <c r="E339" s="111"/>
      <c r="G339" s="111"/>
      <c r="H339" s="111"/>
      <c r="I339" s="112"/>
      <c r="J339" s="112"/>
      <c r="K339" s="111"/>
      <c r="L339" s="111"/>
      <c r="M339" s="162"/>
      <c r="N339" s="162"/>
      <c r="O339" s="112"/>
      <c r="P339" s="112"/>
      <c r="Q339" s="112"/>
      <c r="R339" s="112"/>
      <c r="S339" s="112"/>
      <c r="T339" s="112"/>
      <c r="U339" s="112"/>
      <c r="V339" s="162"/>
      <c r="W339" s="112"/>
      <c r="X339" s="33"/>
      <c r="Y339" s="33"/>
      <c r="Z339" s="33"/>
      <c r="AB339" s="161"/>
      <c r="AC339" s="161"/>
      <c r="AI339" s="33"/>
      <c r="AJ339" s="33"/>
      <c r="AK339" s="33"/>
      <c r="AL339" s="33"/>
    </row>
    <row r="340" spans="4:38" s="474" customFormat="1" ht="12" customHeight="1">
      <c r="D340" s="33"/>
      <c r="E340" s="111"/>
      <c r="G340" s="111"/>
      <c r="H340" s="111"/>
      <c r="I340" s="112"/>
      <c r="J340" s="112"/>
      <c r="K340" s="111"/>
      <c r="L340" s="111"/>
      <c r="M340" s="162"/>
      <c r="N340" s="162"/>
      <c r="O340" s="112"/>
      <c r="P340" s="112"/>
      <c r="Q340" s="112"/>
      <c r="R340" s="112"/>
      <c r="S340" s="112"/>
      <c r="T340" s="112"/>
      <c r="U340" s="112"/>
      <c r="V340" s="162"/>
      <c r="W340" s="112"/>
      <c r="X340" s="33"/>
      <c r="Y340" s="33"/>
      <c r="Z340" s="33"/>
      <c r="AB340" s="161"/>
      <c r="AC340" s="161"/>
      <c r="AI340" s="33"/>
      <c r="AJ340" s="33"/>
      <c r="AK340" s="33"/>
      <c r="AL340" s="33"/>
    </row>
    <row r="341" spans="4:38" s="474" customFormat="1" ht="12" customHeight="1">
      <c r="D341" s="33"/>
      <c r="E341" s="111"/>
      <c r="G341" s="111"/>
      <c r="H341" s="111"/>
      <c r="I341" s="112"/>
      <c r="J341" s="112"/>
      <c r="K341" s="111"/>
      <c r="L341" s="111"/>
      <c r="M341" s="162"/>
      <c r="N341" s="162"/>
      <c r="O341" s="112"/>
      <c r="P341" s="112"/>
      <c r="Q341" s="112"/>
      <c r="R341" s="112"/>
      <c r="S341" s="112"/>
      <c r="T341" s="112"/>
      <c r="U341" s="112"/>
      <c r="V341" s="162"/>
      <c r="W341" s="112"/>
      <c r="X341" s="33"/>
      <c r="Y341" s="33"/>
      <c r="Z341" s="33"/>
      <c r="AB341" s="161"/>
      <c r="AC341" s="161"/>
      <c r="AI341" s="33"/>
      <c r="AJ341" s="33"/>
      <c r="AK341" s="33"/>
      <c r="AL341" s="33"/>
    </row>
    <row r="342" spans="4:38" s="474" customFormat="1" ht="12" customHeight="1">
      <c r="D342" s="33"/>
      <c r="E342" s="111"/>
      <c r="G342" s="111"/>
      <c r="H342" s="111"/>
      <c r="I342" s="112"/>
      <c r="J342" s="112"/>
      <c r="K342" s="111"/>
      <c r="L342" s="111"/>
      <c r="M342" s="162"/>
      <c r="N342" s="162"/>
      <c r="O342" s="112"/>
      <c r="P342" s="112"/>
      <c r="Q342" s="112"/>
      <c r="R342" s="112"/>
      <c r="S342" s="112"/>
      <c r="T342" s="112"/>
      <c r="U342" s="112"/>
      <c r="V342" s="162"/>
      <c r="W342" s="112"/>
      <c r="X342" s="33"/>
      <c r="Y342" s="33"/>
      <c r="Z342" s="33"/>
      <c r="AB342" s="161"/>
      <c r="AC342" s="161"/>
      <c r="AI342" s="33"/>
      <c r="AJ342" s="33"/>
      <c r="AK342" s="33"/>
      <c r="AL342" s="33"/>
    </row>
    <row r="343" spans="4:38" s="474" customFormat="1" ht="12" customHeight="1">
      <c r="D343" s="33"/>
      <c r="E343" s="111"/>
      <c r="G343" s="111"/>
      <c r="H343" s="111"/>
      <c r="I343" s="112"/>
      <c r="J343" s="112"/>
      <c r="K343" s="111"/>
      <c r="L343" s="111"/>
      <c r="M343" s="162"/>
      <c r="N343" s="162"/>
      <c r="O343" s="112"/>
      <c r="P343" s="112"/>
      <c r="Q343" s="112"/>
      <c r="R343" s="112"/>
      <c r="S343" s="112"/>
      <c r="T343" s="112"/>
      <c r="U343" s="112"/>
      <c r="V343" s="162"/>
      <c r="W343" s="112"/>
      <c r="X343" s="33"/>
      <c r="Y343" s="33"/>
      <c r="Z343" s="33"/>
      <c r="AB343" s="161"/>
      <c r="AC343" s="161"/>
      <c r="AI343" s="33"/>
      <c r="AJ343" s="33"/>
      <c r="AK343" s="33"/>
      <c r="AL343" s="33"/>
    </row>
    <row r="344" spans="4:38" s="474" customFormat="1" ht="12" customHeight="1">
      <c r="D344" s="33"/>
      <c r="E344" s="111"/>
      <c r="G344" s="111"/>
      <c r="H344" s="111"/>
      <c r="I344" s="112"/>
      <c r="J344" s="112"/>
      <c r="K344" s="111"/>
      <c r="L344" s="111"/>
      <c r="M344" s="162"/>
      <c r="N344" s="162"/>
      <c r="O344" s="112"/>
      <c r="P344" s="112"/>
      <c r="Q344" s="112"/>
      <c r="R344" s="112"/>
      <c r="S344" s="112"/>
      <c r="T344" s="112"/>
      <c r="U344" s="112"/>
      <c r="V344" s="162"/>
      <c r="W344" s="112"/>
      <c r="X344" s="33"/>
      <c r="Y344" s="33"/>
      <c r="Z344" s="33"/>
      <c r="AB344" s="161"/>
      <c r="AC344" s="161"/>
      <c r="AI344" s="33"/>
      <c r="AJ344" s="33"/>
      <c r="AK344" s="33"/>
      <c r="AL344" s="33"/>
    </row>
    <row r="345" spans="4:38" s="474" customFormat="1" ht="12" customHeight="1">
      <c r="D345" s="33"/>
      <c r="E345" s="111"/>
      <c r="G345" s="111"/>
      <c r="H345" s="111"/>
      <c r="I345" s="112"/>
      <c r="J345" s="112"/>
      <c r="K345" s="111"/>
      <c r="L345" s="111"/>
      <c r="M345" s="162"/>
      <c r="N345" s="162"/>
      <c r="O345" s="112"/>
      <c r="P345" s="112"/>
      <c r="Q345" s="112"/>
      <c r="R345" s="112"/>
      <c r="S345" s="112"/>
      <c r="T345" s="112"/>
      <c r="U345" s="112"/>
      <c r="V345" s="162"/>
      <c r="W345" s="112"/>
      <c r="X345" s="33"/>
      <c r="Y345" s="33"/>
      <c r="Z345" s="33"/>
      <c r="AB345" s="161"/>
      <c r="AC345" s="161"/>
      <c r="AI345" s="33"/>
      <c r="AJ345" s="33"/>
      <c r="AK345" s="33"/>
      <c r="AL345" s="33"/>
    </row>
    <row r="346" spans="4:38" s="474" customFormat="1" ht="12" customHeight="1">
      <c r="D346" s="33"/>
      <c r="E346" s="111"/>
      <c r="G346" s="111"/>
      <c r="H346" s="111"/>
      <c r="I346" s="112"/>
      <c r="J346" s="112"/>
      <c r="K346" s="111"/>
      <c r="L346" s="111"/>
      <c r="M346" s="162"/>
      <c r="N346" s="162"/>
      <c r="O346" s="112"/>
      <c r="P346" s="112"/>
      <c r="Q346" s="112"/>
      <c r="R346" s="112"/>
      <c r="S346" s="112"/>
      <c r="T346" s="112"/>
      <c r="U346" s="112"/>
      <c r="V346" s="162"/>
      <c r="W346" s="112"/>
      <c r="X346" s="33"/>
      <c r="Y346" s="33"/>
      <c r="Z346" s="33"/>
      <c r="AB346" s="161"/>
      <c r="AC346" s="161"/>
      <c r="AI346" s="33"/>
      <c r="AJ346" s="33"/>
      <c r="AK346" s="33"/>
      <c r="AL346" s="33"/>
    </row>
    <row r="347" spans="4:38" s="474" customFormat="1" ht="12" customHeight="1">
      <c r="D347" s="33"/>
      <c r="E347" s="111"/>
      <c r="G347" s="111"/>
      <c r="H347" s="111"/>
      <c r="I347" s="112"/>
      <c r="J347" s="112"/>
      <c r="K347" s="111"/>
      <c r="L347" s="111"/>
      <c r="M347" s="162"/>
      <c r="N347" s="162"/>
      <c r="O347" s="112"/>
      <c r="P347" s="112"/>
      <c r="Q347" s="112"/>
      <c r="R347" s="112"/>
      <c r="S347" s="112"/>
      <c r="T347" s="112"/>
      <c r="U347" s="112"/>
      <c r="V347" s="162"/>
      <c r="W347" s="112"/>
      <c r="X347" s="33"/>
      <c r="Y347" s="33"/>
      <c r="Z347" s="33"/>
      <c r="AB347" s="161"/>
      <c r="AC347" s="161"/>
      <c r="AI347" s="33"/>
      <c r="AJ347" s="33"/>
      <c r="AK347" s="33"/>
      <c r="AL347" s="33"/>
    </row>
    <row r="348" spans="4:38" s="474" customFormat="1" ht="12" customHeight="1">
      <c r="D348" s="33"/>
      <c r="E348" s="111"/>
      <c r="G348" s="111"/>
      <c r="H348" s="111"/>
      <c r="I348" s="112"/>
      <c r="J348" s="112"/>
      <c r="K348" s="111"/>
      <c r="L348" s="111"/>
      <c r="M348" s="162"/>
      <c r="N348" s="162"/>
      <c r="O348" s="112"/>
      <c r="P348" s="112"/>
      <c r="Q348" s="112"/>
      <c r="R348" s="112"/>
      <c r="S348" s="112"/>
      <c r="T348" s="112"/>
      <c r="U348" s="112"/>
      <c r="V348" s="162"/>
      <c r="W348" s="112"/>
      <c r="X348" s="33"/>
      <c r="Y348" s="33"/>
      <c r="Z348" s="33"/>
      <c r="AB348" s="161"/>
      <c r="AC348" s="161"/>
      <c r="AI348" s="33"/>
      <c r="AJ348" s="33"/>
      <c r="AK348" s="33"/>
      <c r="AL348" s="33"/>
    </row>
    <row r="349" spans="4:38" s="474" customFormat="1" ht="12" customHeight="1">
      <c r="D349" s="33"/>
      <c r="E349" s="111"/>
      <c r="G349" s="111"/>
      <c r="H349" s="111"/>
      <c r="I349" s="112"/>
      <c r="J349" s="112"/>
      <c r="K349" s="111"/>
      <c r="L349" s="111"/>
      <c r="M349" s="162"/>
      <c r="N349" s="162"/>
      <c r="O349" s="112"/>
      <c r="P349" s="112"/>
      <c r="Q349" s="112"/>
      <c r="R349" s="112"/>
      <c r="S349" s="112"/>
      <c r="T349" s="112"/>
      <c r="U349" s="112"/>
      <c r="V349" s="162"/>
      <c r="W349" s="112"/>
      <c r="X349" s="33"/>
      <c r="Y349" s="33"/>
      <c r="Z349" s="33"/>
      <c r="AB349" s="161"/>
      <c r="AC349" s="161"/>
      <c r="AI349" s="33"/>
      <c r="AJ349" s="33"/>
      <c r="AK349" s="33"/>
      <c r="AL349" s="33"/>
    </row>
    <row r="350" spans="4:38" s="474" customFormat="1" ht="12" customHeight="1">
      <c r="D350" s="33"/>
      <c r="E350" s="111"/>
      <c r="G350" s="111"/>
      <c r="H350" s="111"/>
      <c r="I350" s="112"/>
      <c r="J350" s="112"/>
      <c r="K350" s="111"/>
      <c r="L350" s="111"/>
      <c r="M350" s="162"/>
      <c r="N350" s="162"/>
      <c r="O350" s="112"/>
      <c r="P350" s="112"/>
      <c r="Q350" s="112"/>
      <c r="R350" s="112"/>
      <c r="S350" s="112"/>
      <c r="T350" s="112"/>
      <c r="U350" s="112"/>
      <c r="V350" s="162"/>
      <c r="W350" s="112"/>
      <c r="X350" s="33"/>
      <c r="Y350" s="33"/>
      <c r="Z350" s="33"/>
      <c r="AB350" s="161"/>
      <c r="AC350" s="161"/>
      <c r="AI350" s="33"/>
      <c r="AJ350" s="33"/>
      <c r="AK350" s="33"/>
      <c r="AL350" s="33"/>
    </row>
    <row r="351" spans="4:38" s="474" customFormat="1" ht="12" customHeight="1">
      <c r="D351" s="33"/>
      <c r="E351" s="111"/>
      <c r="G351" s="111"/>
      <c r="H351" s="111"/>
      <c r="I351" s="112"/>
      <c r="J351" s="112"/>
      <c r="K351" s="111"/>
      <c r="L351" s="111"/>
      <c r="M351" s="162"/>
      <c r="N351" s="162"/>
      <c r="O351" s="112"/>
      <c r="P351" s="112"/>
      <c r="Q351" s="112"/>
      <c r="R351" s="112"/>
      <c r="S351" s="112"/>
      <c r="T351" s="112"/>
      <c r="U351" s="112"/>
      <c r="V351" s="162"/>
      <c r="W351" s="112"/>
      <c r="X351" s="33"/>
      <c r="Y351" s="33"/>
      <c r="Z351" s="33"/>
      <c r="AB351" s="161"/>
      <c r="AC351" s="161"/>
      <c r="AI351" s="33"/>
      <c r="AJ351" s="33"/>
      <c r="AK351" s="33"/>
      <c r="AL351" s="33"/>
    </row>
    <row r="352" spans="4:38" s="474" customFormat="1" ht="12" customHeight="1">
      <c r="D352" s="33"/>
      <c r="E352" s="111"/>
      <c r="G352" s="111"/>
      <c r="H352" s="111"/>
      <c r="I352" s="112"/>
      <c r="J352" s="112"/>
      <c r="K352" s="111"/>
      <c r="L352" s="111"/>
      <c r="M352" s="162"/>
      <c r="N352" s="162"/>
      <c r="O352" s="112"/>
      <c r="P352" s="112"/>
      <c r="Q352" s="112"/>
      <c r="R352" s="112"/>
      <c r="S352" s="112"/>
      <c r="T352" s="112"/>
      <c r="U352" s="112"/>
      <c r="V352" s="162"/>
      <c r="W352" s="112"/>
      <c r="X352" s="33"/>
      <c r="Y352" s="33"/>
      <c r="Z352" s="33"/>
      <c r="AB352" s="161"/>
      <c r="AC352" s="161"/>
      <c r="AI352" s="33"/>
      <c r="AJ352" s="33"/>
      <c r="AK352" s="33"/>
      <c r="AL352" s="33"/>
    </row>
    <row r="353" spans="4:38" s="474" customFormat="1" ht="12" customHeight="1">
      <c r="D353" s="33"/>
      <c r="E353" s="111"/>
      <c r="G353" s="111"/>
      <c r="H353" s="111"/>
      <c r="I353" s="112"/>
      <c r="J353" s="112"/>
      <c r="K353" s="111"/>
      <c r="L353" s="111"/>
      <c r="M353" s="162"/>
      <c r="N353" s="162"/>
      <c r="O353" s="112"/>
      <c r="P353" s="112"/>
      <c r="Q353" s="112"/>
      <c r="R353" s="112"/>
      <c r="S353" s="112"/>
      <c r="T353" s="112"/>
      <c r="U353" s="112"/>
      <c r="V353" s="162"/>
      <c r="W353" s="112"/>
      <c r="X353" s="33"/>
      <c r="Y353" s="33"/>
      <c r="Z353" s="33"/>
      <c r="AB353" s="161"/>
      <c r="AC353" s="161"/>
      <c r="AI353" s="33"/>
      <c r="AJ353" s="33"/>
      <c r="AK353" s="33"/>
      <c r="AL353" s="33"/>
    </row>
    <row r="354" spans="4:38" s="474" customFormat="1" ht="12" customHeight="1">
      <c r="D354" s="33"/>
      <c r="E354" s="111"/>
      <c r="G354" s="111"/>
      <c r="H354" s="111"/>
      <c r="I354" s="112"/>
      <c r="J354" s="112"/>
      <c r="K354" s="111"/>
      <c r="L354" s="111"/>
      <c r="M354" s="162"/>
      <c r="N354" s="162"/>
      <c r="O354" s="112"/>
      <c r="P354" s="112"/>
      <c r="Q354" s="112"/>
      <c r="R354" s="112"/>
      <c r="S354" s="112"/>
      <c r="T354" s="112"/>
      <c r="U354" s="112"/>
      <c r="V354" s="162"/>
      <c r="W354" s="112"/>
      <c r="X354" s="33"/>
      <c r="Y354" s="33"/>
      <c r="Z354" s="33"/>
      <c r="AB354" s="161"/>
      <c r="AC354" s="161"/>
      <c r="AI354" s="33"/>
      <c r="AJ354" s="33"/>
      <c r="AK354" s="33"/>
      <c r="AL354" s="33"/>
    </row>
    <row r="355" spans="4:38" s="474" customFormat="1" ht="12" customHeight="1">
      <c r="D355" s="33"/>
      <c r="E355" s="111"/>
      <c r="G355" s="111"/>
      <c r="H355" s="111"/>
      <c r="I355" s="112"/>
      <c r="J355" s="112"/>
      <c r="K355" s="111"/>
      <c r="L355" s="111"/>
      <c r="M355" s="162"/>
      <c r="N355" s="162"/>
      <c r="O355" s="112"/>
      <c r="P355" s="112"/>
      <c r="Q355" s="112"/>
      <c r="R355" s="112"/>
      <c r="S355" s="112"/>
      <c r="T355" s="112"/>
      <c r="U355" s="112"/>
      <c r="V355" s="162"/>
      <c r="W355" s="112"/>
      <c r="X355" s="33"/>
      <c r="Y355" s="33"/>
      <c r="Z355" s="33"/>
      <c r="AB355" s="161"/>
      <c r="AC355" s="161"/>
      <c r="AI355" s="33"/>
      <c r="AJ355" s="33"/>
      <c r="AK355" s="33"/>
      <c r="AL355" s="33"/>
    </row>
    <row r="356" spans="4:38" s="474" customFormat="1" ht="12" customHeight="1">
      <c r="D356" s="33"/>
      <c r="E356" s="111"/>
      <c r="G356" s="111"/>
      <c r="H356" s="111"/>
      <c r="I356" s="112"/>
      <c r="J356" s="112"/>
      <c r="K356" s="111"/>
      <c r="L356" s="111"/>
      <c r="M356" s="162"/>
      <c r="N356" s="162"/>
      <c r="O356" s="112"/>
      <c r="P356" s="112"/>
      <c r="Q356" s="112"/>
      <c r="R356" s="112"/>
      <c r="S356" s="112"/>
      <c r="T356" s="112"/>
      <c r="U356" s="112"/>
      <c r="V356" s="162"/>
      <c r="W356" s="112"/>
      <c r="X356" s="33"/>
      <c r="Y356" s="33"/>
      <c r="Z356" s="33"/>
      <c r="AB356" s="161"/>
      <c r="AC356" s="161"/>
      <c r="AI356" s="33"/>
      <c r="AJ356" s="33"/>
      <c r="AK356" s="33"/>
      <c r="AL356" s="33"/>
    </row>
    <row r="357" spans="4:38" s="474" customFormat="1" ht="12" customHeight="1">
      <c r="D357" s="33"/>
      <c r="E357" s="111"/>
      <c r="G357" s="111"/>
      <c r="H357" s="111"/>
      <c r="I357" s="112"/>
      <c r="J357" s="112"/>
      <c r="K357" s="111"/>
      <c r="L357" s="111"/>
      <c r="M357" s="162"/>
      <c r="N357" s="162"/>
      <c r="O357" s="112"/>
      <c r="P357" s="112"/>
      <c r="Q357" s="112"/>
      <c r="R357" s="112"/>
      <c r="S357" s="112"/>
      <c r="T357" s="112"/>
      <c r="U357" s="112"/>
      <c r="V357" s="162"/>
      <c r="W357" s="112"/>
      <c r="X357" s="33"/>
      <c r="Y357" s="33"/>
      <c r="Z357" s="33"/>
      <c r="AB357" s="161"/>
      <c r="AC357" s="161"/>
      <c r="AI357" s="33"/>
      <c r="AJ357" s="33"/>
      <c r="AK357" s="33"/>
      <c r="AL357" s="33"/>
    </row>
    <row r="358" spans="4:38" s="474" customFormat="1" ht="12" customHeight="1">
      <c r="D358" s="33"/>
      <c r="E358" s="111"/>
      <c r="G358" s="111"/>
      <c r="H358" s="111"/>
      <c r="I358" s="112"/>
      <c r="J358" s="112"/>
      <c r="K358" s="111"/>
      <c r="L358" s="111"/>
      <c r="M358" s="162"/>
      <c r="N358" s="162"/>
      <c r="O358" s="112"/>
      <c r="P358" s="112"/>
      <c r="Q358" s="112"/>
      <c r="R358" s="112"/>
      <c r="S358" s="112"/>
      <c r="T358" s="112"/>
      <c r="U358" s="112"/>
      <c r="V358" s="162"/>
      <c r="W358" s="112"/>
      <c r="X358" s="33"/>
      <c r="Y358" s="33"/>
      <c r="Z358" s="33"/>
      <c r="AB358" s="161"/>
      <c r="AC358" s="161"/>
      <c r="AI358" s="33"/>
      <c r="AJ358" s="33"/>
      <c r="AK358" s="33"/>
      <c r="AL358" s="33"/>
    </row>
    <row r="359" spans="4:38" s="474" customFormat="1" ht="12" customHeight="1">
      <c r="D359" s="33"/>
      <c r="E359" s="111"/>
      <c r="G359" s="111"/>
      <c r="H359" s="111"/>
      <c r="I359" s="112"/>
      <c r="J359" s="112"/>
      <c r="K359" s="111"/>
      <c r="L359" s="111"/>
      <c r="M359" s="162"/>
      <c r="N359" s="162"/>
      <c r="O359" s="112"/>
      <c r="P359" s="112"/>
      <c r="Q359" s="112"/>
      <c r="R359" s="112"/>
      <c r="S359" s="112"/>
      <c r="T359" s="112"/>
      <c r="U359" s="112"/>
      <c r="V359" s="162"/>
      <c r="W359" s="112"/>
      <c r="X359" s="33"/>
      <c r="Y359" s="33"/>
      <c r="Z359" s="33"/>
      <c r="AB359" s="161"/>
      <c r="AC359" s="161"/>
      <c r="AI359" s="33"/>
      <c r="AJ359" s="33"/>
      <c r="AK359" s="33"/>
      <c r="AL359" s="33"/>
    </row>
    <row r="360" spans="4:38" s="474" customFormat="1" ht="12" customHeight="1">
      <c r="D360" s="33"/>
      <c r="E360" s="111"/>
      <c r="G360" s="111"/>
      <c r="H360" s="111"/>
      <c r="I360" s="112"/>
      <c r="J360" s="112"/>
      <c r="K360" s="111"/>
      <c r="L360" s="111"/>
      <c r="M360" s="162"/>
      <c r="N360" s="162"/>
      <c r="O360" s="112"/>
      <c r="P360" s="112"/>
      <c r="Q360" s="112"/>
      <c r="R360" s="112"/>
      <c r="S360" s="112"/>
      <c r="T360" s="112"/>
      <c r="U360" s="112"/>
      <c r="V360" s="162"/>
      <c r="W360" s="112"/>
      <c r="X360" s="33"/>
      <c r="Y360" s="33"/>
      <c r="Z360" s="33"/>
      <c r="AB360" s="161"/>
      <c r="AC360" s="161"/>
      <c r="AI360" s="33"/>
      <c r="AJ360" s="33"/>
      <c r="AK360" s="33"/>
      <c r="AL360" s="33"/>
    </row>
    <row r="361" spans="4:38" s="474" customFormat="1" ht="12" customHeight="1">
      <c r="D361" s="33"/>
      <c r="E361" s="111"/>
      <c r="G361" s="111"/>
      <c r="H361" s="111"/>
      <c r="I361" s="112"/>
      <c r="J361" s="112"/>
      <c r="K361" s="111"/>
      <c r="L361" s="111"/>
      <c r="M361" s="162"/>
      <c r="N361" s="162"/>
      <c r="O361" s="112"/>
      <c r="P361" s="112"/>
      <c r="Q361" s="112"/>
      <c r="R361" s="112"/>
      <c r="S361" s="112"/>
      <c r="T361" s="112"/>
      <c r="U361" s="112"/>
      <c r="V361" s="162"/>
      <c r="W361" s="112"/>
      <c r="X361" s="33"/>
      <c r="Y361" s="33"/>
      <c r="Z361" s="33"/>
      <c r="AB361" s="161"/>
      <c r="AC361" s="161"/>
      <c r="AI361" s="33"/>
      <c r="AJ361" s="33"/>
      <c r="AK361" s="33"/>
      <c r="AL361" s="33"/>
    </row>
    <row r="362" spans="4:38" s="474" customFormat="1" ht="12" customHeight="1">
      <c r="D362" s="33"/>
      <c r="E362" s="111"/>
      <c r="G362" s="111"/>
      <c r="H362" s="111"/>
      <c r="I362" s="112"/>
      <c r="J362" s="112"/>
      <c r="K362" s="111"/>
      <c r="L362" s="111"/>
      <c r="M362" s="162"/>
      <c r="N362" s="162"/>
      <c r="O362" s="112"/>
      <c r="P362" s="112"/>
      <c r="Q362" s="112"/>
      <c r="R362" s="112"/>
      <c r="S362" s="112"/>
      <c r="T362" s="112"/>
      <c r="U362" s="112"/>
      <c r="V362" s="162"/>
      <c r="W362" s="112"/>
      <c r="X362" s="33"/>
      <c r="Y362" s="33"/>
      <c r="Z362" s="33"/>
      <c r="AB362" s="161"/>
      <c r="AC362" s="161"/>
      <c r="AI362" s="33"/>
      <c r="AJ362" s="33"/>
      <c r="AK362" s="33"/>
      <c r="AL362" s="33"/>
    </row>
    <row r="363" spans="4:38" s="474" customFormat="1" ht="12" customHeight="1">
      <c r="D363" s="33"/>
      <c r="E363" s="111"/>
      <c r="G363" s="111"/>
      <c r="H363" s="111"/>
      <c r="I363" s="112"/>
      <c r="J363" s="112"/>
      <c r="K363" s="111"/>
      <c r="L363" s="111"/>
      <c r="M363" s="162"/>
      <c r="N363" s="162"/>
      <c r="O363" s="112"/>
      <c r="P363" s="112"/>
      <c r="Q363" s="112"/>
      <c r="R363" s="112"/>
      <c r="S363" s="112"/>
      <c r="T363" s="112"/>
      <c r="U363" s="112"/>
      <c r="V363" s="162"/>
      <c r="W363" s="112"/>
      <c r="X363" s="33"/>
      <c r="Y363" s="33"/>
      <c r="Z363" s="33"/>
      <c r="AB363" s="161"/>
      <c r="AC363" s="161"/>
      <c r="AI363" s="33"/>
      <c r="AJ363" s="33"/>
      <c r="AK363" s="33"/>
      <c r="AL363" s="33"/>
    </row>
    <row r="364" spans="4:38" s="474" customFormat="1" ht="12" customHeight="1">
      <c r="D364" s="33"/>
      <c r="E364" s="111"/>
      <c r="G364" s="111"/>
      <c r="H364" s="111"/>
      <c r="I364" s="112"/>
      <c r="J364" s="112"/>
      <c r="K364" s="111"/>
      <c r="L364" s="111"/>
      <c r="M364" s="162"/>
      <c r="N364" s="162"/>
      <c r="O364" s="112"/>
      <c r="P364" s="112"/>
      <c r="Q364" s="112"/>
      <c r="R364" s="112"/>
      <c r="S364" s="112"/>
      <c r="T364" s="112"/>
      <c r="U364" s="112"/>
      <c r="V364" s="162"/>
      <c r="W364" s="112"/>
      <c r="X364" s="33"/>
      <c r="Y364" s="33"/>
      <c r="Z364" s="33"/>
      <c r="AB364" s="161"/>
      <c r="AC364" s="161"/>
      <c r="AI364" s="33"/>
      <c r="AJ364" s="33"/>
      <c r="AK364" s="33"/>
      <c r="AL364" s="33"/>
    </row>
    <row r="365" spans="4:38" s="474" customFormat="1" ht="12" customHeight="1">
      <c r="D365" s="33"/>
      <c r="E365" s="111"/>
      <c r="G365" s="111"/>
      <c r="H365" s="111"/>
      <c r="I365" s="112"/>
      <c r="J365" s="112"/>
      <c r="K365" s="111"/>
      <c r="L365" s="111"/>
      <c r="M365" s="162"/>
      <c r="N365" s="162"/>
      <c r="O365" s="112"/>
      <c r="P365" s="112"/>
      <c r="Q365" s="112"/>
      <c r="R365" s="112"/>
      <c r="S365" s="112"/>
      <c r="T365" s="112"/>
      <c r="U365" s="112"/>
      <c r="V365" s="162"/>
      <c r="W365" s="112"/>
      <c r="X365" s="33"/>
      <c r="Y365" s="33"/>
      <c r="Z365" s="33"/>
      <c r="AB365" s="161"/>
      <c r="AC365" s="161"/>
      <c r="AI365" s="33"/>
      <c r="AJ365" s="33"/>
      <c r="AK365" s="33"/>
      <c r="AL365" s="33"/>
    </row>
    <row r="366" spans="4:38" s="474" customFormat="1" ht="12" customHeight="1">
      <c r="D366" s="33"/>
      <c r="E366" s="111"/>
      <c r="G366" s="111"/>
      <c r="H366" s="111"/>
      <c r="I366" s="112"/>
      <c r="J366" s="112"/>
      <c r="K366" s="111"/>
      <c r="L366" s="111"/>
      <c r="M366" s="162"/>
      <c r="N366" s="162"/>
      <c r="O366" s="112"/>
      <c r="P366" s="112"/>
      <c r="Q366" s="112"/>
      <c r="R366" s="112"/>
      <c r="S366" s="112"/>
      <c r="T366" s="112"/>
      <c r="U366" s="112"/>
      <c r="V366" s="162"/>
      <c r="W366" s="112"/>
      <c r="X366" s="33"/>
      <c r="Y366" s="33"/>
      <c r="Z366" s="33"/>
      <c r="AB366" s="161"/>
      <c r="AC366" s="161"/>
      <c r="AI366" s="33"/>
      <c r="AJ366" s="33"/>
      <c r="AK366" s="33"/>
      <c r="AL366" s="33"/>
    </row>
    <row r="367" spans="4:38" s="474" customFormat="1" ht="12" customHeight="1">
      <c r="D367" s="33"/>
      <c r="E367" s="111"/>
      <c r="G367" s="111"/>
      <c r="H367" s="111"/>
      <c r="I367" s="112"/>
      <c r="J367" s="112"/>
      <c r="K367" s="111"/>
      <c r="L367" s="111"/>
      <c r="M367" s="162"/>
      <c r="N367" s="162"/>
      <c r="O367" s="112"/>
      <c r="P367" s="112"/>
      <c r="Q367" s="112"/>
      <c r="R367" s="112"/>
      <c r="S367" s="112"/>
      <c r="T367" s="112"/>
      <c r="U367" s="112"/>
      <c r="V367" s="162"/>
      <c r="W367" s="112"/>
      <c r="X367" s="33"/>
      <c r="Y367" s="33"/>
      <c r="Z367" s="33"/>
      <c r="AB367" s="161"/>
      <c r="AC367" s="161"/>
      <c r="AI367" s="33"/>
      <c r="AJ367" s="33"/>
      <c r="AK367" s="33"/>
      <c r="AL367" s="33"/>
    </row>
    <row r="368" spans="4:38" s="474" customFormat="1" ht="12" customHeight="1">
      <c r="D368" s="33"/>
      <c r="E368" s="111"/>
      <c r="G368" s="111"/>
      <c r="H368" s="111"/>
      <c r="I368" s="112"/>
      <c r="J368" s="112"/>
      <c r="K368" s="111"/>
      <c r="L368" s="111"/>
      <c r="M368" s="162"/>
      <c r="N368" s="162"/>
      <c r="O368" s="112"/>
      <c r="P368" s="112"/>
      <c r="Q368" s="112"/>
      <c r="R368" s="112"/>
      <c r="S368" s="112"/>
      <c r="T368" s="112"/>
      <c r="U368" s="112"/>
      <c r="V368" s="162"/>
      <c r="W368" s="112"/>
      <c r="X368" s="33"/>
      <c r="Y368" s="33"/>
      <c r="Z368" s="33"/>
      <c r="AB368" s="161"/>
      <c r="AC368" s="161"/>
      <c r="AI368" s="33"/>
      <c r="AJ368" s="33"/>
      <c r="AK368" s="33"/>
      <c r="AL368" s="33"/>
    </row>
    <row r="369" spans="4:38" s="474" customFormat="1" ht="12" customHeight="1">
      <c r="D369" s="33"/>
      <c r="E369" s="111"/>
      <c r="G369" s="111"/>
      <c r="H369" s="111"/>
      <c r="I369" s="112"/>
      <c r="J369" s="112"/>
      <c r="K369" s="111"/>
      <c r="L369" s="111"/>
      <c r="M369" s="162"/>
      <c r="N369" s="162"/>
      <c r="O369" s="112"/>
      <c r="P369" s="112"/>
      <c r="Q369" s="112"/>
      <c r="R369" s="112"/>
      <c r="S369" s="112"/>
      <c r="T369" s="112"/>
      <c r="U369" s="112"/>
      <c r="V369" s="162"/>
      <c r="W369" s="112"/>
      <c r="X369" s="33"/>
      <c r="Y369" s="33"/>
      <c r="Z369" s="33"/>
      <c r="AB369" s="161"/>
      <c r="AC369" s="161"/>
      <c r="AI369" s="33"/>
      <c r="AJ369" s="33"/>
      <c r="AK369" s="33"/>
      <c r="AL369" s="33"/>
    </row>
    <row r="370" spans="4:38" s="474" customFormat="1" ht="12" customHeight="1">
      <c r="D370" s="33"/>
      <c r="E370" s="111"/>
      <c r="G370" s="111"/>
      <c r="H370" s="111"/>
      <c r="I370" s="112"/>
      <c r="J370" s="112"/>
      <c r="K370" s="111"/>
      <c r="L370" s="111"/>
      <c r="M370" s="162"/>
      <c r="N370" s="162"/>
      <c r="O370" s="112"/>
      <c r="P370" s="112"/>
      <c r="Q370" s="112"/>
      <c r="R370" s="112"/>
      <c r="S370" s="112"/>
      <c r="T370" s="112"/>
      <c r="U370" s="112"/>
      <c r="V370" s="162"/>
      <c r="W370" s="112"/>
      <c r="X370" s="33"/>
      <c r="Y370" s="33"/>
      <c r="Z370" s="33"/>
      <c r="AB370" s="161"/>
      <c r="AC370" s="161"/>
      <c r="AI370" s="33"/>
      <c r="AJ370" s="33"/>
      <c r="AK370" s="33"/>
      <c r="AL370" s="33"/>
    </row>
    <row r="371" spans="4:38" s="474" customFormat="1" ht="12" customHeight="1">
      <c r="D371" s="33"/>
      <c r="E371" s="111"/>
      <c r="G371" s="111"/>
      <c r="H371" s="111"/>
      <c r="I371" s="112"/>
      <c r="J371" s="112"/>
      <c r="K371" s="111"/>
      <c r="L371" s="111"/>
      <c r="M371" s="162"/>
      <c r="N371" s="162"/>
      <c r="O371" s="112"/>
      <c r="P371" s="112"/>
      <c r="Q371" s="112"/>
      <c r="R371" s="112"/>
      <c r="S371" s="112"/>
      <c r="T371" s="112"/>
      <c r="U371" s="112"/>
      <c r="V371" s="162"/>
      <c r="W371" s="112"/>
      <c r="X371" s="33"/>
      <c r="Y371" s="33"/>
      <c r="Z371" s="33"/>
      <c r="AB371" s="161"/>
      <c r="AC371" s="161"/>
      <c r="AI371" s="33"/>
      <c r="AJ371" s="33"/>
      <c r="AK371" s="33"/>
      <c r="AL371" s="33"/>
    </row>
    <row r="372" spans="4:38" s="474" customFormat="1" ht="12" customHeight="1">
      <c r="D372" s="33"/>
      <c r="E372" s="111"/>
      <c r="G372" s="111"/>
      <c r="H372" s="111"/>
      <c r="I372" s="112"/>
      <c r="J372" s="112"/>
      <c r="K372" s="111"/>
      <c r="L372" s="111"/>
      <c r="M372" s="162"/>
      <c r="N372" s="162"/>
      <c r="O372" s="112"/>
      <c r="P372" s="112"/>
      <c r="Q372" s="112"/>
      <c r="R372" s="112"/>
      <c r="S372" s="112"/>
      <c r="T372" s="112"/>
      <c r="U372" s="112"/>
      <c r="V372" s="162"/>
      <c r="W372" s="112"/>
      <c r="X372" s="33"/>
      <c r="Y372" s="33"/>
      <c r="Z372" s="33"/>
      <c r="AB372" s="161"/>
      <c r="AC372" s="161"/>
      <c r="AI372" s="33"/>
      <c r="AJ372" s="33"/>
      <c r="AK372" s="33"/>
      <c r="AL372" s="33"/>
    </row>
    <row r="373" spans="4:38" s="474" customFormat="1" ht="12" customHeight="1">
      <c r="D373" s="33"/>
      <c r="E373" s="111"/>
      <c r="G373" s="111"/>
      <c r="H373" s="111"/>
      <c r="I373" s="112"/>
      <c r="J373" s="112"/>
      <c r="K373" s="111"/>
      <c r="L373" s="111"/>
      <c r="M373" s="162"/>
      <c r="N373" s="162"/>
      <c r="O373" s="112"/>
      <c r="P373" s="112"/>
      <c r="Q373" s="112"/>
      <c r="R373" s="112"/>
      <c r="S373" s="112"/>
      <c r="T373" s="112"/>
      <c r="U373" s="112"/>
      <c r="V373" s="162"/>
      <c r="W373" s="112"/>
      <c r="X373" s="33"/>
      <c r="Y373" s="33"/>
      <c r="Z373" s="33"/>
      <c r="AB373" s="161"/>
      <c r="AC373" s="161"/>
      <c r="AI373" s="33"/>
      <c r="AJ373" s="33"/>
      <c r="AK373" s="33"/>
      <c r="AL373" s="33"/>
    </row>
    <row r="374" spans="4:38" s="474" customFormat="1" ht="12" customHeight="1">
      <c r="D374" s="33"/>
      <c r="E374" s="111"/>
      <c r="G374" s="111"/>
      <c r="H374" s="111"/>
      <c r="I374" s="112"/>
      <c r="J374" s="112"/>
      <c r="K374" s="111"/>
      <c r="L374" s="111"/>
      <c r="M374" s="162"/>
      <c r="N374" s="162"/>
      <c r="O374" s="112"/>
      <c r="P374" s="112"/>
      <c r="Q374" s="112"/>
      <c r="R374" s="112"/>
      <c r="S374" s="112"/>
      <c r="T374" s="112"/>
      <c r="U374" s="112"/>
      <c r="V374" s="162"/>
      <c r="W374" s="112"/>
      <c r="X374" s="33"/>
      <c r="Y374" s="33"/>
      <c r="Z374" s="33"/>
      <c r="AB374" s="161"/>
      <c r="AC374" s="161"/>
      <c r="AI374" s="33"/>
      <c r="AJ374" s="33"/>
      <c r="AK374" s="33"/>
      <c r="AL374" s="33"/>
    </row>
    <row r="375" spans="4:38" s="474" customFormat="1" ht="12" customHeight="1">
      <c r="D375" s="33"/>
      <c r="E375" s="111"/>
      <c r="G375" s="111"/>
      <c r="H375" s="111"/>
      <c r="I375" s="112"/>
      <c r="J375" s="112"/>
      <c r="K375" s="111"/>
      <c r="L375" s="111"/>
      <c r="M375" s="162"/>
      <c r="N375" s="162"/>
      <c r="O375" s="112"/>
      <c r="P375" s="112"/>
      <c r="Q375" s="112"/>
      <c r="R375" s="112"/>
      <c r="S375" s="112"/>
      <c r="T375" s="112"/>
      <c r="U375" s="112"/>
      <c r="V375" s="162"/>
      <c r="W375" s="112"/>
      <c r="X375" s="33"/>
      <c r="Y375" s="33"/>
      <c r="Z375" s="33"/>
      <c r="AB375" s="161"/>
      <c r="AC375" s="161"/>
      <c r="AI375" s="33"/>
      <c r="AJ375" s="33"/>
      <c r="AK375" s="33"/>
      <c r="AL375" s="33"/>
    </row>
    <row r="376" spans="4:38" s="474" customFormat="1" ht="12" customHeight="1">
      <c r="D376" s="33"/>
      <c r="E376" s="111"/>
      <c r="G376" s="111"/>
      <c r="H376" s="111"/>
      <c r="I376" s="112"/>
      <c r="J376" s="112"/>
      <c r="K376" s="111"/>
      <c r="L376" s="111"/>
      <c r="M376" s="162"/>
      <c r="N376" s="162"/>
      <c r="O376" s="112"/>
      <c r="P376" s="112"/>
      <c r="Q376" s="112"/>
      <c r="R376" s="112"/>
      <c r="S376" s="112"/>
      <c r="T376" s="112"/>
      <c r="U376" s="112"/>
      <c r="V376" s="162"/>
      <c r="W376" s="112"/>
      <c r="X376" s="33"/>
      <c r="Y376" s="33"/>
      <c r="Z376" s="33"/>
      <c r="AB376" s="161"/>
      <c r="AC376" s="161"/>
      <c r="AI376" s="33"/>
      <c r="AJ376" s="33"/>
      <c r="AK376" s="33"/>
      <c r="AL376" s="33"/>
    </row>
    <row r="377" spans="4:38" s="474" customFormat="1" ht="12" customHeight="1">
      <c r="D377" s="33"/>
      <c r="E377" s="111"/>
      <c r="G377" s="111"/>
      <c r="H377" s="111"/>
      <c r="I377" s="112"/>
      <c r="J377" s="112"/>
      <c r="K377" s="111"/>
      <c r="L377" s="111"/>
      <c r="M377" s="162"/>
      <c r="N377" s="162"/>
      <c r="O377" s="112"/>
      <c r="P377" s="112"/>
      <c r="Q377" s="112"/>
      <c r="R377" s="112"/>
      <c r="S377" s="112"/>
      <c r="T377" s="112"/>
      <c r="U377" s="112"/>
      <c r="V377" s="162"/>
      <c r="W377" s="112"/>
      <c r="X377" s="33"/>
      <c r="Y377" s="33"/>
      <c r="Z377" s="33"/>
      <c r="AB377" s="161"/>
      <c r="AC377" s="161"/>
      <c r="AI377" s="33"/>
      <c r="AJ377" s="33"/>
      <c r="AK377" s="33"/>
      <c r="AL377" s="33"/>
    </row>
    <row r="378" spans="4:38" s="474" customFormat="1" ht="12" customHeight="1">
      <c r="D378" s="33"/>
      <c r="E378" s="111"/>
      <c r="G378" s="111"/>
      <c r="H378" s="111"/>
      <c r="I378" s="112"/>
      <c r="J378" s="112"/>
      <c r="K378" s="111"/>
      <c r="L378" s="111"/>
      <c r="M378" s="162"/>
      <c r="N378" s="162"/>
      <c r="O378" s="112"/>
      <c r="P378" s="112"/>
      <c r="Q378" s="112"/>
      <c r="R378" s="112"/>
      <c r="S378" s="112"/>
      <c r="T378" s="112"/>
      <c r="U378" s="112"/>
      <c r="V378" s="162"/>
      <c r="W378" s="112"/>
      <c r="X378" s="33"/>
      <c r="Y378" s="33"/>
      <c r="Z378" s="33"/>
      <c r="AB378" s="161"/>
      <c r="AC378" s="161"/>
      <c r="AI378" s="33"/>
      <c r="AJ378" s="33"/>
      <c r="AK378" s="33"/>
      <c r="AL378" s="33"/>
    </row>
    <row r="379" spans="4:38" s="474" customFormat="1" ht="12" customHeight="1">
      <c r="D379" s="33"/>
      <c r="E379" s="111"/>
      <c r="G379" s="111"/>
      <c r="H379" s="111"/>
      <c r="I379" s="112"/>
      <c r="J379" s="112"/>
      <c r="K379" s="111"/>
      <c r="L379" s="111"/>
      <c r="M379" s="162"/>
      <c r="N379" s="162"/>
      <c r="O379" s="112"/>
      <c r="P379" s="112"/>
      <c r="Q379" s="112"/>
      <c r="R379" s="112"/>
      <c r="S379" s="112"/>
      <c r="T379" s="112"/>
      <c r="U379" s="112"/>
      <c r="V379" s="162"/>
      <c r="W379" s="112"/>
      <c r="X379" s="33"/>
      <c r="Y379" s="33"/>
      <c r="Z379" s="33"/>
      <c r="AB379" s="161"/>
      <c r="AC379" s="161"/>
      <c r="AI379" s="33"/>
      <c r="AJ379" s="33"/>
      <c r="AK379" s="33"/>
      <c r="AL379" s="33"/>
    </row>
    <row r="380" spans="4:38" s="474" customFormat="1" ht="12" customHeight="1">
      <c r="D380" s="33"/>
      <c r="E380" s="111"/>
      <c r="G380" s="111"/>
      <c r="H380" s="111"/>
      <c r="I380" s="112"/>
      <c r="J380" s="112"/>
      <c r="K380" s="111"/>
      <c r="L380" s="111"/>
      <c r="M380" s="162"/>
      <c r="N380" s="162"/>
      <c r="O380" s="112"/>
      <c r="P380" s="112"/>
      <c r="Q380" s="112"/>
      <c r="R380" s="112"/>
      <c r="S380" s="112"/>
      <c r="T380" s="112"/>
      <c r="U380" s="112"/>
      <c r="V380" s="162"/>
      <c r="W380" s="112"/>
      <c r="X380" s="33"/>
      <c r="Y380" s="33"/>
      <c r="Z380" s="33"/>
      <c r="AB380" s="161"/>
      <c r="AC380" s="161"/>
      <c r="AI380" s="33"/>
      <c r="AJ380" s="33"/>
      <c r="AK380" s="33"/>
      <c r="AL380" s="33"/>
    </row>
    <row r="381" spans="4:38" s="474" customFormat="1" ht="12" customHeight="1">
      <c r="D381" s="33"/>
      <c r="E381" s="111"/>
      <c r="G381" s="111"/>
      <c r="H381" s="111"/>
      <c r="I381" s="112"/>
      <c r="J381" s="112"/>
      <c r="K381" s="111"/>
      <c r="L381" s="111"/>
      <c r="M381" s="162"/>
      <c r="N381" s="162"/>
      <c r="O381" s="112"/>
      <c r="P381" s="112"/>
      <c r="Q381" s="112"/>
      <c r="R381" s="112"/>
      <c r="S381" s="112"/>
      <c r="T381" s="112"/>
      <c r="U381" s="112"/>
      <c r="V381" s="162"/>
      <c r="W381" s="112"/>
      <c r="X381" s="33"/>
      <c r="Y381" s="33"/>
      <c r="Z381" s="33"/>
      <c r="AB381" s="161"/>
      <c r="AC381" s="161"/>
      <c r="AI381" s="33"/>
      <c r="AJ381" s="33"/>
      <c r="AK381" s="33"/>
      <c r="AL381" s="33"/>
    </row>
    <row r="382" spans="4:38" s="474" customFormat="1" ht="12" customHeight="1">
      <c r="D382" s="33"/>
      <c r="E382" s="111"/>
      <c r="G382" s="111"/>
      <c r="H382" s="111"/>
      <c r="I382" s="112"/>
      <c r="J382" s="112"/>
      <c r="K382" s="111"/>
      <c r="L382" s="111"/>
      <c r="M382" s="162"/>
      <c r="N382" s="162"/>
      <c r="O382" s="112"/>
      <c r="P382" s="112"/>
      <c r="Q382" s="112"/>
      <c r="R382" s="112"/>
      <c r="S382" s="112"/>
      <c r="T382" s="112"/>
      <c r="U382" s="112"/>
      <c r="V382" s="162"/>
      <c r="W382" s="112"/>
      <c r="X382" s="33"/>
      <c r="Y382" s="33"/>
      <c r="Z382" s="33"/>
      <c r="AB382" s="161"/>
      <c r="AC382" s="161"/>
      <c r="AI382" s="33"/>
      <c r="AJ382" s="33"/>
      <c r="AK382" s="33"/>
      <c r="AL382" s="33"/>
    </row>
    <row r="383" spans="4:38" s="474" customFormat="1" ht="12" customHeight="1">
      <c r="D383" s="33"/>
      <c r="E383" s="111"/>
      <c r="G383" s="111"/>
      <c r="H383" s="111"/>
      <c r="I383" s="112"/>
      <c r="J383" s="112"/>
      <c r="K383" s="111"/>
      <c r="L383" s="111"/>
      <c r="M383" s="162"/>
      <c r="N383" s="162"/>
      <c r="O383" s="112"/>
      <c r="P383" s="112"/>
      <c r="Q383" s="112"/>
      <c r="R383" s="112"/>
      <c r="S383" s="112"/>
      <c r="T383" s="112"/>
      <c r="U383" s="112"/>
      <c r="V383" s="162"/>
      <c r="W383" s="112"/>
      <c r="X383" s="33"/>
      <c r="Y383" s="33"/>
      <c r="Z383" s="33"/>
      <c r="AB383" s="161"/>
      <c r="AC383" s="161"/>
      <c r="AI383" s="33"/>
      <c r="AJ383" s="33"/>
      <c r="AK383" s="33"/>
      <c r="AL383" s="33"/>
    </row>
    <row r="384" spans="4:38" s="474" customFormat="1" ht="12" customHeight="1">
      <c r="D384" s="33"/>
      <c r="E384" s="111"/>
      <c r="G384" s="111"/>
      <c r="H384" s="111"/>
      <c r="I384" s="112"/>
      <c r="J384" s="112"/>
      <c r="K384" s="111"/>
      <c r="L384" s="111"/>
      <c r="M384" s="162"/>
      <c r="N384" s="162"/>
      <c r="O384" s="112"/>
      <c r="P384" s="112"/>
      <c r="Q384" s="112"/>
      <c r="R384" s="112"/>
      <c r="S384" s="112"/>
      <c r="T384" s="112"/>
      <c r="U384" s="112"/>
      <c r="V384" s="162"/>
      <c r="W384" s="112"/>
      <c r="X384" s="33"/>
      <c r="Y384" s="33"/>
      <c r="Z384" s="33"/>
      <c r="AB384" s="161"/>
      <c r="AC384" s="161"/>
      <c r="AI384" s="33"/>
      <c r="AJ384" s="33"/>
      <c r="AK384" s="33"/>
      <c r="AL384" s="33"/>
    </row>
    <row r="385" spans="4:38" s="474" customFormat="1" ht="12" customHeight="1">
      <c r="D385" s="33"/>
      <c r="E385" s="111"/>
      <c r="G385" s="111"/>
      <c r="H385" s="111"/>
      <c r="I385" s="112"/>
      <c r="J385" s="112"/>
      <c r="K385" s="111"/>
      <c r="L385" s="111"/>
      <c r="M385" s="162"/>
      <c r="N385" s="162"/>
      <c r="O385" s="112"/>
      <c r="P385" s="112"/>
      <c r="Q385" s="112"/>
      <c r="R385" s="112"/>
      <c r="S385" s="112"/>
      <c r="T385" s="112"/>
      <c r="U385" s="112"/>
      <c r="V385" s="162"/>
      <c r="W385" s="112"/>
      <c r="X385" s="33"/>
      <c r="Y385" s="33"/>
      <c r="Z385" s="33"/>
      <c r="AB385" s="161"/>
      <c r="AC385" s="161"/>
      <c r="AI385" s="33"/>
      <c r="AJ385" s="33"/>
      <c r="AK385" s="33"/>
      <c r="AL385" s="33"/>
    </row>
    <row r="386" spans="4:38" s="474" customFormat="1" ht="12" customHeight="1">
      <c r="D386" s="33"/>
      <c r="E386" s="111"/>
      <c r="G386" s="111"/>
      <c r="H386" s="111"/>
      <c r="I386" s="112"/>
      <c r="J386" s="112"/>
      <c r="K386" s="111"/>
      <c r="L386" s="111"/>
      <c r="M386" s="162"/>
      <c r="N386" s="162"/>
      <c r="O386" s="112"/>
      <c r="P386" s="112"/>
      <c r="Q386" s="112"/>
      <c r="R386" s="112"/>
      <c r="S386" s="112"/>
      <c r="T386" s="112"/>
      <c r="U386" s="112"/>
      <c r="V386" s="162"/>
      <c r="W386" s="112"/>
      <c r="X386" s="33"/>
      <c r="Y386" s="33"/>
      <c r="Z386" s="33"/>
      <c r="AB386" s="161"/>
      <c r="AC386" s="161"/>
      <c r="AI386" s="33"/>
      <c r="AJ386" s="33"/>
      <c r="AK386" s="33"/>
      <c r="AL386" s="33"/>
    </row>
    <row r="387" spans="4:38" s="474" customFormat="1" ht="12" customHeight="1">
      <c r="D387" s="33"/>
      <c r="E387" s="111"/>
      <c r="G387" s="111"/>
      <c r="H387" s="111"/>
      <c r="I387" s="112"/>
      <c r="J387" s="112"/>
      <c r="K387" s="111"/>
      <c r="L387" s="111"/>
      <c r="M387" s="162"/>
      <c r="N387" s="162"/>
      <c r="O387" s="112"/>
      <c r="P387" s="112"/>
      <c r="Q387" s="112"/>
      <c r="R387" s="112"/>
      <c r="S387" s="112"/>
      <c r="T387" s="112"/>
      <c r="U387" s="112"/>
      <c r="V387" s="162"/>
      <c r="W387" s="112"/>
      <c r="X387" s="33"/>
      <c r="Y387" s="33"/>
      <c r="Z387" s="33"/>
      <c r="AB387" s="161"/>
      <c r="AC387" s="161"/>
      <c r="AI387" s="33"/>
      <c r="AJ387" s="33"/>
      <c r="AK387" s="33"/>
      <c r="AL387" s="33"/>
    </row>
    <row r="388" spans="4:38" s="474" customFormat="1" ht="12" customHeight="1">
      <c r="D388" s="33"/>
      <c r="E388" s="111"/>
      <c r="G388" s="111"/>
      <c r="H388" s="111"/>
      <c r="I388" s="112"/>
      <c r="J388" s="112"/>
      <c r="K388" s="111"/>
      <c r="L388" s="111"/>
      <c r="M388" s="162"/>
      <c r="N388" s="162"/>
      <c r="O388" s="112"/>
      <c r="P388" s="112"/>
      <c r="Q388" s="112"/>
      <c r="R388" s="112"/>
      <c r="S388" s="112"/>
      <c r="T388" s="112"/>
      <c r="U388" s="112"/>
      <c r="V388" s="162"/>
      <c r="W388" s="112"/>
      <c r="X388" s="33"/>
      <c r="Y388" s="33"/>
      <c r="Z388" s="33"/>
      <c r="AB388" s="161"/>
      <c r="AC388" s="161"/>
      <c r="AI388" s="33"/>
      <c r="AJ388" s="33"/>
      <c r="AK388" s="33"/>
      <c r="AL388" s="33"/>
    </row>
    <row r="389" spans="4:38" s="474" customFormat="1" ht="12" customHeight="1">
      <c r="D389" s="33"/>
      <c r="E389" s="111"/>
      <c r="G389" s="111"/>
      <c r="H389" s="111"/>
      <c r="I389" s="112"/>
      <c r="J389" s="112"/>
      <c r="K389" s="111"/>
      <c r="L389" s="111"/>
      <c r="M389" s="162"/>
      <c r="N389" s="162"/>
      <c r="O389" s="112"/>
      <c r="P389" s="112"/>
      <c r="Q389" s="112"/>
      <c r="R389" s="112"/>
      <c r="S389" s="112"/>
      <c r="T389" s="112"/>
      <c r="U389" s="112"/>
      <c r="V389" s="162"/>
      <c r="W389" s="112"/>
      <c r="X389" s="33"/>
      <c r="Y389" s="33"/>
      <c r="Z389" s="33"/>
      <c r="AB389" s="161"/>
      <c r="AC389" s="161"/>
      <c r="AI389" s="33"/>
      <c r="AJ389" s="33"/>
      <c r="AK389" s="33"/>
      <c r="AL389" s="33"/>
    </row>
  </sheetData>
  <mergeCells count="72">
    <mergeCell ref="F3:F5"/>
    <mergeCell ref="A3:A5"/>
    <mergeCell ref="B3:B5"/>
    <mergeCell ref="C3:C5"/>
    <mergeCell ref="D3:D5"/>
    <mergeCell ref="E3:E5"/>
    <mergeCell ref="Q4:S4"/>
    <mergeCell ref="T4:U4"/>
    <mergeCell ref="G3:G5"/>
    <mergeCell ref="H3:H5"/>
    <mergeCell ref="I3:I5"/>
    <mergeCell ref="J3:J5"/>
    <mergeCell ref="K3:L3"/>
    <mergeCell ref="M3:V3"/>
    <mergeCell ref="V4:V5"/>
    <mergeCell ref="AE4:AF4"/>
    <mergeCell ref="AG4:AH4"/>
    <mergeCell ref="A7:G7"/>
    <mergeCell ref="I8:J8"/>
    <mergeCell ref="O8:P8"/>
    <mergeCell ref="Q8:S8"/>
    <mergeCell ref="X8:Y8"/>
    <mergeCell ref="AB8:AC8"/>
    <mergeCell ref="W3:Z4"/>
    <mergeCell ref="AA3:AD4"/>
    <mergeCell ref="AE3:AH3"/>
    <mergeCell ref="K4:K5"/>
    <mergeCell ref="L4:L5"/>
    <mergeCell ref="M4:M5"/>
    <mergeCell ref="N4:N5"/>
    <mergeCell ref="O4:P4"/>
    <mergeCell ref="I9:K9"/>
    <mergeCell ref="I10:K10"/>
    <mergeCell ref="A13:A15"/>
    <mergeCell ref="B13:B15"/>
    <mergeCell ref="C13:C15"/>
    <mergeCell ref="D13:D15"/>
    <mergeCell ref="E13:E15"/>
    <mergeCell ref="F13:F15"/>
    <mergeCell ref="G13:G15"/>
    <mergeCell ref="H13:H15"/>
    <mergeCell ref="AE13:AH13"/>
    <mergeCell ref="K14:K15"/>
    <mergeCell ref="L14:L15"/>
    <mergeCell ref="M14:M15"/>
    <mergeCell ref="N14:N15"/>
    <mergeCell ref="O14:P14"/>
    <mergeCell ref="Q14:S14"/>
    <mergeCell ref="T14:U14"/>
    <mergeCell ref="V14:V15"/>
    <mergeCell ref="AE14:AF14"/>
    <mergeCell ref="K13:L13"/>
    <mergeCell ref="M13:V13"/>
    <mergeCell ref="W13:Z14"/>
    <mergeCell ref="AA13:AD14"/>
    <mergeCell ref="AG14:AH14"/>
    <mergeCell ref="AB20:AC20"/>
    <mergeCell ref="I13:I15"/>
    <mergeCell ref="J13:J15"/>
    <mergeCell ref="Z25:AA25"/>
    <mergeCell ref="B27:J27"/>
    <mergeCell ref="I21:K21"/>
    <mergeCell ref="I22:K22"/>
    <mergeCell ref="I23:K23"/>
    <mergeCell ref="A25:G25"/>
    <mergeCell ref="M25:N25"/>
    <mergeCell ref="V25:W25"/>
    <mergeCell ref="A19:G19"/>
    <mergeCell ref="I20:J20"/>
    <mergeCell ref="O20:P20"/>
    <mergeCell ref="Q20:S20"/>
    <mergeCell ref="X20:Y20"/>
  </mergeCells>
  <printOptions horizontalCentered="1"/>
  <pageMargins left="0.28000000000000003" right="0.14000000000000001" top="0.93" bottom="0.36" header="0.64" footer="0.2"/>
  <pageSetup paperSize="9" scale="80" orientation="landscape" horizontalDpi="4294967293" r:id="rId1"/>
  <headerFooter>
    <oddFooter>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M542"/>
  <sheetViews>
    <sheetView showGridLines="0" view="pageBreakPreview" zoomScale="85" zoomScaleNormal="85" zoomScaleSheetLayoutView="85" workbookViewId="0">
      <selection activeCell="H66" sqref="H66"/>
    </sheetView>
  </sheetViews>
  <sheetFormatPr defaultRowHeight="15"/>
  <cols>
    <col min="1" max="1" width="4.140625" style="474" bestFit="1" customWidth="1"/>
    <col min="2" max="2" width="4.7109375" style="474" bestFit="1" customWidth="1"/>
    <col min="3" max="3" width="4" style="474" bestFit="1" customWidth="1"/>
    <col min="4" max="4" width="35.42578125" style="33" bestFit="1" customWidth="1"/>
    <col min="5" max="5" width="6" style="33" bestFit="1" customWidth="1"/>
    <col min="6" max="6" width="24" style="33" bestFit="1" customWidth="1"/>
    <col min="7" max="7" width="18.5703125" style="33" customWidth="1"/>
    <col min="8" max="8" width="18.5703125" style="33" bestFit="1" customWidth="1"/>
    <col min="9" max="9" width="17" bestFit="1" customWidth="1"/>
    <col min="10" max="11" width="18.5703125" bestFit="1" customWidth="1"/>
    <col min="12" max="13" width="18.5703125" customWidth="1"/>
  </cols>
  <sheetData>
    <row r="1" spans="1:13" ht="15.75">
      <c r="A1" s="213" t="s">
        <v>3005</v>
      </c>
    </row>
    <row r="2" spans="1:13">
      <c r="A2" s="124"/>
    </row>
    <row r="3" spans="1:13">
      <c r="A3" s="1622" t="s">
        <v>6</v>
      </c>
      <c r="B3" s="1622" t="s">
        <v>198</v>
      </c>
      <c r="C3" s="1622" t="s">
        <v>199</v>
      </c>
      <c r="D3" s="1622" t="s">
        <v>3</v>
      </c>
      <c r="E3" s="1624" t="s">
        <v>141</v>
      </c>
      <c r="F3" s="1622" t="s">
        <v>51</v>
      </c>
      <c r="G3" s="1626" t="s">
        <v>2841</v>
      </c>
      <c r="H3" s="1627"/>
      <c r="I3" s="1609" t="s">
        <v>2984</v>
      </c>
      <c r="J3" s="1610"/>
      <c r="K3" s="1610"/>
      <c r="L3" s="1610"/>
      <c r="M3" s="1611"/>
    </row>
    <row r="4" spans="1:13">
      <c r="A4" s="1623"/>
      <c r="B4" s="1623"/>
      <c r="C4" s="1623"/>
      <c r="D4" s="1623"/>
      <c r="E4" s="1625"/>
      <c r="F4" s="1623"/>
      <c r="G4" s="838" t="s">
        <v>54</v>
      </c>
      <c r="H4" s="839" t="s">
        <v>55</v>
      </c>
      <c r="I4" s="1013" t="s">
        <v>2839</v>
      </c>
      <c r="J4" s="1014" t="s">
        <v>2840</v>
      </c>
      <c r="K4" s="1014" t="s">
        <v>2538</v>
      </c>
      <c r="L4" s="1014" t="s">
        <v>2539</v>
      </c>
      <c r="M4" s="1014" t="s">
        <v>2995</v>
      </c>
    </row>
    <row r="5" spans="1:13">
      <c r="A5" s="1120">
        <v>1</v>
      </c>
      <c r="B5" s="1121" t="s">
        <v>194</v>
      </c>
      <c r="C5" s="1121">
        <v>16</v>
      </c>
      <c r="D5" s="1122" t="s">
        <v>13</v>
      </c>
      <c r="E5" s="1123" t="s">
        <v>354</v>
      </c>
      <c r="F5" s="1123" t="s">
        <v>142</v>
      </c>
      <c r="G5" s="1124">
        <v>0</v>
      </c>
      <c r="H5" s="1015">
        <v>15000000</v>
      </c>
      <c r="I5" s="1134"/>
      <c r="J5" s="1135"/>
      <c r="K5" s="1136"/>
      <c r="L5" s="1135"/>
      <c r="M5" s="1135"/>
    </row>
    <row r="6" spans="1:13">
      <c r="A6" s="1113">
        <v>2</v>
      </c>
      <c r="B6" s="1114" t="s">
        <v>195</v>
      </c>
      <c r="C6" s="1114">
        <v>1</v>
      </c>
      <c r="D6" s="1115" t="s">
        <v>13</v>
      </c>
      <c r="E6" s="1116" t="s">
        <v>354</v>
      </c>
      <c r="F6" s="1116" t="s">
        <v>143</v>
      </c>
      <c r="G6" s="1096">
        <v>0</v>
      </c>
      <c r="H6" s="1016">
        <v>15000000</v>
      </c>
      <c r="I6" s="1137"/>
      <c r="J6" s="1138"/>
      <c r="K6" s="1138"/>
      <c r="L6" s="1138"/>
      <c r="M6" s="1138"/>
    </row>
    <row r="7" spans="1:13">
      <c r="A7" s="1113">
        <v>3</v>
      </c>
      <c r="B7" s="1114" t="s">
        <v>239</v>
      </c>
      <c r="C7" s="1114">
        <v>1</v>
      </c>
      <c r="D7" s="1115" t="s">
        <v>13</v>
      </c>
      <c r="E7" s="1116" t="s">
        <v>354</v>
      </c>
      <c r="F7" s="1116" t="s">
        <v>394</v>
      </c>
      <c r="G7" s="1096">
        <v>0</v>
      </c>
      <c r="H7" s="1016">
        <v>15000000</v>
      </c>
      <c r="I7" s="1137"/>
      <c r="J7" s="1138"/>
      <c r="K7" s="1138"/>
      <c r="L7" s="1138"/>
      <c r="M7" s="1138"/>
    </row>
    <row r="8" spans="1:13">
      <c r="A8" s="1113">
        <v>4</v>
      </c>
      <c r="B8" s="1114" t="s">
        <v>240</v>
      </c>
      <c r="C8" s="1114">
        <v>1</v>
      </c>
      <c r="D8" s="1115" t="s">
        <v>13</v>
      </c>
      <c r="E8" s="1116" t="s">
        <v>354</v>
      </c>
      <c r="F8" s="1116" t="s">
        <v>406</v>
      </c>
      <c r="G8" s="1096">
        <v>0</v>
      </c>
      <c r="H8" s="1016">
        <v>15000000</v>
      </c>
      <c r="I8" s="1137"/>
      <c r="J8" s="1138"/>
      <c r="K8" s="1138"/>
      <c r="L8" s="1138"/>
      <c r="M8" s="1138"/>
    </row>
    <row r="9" spans="1:13">
      <c r="A9" s="1113">
        <v>5</v>
      </c>
      <c r="B9" s="1114" t="s">
        <v>58</v>
      </c>
      <c r="C9" s="1114">
        <v>2</v>
      </c>
      <c r="D9" s="1115" t="s">
        <v>13</v>
      </c>
      <c r="E9" s="1116" t="s">
        <v>354</v>
      </c>
      <c r="F9" s="1116" t="s">
        <v>437</v>
      </c>
      <c r="G9" s="1096">
        <v>0</v>
      </c>
      <c r="H9" s="1016">
        <v>15000000</v>
      </c>
      <c r="I9" s="1137"/>
      <c r="J9" s="1138"/>
      <c r="K9" s="1138"/>
      <c r="L9" s="1138"/>
      <c r="M9" s="1138"/>
    </row>
    <row r="10" spans="1:13">
      <c r="A10" s="1113">
        <v>6</v>
      </c>
      <c r="B10" s="1114" t="s">
        <v>241</v>
      </c>
      <c r="C10" s="1114">
        <v>1</v>
      </c>
      <c r="D10" s="1115" t="s">
        <v>13</v>
      </c>
      <c r="E10" s="1116" t="s">
        <v>354</v>
      </c>
      <c r="F10" s="1116" t="s">
        <v>466</v>
      </c>
      <c r="G10" s="1096">
        <v>0</v>
      </c>
      <c r="H10" s="1017">
        <v>15000000</v>
      </c>
      <c r="I10" s="1137"/>
      <c r="J10" s="1138"/>
      <c r="K10" s="1138"/>
      <c r="L10" s="1138"/>
      <c r="M10" s="1138"/>
    </row>
    <row r="11" spans="1:13">
      <c r="A11" s="1113">
        <v>7</v>
      </c>
      <c r="B11" s="1114" t="s">
        <v>241</v>
      </c>
      <c r="C11" s="1114">
        <v>2</v>
      </c>
      <c r="D11" s="1115" t="s">
        <v>13</v>
      </c>
      <c r="E11" s="1116" t="s">
        <v>118</v>
      </c>
      <c r="F11" s="1116" t="s">
        <v>467</v>
      </c>
      <c r="G11" s="1096">
        <v>0</v>
      </c>
      <c r="H11" s="1017">
        <v>52500000</v>
      </c>
      <c r="I11" s="1137"/>
      <c r="J11" s="1138"/>
      <c r="K11" s="1138"/>
      <c r="L11" s="1138"/>
      <c r="M11" s="1138"/>
    </row>
    <row r="12" spans="1:13">
      <c r="A12" s="1020">
        <v>8</v>
      </c>
      <c r="B12" s="1020" t="s">
        <v>245</v>
      </c>
      <c r="C12" s="1020">
        <v>3</v>
      </c>
      <c r="D12" s="1021" t="s">
        <v>173</v>
      </c>
      <c r="E12" s="1022" t="s">
        <v>354</v>
      </c>
      <c r="F12" s="1023" t="s">
        <v>174</v>
      </c>
      <c r="G12" s="835">
        <v>550</v>
      </c>
      <c r="H12" s="1019">
        <v>0</v>
      </c>
      <c r="I12" s="1130"/>
      <c r="J12" s="1132"/>
      <c r="K12" s="1132"/>
      <c r="L12" s="1132"/>
      <c r="M12" s="1132"/>
    </row>
    <row r="13" spans="1:13">
      <c r="A13" s="1020">
        <v>9</v>
      </c>
      <c r="B13" s="1020" t="s">
        <v>238</v>
      </c>
      <c r="C13" s="1020">
        <v>1</v>
      </c>
      <c r="D13" s="1021" t="s">
        <v>173</v>
      </c>
      <c r="E13" s="1022" t="s">
        <v>354</v>
      </c>
      <c r="F13" s="1023" t="s">
        <v>175</v>
      </c>
      <c r="G13" s="835">
        <v>550</v>
      </c>
      <c r="H13" s="1019">
        <v>0</v>
      </c>
      <c r="I13" s="1130"/>
      <c r="J13" s="1132"/>
      <c r="K13" s="1132"/>
      <c r="L13" s="1132"/>
      <c r="M13" s="1132"/>
    </row>
    <row r="14" spans="1:13">
      <c r="A14" s="1020">
        <v>10</v>
      </c>
      <c r="B14" s="1020" t="s">
        <v>140</v>
      </c>
      <c r="C14" s="1020">
        <v>3</v>
      </c>
      <c r="D14" s="1021" t="s">
        <v>173</v>
      </c>
      <c r="E14" s="1022" t="s">
        <v>354</v>
      </c>
      <c r="F14" s="1023" t="s">
        <v>176</v>
      </c>
      <c r="G14" s="835">
        <v>550</v>
      </c>
      <c r="H14" s="1019">
        <v>0</v>
      </c>
      <c r="I14" s="1130"/>
      <c r="J14" s="1132"/>
      <c r="K14" s="1132"/>
      <c r="L14" s="1132"/>
      <c r="M14" s="1132"/>
    </row>
    <row r="15" spans="1:13">
      <c r="A15" s="1020">
        <v>11</v>
      </c>
      <c r="B15" s="1020" t="s">
        <v>194</v>
      </c>
      <c r="C15" s="1020">
        <v>7</v>
      </c>
      <c r="D15" s="1021" t="s">
        <v>173</v>
      </c>
      <c r="E15" s="1022" t="s">
        <v>354</v>
      </c>
      <c r="F15" s="1023" t="s">
        <v>177</v>
      </c>
      <c r="G15" s="835">
        <v>550</v>
      </c>
      <c r="H15" s="1019">
        <v>0</v>
      </c>
      <c r="I15" s="1130"/>
      <c r="J15" s="1132"/>
      <c r="K15" s="1132"/>
      <c r="L15" s="1132"/>
      <c r="M15" s="1132"/>
    </row>
    <row r="16" spans="1:13">
      <c r="A16" s="1020">
        <v>12</v>
      </c>
      <c r="B16" s="1020" t="s">
        <v>195</v>
      </c>
      <c r="C16" s="1020">
        <v>5</v>
      </c>
      <c r="D16" s="1021" t="s">
        <v>173</v>
      </c>
      <c r="E16" s="1022" t="s">
        <v>354</v>
      </c>
      <c r="F16" s="1023" t="s">
        <v>178</v>
      </c>
      <c r="G16" s="835">
        <v>550</v>
      </c>
      <c r="H16" s="1019">
        <v>0</v>
      </c>
      <c r="I16" s="1130"/>
      <c r="J16" s="1132"/>
      <c r="K16" s="1132"/>
      <c r="L16" s="1132"/>
      <c r="M16" s="1132"/>
    </row>
    <row r="17" spans="1:13">
      <c r="A17" s="1020">
        <v>13</v>
      </c>
      <c r="B17" s="1020" t="s">
        <v>239</v>
      </c>
      <c r="C17" s="1020">
        <v>5</v>
      </c>
      <c r="D17" s="1021" t="s">
        <v>173</v>
      </c>
      <c r="E17" s="1022" t="s">
        <v>354</v>
      </c>
      <c r="F17" s="1023" t="s">
        <v>179</v>
      </c>
      <c r="G17" s="835">
        <v>550</v>
      </c>
      <c r="H17" s="1019">
        <v>0</v>
      </c>
      <c r="I17" s="1130"/>
      <c r="J17" s="1132"/>
      <c r="K17" s="1132"/>
      <c r="L17" s="1132"/>
      <c r="M17" s="1132"/>
    </row>
    <row r="18" spans="1:13">
      <c r="A18" s="1020">
        <v>14</v>
      </c>
      <c r="B18" s="1020" t="s">
        <v>240</v>
      </c>
      <c r="C18" s="1020">
        <v>1</v>
      </c>
      <c r="D18" s="1021" t="s">
        <v>173</v>
      </c>
      <c r="E18" s="1022" t="s">
        <v>354</v>
      </c>
      <c r="F18" s="1023" t="s">
        <v>180</v>
      </c>
      <c r="G18" s="835">
        <v>550</v>
      </c>
      <c r="H18" s="1019">
        <v>0</v>
      </c>
      <c r="I18" s="1130"/>
      <c r="J18" s="1132"/>
      <c r="K18" s="1132"/>
      <c r="L18" s="1132"/>
      <c r="M18" s="1132"/>
    </row>
    <row r="19" spans="1:13">
      <c r="A19" s="1020">
        <v>15</v>
      </c>
      <c r="B19" s="1020" t="s">
        <v>58</v>
      </c>
      <c r="C19" s="1020">
        <v>2</v>
      </c>
      <c r="D19" s="1021" t="s">
        <v>173</v>
      </c>
      <c r="E19" s="1022" t="s">
        <v>354</v>
      </c>
      <c r="F19" s="1023" t="s">
        <v>181</v>
      </c>
      <c r="G19" s="835">
        <v>550</v>
      </c>
      <c r="H19" s="1019">
        <v>0</v>
      </c>
      <c r="I19" s="1130"/>
      <c r="J19" s="1132"/>
      <c r="K19" s="1132"/>
      <c r="L19" s="1132"/>
      <c r="M19" s="1132"/>
    </row>
    <row r="20" spans="1:13">
      <c r="A20" s="1020">
        <v>16</v>
      </c>
      <c r="B20" s="1020" t="s">
        <v>241</v>
      </c>
      <c r="C20" s="1020">
        <v>4</v>
      </c>
      <c r="D20" s="1021" t="s">
        <v>173</v>
      </c>
      <c r="E20" s="1022" t="s">
        <v>354</v>
      </c>
      <c r="F20" s="1023" t="s">
        <v>182</v>
      </c>
      <c r="G20" s="835">
        <v>550</v>
      </c>
      <c r="H20" s="1019">
        <v>0</v>
      </c>
      <c r="I20" s="1130"/>
      <c r="J20" s="1132"/>
      <c r="K20" s="1132"/>
      <c r="L20" s="1132"/>
      <c r="M20" s="1132"/>
    </row>
    <row r="21" spans="1:13">
      <c r="A21" s="1020">
        <v>17</v>
      </c>
      <c r="B21" s="1020" t="s">
        <v>242</v>
      </c>
      <c r="C21" s="1020">
        <v>1</v>
      </c>
      <c r="D21" s="1021" t="s">
        <v>173</v>
      </c>
      <c r="E21" s="1022" t="s">
        <v>354</v>
      </c>
      <c r="F21" s="1023" t="s">
        <v>183</v>
      </c>
      <c r="G21" s="835">
        <v>550</v>
      </c>
      <c r="H21" s="1019">
        <v>0</v>
      </c>
      <c r="I21" s="1130"/>
      <c r="J21" s="1132"/>
      <c r="K21" s="1132"/>
      <c r="L21" s="1132"/>
      <c r="M21" s="1132"/>
    </row>
    <row r="22" spans="1:13">
      <c r="A22" s="1020">
        <v>18</v>
      </c>
      <c r="B22" s="1020" t="s">
        <v>243</v>
      </c>
      <c r="C22" s="1020">
        <v>7</v>
      </c>
      <c r="D22" s="1021" t="s">
        <v>173</v>
      </c>
      <c r="E22" s="1022" t="s">
        <v>354</v>
      </c>
      <c r="F22" s="1023" t="s">
        <v>184</v>
      </c>
      <c r="G22" s="835">
        <v>550</v>
      </c>
      <c r="H22" s="1019">
        <v>0</v>
      </c>
      <c r="I22" s="1130"/>
      <c r="J22" s="1132"/>
      <c r="K22" s="1132"/>
      <c r="L22" s="1132"/>
      <c r="M22" s="1132"/>
    </row>
    <row r="23" spans="1:13">
      <c r="A23" s="1113">
        <v>19</v>
      </c>
      <c r="B23" s="1114" t="s">
        <v>241</v>
      </c>
      <c r="C23" s="1114">
        <v>28</v>
      </c>
      <c r="D23" s="1115" t="s">
        <v>20</v>
      </c>
      <c r="E23" s="1116" t="s">
        <v>118</v>
      </c>
      <c r="F23" s="1116" t="s">
        <v>488</v>
      </c>
      <c r="G23" s="1128">
        <v>0</v>
      </c>
      <c r="H23" s="1097">
        <v>3684200</v>
      </c>
      <c r="I23" s="1137"/>
      <c r="J23" s="1138"/>
      <c r="K23" s="1138"/>
      <c r="L23" s="1138"/>
      <c r="M23" s="1138"/>
    </row>
    <row r="24" spans="1:13">
      <c r="A24" s="1113">
        <v>20</v>
      </c>
      <c r="B24" s="1114" t="s">
        <v>241</v>
      </c>
      <c r="C24" s="1114">
        <v>28</v>
      </c>
      <c r="D24" s="1115" t="s">
        <v>20</v>
      </c>
      <c r="E24" s="1116" t="s">
        <v>118</v>
      </c>
      <c r="F24" s="1116" t="s">
        <v>489</v>
      </c>
      <c r="G24" s="1128">
        <v>0</v>
      </c>
      <c r="H24" s="1097">
        <v>820000</v>
      </c>
      <c r="I24" s="1137"/>
      <c r="J24" s="1138"/>
      <c r="K24" s="1138"/>
      <c r="L24" s="1138"/>
      <c r="M24" s="1138"/>
    </row>
    <row r="25" spans="1:13">
      <c r="A25" s="211">
        <v>21</v>
      </c>
      <c r="B25" s="53" t="s">
        <v>242</v>
      </c>
      <c r="C25" s="53">
        <v>11</v>
      </c>
      <c r="D25" s="8" t="s">
        <v>20</v>
      </c>
      <c r="E25" s="672" t="s">
        <v>354</v>
      </c>
      <c r="F25" s="672" t="s">
        <v>2845</v>
      </c>
      <c r="G25" s="342">
        <v>0</v>
      </c>
      <c r="H25" s="115">
        <v>822331659.60000002</v>
      </c>
      <c r="I25" s="874"/>
      <c r="J25" s="875"/>
      <c r="K25" s="877">
        <f>SUM(H25)</f>
        <v>822331659.60000002</v>
      </c>
      <c r="L25" s="875"/>
      <c r="M25" s="875"/>
    </row>
    <row r="26" spans="1:13">
      <c r="A26" s="211">
        <v>22</v>
      </c>
      <c r="B26" s="9" t="s">
        <v>242</v>
      </c>
      <c r="C26" s="9">
        <v>3</v>
      </c>
      <c r="D26" s="8" t="s">
        <v>20</v>
      </c>
      <c r="E26" s="10" t="s">
        <v>346</v>
      </c>
      <c r="F26" s="10" t="s">
        <v>2847</v>
      </c>
      <c r="G26" s="342">
        <v>0</v>
      </c>
      <c r="H26" s="1103">
        <v>45012000</v>
      </c>
      <c r="I26" s="874"/>
      <c r="J26" s="873"/>
      <c r="K26" s="877">
        <f>SUM(H26)</f>
        <v>45012000</v>
      </c>
      <c r="L26" s="875"/>
      <c r="M26" s="875"/>
    </row>
    <row r="27" spans="1:13">
      <c r="A27" s="211">
        <v>23</v>
      </c>
      <c r="B27" s="9" t="s">
        <v>243</v>
      </c>
      <c r="C27" s="9">
        <v>1</v>
      </c>
      <c r="D27" s="8" t="s">
        <v>20</v>
      </c>
      <c r="E27" s="10" t="s">
        <v>354</v>
      </c>
      <c r="F27" s="10" t="s">
        <v>2932</v>
      </c>
      <c r="G27" s="210">
        <v>0</v>
      </c>
      <c r="H27" s="1104">
        <v>805882849.20000005</v>
      </c>
      <c r="I27" s="874"/>
      <c r="J27" s="873"/>
      <c r="K27" s="873"/>
      <c r="L27" s="873"/>
      <c r="M27" s="873"/>
    </row>
    <row r="28" spans="1:13">
      <c r="A28" s="211">
        <v>24</v>
      </c>
      <c r="B28" s="9" t="s">
        <v>242</v>
      </c>
      <c r="C28" s="9">
        <v>3</v>
      </c>
      <c r="D28" s="8" t="s">
        <v>24</v>
      </c>
      <c r="E28" s="10" t="s">
        <v>362</v>
      </c>
      <c r="F28" s="10" t="s">
        <v>2765</v>
      </c>
      <c r="G28" s="210">
        <v>0</v>
      </c>
      <c r="H28" s="1104">
        <v>4400000</v>
      </c>
      <c r="I28" s="874"/>
      <c r="J28" s="875"/>
      <c r="K28" s="1188">
        <f>SUM(H28)</f>
        <v>4400000</v>
      </c>
      <c r="L28" s="873"/>
      <c r="M28" s="873"/>
    </row>
    <row r="29" spans="1:13">
      <c r="A29" s="1020">
        <v>25</v>
      </c>
      <c r="B29" s="1020" t="s">
        <v>238</v>
      </c>
      <c r="C29" s="1020">
        <v>10</v>
      </c>
      <c r="D29" s="1024" t="s">
        <v>190</v>
      </c>
      <c r="E29" s="1020" t="s">
        <v>144</v>
      </c>
      <c r="F29" s="1023" t="s">
        <v>191</v>
      </c>
      <c r="G29" s="835">
        <v>0</v>
      </c>
      <c r="H29" s="1111">
        <v>50000000</v>
      </c>
      <c r="I29" s="1130"/>
      <c r="J29" s="1131"/>
      <c r="K29" s="1132"/>
      <c r="L29" s="1131"/>
      <c r="M29" s="1131"/>
    </row>
    <row r="30" spans="1:13">
      <c r="A30" s="211">
        <v>26</v>
      </c>
      <c r="B30" s="9" t="s">
        <v>243</v>
      </c>
      <c r="C30" s="9">
        <v>1</v>
      </c>
      <c r="D30" s="8" t="s">
        <v>1625</v>
      </c>
      <c r="E30" s="10" t="s">
        <v>355</v>
      </c>
      <c r="F30" s="10" t="s">
        <v>2957</v>
      </c>
      <c r="G30" s="210">
        <v>0</v>
      </c>
      <c r="H30" s="1104">
        <v>65924100</v>
      </c>
      <c r="I30" s="872"/>
      <c r="J30" s="873"/>
      <c r="K30" s="875">
        <f>SUM(H30)</f>
        <v>65924100</v>
      </c>
      <c r="L30" s="875"/>
      <c r="M30" s="875"/>
    </row>
    <row r="31" spans="1:13">
      <c r="A31" s="211">
        <v>27</v>
      </c>
      <c r="B31" s="9" t="s">
        <v>243</v>
      </c>
      <c r="C31" s="9">
        <v>1</v>
      </c>
      <c r="D31" s="8" t="s">
        <v>1625</v>
      </c>
      <c r="E31" s="10" t="s">
        <v>355</v>
      </c>
      <c r="F31" s="10" t="s">
        <v>2959</v>
      </c>
      <c r="G31" s="210">
        <v>0</v>
      </c>
      <c r="H31" s="1104">
        <v>65924100</v>
      </c>
      <c r="I31" s="872"/>
      <c r="J31" s="875"/>
      <c r="K31" s="875">
        <f>SUM(H31)</f>
        <v>65924100</v>
      </c>
      <c r="L31" s="875"/>
      <c r="M31" s="875"/>
    </row>
    <row r="32" spans="1:13">
      <c r="A32" s="1113">
        <v>28</v>
      </c>
      <c r="B32" s="1114" t="s">
        <v>195</v>
      </c>
      <c r="C32" s="1114">
        <v>1</v>
      </c>
      <c r="D32" s="1115" t="s">
        <v>28</v>
      </c>
      <c r="E32" s="1116" t="s">
        <v>364</v>
      </c>
      <c r="F32" s="1116" t="s">
        <v>1943</v>
      </c>
      <c r="G32" s="1128">
        <v>0</v>
      </c>
      <c r="H32" s="1119">
        <v>1100000</v>
      </c>
      <c r="I32" s="1137"/>
      <c r="J32" s="1139"/>
      <c r="K32" s="1140"/>
      <c r="L32" s="1139"/>
      <c r="M32" s="1139"/>
    </row>
    <row r="33" spans="1:13">
      <c r="A33" s="1113">
        <v>29</v>
      </c>
      <c r="B33" s="1114" t="s">
        <v>239</v>
      </c>
      <c r="C33" s="1114">
        <v>1</v>
      </c>
      <c r="D33" s="1115" t="s">
        <v>28</v>
      </c>
      <c r="E33" s="1116" t="s">
        <v>364</v>
      </c>
      <c r="F33" s="1116" t="s">
        <v>2102</v>
      </c>
      <c r="G33" s="1128">
        <v>0</v>
      </c>
      <c r="H33" s="1119">
        <v>843324.9</v>
      </c>
      <c r="I33" s="1137"/>
      <c r="J33" s="1139"/>
      <c r="K33" s="1140"/>
      <c r="L33" s="1138"/>
      <c r="M33" s="1138"/>
    </row>
    <row r="34" spans="1:13">
      <c r="A34" s="1020">
        <v>30</v>
      </c>
      <c r="B34" s="1020" t="s">
        <v>239</v>
      </c>
      <c r="C34" s="1020">
        <v>3</v>
      </c>
      <c r="D34" s="1025" t="s">
        <v>205</v>
      </c>
      <c r="E34" s="1022" t="s">
        <v>147</v>
      </c>
      <c r="F34" s="1022" t="s">
        <v>249</v>
      </c>
      <c r="G34" s="835">
        <v>0</v>
      </c>
      <c r="H34" s="1111">
        <v>10500000</v>
      </c>
      <c r="I34" s="1130"/>
      <c r="J34" s="1131"/>
      <c r="K34" s="1133"/>
      <c r="L34" s="1132"/>
      <c r="M34" s="1132"/>
    </row>
    <row r="35" spans="1:13">
      <c r="A35" s="1020">
        <v>31</v>
      </c>
      <c r="B35" s="1020" t="s">
        <v>239</v>
      </c>
      <c r="C35" s="1020">
        <v>3</v>
      </c>
      <c r="D35" s="1025" t="s">
        <v>205</v>
      </c>
      <c r="E35" s="1022" t="s">
        <v>118</v>
      </c>
      <c r="F35" s="1022" t="s">
        <v>250</v>
      </c>
      <c r="G35" s="835">
        <v>0</v>
      </c>
      <c r="H35" s="1111">
        <v>9106100</v>
      </c>
      <c r="I35" s="1130"/>
      <c r="J35" s="1131"/>
      <c r="K35" s="1131"/>
      <c r="L35" s="1132"/>
      <c r="M35" s="1132"/>
    </row>
    <row r="36" spans="1:13">
      <c r="A36" s="211">
        <v>32</v>
      </c>
      <c r="B36" s="9" t="s">
        <v>242</v>
      </c>
      <c r="C36" s="9">
        <v>3</v>
      </c>
      <c r="D36" s="8" t="s">
        <v>95</v>
      </c>
      <c r="E36" s="10" t="s">
        <v>357</v>
      </c>
      <c r="F36" s="10" t="s">
        <v>2778</v>
      </c>
      <c r="G36" s="342">
        <v>0</v>
      </c>
      <c r="H36" s="1103">
        <v>41096440</v>
      </c>
      <c r="I36" s="872"/>
      <c r="J36" s="875"/>
      <c r="K36" s="875">
        <f>SUM(H36)</f>
        <v>41096440</v>
      </c>
      <c r="L36" s="873"/>
      <c r="M36" s="873"/>
    </row>
    <row r="37" spans="1:13">
      <c r="A37" s="211">
        <v>33</v>
      </c>
      <c r="B37" s="9" t="s">
        <v>242</v>
      </c>
      <c r="C37" s="9">
        <v>3</v>
      </c>
      <c r="D37" s="8" t="s">
        <v>95</v>
      </c>
      <c r="E37" s="10" t="s">
        <v>357</v>
      </c>
      <c r="F37" s="10" t="s">
        <v>2779</v>
      </c>
      <c r="G37" s="342">
        <v>0</v>
      </c>
      <c r="H37" s="1103">
        <v>17589000</v>
      </c>
      <c r="I37" s="872"/>
      <c r="J37" s="875"/>
      <c r="K37" s="875">
        <f t="shared" ref="K37:K43" si="0">SUM(H37)</f>
        <v>17589000</v>
      </c>
      <c r="L37" s="873"/>
      <c r="M37" s="873"/>
    </row>
    <row r="38" spans="1:13">
      <c r="A38" s="211">
        <v>34</v>
      </c>
      <c r="B38" s="9" t="s">
        <v>242</v>
      </c>
      <c r="C38" s="9">
        <v>3</v>
      </c>
      <c r="D38" s="8" t="s">
        <v>95</v>
      </c>
      <c r="E38" s="10" t="s">
        <v>357</v>
      </c>
      <c r="F38" s="10" t="s">
        <v>2780</v>
      </c>
      <c r="G38" s="342">
        <v>0</v>
      </c>
      <c r="H38" s="1103">
        <v>21986250</v>
      </c>
      <c r="I38" s="872"/>
      <c r="J38" s="875"/>
      <c r="K38" s="875">
        <f t="shared" si="0"/>
        <v>21986250</v>
      </c>
      <c r="L38" s="873"/>
      <c r="M38" s="873"/>
    </row>
    <row r="39" spans="1:13">
      <c r="A39" s="211">
        <v>35</v>
      </c>
      <c r="B39" s="9" t="s">
        <v>242</v>
      </c>
      <c r="C39" s="9">
        <v>3</v>
      </c>
      <c r="D39" s="8" t="s">
        <v>95</v>
      </c>
      <c r="E39" s="10" t="s">
        <v>357</v>
      </c>
      <c r="F39" s="10" t="s">
        <v>2781</v>
      </c>
      <c r="G39" s="342">
        <v>0</v>
      </c>
      <c r="H39" s="1103">
        <v>19054750</v>
      </c>
      <c r="I39" s="872"/>
      <c r="J39" s="873"/>
      <c r="K39" s="875">
        <f t="shared" si="0"/>
        <v>19054750</v>
      </c>
      <c r="L39" s="873"/>
      <c r="M39" s="873"/>
    </row>
    <row r="40" spans="1:13">
      <c r="A40" s="211">
        <v>36</v>
      </c>
      <c r="B40" s="9" t="s">
        <v>242</v>
      </c>
      <c r="C40" s="9">
        <v>3</v>
      </c>
      <c r="D40" s="8" t="s">
        <v>95</v>
      </c>
      <c r="E40" s="10" t="s">
        <v>354</v>
      </c>
      <c r="F40" s="10" t="s">
        <v>2782</v>
      </c>
      <c r="G40" s="342">
        <v>0</v>
      </c>
      <c r="H40" s="1103">
        <v>31900000</v>
      </c>
      <c r="I40" s="872"/>
      <c r="J40" s="873"/>
      <c r="K40" s="875">
        <f t="shared" si="0"/>
        <v>31900000</v>
      </c>
      <c r="L40" s="873"/>
      <c r="M40" s="873"/>
    </row>
    <row r="41" spans="1:13">
      <c r="A41" s="211">
        <v>37</v>
      </c>
      <c r="B41" s="9" t="s">
        <v>242</v>
      </c>
      <c r="C41" s="9">
        <v>3</v>
      </c>
      <c r="D41" s="8" t="s">
        <v>95</v>
      </c>
      <c r="E41" s="10" t="s">
        <v>354</v>
      </c>
      <c r="F41" s="10" t="s">
        <v>2783</v>
      </c>
      <c r="G41" s="342">
        <v>0</v>
      </c>
      <c r="H41" s="1103">
        <v>6600000</v>
      </c>
      <c r="I41" s="1018"/>
      <c r="J41" s="875"/>
      <c r="K41" s="875">
        <f t="shared" si="0"/>
        <v>6600000</v>
      </c>
      <c r="L41" s="873"/>
      <c r="M41" s="873"/>
    </row>
    <row r="42" spans="1:13">
      <c r="A42" s="211">
        <v>38</v>
      </c>
      <c r="B42" s="9" t="s">
        <v>242</v>
      </c>
      <c r="C42" s="9">
        <v>3</v>
      </c>
      <c r="D42" s="8" t="s">
        <v>95</v>
      </c>
      <c r="E42" s="10" t="s">
        <v>354</v>
      </c>
      <c r="F42" s="10" t="s">
        <v>2784</v>
      </c>
      <c r="G42" s="342">
        <v>0</v>
      </c>
      <c r="H42" s="1103">
        <v>23100000</v>
      </c>
      <c r="I42" s="1018"/>
      <c r="J42" s="875"/>
      <c r="K42" s="875">
        <f t="shared" si="0"/>
        <v>23100000</v>
      </c>
      <c r="L42" s="873"/>
      <c r="M42" s="873"/>
    </row>
    <row r="43" spans="1:13">
      <c r="A43" s="211">
        <v>39</v>
      </c>
      <c r="B43" s="9" t="s">
        <v>242</v>
      </c>
      <c r="C43" s="9">
        <v>3</v>
      </c>
      <c r="D43" s="8" t="s">
        <v>95</v>
      </c>
      <c r="E43" s="10" t="s">
        <v>354</v>
      </c>
      <c r="F43" s="10" t="s">
        <v>2829</v>
      </c>
      <c r="G43" s="342">
        <v>0</v>
      </c>
      <c r="H43" s="1103">
        <v>6600000</v>
      </c>
      <c r="I43" s="1018"/>
      <c r="J43" s="875"/>
      <c r="K43" s="875">
        <f t="shared" si="0"/>
        <v>6600000</v>
      </c>
      <c r="L43" s="873"/>
      <c r="M43" s="873"/>
    </row>
    <row r="44" spans="1:13">
      <c r="A44" s="211">
        <v>40</v>
      </c>
      <c r="B44" s="9" t="s">
        <v>243</v>
      </c>
      <c r="C44" s="9">
        <v>1</v>
      </c>
      <c r="D44" s="8" t="s">
        <v>95</v>
      </c>
      <c r="E44" s="10" t="s">
        <v>357</v>
      </c>
      <c r="F44" s="10" t="s">
        <v>2933</v>
      </c>
      <c r="G44" s="210">
        <v>0</v>
      </c>
      <c r="H44" s="1104">
        <v>41096440</v>
      </c>
      <c r="I44" s="1018"/>
      <c r="J44" s="875"/>
      <c r="K44" s="875"/>
      <c r="L44" s="873"/>
      <c r="M44" s="873"/>
    </row>
    <row r="45" spans="1:13">
      <c r="A45" s="211">
        <v>41</v>
      </c>
      <c r="B45" s="9" t="s">
        <v>243</v>
      </c>
      <c r="C45" s="9">
        <v>1</v>
      </c>
      <c r="D45" s="8" t="s">
        <v>95</v>
      </c>
      <c r="E45" s="10" t="s">
        <v>357</v>
      </c>
      <c r="F45" s="10" t="s">
        <v>2934</v>
      </c>
      <c r="G45" s="210">
        <v>0</v>
      </c>
      <c r="H45" s="1104">
        <v>17579760</v>
      </c>
      <c r="I45" s="1018"/>
      <c r="J45" s="875"/>
      <c r="K45" s="875"/>
      <c r="L45" s="873"/>
      <c r="M45" s="873"/>
    </row>
    <row r="46" spans="1:13">
      <c r="A46" s="211">
        <v>42</v>
      </c>
      <c r="B46" s="9" t="s">
        <v>243</v>
      </c>
      <c r="C46" s="9">
        <v>1</v>
      </c>
      <c r="D46" s="8" t="s">
        <v>95</v>
      </c>
      <c r="E46" s="10" t="s">
        <v>357</v>
      </c>
      <c r="F46" s="10" t="s">
        <v>2935</v>
      </c>
      <c r="G46" s="210">
        <v>0</v>
      </c>
      <c r="H46" s="1104">
        <v>21974700</v>
      </c>
      <c r="I46" s="1018"/>
      <c r="J46" s="875"/>
      <c r="K46" s="875"/>
      <c r="L46" s="873"/>
      <c r="M46" s="873"/>
    </row>
    <row r="47" spans="1:13">
      <c r="A47" s="211">
        <v>43</v>
      </c>
      <c r="B47" s="9" t="s">
        <v>243</v>
      </c>
      <c r="C47" s="9">
        <v>1</v>
      </c>
      <c r="D47" s="8" t="s">
        <v>95</v>
      </c>
      <c r="E47" s="10" t="s">
        <v>357</v>
      </c>
      <c r="F47" s="10" t="s">
        <v>2936</v>
      </c>
      <c r="G47" s="210">
        <v>0</v>
      </c>
      <c r="H47" s="1104">
        <v>19044740</v>
      </c>
      <c r="I47" s="1018"/>
      <c r="J47" s="875"/>
      <c r="K47" s="875"/>
      <c r="L47" s="875"/>
      <c r="M47" s="875"/>
    </row>
    <row r="48" spans="1:13">
      <c r="A48" s="211">
        <v>44</v>
      </c>
      <c r="B48" s="9" t="s">
        <v>243</v>
      </c>
      <c r="C48" s="9">
        <v>1</v>
      </c>
      <c r="D48" s="8" t="s">
        <v>95</v>
      </c>
      <c r="E48" s="10" t="s">
        <v>354</v>
      </c>
      <c r="F48" s="10" t="s">
        <v>2937</v>
      </c>
      <c r="G48" s="210">
        <v>0</v>
      </c>
      <c r="H48" s="1104">
        <v>31900000</v>
      </c>
      <c r="I48" s="872"/>
      <c r="J48" s="875"/>
      <c r="K48" s="875"/>
      <c r="L48" s="875"/>
      <c r="M48" s="875"/>
    </row>
    <row r="49" spans="1:13">
      <c r="A49" s="211">
        <v>45</v>
      </c>
      <c r="B49" s="9" t="s">
        <v>243</v>
      </c>
      <c r="C49" s="9">
        <v>1</v>
      </c>
      <c r="D49" s="8" t="s">
        <v>95</v>
      </c>
      <c r="E49" s="10" t="s">
        <v>354</v>
      </c>
      <c r="F49" s="10" t="s">
        <v>2938</v>
      </c>
      <c r="G49" s="210">
        <v>0</v>
      </c>
      <c r="H49" s="1104">
        <v>6600000</v>
      </c>
      <c r="I49" s="872"/>
      <c r="J49" s="875"/>
      <c r="K49" s="875"/>
      <c r="L49" s="875"/>
      <c r="M49" s="875"/>
    </row>
    <row r="50" spans="1:13">
      <c r="A50" s="211">
        <v>46</v>
      </c>
      <c r="B50" s="9" t="s">
        <v>243</v>
      </c>
      <c r="C50" s="9">
        <v>1</v>
      </c>
      <c r="D50" s="8" t="s">
        <v>95</v>
      </c>
      <c r="E50" s="10" t="s">
        <v>354</v>
      </c>
      <c r="F50" s="10" t="s">
        <v>2939</v>
      </c>
      <c r="G50" s="210">
        <v>0</v>
      </c>
      <c r="H50" s="1104">
        <v>23100000</v>
      </c>
      <c r="I50" s="872"/>
      <c r="J50" s="875"/>
      <c r="K50" s="875"/>
      <c r="L50" s="875"/>
      <c r="M50" s="875"/>
    </row>
    <row r="51" spans="1:13">
      <c r="A51" s="211">
        <v>47</v>
      </c>
      <c r="B51" s="9" t="s">
        <v>243</v>
      </c>
      <c r="C51" s="9">
        <v>1</v>
      </c>
      <c r="D51" s="8" t="s">
        <v>95</v>
      </c>
      <c r="E51" s="10" t="s">
        <v>354</v>
      </c>
      <c r="F51" s="10" t="s">
        <v>2940</v>
      </c>
      <c r="G51" s="210">
        <v>0</v>
      </c>
      <c r="H51" s="1104">
        <v>6600000</v>
      </c>
      <c r="I51" s="872"/>
      <c r="J51" s="875"/>
      <c r="K51" s="875"/>
      <c r="L51" s="875"/>
      <c r="M51" s="875"/>
    </row>
    <row r="52" spans="1:13">
      <c r="A52" s="211">
        <v>48</v>
      </c>
      <c r="B52" s="9" t="s">
        <v>243</v>
      </c>
      <c r="C52" s="9">
        <v>1</v>
      </c>
      <c r="D52" s="8" t="s">
        <v>96</v>
      </c>
      <c r="E52" s="10" t="s">
        <v>354</v>
      </c>
      <c r="F52" s="10" t="s">
        <v>2905</v>
      </c>
      <c r="G52" s="210">
        <v>0</v>
      </c>
      <c r="H52" s="1104">
        <v>23100000</v>
      </c>
      <c r="I52" s="872"/>
      <c r="J52" s="875"/>
      <c r="K52" s="875"/>
      <c r="L52" s="875">
        <f>SUM(H52)</f>
        <v>23100000</v>
      </c>
      <c r="M52" s="875"/>
    </row>
    <row r="53" spans="1:13">
      <c r="A53" s="211">
        <v>49</v>
      </c>
      <c r="B53" s="9" t="s">
        <v>243</v>
      </c>
      <c r="C53" s="9">
        <v>1</v>
      </c>
      <c r="D53" s="8" t="s">
        <v>96</v>
      </c>
      <c r="E53" s="10" t="s">
        <v>354</v>
      </c>
      <c r="F53" s="10" t="s">
        <v>2906</v>
      </c>
      <c r="G53" s="210">
        <v>0</v>
      </c>
      <c r="H53" s="1104">
        <v>23100000</v>
      </c>
      <c r="I53" s="872"/>
      <c r="J53" s="875"/>
      <c r="K53" s="875"/>
      <c r="L53" s="875">
        <f t="shared" ref="L53:L54" si="1">SUM(H53)</f>
        <v>23100000</v>
      </c>
      <c r="M53" s="875"/>
    </row>
    <row r="54" spans="1:13">
      <c r="A54" s="211">
        <v>50</v>
      </c>
      <c r="B54" s="9" t="s">
        <v>243</v>
      </c>
      <c r="C54" s="9">
        <v>1</v>
      </c>
      <c r="D54" s="8" t="s">
        <v>96</v>
      </c>
      <c r="E54" s="10" t="s">
        <v>354</v>
      </c>
      <c r="F54" s="10" t="s">
        <v>2907</v>
      </c>
      <c r="G54" s="210">
        <v>0</v>
      </c>
      <c r="H54" s="1104">
        <v>23100000</v>
      </c>
      <c r="I54" s="874"/>
      <c r="J54" s="873"/>
      <c r="K54" s="875"/>
      <c r="L54" s="875">
        <f t="shared" si="1"/>
        <v>23100000</v>
      </c>
      <c r="M54" s="875"/>
    </row>
    <row r="55" spans="1:13">
      <c r="A55" s="211">
        <v>51</v>
      </c>
      <c r="B55" s="9" t="s">
        <v>242</v>
      </c>
      <c r="C55" s="9">
        <v>3</v>
      </c>
      <c r="D55" s="8" t="s">
        <v>206</v>
      </c>
      <c r="E55" s="10" t="s">
        <v>354</v>
      </c>
      <c r="F55" s="10" t="s">
        <v>2754</v>
      </c>
      <c r="G55" s="342">
        <v>0</v>
      </c>
      <c r="H55" s="1106">
        <v>24200000</v>
      </c>
      <c r="I55" s="874"/>
      <c r="J55" s="873"/>
      <c r="K55" s="875"/>
      <c r="L55" s="875">
        <f>H55</f>
        <v>24200000</v>
      </c>
      <c r="M55" s="875"/>
    </row>
    <row r="56" spans="1:13">
      <c r="A56" s="211">
        <v>52</v>
      </c>
      <c r="B56" s="9" t="s">
        <v>242</v>
      </c>
      <c r="C56" s="9">
        <v>3</v>
      </c>
      <c r="D56" s="8" t="s">
        <v>206</v>
      </c>
      <c r="E56" s="10" t="s">
        <v>354</v>
      </c>
      <c r="F56" s="10" t="s">
        <v>2755</v>
      </c>
      <c r="G56" s="342">
        <v>0</v>
      </c>
      <c r="H56" s="1106">
        <v>24200000</v>
      </c>
      <c r="I56" s="874"/>
      <c r="J56" s="873"/>
      <c r="K56" s="875"/>
      <c r="L56" s="875">
        <f t="shared" ref="L56:L58" si="2">H56</f>
        <v>24200000</v>
      </c>
      <c r="M56" s="875"/>
    </row>
    <row r="57" spans="1:13">
      <c r="A57" s="211">
        <v>53</v>
      </c>
      <c r="B57" s="9" t="s">
        <v>242</v>
      </c>
      <c r="C57" s="9">
        <v>3</v>
      </c>
      <c r="D57" s="8" t="s">
        <v>206</v>
      </c>
      <c r="E57" s="10" t="s">
        <v>354</v>
      </c>
      <c r="F57" s="10" t="s">
        <v>2756</v>
      </c>
      <c r="G57" s="342">
        <v>0</v>
      </c>
      <c r="H57" s="1106">
        <v>24200000</v>
      </c>
      <c r="I57" s="874"/>
      <c r="J57" s="875"/>
      <c r="K57" s="875"/>
      <c r="L57" s="875">
        <f t="shared" si="2"/>
        <v>24200000</v>
      </c>
      <c r="M57" s="875"/>
    </row>
    <row r="58" spans="1:13">
      <c r="A58" s="211">
        <v>54</v>
      </c>
      <c r="B58" s="9" t="s">
        <v>242</v>
      </c>
      <c r="C58" s="9">
        <v>3</v>
      </c>
      <c r="D58" s="8" t="s">
        <v>206</v>
      </c>
      <c r="E58" s="10" t="s">
        <v>354</v>
      </c>
      <c r="F58" s="10" t="s">
        <v>2757</v>
      </c>
      <c r="G58" s="342">
        <v>0</v>
      </c>
      <c r="H58" s="1106">
        <v>24200000</v>
      </c>
      <c r="I58" s="874"/>
      <c r="J58" s="875"/>
      <c r="K58" s="875"/>
      <c r="L58" s="875">
        <f t="shared" si="2"/>
        <v>24200000</v>
      </c>
      <c r="M58" s="873"/>
    </row>
    <row r="59" spans="1:13">
      <c r="A59" s="211">
        <v>55</v>
      </c>
      <c r="B59" s="9" t="s">
        <v>243</v>
      </c>
      <c r="C59" s="9">
        <v>1</v>
      </c>
      <c r="D59" s="8" t="s">
        <v>206</v>
      </c>
      <c r="E59" s="10" t="s">
        <v>354</v>
      </c>
      <c r="F59" s="10" t="s">
        <v>2920</v>
      </c>
      <c r="G59" s="210">
        <v>0</v>
      </c>
      <c r="H59" s="1104">
        <v>24200000</v>
      </c>
      <c r="I59" s="874"/>
      <c r="J59" s="875"/>
      <c r="K59" s="875"/>
      <c r="L59" s="873"/>
      <c r="M59" s="873"/>
    </row>
    <row r="60" spans="1:13">
      <c r="A60" s="211">
        <v>56</v>
      </c>
      <c r="B60" s="9" t="s">
        <v>243</v>
      </c>
      <c r="C60" s="9">
        <v>1</v>
      </c>
      <c r="D60" s="8" t="s">
        <v>206</v>
      </c>
      <c r="E60" s="10" t="s">
        <v>354</v>
      </c>
      <c r="F60" s="10" t="s">
        <v>2921</v>
      </c>
      <c r="G60" s="210">
        <v>0</v>
      </c>
      <c r="H60" s="1104">
        <v>24200000</v>
      </c>
      <c r="I60" s="874"/>
      <c r="J60" s="875"/>
      <c r="K60" s="873"/>
      <c r="L60" s="875"/>
      <c r="M60" s="875"/>
    </row>
    <row r="61" spans="1:13">
      <c r="A61" s="211">
        <v>57</v>
      </c>
      <c r="B61" s="9" t="s">
        <v>243</v>
      </c>
      <c r="C61" s="9">
        <v>1</v>
      </c>
      <c r="D61" s="8" t="s">
        <v>206</v>
      </c>
      <c r="E61" s="10" t="s">
        <v>354</v>
      </c>
      <c r="F61" s="10" t="s">
        <v>2922</v>
      </c>
      <c r="G61" s="210">
        <v>0</v>
      </c>
      <c r="H61" s="1104">
        <v>24200000</v>
      </c>
      <c r="I61" s="874"/>
      <c r="J61" s="873"/>
      <c r="K61" s="873"/>
      <c r="L61" s="875"/>
      <c r="M61" s="875"/>
    </row>
    <row r="62" spans="1:13">
      <c r="A62" s="211">
        <v>58</v>
      </c>
      <c r="B62" s="9" t="s">
        <v>243</v>
      </c>
      <c r="C62" s="9">
        <v>1</v>
      </c>
      <c r="D62" s="8" t="s">
        <v>206</v>
      </c>
      <c r="E62" s="10" t="s">
        <v>354</v>
      </c>
      <c r="F62" s="10" t="s">
        <v>2923</v>
      </c>
      <c r="G62" s="210">
        <v>0</v>
      </c>
      <c r="H62" s="1104">
        <v>24200000</v>
      </c>
      <c r="I62" s="874"/>
      <c r="J62" s="873"/>
      <c r="K62" s="873"/>
      <c r="L62" s="875"/>
      <c r="M62" s="875"/>
    </row>
    <row r="63" spans="1:13">
      <c r="A63" s="9">
        <v>59</v>
      </c>
      <c r="B63" s="9" t="s">
        <v>243</v>
      </c>
      <c r="C63" s="9">
        <v>1</v>
      </c>
      <c r="D63" s="8" t="s">
        <v>131</v>
      </c>
      <c r="E63" s="10" t="s">
        <v>63</v>
      </c>
      <c r="F63" s="10" t="s">
        <v>2982</v>
      </c>
      <c r="G63" s="343">
        <v>0</v>
      </c>
      <c r="H63" s="1104">
        <v>800623725</v>
      </c>
      <c r="I63" s="1129" t="s">
        <v>2994</v>
      </c>
      <c r="J63" s="243"/>
      <c r="K63" s="875"/>
      <c r="L63" s="875"/>
      <c r="M63" s="875"/>
    </row>
    <row r="64" spans="1:13">
      <c r="A64" s="1113">
        <v>60</v>
      </c>
      <c r="B64" s="1113" t="s">
        <v>239</v>
      </c>
      <c r="C64" s="1113">
        <v>20</v>
      </c>
      <c r="D64" s="1118" t="s">
        <v>112</v>
      </c>
      <c r="E64" s="1116" t="s">
        <v>354</v>
      </c>
      <c r="F64" s="1116" t="s">
        <v>254</v>
      </c>
      <c r="G64" s="1096">
        <v>330</v>
      </c>
      <c r="H64" s="1117">
        <v>0</v>
      </c>
      <c r="I64" s="1141"/>
      <c r="J64" s="1138"/>
      <c r="K64" s="1138"/>
      <c r="L64" s="1138"/>
      <c r="M64" s="1138"/>
    </row>
    <row r="65" spans="1:13">
      <c r="A65" s="211">
        <v>61</v>
      </c>
      <c r="B65" s="9" t="s">
        <v>241</v>
      </c>
      <c r="C65" s="9">
        <v>7</v>
      </c>
      <c r="D65" s="8" t="s">
        <v>121</v>
      </c>
      <c r="E65" s="10" t="s">
        <v>118</v>
      </c>
      <c r="F65" s="10" t="s">
        <v>2685</v>
      </c>
      <c r="G65" s="658">
        <v>0</v>
      </c>
      <c r="H65" s="1107">
        <v>27504300</v>
      </c>
      <c r="I65" s="872"/>
      <c r="J65" s="873"/>
      <c r="K65" s="875">
        <f>SUM(H65)</f>
        <v>27504300</v>
      </c>
      <c r="L65" s="873"/>
      <c r="M65" s="873"/>
    </row>
    <row r="66" spans="1:13">
      <c r="A66" s="211">
        <v>62</v>
      </c>
      <c r="B66" s="9" t="s">
        <v>242</v>
      </c>
      <c r="C66" s="9">
        <v>3</v>
      </c>
      <c r="D66" s="8" t="s">
        <v>121</v>
      </c>
      <c r="E66" s="10" t="s">
        <v>355</v>
      </c>
      <c r="F66" s="10" t="s">
        <v>2843</v>
      </c>
      <c r="G66" s="658">
        <v>0</v>
      </c>
      <c r="H66" s="1108">
        <v>62975000</v>
      </c>
      <c r="I66" s="872"/>
      <c r="J66" s="875"/>
      <c r="K66" s="875">
        <f>SUM(H66)</f>
        <v>62975000</v>
      </c>
      <c r="L66" s="873"/>
      <c r="M66" s="873"/>
    </row>
    <row r="67" spans="1:13">
      <c r="A67" s="211">
        <v>63</v>
      </c>
      <c r="B67" s="9" t="s">
        <v>243</v>
      </c>
      <c r="C67" s="9">
        <v>1</v>
      </c>
      <c r="D67" s="8" t="s">
        <v>121</v>
      </c>
      <c r="E67" s="10" t="s">
        <v>355</v>
      </c>
      <c r="F67" s="10" t="s">
        <v>2985</v>
      </c>
      <c r="G67" s="210">
        <v>0</v>
      </c>
      <c r="H67" s="1104">
        <v>43175000</v>
      </c>
      <c r="I67" s="872"/>
      <c r="J67" s="875"/>
      <c r="K67" s="875"/>
      <c r="L67" s="873"/>
      <c r="M67" s="873"/>
    </row>
    <row r="68" spans="1:13">
      <c r="A68" s="1020">
        <v>64</v>
      </c>
      <c r="B68" s="1020" t="s">
        <v>241</v>
      </c>
      <c r="C68" s="1020">
        <v>19</v>
      </c>
      <c r="D68" s="1026" t="s">
        <v>207</v>
      </c>
      <c r="E68" s="1020" t="s">
        <v>256</v>
      </c>
      <c r="F68" s="1027" t="s">
        <v>255</v>
      </c>
      <c r="G68" s="835">
        <v>0</v>
      </c>
      <c r="H68" s="1111">
        <v>13640000</v>
      </c>
      <c r="I68" s="1130"/>
      <c r="J68" s="1131"/>
      <c r="K68" s="1131"/>
      <c r="L68" s="1132"/>
      <c r="M68" s="1132"/>
    </row>
    <row r="69" spans="1:13">
      <c r="A69" s="211">
        <v>65</v>
      </c>
      <c r="B69" s="9" t="s">
        <v>242</v>
      </c>
      <c r="C69" s="9">
        <v>3</v>
      </c>
      <c r="D69" s="8" t="s">
        <v>151</v>
      </c>
      <c r="E69" s="10" t="s">
        <v>354</v>
      </c>
      <c r="F69" s="10" t="s">
        <v>2758</v>
      </c>
      <c r="G69" s="342">
        <v>0</v>
      </c>
      <c r="H69" s="1106">
        <v>24200000</v>
      </c>
      <c r="I69" s="872"/>
      <c r="J69" s="875"/>
      <c r="K69" s="875"/>
      <c r="L69" s="875">
        <f>H69</f>
        <v>24200000</v>
      </c>
      <c r="M69" s="873"/>
    </row>
    <row r="70" spans="1:13">
      <c r="A70" s="211">
        <v>66</v>
      </c>
      <c r="B70" s="9" t="s">
        <v>243</v>
      </c>
      <c r="C70" s="9">
        <v>1</v>
      </c>
      <c r="D70" s="8" t="s">
        <v>151</v>
      </c>
      <c r="E70" s="10" t="s">
        <v>354</v>
      </c>
      <c r="F70" s="10" t="s">
        <v>2924</v>
      </c>
      <c r="G70" s="210">
        <v>0</v>
      </c>
      <c r="H70" s="1104">
        <v>24200000</v>
      </c>
      <c r="I70" s="872"/>
      <c r="J70" s="875"/>
      <c r="K70" s="875"/>
      <c r="L70" s="873"/>
      <c r="M70" s="873"/>
    </row>
    <row r="71" spans="1:13">
      <c r="A71" s="211">
        <v>67</v>
      </c>
      <c r="B71" s="9" t="s">
        <v>242</v>
      </c>
      <c r="C71" s="9">
        <v>3</v>
      </c>
      <c r="D71" s="8" t="s">
        <v>117</v>
      </c>
      <c r="E71" s="10" t="s">
        <v>354</v>
      </c>
      <c r="F71" s="10" t="s">
        <v>2759</v>
      </c>
      <c r="G71" s="210">
        <v>0</v>
      </c>
      <c r="H71" s="1105">
        <v>24200000</v>
      </c>
      <c r="I71" s="872"/>
      <c r="J71" s="873"/>
      <c r="K71" s="875"/>
      <c r="L71" s="877">
        <f>SUM(H71)</f>
        <v>24200000</v>
      </c>
      <c r="M71" s="873"/>
    </row>
    <row r="72" spans="1:13">
      <c r="A72" s="211">
        <v>68</v>
      </c>
      <c r="B72" s="9" t="s">
        <v>242</v>
      </c>
      <c r="C72" s="9">
        <v>4</v>
      </c>
      <c r="D72" s="8" t="s">
        <v>117</v>
      </c>
      <c r="E72" s="10" t="s">
        <v>354</v>
      </c>
      <c r="F72" s="10" t="s">
        <v>2760</v>
      </c>
      <c r="G72" s="210">
        <v>0</v>
      </c>
      <c r="H72" s="1105">
        <v>24200000</v>
      </c>
      <c r="I72" s="872"/>
      <c r="J72" s="873"/>
      <c r="K72" s="875"/>
      <c r="L72" s="877">
        <f>SUM(H72)</f>
        <v>24200000</v>
      </c>
      <c r="M72" s="873"/>
    </row>
    <row r="73" spans="1:13">
      <c r="A73" s="211">
        <v>69</v>
      </c>
      <c r="B73" s="9" t="s">
        <v>243</v>
      </c>
      <c r="C73" s="9">
        <v>1</v>
      </c>
      <c r="D73" s="8" t="s">
        <v>117</v>
      </c>
      <c r="E73" s="10" t="s">
        <v>354</v>
      </c>
      <c r="F73" s="10" t="s">
        <v>2925</v>
      </c>
      <c r="G73" s="210">
        <v>0</v>
      </c>
      <c r="H73" s="1104">
        <v>24200000</v>
      </c>
      <c r="I73" s="872"/>
      <c r="J73" s="875"/>
      <c r="K73" s="875"/>
      <c r="L73" s="873"/>
      <c r="M73" s="873"/>
    </row>
    <row r="74" spans="1:13">
      <c r="A74" s="211">
        <v>70</v>
      </c>
      <c r="B74" s="9" t="s">
        <v>243</v>
      </c>
      <c r="C74" s="9">
        <v>1</v>
      </c>
      <c r="D74" s="8" t="s">
        <v>117</v>
      </c>
      <c r="E74" s="10" t="s">
        <v>354</v>
      </c>
      <c r="F74" s="10" t="s">
        <v>2926</v>
      </c>
      <c r="G74" s="210">
        <v>0</v>
      </c>
      <c r="H74" s="1104">
        <v>24200000</v>
      </c>
      <c r="I74" s="872"/>
      <c r="J74" s="875"/>
      <c r="K74" s="875"/>
      <c r="L74" s="873"/>
      <c r="M74" s="873"/>
    </row>
    <row r="75" spans="1:13">
      <c r="A75" s="1113">
        <v>71</v>
      </c>
      <c r="B75" s="1114" t="s">
        <v>194</v>
      </c>
      <c r="C75" s="1114">
        <v>4</v>
      </c>
      <c r="D75" s="1115" t="s">
        <v>387</v>
      </c>
      <c r="E75" s="1114" t="s">
        <v>388</v>
      </c>
      <c r="F75" s="1116" t="s">
        <v>389</v>
      </c>
      <c r="G75" s="1096">
        <v>0</v>
      </c>
      <c r="H75" s="1117">
        <v>696000000</v>
      </c>
      <c r="I75" s="1137"/>
      <c r="J75" s="1138"/>
      <c r="K75" s="1139"/>
      <c r="L75" s="1138"/>
      <c r="M75" s="1138"/>
    </row>
    <row r="76" spans="1:13">
      <c r="A76" s="211">
        <v>72</v>
      </c>
      <c r="B76" s="9" t="s">
        <v>242</v>
      </c>
      <c r="C76" s="9">
        <v>13</v>
      </c>
      <c r="D76" s="8" t="s">
        <v>40</v>
      </c>
      <c r="E76" s="10" t="s">
        <v>147</v>
      </c>
      <c r="F76" s="10" t="s">
        <v>2859</v>
      </c>
      <c r="G76" s="342">
        <v>0</v>
      </c>
      <c r="H76" s="1103">
        <v>6050000</v>
      </c>
      <c r="I76" s="874"/>
      <c r="J76" s="875">
        <f>SUM(H76)</f>
        <v>6050000</v>
      </c>
      <c r="K76" s="875"/>
      <c r="L76" s="873"/>
      <c r="M76" s="873"/>
    </row>
    <row r="77" spans="1:13">
      <c r="A77" s="211">
        <v>73</v>
      </c>
      <c r="B77" s="9" t="s">
        <v>243</v>
      </c>
      <c r="C77" s="9">
        <v>1</v>
      </c>
      <c r="D77" s="8" t="s">
        <v>128</v>
      </c>
      <c r="E77" s="10" t="s">
        <v>376</v>
      </c>
      <c r="F77" s="10" t="s">
        <v>2916</v>
      </c>
      <c r="G77" s="210">
        <v>0</v>
      </c>
      <c r="H77" s="1104">
        <v>23100000</v>
      </c>
      <c r="I77" s="872"/>
      <c r="J77" s="875"/>
      <c r="K77" s="875"/>
      <c r="L77" s="875">
        <f>SUM(H77)</f>
        <v>23100000</v>
      </c>
      <c r="M77" s="873"/>
    </row>
    <row r="78" spans="1:13">
      <c r="A78" s="211">
        <v>74</v>
      </c>
      <c r="B78" s="9" t="s">
        <v>243</v>
      </c>
      <c r="C78" s="9">
        <v>1</v>
      </c>
      <c r="D78" s="8" t="s">
        <v>159</v>
      </c>
      <c r="E78" s="9" t="s">
        <v>355</v>
      </c>
      <c r="F78" s="10" t="s">
        <v>2913</v>
      </c>
      <c r="G78" s="210">
        <v>0</v>
      </c>
      <c r="H78" s="1104">
        <v>14630000</v>
      </c>
      <c r="I78" s="874"/>
      <c r="J78" s="875"/>
      <c r="K78" s="875">
        <f>SUM(H78)</f>
        <v>14630000</v>
      </c>
      <c r="L78" s="873"/>
      <c r="M78" s="873"/>
    </row>
    <row r="79" spans="1:13">
      <c r="A79" s="211">
        <v>75</v>
      </c>
      <c r="B79" s="9" t="s">
        <v>243</v>
      </c>
      <c r="C79" s="9">
        <v>1</v>
      </c>
      <c r="D79" s="8" t="s">
        <v>159</v>
      </c>
      <c r="E79" s="9" t="s">
        <v>364</v>
      </c>
      <c r="F79" s="10" t="s">
        <v>2914</v>
      </c>
      <c r="G79" s="210">
        <v>0</v>
      </c>
      <c r="H79" s="1104">
        <v>550000</v>
      </c>
      <c r="I79" s="874"/>
      <c r="J79" s="873"/>
      <c r="K79" s="875">
        <f t="shared" ref="K79:K80" si="3">SUM(H79)</f>
        <v>550000</v>
      </c>
      <c r="L79" s="873"/>
      <c r="M79" s="873"/>
    </row>
    <row r="80" spans="1:13">
      <c r="A80" s="211">
        <v>76</v>
      </c>
      <c r="B80" s="9" t="s">
        <v>243</v>
      </c>
      <c r="C80" s="9">
        <v>1</v>
      </c>
      <c r="D80" s="8" t="s">
        <v>159</v>
      </c>
      <c r="E80" s="9" t="s">
        <v>357</v>
      </c>
      <c r="F80" s="10" t="s">
        <v>2915</v>
      </c>
      <c r="G80" s="210">
        <v>0</v>
      </c>
      <c r="H80" s="1104">
        <v>1100000</v>
      </c>
      <c r="I80" s="874"/>
      <c r="J80" s="873"/>
      <c r="K80" s="875">
        <f t="shared" si="3"/>
        <v>1100000</v>
      </c>
      <c r="L80" s="873"/>
      <c r="M80" s="873"/>
    </row>
    <row r="81" spans="1:13">
      <c r="A81" s="211">
        <v>77</v>
      </c>
      <c r="B81" s="9" t="s">
        <v>243</v>
      </c>
      <c r="C81" s="9">
        <v>1</v>
      </c>
      <c r="D81" s="8" t="s">
        <v>164</v>
      </c>
      <c r="E81" s="10" t="s">
        <v>376</v>
      </c>
      <c r="F81" s="10" t="s">
        <v>2917</v>
      </c>
      <c r="G81" s="210">
        <v>0</v>
      </c>
      <c r="H81" s="1104">
        <v>22000000</v>
      </c>
      <c r="I81" s="872"/>
      <c r="J81" s="875"/>
      <c r="K81" s="873"/>
      <c r="L81" s="875">
        <f>SUM(H81)</f>
        <v>22000000</v>
      </c>
      <c r="M81" s="875"/>
    </row>
    <row r="82" spans="1:13">
      <c r="A82" s="211">
        <v>78</v>
      </c>
      <c r="B82" s="9" t="s">
        <v>243</v>
      </c>
      <c r="C82" s="9">
        <v>1</v>
      </c>
      <c r="D82" s="8" t="s">
        <v>164</v>
      </c>
      <c r="E82" s="10" t="s">
        <v>364</v>
      </c>
      <c r="F82" s="10" t="s">
        <v>2918</v>
      </c>
      <c r="G82" s="210">
        <v>0</v>
      </c>
      <c r="H82" s="1104">
        <v>6600000</v>
      </c>
      <c r="I82" s="872"/>
      <c r="J82" s="873"/>
      <c r="K82" s="875"/>
      <c r="L82" s="875">
        <f>SUM(H82)</f>
        <v>6600000</v>
      </c>
      <c r="M82" s="875"/>
    </row>
    <row r="83" spans="1:13">
      <c r="A83" s="211">
        <v>79</v>
      </c>
      <c r="B83" s="9" t="s">
        <v>243</v>
      </c>
      <c r="C83" s="9">
        <v>1</v>
      </c>
      <c r="D83" s="8" t="s">
        <v>45</v>
      </c>
      <c r="E83" s="10" t="s">
        <v>354</v>
      </c>
      <c r="F83" s="10" t="s">
        <v>2911</v>
      </c>
      <c r="G83" s="210">
        <v>0</v>
      </c>
      <c r="H83" s="1104">
        <v>13200000</v>
      </c>
      <c r="I83" s="872"/>
      <c r="J83" s="875"/>
      <c r="K83" s="875">
        <f>SUM(H83)</f>
        <v>13200000</v>
      </c>
      <c r="L83" s="875"/>
      <c r="M83" s="875"/>
    </row>
    <row r="84" spans="1:13">
      <c r="A84" s="1020">
        <v>80</v>
      </c>
      <c r="B84" s="1020" t="s">
        <v>241</v>
      </c>
      <c r="C84" s="1020">
        <v>1</v>
      </c>
      <c r="D84" s="1024" t="s">
        <v>208</v>
      </c>
      <c r="E84" s="1023" t="s">
        <v>118</v>
      </c>
      <c r="F84" s="1022" t="s">
        <v>258</v>
      </c>
      <c r="G84" s="835">
        <v>0</v>
      </c>
      <c r="H84" s="1111">
        <v>1400000</v>
      </c>
      <c r="I84" s="1130"/>
      <c r="J84" s="1131"/>
      <c r="K84" s="1132"/>
      <c r="L84" s="1132"/>
      <c r="M84" s="1132"/>
    </row>
    <row r="85" spans="1:13">
      <c r="A85" s="211">
        <v>81</v>
      </c>
      <c r="B85" s="9" t="s">
        <v>242</v>
      </c>
      <c r="C85" s="9">
        <v>3</v>
      </c>
      <c r="D85" s="8" t="s">
        <v>133</v>
      </c>
      <c r="E85" s="9" t="s">
        <v>364</v>
      </c>
      <c r="F85" s="10" t="s">
        <v>2772</v>
      </c>
      <c r="G85" s="343">
        <v>0</v>
      </c>
      <c r="H85" s="1109">
        <v>33000000</v>
      </c>
      <c r="I85" s="872"/>
      <c r="J85" s="873"/>
      <c r="K85" s="877"/>
      <c r="L85" s="875">
        <f>SUM(H85)</f>
        <v>33000000</v>
      </c>
      <c r="M85" s="873"/>
    </row>
    <row r="86" spans="1:13">
      <c r="A86" s="211">
        <v>82</v>
      </c>
      <c r="B86" s="9" t="s">
        <v>243</v>
      </c>
      <c r="C86" s="9">
        <v>1</v>
      </c>
      <c r="D86" s="8" t="s">
        <v>133</v>
      </c>
      <c r="E86" s="9" t="s">
        <v>364</v>
      </c>
      <c r="F86" s="10" t="s">
        <v>2909</v>
      </c>
      <c r="G86" s="210">
        <v>0</v>
      </c>
      <c r="H86" s="1104">
        <v>33000000</v>
      </c>
      <c r="I86" s="872"/>
      <c r="J86" s="873"/>
      <c r="K86" s="875"/>
      <c r="L86" s="873"/>
      <c r="M86" s="873"/>
    </row>
    <row r="87" spans="1:13">
      <c r="A87" s="1020">
        <v>83</v>
      </c>
      <c r="B87" s="1020" t="s">
        <v>243</v>
      </c>
      <c r="C87" s="1020">
        <v>28</v>
      </c>
      <c r="D87" s="1024" t="s">
        <v>209</v>
      </c>
      <c r="E87" s="1023" t="s">
        <v>63</v>
      </c>
      <c r="F87" s="1022" t="s">
        <v>259</v>
      </c>
      <c r="G87" s="835">
        <v>0</v>
      </c>
      <c r="H87" s="1111">
        <v>35000000</v>
      </c>
      <c r="I87" s="1130"/>
      <c r="J87" s="1132"/>
      <c r="K87" s="1132"/>
      <c r="L87" s="1131"/>
      <c r="M87" s="1131"/>
    </row>
    <row r="88" spans="1:13">
      <c r="A88" s="1020">
        <v>84</v>
      </c>
      <c r="B88" s="1020" t="s">
        <v>238</v>
      </c>
      <c r="C88" s="1020">
        <v>20</v>
      </c>
      <c r="D88" s="1024" t="s">
        <v>209</v>
      </c>
      <c r="E88" s="1023" t="s">
        <v>63</v>
      </c>
      <c r="F88" s="1022" t="s">
        <v>260</v>
      </c>
      <c r="G88" s="835">
        <v>0</v>
      </c>
      <c r="H88" s="1111">
        <v>40500000</v>
      </c>
      <c r="I88" s="1130"/>
      <c r="J88" s="1131"/>
      <c r="K88" s="1132"/>
      <c r="L88" s="1131"/>
      <c r="M88" s="1131"/>
    </row>
    <row r="89" spans="1:13">
      <c r="A89" s="1020">
        <v>85</v>
      </c>
      <c r="B89" s="1020" t="s">
        <v>194</v>
      </c>
      <c r="C89" s="1020">
        <v>7</v>
      </c>
      <c r="D89" s="1024" t="s">
        <v>210</v>
      </c>
      <c r="E89" s="1023" t="s">
        <v>262</v>
      </c>
      <c r="F89" s="1023" t="s">
        <v>261</v>
      </c>
      <c r="G89" s="835">
        <v>0</v>
      </c>
      <c r="H89" s="1111">
        <v>8800000</v>
      </c>
      <c r="I89" s="1130"/>
      <c r="J89" s="1131"/>
      <c r="K89" s="1132"/>
      <c r="L89" s="1131"/>
      <c r="M89" s="1131"/>
    </row>
    <row r="90" spans="1:13">
      <c r="A90" s="1113">
        <v>86</v>
      </c>
      <c r="B90" s="1114" t="s">
        <v>239</v>
      </c>
      <c r="C90" s="1114">
        <v>1</v>
      </c>
      <c r="D90" s="1115" t="s">
        <v>2064</v>
      </c>
      <c r="E90" s="1114" t="s">
        <v>354</v>
      </c>
      <c r="F90" s="1116" t="s">
        <v>2141</v>
      </c>
      <c r="G90" s="1096">
        <v>0</v>
      </c>
      <c r="H90" s="1119">
        <v>24200000</v>
      </c>
      <c r="I90" s="1137"/>
      <c r="J90" s="1139"/>
      <c r="K90" s="1138"/>
      <c r="L90" s="1139"/>
      <c r="M90" s="1139"/>
    </row>
    <row r="91" spans="1:13">
      <c r="A91" s="894">
        <v>87</v>
      </c>
      <c r="B91" s="892" t="s">
        <v>242</v>
      </c>
      <c r="C91" s="892">
        <v>3</v>
      </c>
      <c r="D91" s="1145" t="s">
        <v>2064</v>
      </c>
      <c r="E91" s="892" t="s">
        <v>354</v>
      </c>
      <c r="F91" s="1190" t="s">
        <v>2761</v>
      </c>
      <c r="G91" s="1193">
        <v>0</v>
      </c>
      <c r="H91" s="1192">
        <v>24200000</v>
      </c>
      <c r="I91" s="872"/>
      <c r="J91" s="877"/>
      <c r="K91" s="873"/>
      <c r="L91" s="875"/>
      <c r="M91" s="875"/>
    </row>
    <row r="92" spans="1:13">
      <c r="A92" s="894">
        <v>88</v>
      </c>
      <c r="B92" s="892" t="s">
        <v>243</v>
      </c>
      <c r="C92" s="892">
        <v>1</v>
      </c>
      <c r="D92" s="1145" t="s">
        <v>2064</v>
      </c>
      <c r="E92" s="892" t="s">
        <v>354</v>
      </c>
      <c r="F92" s="1190" t="s">
        <v>2927</v>
      </c>
      <c r="G92" s="1193">
        <v>0</v>
      </c>
      <c r="H92" s="1194">
        <v>24200000</v>
      </c>
      <c r="I92" s="872"/>
      <c r="J92" s="875"/>
      <c r="K92" s="873"/>
      <c r="L92" s="875"/>
      <c r="M92" s="875"/>
    </row>
    <row r="93" spans="1:13">
      <c r="A93" s="211">
        <v>89</v>
      </c>
      <c r="B93" s="9" t="s">
        <v>242</v>
      </c>
      <c r="C93" s="9">
        <v>19</v>
      </c>
      <c r="D93" s="8" t="s">
        <v>2894</v>
      </c>
      <c r="E93" s="9" t="s">
        <v>144</v>
      </c>
      <c r="F93" s="10" t="s">
        <v>2895</v>
      </c>
      <c r="G93" s="210">
        <v>0</v>
      </c>
      <c r="H93" s="1106">
        <v>16500000</v>
      </c>
      <c r="I93" s="872"/>
      <c r="J93" s="875"/>
      <c r="K93" s="873"/>
      <c r="L93" s="875"/>
      <c r="M93" s="875"/>
    </row>
    <row r="94" spans="1:13">
      <c r="A94" s="1113">
        <v>90</v>
      </c>
      <c r="B94" s="1114" t="s">
        <v>195</v>
      </c>
      <c r="C94" s="1114">
        <v>12</v>
      </c>
      <c r="D94" s="1115" t="s">
        <v>111</v>
      </c>
      <c r="E94" s="1116" t="s">
        <v>147</v>
      </c>
      <c r="F94" s="1116" t="s">
        <v>160</v>
      </c>
      <c r="G94" s="1096">
        <v>0</v>
      </c>
      <c r="H94" s="1117">
        <v>84480000</v>
      </c>
      <c r="I94" s="1137"/>
      <c r="J94" s="1139"/>
      <c r="K94" s="1138"/>
      <c r="L94" s="1139"/>
      <c r="M94" s="1139">
        <f>SUM(H94)</f>
        <v>84480000</v>
      </c>
    </row>
    <row r="95" spans="1:13">
      <c r="A95" s="211">
        <v>91</v>
      </c>
      <c r="B95" s="9" t="s">
        <v>243</v>
      </c>
      <c r="C95" s="9">
        <v>1</v>
      </c>
      <c r="D95" s="8" t="s">
        <v>430</v>
      </c>
      <c r="E95" s="10" t="s">
        <v>364</v>
      </c>
      <c r="F95" s="10" t="s">
        <v>2910</v>
      </c>
      <c r="G95" s="210">
        <v>0</v>
      </c>
      <c r="H95" s="1104">
        <v>20350000</v>
      </c>
      <c r="I95" s="872"/>
      <c r="J95" s="875"/>
      <c r="K95" s="875"/>
      <c r="L95" s="875"/>
      <c r="M95" s="875"/>
    </row>
    <row r="96" spans="1:13">
      <c r="A96" s="211">
        <v>92</v>
      </c>
      <c r="B96" s="9" t="s">
        <v>242</v>
      </c>
      <c r="C96" s="9">
        <v>19</v>
      </c>
      <c r="D96" s="8" t="s">
        <v>396</v>
      </c>
      <c r="E96" s="10" t="s">
        <v>364</v>
      </c>
      <c r="F96" s="10" t="s">
        <v>2898</v>
      </c>
      <c r="G96" s="342">
        <v>0</v>
      </c>
      <c r="H96" s="1106">
        <v>19999999.998</v>
      </c>
      <c r="I96" s="872"/>
      <c r="J96" s="875"/>
      <c r="K96" s="875"/>
      <c r="L96" s="875"/>
      <c r="M96" s="875"/>
    </row>
    <row r="97" spans="1:13">
      <c r="A97" s="211">
        <v>93</v>
      </c>
      <c r="B97" s="9" t="s">
        <v>242</v>
      </c>
      <c r="C97" s="9">
        <v>19</v>
      </c>
      <c r="D97" s="8" t="s">
        <v>396</v>
      </c>
      <c r="E97" s="10" t="s">
        <v>364</v>
      </c>
      <c r="F97" s="10" t="s">
        <v>2899</v>
      </c>
      <c r="G97" s="342">
        <v>0</v>
      </c>
      <c r="H97" s="1106">
        <v>19999999.998</v>
      </c>
      <c r="I97" s="872"/>
      <c r="J97" s="875"/>
      <c r="K97" s="875"/>
      <c r="L97" s="873"/>
      <c r="M97" s="873"/>
    </row>
    <row r="98" spans="1:13">
      <c r="A98" s="211">
        <v>94</v>
      </c>
      <c r="B98" s="9" t="s">
        <v>242</v>
      </c>
      <c r="C98" s="9">
        <v>19</v>
      </c>
      <c r="D98" s="8" t="s">
        <v>396</v>
      </c>
      <c r="E98" s="10" t="s">
        <v>364</v>
      </c>
      <c r="F98" s="10" t="s">
        <v>2900</v>
      </c>
      <c r="G98" s="342">
        <v>0</v>
      </c>
      <c r="H98" s="1106">
        <v>19999999.998</v>
      </c>
      <c r="I98" s="872"/>
      <c r="J98" s="877"/>
      <c r="K98" s="873"/>
      <c r="L98" s="873"/>
      <c r="M98" s="873"/>
    </row>
    <row r="99" spans="1:13">
      <c r="A99" s="211">
        <v>95</v>
      </c>
      <c r="B99" s="9" t="s">
        <v>240</v>
      </c>
      <c r="C99" s="9">
        <v>6</v>
      </c>
      <c r="D99" s="8" t="s">
        <v>396</v>
      </c>
      <c r="E99" s="10" t="s">
        <v>364</v>
      </c>
      <c r="F99" s="10" t="s">
        <v>2530</v>
      </c>
      <c r="G99" s="342">
        <v>0</v>
      </c>
      <c r="H99" s="1106">
        <v>45000000.000999995</v>
      </c>
      <c r="I99" s="1144">
        <f>SUM(H99)</f>
        <v>45000000.000999995</v>
      </c>
      <c r="J99" s="877"/>
      <c r="K99" s="873"/>
      <c r="L99" s="873"/>
      <c r="M99" s="873"/>
    </row>
    <row r="100" spans="1:13">
      <c r="A100" s="211">
        <v>96</v>
      </c>
      <c r="B100" s="9" t="s">
        <v>240</v>
      </c>
      <c r="C100" s="9">
        <v>6</v>
      </c>
      <c r="D100" s="8" t="s">
        <v>396</v>
      </c>
      <c r="E100" s="10" t="s">
        <v>364</v>
      </c>
      <c r="F100" s="10" t="s">
        <v>2531</v>
      </c>
      <c r="G100" s="342">
        <v>0</v>
      </c>
      <c r="H100" s="1106">
        <v>45000000.000999995</v>
      </c>
      <c r="I100" s="1144">
        <f t="shared" ref="I100:I103" si="4">SUM(H100)</f>
        <v>45000000.000999995</v>
      </c>
      <c r="J100" s="875"/>
      <c r="K100" s="875"/>
      <c r="L100" s="873"/>
      <c r="M100" s="873"/>
    </row>
    <row r="101" spans="1:13">
      <c r="A101" s="211">
        <v>97</v>
      </c>
      <c r="B101" s="9" t="s">
        <v>240</v>
      </c>
      <c r="C101" s="9">
        <v>6</v>
      </c>
      <c r="D101" s="8" t="s">
        <v>396</v>
      </c>
      <c r="E101" s="10" t="s">
        <v>364</v>
      </c>
      <c r="F101" s="10" t="s">
        <v>2532</v>
      </c>
      <c r="G101" s="342">
        <v>0</v>
      </c>
      <c r="H101" s="1106">
        <v>45000000.000999995</v>
      </c>
      <c r="I101" s="1144">
        <f t="shared" si="4"/>
        <v>45000000.000999995</v>
      </c>
      <c r="J101" s="873"/>
      <c r="K101" s="873"/>
      <c r="L101" s="873"/>
      <c r="M101" s="873"/>
    </row>
    <row r="102" spans="1:13">
      <c r="A102" s="211">
        <v>98</v>
      </c>
      <c r="B102" s="9" t="s">
        <v>240</v>
      </c>
      <c r="C102" s="9">
        <v>6</v>
      </c>
      <c r="D102" s="8" t="s">
        <v>396</v>
      </c>
      <c r="E102" s="10" t="s">
        <v>364</v>
      </c>
      <c r="F102" s="10" t="s">
        <v>2533</v>
      </c>
      <c r="G102" s="342">
        <v>0</v>
      </c>
      <c r="H102" s="1106">
        <v>45000000.000999995</v>
      </c>
      <c r="I102" s="1144">
        <f t="shared" si="4"/>
        <v>45000000.000999995</v>
      </c>
      <c r="J102" s="873"/>
      <c r="K102" s="873"/>
      <c r="L102" s="873"/>
      <c r="M102" s="873"/>
    </row>
    <row r="103" spans="1:13">
      <c r="A103" s="211">
        <v>99</v>
      </c>
      <c r="B103" s="9" t="s">
        <v>58</v>
      </c>
      <c r="C103" s="9">
        <v>2</v>
      </c>
      <c r="D103" s="8" t="s">
        <v>396</v>
      </c>
      <c r="E103" s="10" t="s">
        <v>364</v>
      </c>
      <c r="F103" s="10" t="s">
        <v>2697</v>
      </c>
      <c r="G103" s="342">
        <v>0</v>
      </c>
      <c r="H103" s="1106">
        <v>45000000.000999995</v>
      </c>
      <c r="I103" s="1144">
        <f t="shared" si="4"/>
        <v>45000000.000999995</v>
      </c>
      <c r="J103" s="873"/>
      <c r="K103" s="873"/>
      <c r="L103" s="875"/>
      <c r="M103" s="875"/>
    </row>
    <row r="104" spans="1:13">
      <c r="A104" s="211">
        <v>100</v>
      </c>
      <c r="B104" s="9" t="s">
        <v>243</v>
      </c>
      <c r="C104" s="9">
        <v>1</v>
      </c>
      <c r="D104" s="8" t="s">
        <v>396</v>
      </c>
      <c r="E104" s="10" t="s">
        <v>364</v>
      </c>
      <c r="F104" s="10" t="s">
        <v>2930</v>
      </c>
      <c r="G104" s="210">
        <v>0</v>
      </c>
      <c r="H104" s="1104">
        <v>45000000.000999995</v>
      </c>
      <c r="I104" s="872"/>
      <c r="J104" s="873"/>
      <c r="K104" s="873"/>
      <c r="L104" s="875"/>
      <c r="M104" s="875"/>
    </row>
    <row r="105" spans="1:13">
      <c r="A105" s="211">
        <v>101</v>
      </c>
      <c r="B105" s="9" t="s">
        <v>243</v>
      </c>
      <c r="C105" s="9">
        <v>1</v>
      </c>
      <c r="D105" s="8" t="s">
        <v>396</v>
      </c>
      <c r="E105" s="10" t="s">
        <v>364</v>
      </c>
      <c r="F105" s="10" t="s">
        <v>2931</v>
      </c>
      <c r="G105" s="210">
        <v>0</v>
      </c>
      <c r="H105" s="1104">
        <v>45000000.000999995</v>
      </c>
      <c r="I105" s="872"/>
      <c r="J105" s="873"/>
      <c r="K105" s="873"/>
      <c r="L105" s="875"/>
      <c r="M105" s="875"/>
    </row>
    <row r="106" spans="1:13">
      <c r="A106" s="894">
        <v>102</v>
      </c>
      <c r="B106" s="892" t="s">
        <v>241</v>
      </c>
      <c r="C106" s="892">
        <v>2</v>
      </c>
      <c r="D106" s="1145" t="s">
        <v>108</v>
      </c>
      <c r="E106" s="1190" t="s">
        <v>354</v>
      </c>
      <c r="F106" s="1190" t="s">
        <v>2621</v>
      </c>
      <c r="G106" s="1191">
        <v>0</v>
      </c>
      <c r="H106" s="1192">
        <v>24200000</v>
      </c>
      <c r="I106" s="876"/>
      <c r="J106" s="873"/>
      <c r="K106" s="877"/>
      <c r="L106" s="875">
        <f>SUM(H106)</f>
        <v>24200000</v>
      </c>
      <c r="M106" s="873"/>
    </row>
    <row r="107" spans="1:13">
      <c r="A107" s="894">
        <v>103</v>
      </c>
      <c r="B107" s="892" t="s">
        <v>242</v>
      </c>
      <c r="C107" s="892">
        <v>3</v>
      </c>
      <c r="D107" s="1145" t="s">
        <v>108</v>
      </c>
      <c r="E107" s="1190" t="s">
        <v>354</v>
      </c>
      <c r="F107" s="1190" t="s">
        <v>2762</v>
      </c>
      <c r="G107" s="1191">
        <v>0</v>
      </c>
      <c r="H107" s="1192">
        <v>24200000</v>
      </c>
      <c r="I107" s="872"/>
      <c r="J107" s="877"/>
      <c r="K107" s="875"/>
      <c r="L107" s="875">
        <f>SUM(H107)</f>
        <v>24200000</v>
      </c>
      <c r="M107" s="873"/>
    </row>
    <row r="108" spans="1:13">
      <c r="A108" s="211">
        <v>104</v>
      </c>
      <c r="B108" s="9" t="s">
        <v>243</v>
      </c>
      <c r="C108" s="9">
        <v>1</v>
      </c>
      <c r="D108" s="8" t="s">
        <v>108</v>
      </c>
      <c r="E108" s="10" t="s">
        <v>354</v>
      </c>
      <c r="F108" s="10" t="s">
        <v>2928</v>
      </c>
      <c r="G108" s="210">
        <v>0</v>
      </c>
      <c r="H108" s="1104">
        <v>24200000</v>
      </c>
      <c r="I108" s="874"/>
      <c r="J108" s="875"/>
      <c r="K108" s="875"/>
      <c r="L108" s="873"/>
      <c r="M108" s="873"/>
    </row>
    <row r="109" spans="1:13">
      <c r="A109" s="211">
        <v>105</v>
      </c>
      <c r="B109" s="9" t="s">
        <v>242</v>
      </c>
      <c r="C109" s="9">
        <v>12</v>
      </c>
      <c r="D109" s="8" t="s">
        <v>136</v>
      </c>
      <c r="E109" s="10" t="s">
        <v>354</v>
      </c>
      <c r="F109" s="10" t="s">
        <v>2849</v>
      </c>
      <c r="G109" s="342">
        <v>0</v>
      </c>
      <c r="H109" s="1106">
        <v>54450000</v>
      </c>
      <c r="I109" s="872"/>
      <c r="J109" s="875"/>
      <c r="K109" s="875"/>
      <c r="L109" s="1188">
        <f>SUM(H109)</f>
        <v>54450000</v>
      </c>
      <c r="M109" s="873"/>
    </row>
    <row r="110" spans="1:13">
      <c r="A110" s="211">
        <v>106</v>
      </c>
      <c r="B110" s="9" t="s">
        <v>242</v>
      </c>
      <c r="C110" s="9">
        <v>12</v>
      </c>
      <c r="D110" s="8" t="s">
        <v>136</v>
      </c>
      <c r="E110" s="10" t="s">
        <v>354</v>
      </c>
      <c r="F110" s="10" t="s">
        <v>2850</v>
      </c>
      <c r="G110" s="342">
        <v>0</v>
      </c>
      <c r="H110" s="1106">
        <v>54450000</v>
      </c>
      <c r="I110" s="872"/>
      <c r="J110" s="873"/>
      <c r="K110" s="873"/>
      <c r="L110" s="1188">
        <f>SUM(H110)</f>
        <v>54450000</v>
      </c>
      <c r="M110" s="873"/>
    </row>
    <row r="111" spans="1:13">
      <c r="A111" s="211">
        <v>107</v>
      </c>
      <c r="B111" s="9" t="s">
        <v>243</v>
      </c>
      <c r="C111" s="9">
        <v>1</v>
      </c>
      <c r="D111" s="8" t="s">
        <v>136</v>
      </c>
      <c r="E111" s="10" t="s">
        <v>354</v>
      </c>
      <c r="F111" s="10" t="s">
        <v>2986</v>
      </c>
      <c r="G111" s="210">
        <v>0</v>
      </c>
      <c r="H111" s="1104">
        <v>54450000</v>
      </c>
      <c r="I111" s="872"/>
      <c r="J111" s="877"/>
      <c r="K111" s="873"/>
      <c r="L111" s="873"/>
      <c r="M111" s="873"/>
    </row>
    <row r="112" spans="1:13">
      <c r="A112" s="211">
        <v>108</v>
      </c>
      <c r="B112" s="9" t="s">
        <v>243</v>
      </c>
      <c r="C112" s="9">
        <v>1</v>
      </c>
      <c r="D112" s="8" t="s">
        <v>136</v>
      </c>
      <c r="E112" s="10" t="s">
        <v>354</v>
      </c>
      <c r="F112" s="10" t="s">
        <v>2987</v>
      </c>
      <c r="G112" s="210">
        <v>0</v>
      </c>
      <c r="H112" s="1104">
        <v>54450000</v>
      </c>
      <c r="I112" s="872"/>
      <c r="J112" s="873"/>
      <c r="K112" s="873"/>
      <c r="L112" s="873"/>
      <c r="M112" s="873"/>
    </row>
    <row r="113" spans="1:13">
      <c r="A113" s="211">
        <v>109</v>
      </c>
      <c r="B113" s="9" t="s">
        <v>243</v>
      </c>
      <c r="C113" s="9">
        <v>1</v>
      </c>
      <c r="D113" s="8" t="s">
        <v>136</v>
      </c>
      <c r="E113" s="10" t="s">
        <v>355</v>
      </c>
      <c r="F113" s="10" t="s">
        <v>2988</v>
      </c>
      <c r="G113" s="210">
        <v>0</v>
      </c>
      <c r="H113" s="1104">
        <v>58355000</v>
      </c>
      <c r="I113" s="872"/>
      <c r="J113" s="873"/>
      <c r="K113" s="873"/>
      <c r="L113" s="873"/>
      <c r="M113" s="873"/>
    </row>
    <row r="114" spans="1:13">
      <c r="A114" s="211">
        <v>110</v>
      </c>
      <c r="B114" s="9" t="s">
        <v>243</v>
      </c>
      <c r="C114" s="9">
        <v>1</v>
      </c>
      <c r="D114" s="8" t="s">
        <v>136</v>
      </c>
      <c r="E114" s="10" t="s">
        <v>364</v>
      </c>
      <c r="F114" s="10" t="s">
        <v>2989</v>
      </c>
      <c r="G114" s="210">
        <v>0</v>
      </c>
      <c r="H114" s="1104">
        <v>28050000</v>
      </c>
      <c r="I114" s="872"/>
      <c r="J114" s="873"/>
      <c r="K114" s="873"/>
      <c r="L114" s="873"/>
      <c r="M114" s="873"/>
    </row>
    <row r="115" spans="1:13">
      <c r="A115" s="211">
        <v>111</v>
      </c>
      <c r="B115" s="9" t="s">
        <v>243</v>
      </c>
      <c r="C115" s="9">
        <v>1</v>
      </c>
      <c r="D115" s="8" t="s">
        <v>764</v>
      </c>
      <c r="E115" s="10" t="s">
        <v>364</v>
      </c>
      <c r="F115" s="10" t="s">
        <v>2908</v>
      </c>
      <c r="G115" s="210">
        <v>0</v>
      </c>
      <c r="H115" s="1104">
        <v>25300000</v>
      </c>
      <c r="I115" s="872"/>
      <c r="J115" s="873"/>
      <c r="K115" s="873"/>
      <c r="L115" s="873"/>
      <c r="M115" s="873"/>
    </row>
    <row r="116" spans="1:13">
      <c r="A116" s="1020">
        <v>112</v>
      </c>
      <c r="B116" s="1020" t="s">
        <v>243</v>
      </c>
      <c r="C116" s="1020">
        <v>14</v>
      </c>
      <c r="D116" s="1024" t="s">
        <v>213</v>
      </c>
      <c r="E116" s="1022" t="s">
        <v>355</v>
      </c>
      <c r="F116" s="1022" t="s">
        <v>268</v>
      </c>
      <c r="G116" s="835">
        <v>0</v>
      </c>
      <c r="H116" s="1111">
        <v>20350000</v>
      </c>
      <c r="I116" s="1130"/>
      <c r="J116" s="1132"/>
      <c r="K116" s="1132"/>
      <c r="L116" s="1132"/>
      <c r="M116" s="1132"/>
    </row>
    <row r="117" spans="1:13">
      <c r="A117" s="1020">
        <v>113</v>
      </c>
      <c r="B117" s="1020" t="s">
        <v>244</v>
      </c>
      <c r="C117" s="1020">
        <v>4</v>
      </c>
      <c r="D117" s="1024" t="s">
        <v>213</v>
      </c>
      <c r="E117" s="1022" t="s">
        <v>355</v>
      </c>
      <c r="F117" s="1022" t="s">
        <v>269</v>
      </c>
      <c r="G117" s="835">
        <v>0</v>
      </c>
      <c r="H117" s="1111">
        <v>20350000</v>
      </c>
      <c r="I117" s="1130"/>
      <c r="J117" s="1132"/>
      <c r="K117" s="1132"/>
      <c r="L117" s="1132"/>
      <c r="M117" s="1132"/>
    </row>
    <row r="118" spans="1:13">
      <c r="A118" s="1020">
        <v>114</v>
      </c>
      <c r="B118" s="1020" t="s">
        <v>245</v>
      </c>
      <c r="C118" s="1020">
        <v>21</v>
      </c>
      <c r="D118" s="1024" t="s">
        <v>213</v>
      </c>
      <c r="E118" s="1022" t="s">
        <v>355</v>
      </c>
      <c r="F118" s="1022" t="s">
        <v>270</v>
      </c>
      <c r="G118" s="835">
        <v>0</v>
      </c>
      <c r="H118" s="1111">
        <v>20350000</v>
      </c>
      <c r="I118" s="1130"/>
      <c r="J118" s="1132"/>
      <c r="K118" s="1132"/>
      <c r="L118" s="1132"/>
      <c r="M118" s="1132"/>
    </row>
    <row r="119" spans="1:13">
      <c r="A119" s="1020">
        <v>115</v>
      </c>
      <c r="B119" s="1020" t="s">
        <v>238</v>
      </c>
      <c r="C119" s="1020">
        <v>4</v>
      </c>
      <c r="D119" s="1024" t="s">
        <v>213</v>
      </c>
      <c r="E119" s="1022" t="s">
        <v>355</v>
      </c>
      <c r="F119" s="1022" t="s">
        <v>271</v>
      </c>
      <c r="G119" s="835">
        <v>0</v>
      </c>
      <c r="H119" s="1111">
        <v>20350000</v>
      </c>
      <c r="I119" s="1130"/>
      <c r="J119" s="1132"/>
      <c r="K119" s="1132"/>
      <c r="L119" s="1132"/>
      <c r="M119" s="1132"/>
    </row>
    <row r="120" spans="1:13">
      <c r="A120" s="1020">
        <v>116</v>
      </c>
      <c r="B120" s="1020" t="s">
        <v>140</v>
      </c>
      <c r="C120" s="1020">
        <v>3</v>
      </c>
      <c r="D120" s="1024" t="s">
        <v>213</v>
      </c>
      <c r="E120" s="1022" t="s">
        <v>355</v>
      </c>
      <c r="F120" s="1022" t="s">
        <v>272</v>
      </c>
      <c r="G120" s="835">
        <v>0</v>
      </c>
      <c r="H120" s="1111">
        <v>20350000</v>
      </c>
      <c r="I120" s="1130"/>
      <c r="J120" s="1132"/>
      <c r="K120" s="1132"/>
      <c r="L120" s="1132"/>
      <c r="M120" s="1132"/>
    </row>
    <row r="121" spans="1:13">
      <c r="A121" s="211">
        <v>117</v>
      </c>
      <c r="B121" s="9" t="s">
        <v>243</v>
      </c>
      <c r="C121" s="9">
        <v>1</v>
      </c>
      <c r="D121" s="8" t="s">
        <v>445</v>
      </c>
      <c r="E121" s="10" t="s">
        <v>357</v>
      </c>
      <c r="F121" s="10" t="s">
        <v>2919</v>
      </c>
      <c r="G121" s="210">
        <v>0</v>
      </c>
      <c r="H121" s="1104">
        <v>11000000</v>
      </c>
      <c r="I121" s="872"/>
      <c r="J121" s="873"/>
      <c r="K121" s="875">
        <f>SUM(H121)</f>
        <v>11000000</v>
      </c>
      <c r="L121" s="873"/>
      <c r="M121" s="873"/>
    </row>
    <row r="122" spans="1:13">
      <c r="A122" s="211">
        <v>118</v>
      </c>
      <c r="B122" s="9" t="s">
        <v>241</v>
      </c>
      <c r="C122" s="9">
        <v>2</v>
      </c>
      <c r="D122" s="8" t="s">
        <v>1623</v>
      </c>
      <c r="E122" s="10" t="s">
        <v>364</v>
      </c>
      <c r="F122" s="10" t="s">
        <v>2610</v>
      </c>
      <c r="G122" s="342">
        <v>0</v>
      </c>
      <c r="H122" s="1103">
        <v>12906666.663000001</v>
      </c>
      <c r="I122" s="872"/>
      <c r="J122" s="873"/>
      <c r="K122" s="873"/>
      <c r="L122" s="873"/>
      <c r="M122" s="1183">
        <f>SUM(H122)</f>
        <v>12906666.663000001</v>
      </c>
    </row>
    <row r="123" spans="1:13">
      <c r="A123" s="211">
        <v>119</v>
      </c>
      <c r="B123" s="9" t="s">
        <v>242</v>
      </c>
      <c r="C123" s="9">
        <v>3</v>
      </c>
      <c r="D123" s="8" t="s">
        <v>1623</v>
      </c>
      <c r="E123" s="10" t="s">
        <v>364</v>
      </c>
      <c r="F123" s="10" t="s">
        <v>2775</v>
      </c>
      <c r="G123" s="342">
        <v>0</v>
      </c>
      <c r="H123" s="1103">
        <v>24200000</v>
      </c>
      <c r="I123" s="872"/>
      <c r="J123" s="873"/>
      <c r="K123" s="873"/>
      <c r="L123" s="873"/>
      <c r="M123" s="877">
        <f>SUM(H123)</f>
        <v>24200000</v>
      </c>
    </row>
    <row r="124" spans="1:13">
      <c r="A124" s="1020">
        <v>120</v>
      </c>
      <c r="B124" s="1020" t="s">
        <v>242</v>
      </c>
      <c r="C124" s="1020">
        <v>29</v>
      </c>
      <c r="D124" s="1024" t="s">
        <v>215</v>
      </c>
      <c r="E124" s="1022" t="s">
        <v>118</v>
      </c>
      <c r="F124" s="1023" t="s">
        <v>273</v>
      </c>
      <c r="G124" s="835">
        <v>99</v>
      </c>
      <c r="H124" s="1111">
        <v>0</v>
      </c>
      <c r="I124" s="1130"/>
      <c r="J124" s="1132"/>
      <c r="K124" s="1132"/>
      <c r="L124" s="1132"/>
      <c r="M124" s="1132"/>
    </row>
    <row r="125" spans="1:13">
      <c r="A125" s="894">
        <v>121</v>
      </c>
      <c r="B125" s="892" t="s">
        <v>241</v>
      </c>
      <c r="C125" s="892">
        <v>7</v>
      </c>
      <c r="D125" s="1145" t="s">
        <v>2686</v>
      </c>
      <c r="E125" s="1190" t="s">
        <v>433</v>
      </c>
      <c r="F125" s="1190" t="s">
        <v>2687</v>
      </c>
      <c r="G125" s="1191">
        <v>0</v>
      </c>
      <c r="H125" s="1192">
        <v>13200000</v>
      </c>
      <c r="I125" s="872"/>
      <c r="J125" s="873"/>
      <c r="K125" s="873"/>
      <c r="L125" s="875">
        <f>SUM(H125)</f>
        <v>13200000</v>
      </c>
      <c r="M125" s="873"/>
    </row>
    <row r="126" spans="1:13">
      <c r="A126" s="894">
        <v>122</v>
      </c>
      <c r="B126" s="892" t="s">
        <v>242</v>
      </c>
      <c r="C126" s="892">
        <v>3</v>
      </c>
      <c r="D126" s="1145" t="s">
        <v>2686</v>
      </c>
      <c r="E126" s="1190" t="s">
        <v>354</v>
      </c>
      <c r="F126" s="1190" t="s">
        <v>2777</v>
      </c>
      <c r="G126" s="1191">
        <v>0</v>
      </c>
      <c r="H126" s="1192">
        <v>13200000</v>
      </c>
      <c r="I126" s="872"/>
      <c r="J126" s="873"/>
      <c r="K126" s="873"/>
      <c r="L126" s="875">
        <f>SUM(H126)</f>
        <v>13200000</v>
      </c>
      <c r="M126" s="873"/>
    </row>
    <row r="127" spans="1:13">
      <c r="A127" s="894">
        <v>123</v>
      </c>
      <c r="B127" s="892" t="s">
        <v>243</v>
      </c>
      <c r="C127" s="892">
        <v>1</v>
      </c>
      <c r="D127" s="1145" t="s">
        <v>2686</v>
      </c>
      <c r="E127" s="1190" t="s">
        <v>354</v>
      </c>
      <c r="F127" s="1190" t="s">
        <v>2912</v>
      </c>
      <c r="G127" s="1193">
        <v>0</v>
      </c>
      <c r="H127" s="1194">
        <v>13200000</v>
      </c>
      <c r="I127" s="872"/>
      <c r="J127" s="873"/>
      <c r="K127" s="873"/>
      <c r="L127" s="873"/>
      <c r="M127" s="873"/>
    </row>
    <row r="128" spans="1:13">
      <c r="A128" s="211">
        <v>124</v>
      </c>
      <c r="B128" s="9" t="s">
        <v>242</v>
      </c>
      <c r="C128" s="9">
        <v>3</v>
      </c>
      <c r="D128" s="8" t="s">
        <v>412</v>
      </c>
      <c r="E128" s="10" t="s">
        <v>354</v>
      </c>
      <c r="F128" s="10" t="s">
        <v>2763</v>
      </c>
      <c r="G128" s="346">
        <v>0</v>
      </c>
      <c r="H128" s="1110">
        <v>24200000</v>
      </c>
      <c r="I128" s="872"/>
      <c r="J128" s="873"/>
      <c r="K128" s="873"/>
      <c r="L128" s="873"/>
      <c r="M128" s="875">
        <f>SUM(H128)</f>
        <v>24200000</v>
      </c>
    </row>
    <row r="129" spans="1:13">
      <c r="A129" s="211">
        <v>125</v>
      </c>
      <c r="B129" s="9" t="s">
        <v>243</v>
      </c>
      <c r="C129" s="9">
        <v>1</v>
      </c>
      <c r="D129" s="8" t="s">
        <v>412</v>
      </c>
      <c r="E129" s="10" t="s">
        <v>354</v>
      </c>
      <c r="F129" s="10" t="s">
        <v>2929</v>
      </c>
      <c r="G129" s="210">
        <v>0</v>
      </c>
      <c r="H129" s="1104">
        <v>24200000</v>
      </c>
      <c r="I129" s="872"/>
      <c r="J129" s="873"/>
      <c r="K129" s="873"/>
      <c r="L129" s="873"/>
      <c r="M129" s="873"/>
    </row>
    <row r="130" spans="1:13">
      <c r="A130" s="1020">
        <v>126</v>
      </c>
      <c r="B130" s="1020" t="s">
        <v>140</v>
      </c>
      <c r="C130" s="1020">
        <v>1</v>
      </c>
      <c r="D130" s="1024" t="s">
        <v>216</v>
      </c>
      <c r="E130" s="1023" t="s">
        <v>354</v>
      </c>
      <c r="F130" s="1023" t="s">
        <v>275</v>
      </c>
      <c r="G130" s="835">
        <v>620</v>
      </c>
      <c r="H130" s="1111">
        <v>0</v>
      </c>
      <c r="I130" s="1130"/>
      <c r="J130" s="1132"/>
      <c r="K130" s="1132"/>
      <c r="L130" s="1132"/>
      <c r="M130" s="1132"/>
    </row>
    <row r="131" spans="1:13">
      <c r="A131" s="1020">
        <v>127</v>
      </c>
      <c r="B131" s="1020" t="s">
        <v>194</v>
      </c>
      <c r="C131" s="1020">
        <v>10</v>
      </c>
      <c r="D131" s="1024" t="s">
        <v>216</v>
      </c>
      <c r="E131" s="1023" t="s">
        <v>354</v>
      </c>
      <c r="F131" s="1023" t="s">
        <v>276</v>
      </c>
      <c r="G131" s="835">
        <v>1650</v>
      </c>
      <c r="H131" s="1111">
        <v>0</v>
      </c>
      <c r="I131" s="1130"/>
      <c r="J131" s="1132"/>
      <c r="K131" s="1132"/>
      <c r="L131" s="1132"/>
      <c r="M131" s="1132"/>
    </row>
    <row r="132" spans="1:13">
      <c r="A132" s="1020">
        <v>128</v>
      </c>
      <c r="B132" s="1020" t="s">
        <v>195</v>
      </c>
      <c r="C132" s="1020">
        <v>2</v>
      </c>
      <c r="D132" s="1024" t="s">
        <v>216</v>
      </c>
      <c r="E132" s="1023" t="s">
        <v>354</v>
      </c>
      <c r="F132" s="1023" t="s">
        <v>277</v>
      </c>
      <c r="G132" s="835">
        <v>1650</v>
      </c>
      <c r="H132" s="1111">
        <v>0</v>
      </c>
      <c r="I132" s="1130"/>
      <c r="J132" s="1132"/>
      <c r="K132" s="1132"/>
      <c r="L132" s="1132"/>
      <c r="M132" s="1132"/>
    </row>
    <row r="133" spans="1:13">
      <c r="A133" s="1020">
        <v>129</v>
      </c>
      <c r="B133" s="1020" t="s">
        <v>240</v>
      </c>
      <c r="C133" s="1020">
        <v>3</v>
      </c>
      <c r="D133" s="1024" t="s">
        <v>216</v>
      </c>
      <c r="E133" s="1023" t="s">
        <v>354</v>
      </c>
      <c r="F133" s="1023" t="s">
        <v>278</v>
      </c>
      <c r="G133" s="835">
        <v>1650</v>
      </c>
      <c r="H133" s="1111">
        <v>0</v>
      </c>
      <c r="I133" s="1130"/>
      <c r="J133" s="1132"/>
      <c r="K133" s="1132"/>
      <c r="L133" s="1132"/>
      <c r="M133" s="1132"/>
    </row>
    <row r="134" spans="1:13">
      <c r="A134" s="1020">
        <v>130</v>
      </c>
      <c r="B134" s="1020" t="s">
        <v>194</v>
      </c>
      <c r="C134" s="1020">
        <v>18</v>
      </c>
      <c r="D134" s="1024" t="s">
        <v>217</v>
      </c>
      <c r="E134" s="1023" t="s">
        <v>144</v>
      </c>
      <c r="F134" s="1023" t="s">
        <v>279</v>
      </c>
      <c r="G134" s="835">
        <v>0</v>
      </c>
      <c r="H134" s="1111">
        <v>9353850</v>
      </c>
      <c r="I134" s="1130"/>
      <c r="J134" s="1132"/>
      <c r="K134" s="1132"/>
      <c r="L134" s="1132"/>
      <c r="M134" s="1132"/>
    </row>
    <row r="135" spans="1:13">
      <c r="A135" s="1020">
        <v>131</v>
      </c>
      <c r="B135" s="1020" t="s">
        <v>194</v>
      </c>
      <c r="C135" s="1020">
        <v>8</v>
      </c>
      <c r="D135" s="1024" t="s">
        <v>217</v>
      </c>
      <c r="E135" s="1023" t="s">
        <v>118</v>
      </c>
      <c r="F135" s="1023" t="s">
        <v>280</v>
      </c>
      <c r="G135" s="835">
        <v>0</v>
      </c>
      <c r="H135" s="1111">
        <v>3750000</v>
      </c>
      <c r="I135" s="1130"/>
      <c r="J135" s="1132"/>
      <c r="K135" s="1132"/>
      <c r="L135" s="1132"/>
      <c r="M135" s="1132"/>
    </row>
    <row r="136" spans="1:13">
      <c r="A136" s="1020">
        <v>132</v>
      </c>
      <c r="B136" s="1020" t="s">
        <v>194</v>
      </c>
      <c r="C136" s="1020">
        <v>14</v>
      </c>
      <c r="D136" s="1024" t="s">
        <v>217</v>
      </c>
      <c r="E136" s="1023" t="s">
        <v>63</v>
      </c>
      <c r="F136" s="1023" t="s">
        <v>281</v>
      </c>
      <c r="G136" s="835">
        <v>0</v>
      </c>
      <c r="H136" s="1111">
        <v>3300000</v>
      </c>
      <c r="I136" s="1130"/>
      <c r="J136" s="1132"/>
      <c r="K136" s="1132"/>
      <c r="L136" s="1132"/>
      <c r="M136" s="1132"/>
    </row>
    <row r="137" spans="1:13">
      <c r="A137" s="1020">
        <v>133</v>
      </c>
      <c r="B137" s="1020" t="s">
        <v>194</v>
      </c>
      <c r="C137" s="1020">
        <v>14</v>
      </c>
      <c r="D137" s="1024" t="s">
        <v>217</v>
      </c>
      <c r="E137" s="1023" t="s">
        <v>63</v>
      </c>
      <c r="F137" s="1023" t="s">
        <v>282</v>
      </c>
      <c r="G137" s="835">
        <v>0</v>
      </c>
      <c r="H137" s="1111">
        <v>4400000</v>
      </c>
      <c r="I137" s="1130"/>
      <c r="J137" s="1132"/>
      <c r="K137" s="1132"/>
      <c r="L137" s="1132"/>
      <c r="M137" s="1132"/>
    </row>
    <row r="138" spans="1:13">
      <c r="A138" s="1020">
        <v>134</v>
      </c>
      <c r="B138" s="1020" t="s">
        <v>194</v>
      </c>
      <c r="C138" s="1020">
        <v>18</v>
      </c>
      <c r="D138" s="1024" t="s">
        <v>217</v>
      </c>
      <c r="E138" s="1023" t="s">
        <v>63</v>
      </c>
      <c r="F138" s="1023" t="s">
        <v>283</v>
      </c>
      <c r="G138" s="835">
        <v>0</v>
      </c>
      <c r="H138" s="1111">
        <v>3300000</v>
      </c>
      <c r="I138" s="1130"/>
      <c r="J138" s="1132"/>
      <c r="K138" s="1132"/>
      <c r="L138" s="1132"/>
      <c r="M138" s="1132"/>
    </row>
    <row r="139" spans="1:13">
      <c r="A139" s="1020">
        <v>135</v>
      </c>
      <c r="B139" s="1020" t="s">
        <v>195</v>
      </c>
      <c r="C139" s="1020">
        <v>15</v>
      </c>
      <c r="D139" s="1024" t="s">
        <v>217</v>
      </c>
      <c r="E139" s="1023" t="s">
        <v>63</v>
      </c>
      <c r="F139" s="1023" t="s">
        <v>284</v>
      </c>
      <c r="G139" s="835">
        <v>0</v>
      </c>
      <c r="H139" s="1111">
        <v>4400000</v>
      </c>
      <c r="I139" s="1130"/>
      <c r="J139" s="1132"/>
      <c r="K139" s="1132"/>
      <c r="L139" s="1132"/>
      <c r="M139" s="1132"/>
    </row>
    <row r="140" spans="1:13">
      <c r="A140" s="1020">
        <v>136</v>
      </c>
      <c r="B140" s="1020" t="s">
        <v>239</v>
      </c>
      <c r="C140" s="1020">
        <v>3</v>
      </c>
      <c r="D140" s="1024" t="s">
        <v>217</v>
      </c>
      <c r="E140" s="1023" t="s">
        <v>63</v>
      </c>
      <c r="F140" s="1023" t="s">
        <v>285</v>
      </c>
      <c r="G140" s="835">
        <v>0</v>
      </c>
      <c r="H140" s="1111">
        <v>4400000</v>
      </c>
      <c r="I140" s="1130"/>
      <c r="J140" s="1132"/>
      <c r="K140" s="1132"/>
      <c r="L140" s="1132"/>
      <c r="M140" s="1132"/>
    </row>
    <row r="141" spans="1:13">
      <c r="A141" s="1020">
        <v>137</v>
      </c>
      <c r="B141" s="1020" t="s">
        <v>239</v>
      </c>
      <c r="C141" s="1020">
        <v>3</v>
      </c>
      <c r="D141" s="1024" t="s">
        <v>217</v>
      </c>
      <c r="E141" s="1023" t="s">
        <v>63</v>
      </c>
      <c r="F141" s="1023" t="s">
        <v>286</v>
      </c>
      <c r="G141" s="835">
        <v>0</v>
      </c>
      <c r="H141" s="1111">
        <v>3300000</v>
      </c>
      <c r="I141" s="1130"/>
      <c r="J141" s="1132"/>
      <c r="K141" s="1132"/>
      <c r="L141" s="1132"/>
      <c r="M141" s="1132"/>
    </row>
    <row r="142" spans="1:13">
      <c r="A142" s="1020">
        <v>138</v>
      </c>
      <c r="B142" s="1020" t="s">
        <v>240</v>
      </c>
      <c r="C142" s="1020">
        <v>1</v>
      </c>
      <c r="D142" s="1024" t="s">
        <v>217</v>
      </c>
      <c r="E142" s="1023" t="s">
        <v>63</v>
      </c>
      <c r="F142" s="1023" t="s">
        <v>287</v>
      </c>
      <c r="G142" s="835">
        <v>0</v>
      </c>
      <c r="H142" s="1111">
        <v>4400000</v>
      </c>
      <c r="I142" s="1130"/>
      <c r="J142" s="1132"/>
      <c r="K142" s="1132"/>
      <c r="L142" s="1132"/>
      <c r="M142" s="1132"/>
    </row>
    <row r="143" spans="1:13">
      <c r="A143" s="1020">
        <v>139</v>
      </c>
      <c r="B143" s="1020" t="s">
        <v>58</v>
      </c>
      <c r="C143" s="1020">
        <v>5</v>
      </c>
      <c r="D143" s="1024" t="s">
        <v>217</v>
      </c>
      <c r="E143" s="1023" t="s">
        <v>63</v>
      </c>
      <c r="F143" s="1023" t="s">
        <v>288</v>
      </c>
      <c r="G143" s="835">
        <v>0</v>
      </c>
      <c r="H143" s="1111">
        <v>4400000</v>
      </c>
      <c r="I143" s="1130"/>
      <c r="J143" s="1132"/>
      <c r="K143" s="1132"/>
      <c r="L143" s="1132"/>
      <c r="M143" s="1132"/>
    </row>
    <row r="144" spans="1:13">
      <c r="A144" s="1020">
        <v>140</v>
      </c>
      <c r="B144" s="1020" t="s">
        <v>241</v>
      </c>
      <c r="C144" s="1020">
        <v>2</v>
      </c>
      <c r="D144" s="1024" t="s">
        <v>217</v>
      </c>
      <c r="E144" s="1023" t="s">
        <v>63</v>
      </c>
      <c r="F144" s="1023" t="s">
        <v>289</v>
      </c>
      <c r="G144" s="835">
        <v>0</v>
      </c>
      <c r="H144" s="1111">
        <v>4400000</v>
      </c>
      <c r="I144" s="1130"/>
      <c r="J144" s="1132"/>
      <c r="K144" s="1132"/>
      <c r="L144" s="1132"/>
      <c r="M144" s="1132"/>
    </row>
    <row r="145" spans="1:13">
      <c r="A145" s="1113">
        <v>141</v>
      </c>
      <c r="B145" s="1113" t="s">
        <v>238</v>
      </c>
      <c r="C145" s="1113">
        <v>2</v>
      </c>
      <c r="D145" s="1115" t="s">
        <v>47</v>
      </c>
      <c r="E145" s="1114" t="s">
        <v>378</v>
      </c>
      <c r="F145" s="1114" t="s">
        <v>290</v>
      </c>
      <c r="G145" s="1096">
        <v>0</v>
      </c>
      <c r="H145" s="1117">
        <v>-15625050</v>
      </c>
      <c r="I145" s="1137"/>
      <c r="J145" s="1138"/>
      <c r="K145" s="1138"/>
      <c r="L145" s="1138"/>
      <c r="M145" s="1138"/>
    </row>
    <row r="146" spans="1:13">
      <c r="A146" s="1113">
        <v>142</v>
      </c>
      <c r="B146" s="1113" t="s">
        <v>140</v>
      </c>
      <c r="C146" s="1113">
        <v>1</v>
      </c>
      <c r="D146" s="1115" t="s">
        <v>47</v>
      </c>
      <c r="E146" s="1114" t="s">
        <v>378</v>
      </c>
      <c r="F146" s="1114" t="s">
        <v>291</v>
      </c>
      <c r="G146" s="1096">
        <v>0</v>
      </c>
      <c r="H146" s="1117">
        <v>150000000</v>
      </c>
      <c r="I146" s="1137"/>
      <c r="J146" s="1138"/>
      <c r="K146" s="1138"/>
      <c r="L146" s="1138"/>
      <c r="M146" s="1138"/>
    </row>
    <row r="147" spans="1:13">
      <c r="A147" s="1113">
        <v>143</v>
      </c>
      <c r="B147" s="1114" t="s">
        <v>194</v>
      </c>
      <c r="C147" s="1114">
        <v>6</v>
      </c>
      <c r="D147" s="1115" t="s">
        <v>47</v>
      </c>
      <c r="E147" s="1114" t="s">
        <v>378</v>
      </c>
      <c r="F147" s="1114" t="s">
        <v>161</v>
      </c>
      <c r="G147" s="1125">
        <v>0</v>
      </c>
      <c r="H147" s="1126">
        <v>150000000</v>
      </c>
      <c r="I147" s="1137"/>
      <c r="J147" s="1138"/>
      <c r="K147" s="1138"/>
      <c r="L147" s="1138"/>
      <c r="M147" s="1138"/>
    </row>
    <row r="148" spans="1:13">
      <c r="A148" s="1113">
        <v>144</v>
      </c>
      <c r="B148" s="1114" t="s">
        <v>195</v>
      </c>
      <c r="C148" s="1114">
        <v>1</v>
      </c>
      <c r="D148" s="1115" t="s">
        <v>47</v>
      </c>
      <c r="E148" s="1114" t="s">
        <v>378</v>
      </c>
      <c r="F148" s="1114" t="s">
        <v>162</v>
      </c>
      <c r="G148" s="1125">
        <v>0</v>
      </c>
      <c r="H148" s="1126">
        <v>150000000</v>
      </c>
      <c r="I148" s="1137"/>
      <c r="J148" s="1138"/>
      <c r="K148" s="1138"/>
      <c r="L148" s="1138"/>
      <c r="M148" s="1138"/>
    </row>
    <row r="149" spans="1:13">
      <c r="A149" s="1113">
        <v>145</v>
      </c>
      <c r="B149" s="1114" t="s">
        <v>239</v>
      </c>
      <c r="C149" s="1114">
        <v>1</v>
      </c>
      <c r="D149" s="1115" t="s">
        <v>47</v>
      </c>
      <c r="E149" s="1114" t="s">
        <v>378</v>
      </c>
      <c r="F149" s="1114" t="s">
        <v>393</v>
      </c>
      <c r="G149" s="1125">
        <v>0</v>
      </c>
      <c r="H149" s="1126">
        <v>150000000</v>
      </c>
      <c r="I149" s="1137"/>
      <c r="J149" s="1138"/>
      <c r="K149" s="1138"/>
      <c r="L149" s="1138"/>
      <c r="M149" s="1138"/>
    </row>
    <row r="150" spans="1:13">
      <c r="A150" s="1113">
        <v>146</v>
      </c>
      <c r="B150" s="1114" t="s">
        <v>240</v>
      </c>
      <c r="C150" s="1114">
        <v>1</v>
      </c>
      <c r="D150" s="1115" t="s">
        <v>47</v>
      </c>
      <c r="E150" s="1114" t="s">
        <v>378</v>
      </c>
      <c r="F150" s="1114" t="s">
        <v>408</v>
      </c>
      <c r="G150" s="1125">
        <v>0</v>
      </c>
      <c r="H150" s="1126">
        <v>150000000</v>
      </c>
      <c r="I150" s="1137"/>
      <c r="J150" s="1138"/>
      <c r="K150" s="1138"/>
      <c r="L150" s="1138"/>
      <c r="M150" s="1138"/>
    </row>
    <row r="151" spans="1:13">
      <c r="A151" s="1113">
        <v>147</v>
      </c>
      <c r="B151" s="1114" t="s">
        <v>241</v>
      </c>
      <c r="C151" s="1114">
        <v>1</v>
      </c>
      <c r="D151" s="1115" t="s">
        <v>47</v>
      </c>
      <c r="E151" s="1114" t="s">
        <v>378</v>
      </c>
      <c r="F151" s="1114" t="s">
        <v>465</v>
      </c>
      <c r="G151" s="1125">
        <v>0</v>
      </c>
      <c r="H151" s="1126">
        <v>85000000</v>
      </c>
      <c r="I151" s="1137"/>
      <c r="J151" s="1138"/>
      <c r="K151" s="1138"/>
      <c r="L151" s="1138"/>
      <c r="M151" s="1138"/>
    </row>
    <row r="152" spans="1:13">
      <c r="A152" s="1113">
        <v>148</v>
      </c>
      <c r="B152" s="1114" t="s">
        <v>242</v>
      </c>
      <c r="C152" s="1114">
        <v>11</v>
      </c>
      <c r="D152" s="1115" t="s">
        <v>47</v>
      </c>
      <c r="E152" s="1114" t="s">
        <v>378</v>
      </c>
      <c r="F152" s="1114" t="s">
        <v>494</v>
      </c>
      <c r="G152" s="1125">
        <v>0</v>
      </c>
      <c r="H152" s="1126">
        <v>85000000</v>
      </c>
      <c r="I152" s="1137"/>
      <c r="J152" s="1138"/>
      <c r="K152" s="1138"/>
      <c r="L152" s="1138"/>
      <c r="M152" s="1138"/>
    </row>
    <row r="153" spans="1:13">
      <c r="A153" s="1113">
        <v>149</v>
      </c>
      <c r="B153" s="1114" t="s">
        <v>243</v>
      </c>
      <c r="C153" s="1114">
        <v>2</v>
      </c>
      <c r="D153" s="1115" t="s">
        <v>47</v>
      </c>
      <c r="E153" s="1114" t="s">
        <v>378</v>
      </c>
      <c r="F153" s="1114" t="s">
        <v>529</v>
      </c>
      <c r="G153" s="1096">
        <v>0</v>
      </c>
      <c r="H153" s="1127">
        <v>85000000</v>
      </c>
      <c r="I153" s="1137"/>
      <c r="J153" s="1138"/>
      <c r="K153" s="1138"/>
      <c r="L153" s="1138"/>
      <c r="M153" s="1138"/>
    </row>
    <row r="154" spans="1:13">
      <c r="A154" s="1113">
        <v>150</v>
      </c>
      <c r="B154" s="1114" t="s">
        <v>244</v>
      </c>
      <c r="C154" s="1114">
        <v>1</v>
      </c>
      <c r="D154" s="1115" t="s">
        <v>47</v>
      </c>
      <c r="E154" s="1114" t="s">
        <v>378</v>
      </c>
      <c r="F154" s="1114" t="s">
        <v>574</v>
      </c>
      <c r="G154" s="1096">
        <v>0</v>
      </c>
      <c r="H154" s="1127">
        <v>85000000</v>
      </c>
      <c r="I154" s="1137"/>
      <c r="J154" s="1138"/>
      <c r="K154" s="1138"/>
      <c r="L154" s="1138"/>
      <c r="M154" s="1138"/>
    </row>
    <row r="155" spans="1:13">
      <c r="A155" s="1113">
        <v>151</v>
      </c>
      <c r="B155" s="1114" t="s">
        <v>245</v>
      </c>
      <c r="C155" s="1114">
        <v>5</v>
      </c>
      <c r="D155" s="1115" t="s">
        <v>47</v>
      </c>
      <c r="E155" s="1114" t="s">
        <v>378</v>
      </c>
      <c r="F155" s="1114" t="s">
        <v>636</v>
      </c>
      <c r="G155" s="1096">
        <v>0</v>
      </c>
      <c r="H155" s="1127">
        <v>85000000</v>
      </c>
      <c r="I155" s="1137"/>
      <c r="J155" s="1138"/>
      <c r="K155" s="1138"/>
      <c r="L155" s="1138"/>
      <c r="M155" s="1138"/>
    </row>
    <row r="156" spans="1:13">
      <c r="A156" s="1113">
        <v>152</v>
      </c>
      <c r="B156" s="1114" t="s">
        <v>238</v>
      </c>
      <c r="C156" s="1114">
        <v>2</v>
      </c>
      <c r="D156" s="1115" t="s">
        <v>47</v>
      </c>
      <c r="E156" s="1114" t="s">
        <v>378</v>
      </c>
      <c r="F156" s="1114" t="s">
        <v>656</v>
      </c>
      <c r="G156" s="1125">
        <v>0</v>
      </c>
      <c r="H156" s="1126">
        <v>7000000</v>
      </c>
      <c r="I156" s="1137"/>
      <c r="J156" s="1138"/>
      <c r="K156" s="1138"/>
      <c r="L156" s="1138"/>
      <c r="M156" s="1138"/>
    </row>
    <row r="157" spans="1:13">
      <c r="A157" s="1113">
        <v>153</v>
      </c>
      <c r="B157" s="1114" t="s">
        <v>194</v>
      </c>
      <c r="C157" s="1114">
        <v>9</v>
      </c>
      <c r="D157" s="1115" t="s">
        <v>47</v>
      </c>
      <c r="E157" s="1114" t="s">
        <v>378</v>
      </c>
      <c r="F157" s="1116" t="s">
        <v>1766</v>
      </c>
      <c r="G157" s="1125">
        <v>0</v>
      </c>
      <c r="H157" s="1126">
        <v>7000000</v>
      </c>
      <c r="I157" s="1137"/>
      <c r="J157" s="1138"/>
      <c r="K157" s="1138"/>
      <c r="L157" s="1138"/>
      <c r="M157" s="1138"/>
    </row>
    <row r="158" spans="1:13">
      <c r="A158" s="1113">
        <v>154</v>
      </c>
      <c r="B158" s="1114" t="s">
        <v>239</v>
      </c>
      <c r="C158" s="1114">
        <v>1</v>
      </c>
      <c r="D158" s="1115" t="s">
        <v>47</v>
      </c>
      <c r="E158" s="1114" t="s">
        <v>378</v>
      </c>
      <c r="F158" s="1116" t="s">
        <v>2086</v>
      </c>
      <c r="G158" s="1125">
        <v>0</v>
      </c>
      <c r="H158" s="1126">
        <v>107000000</v>
      </c>
      <c r="I158" s="1137"/>
      <c r="J158" s="1138"/>
      <c r="K158" s="1138"/>
      <c r="L158" s="1138"/>
      <c r="M158" s="1138"/>
    </row>
    <row r="159" spans="1:13">
      <c r="A159" s="1113">
        <v>155</v>
      </c>
      <c r="B159" s="1114" t="s">
        <v>240</v>
      </c>
      <c r="C159" s="1114">
        <v>3</v>
      </c>
      <c r="D159" s="1115" t="s">
        <v>47</v>
      </c>
      <c r="E159" s="1114" t="s">
        <v>378</v>
      </c>
      <c r="F159" s="1116" t="s">
        <v>2229</v>
      </c>
      <c r="G159" s="1125">
        <v>0</v>
      </c>
      <c r="H159" s="1126">
        <v>107000000</v>
      </c>
      <c r="I159" s="1137"/>
      <c r="J159" s="1138"/>
      <c r="K159" s="1138"/>
      <c r="L159" s="1138"/>
      <c r="M159" s="1138"/>
    </row>
    <row r="160" spans="1:13">
      <c r="A160" s="1113">
        <v>156</v>
      </c>
      <c r="B160" s="1114" t="s">
        <v>58</v>
      </c>
      <c r="C160" s="1114">
        <v>2</v>
      </c>
      <c r="D160" s="1115" t="s">
        <v>47</v>
      </c>
      <c r="E160" s="1114" t="s">
        <v>378</v>
      </c>
      <c r="F160" s="1116" t="s">
        <v>2441</v>
      </c>
      <c r="G160" s="1125">
        <v>0</v>
      </c>
      <c r="H160" s="1126">
        <v>107000000</v>
      </c>
      <c r="I160" s="1137"/>
      <c r="J160" s="1138"/>
      <c r="K160" s="1138"/>
      <c r="L160" s="1138"/>
      <c r="M160" s="1138"/>
    </row>
    <row r="161" spans="1:13">
      <c r="A161" s="1020">
        <v>157</v>
      </c>
      <c r="B161" s="1020" t="s">
        <v>243</v>
      </c>
      <c r="C161" s="1020">
        <v>2</v>
      </c>
      <c r="D161" s="1024" t="s">
        <v>218</v>
      </c>
      <c r="E161" s="1022" t="s">
        <v>118</v>
      </c>
      <c r="F161" s="1023" t="s">
        <v>292</v>
      </c>
      <c r="G161" s="835">
        <v>0</v>
      </c>
      <c r="H161" s="1111">
        <v>8223100</v>
      </c>
      <c r="I161" s="1130"/>
      <c r="J161" s="1132"/>
      <c r="K161" s="1132"/>
      <c r="L161" s="1132"/>
      <c r="M161" s="1132"/>
    </row>
    <row r="162" spans="1:13" ht="15.75" thickBot="1">
      <c r="A162" s="1028">
        <v>158</v>
      </c>
      <c r="B162" s="1029" t="s">
        <v>140</v>
      </c>
      <c r="C162" s="1029">
        <v>9</v>
      </c>
      <c r="D162" s="1030" t="s">
        <v>219</v>
      </c>
      <c r="E162" s="1029" t="s">
        <v>63</v>
      </c>
      <c r="F162" s="1029" t="s">
        <v>293</v>
      </c>
      <c r="G162" s="1031">
        <v>0</v>
      </c>
      <c r="H162" s="1112">
        <v>5000000</v>
      </c>
      <c r="I162" s="1130"/>
      <c r="J162" s="1132"/>
      <c r="K162" s="1132"/>
      <c r="L162" s="1132"/>
      <c r="M162" s="1132"/>
    </row>
    <row r="163" spans="1:13" ht="15.75" thickBot="1">
      <c r="A163" s="165"/>
      <c r="B163" s="206"/>
      <c r="C163" s="206"/>
      <c r="D163" s="206"/>
      <c r="E163" s="206"/>
      <c r="F163" s="206"/>
      <c r="G163" s="288">
        <f t="shared" ref="G163:M163" si="5">SUM(G5:G162)</f>
        <v>12049</v>
      </c>
      <c r="H163" s="840">
        <f t="shared" si="5"/>
        <v>7420692005.3640041</v>
      </c>
      <c r="I163" s="841">
        <f t="shared" si="5"/>
        <v>225000000.00499997</v>
      </c>
      <c r="J163" s="836">
        <f t="shared" si="5"/>
        <v>6050000</v>
      </c>
      <c r="K163" s="836">
        <f t="shared" si="5"/>
        <v>1302477599.5999999</v>
      </c>
      <c r="L163" s="836">
        <f t="shared" si="5"/>
        <v>507100000</v>
      </c>
      <c r="M163" s="836">
        <f t="shared" si="5"/>
        <v>145786666.66299999</v>
      </c>
    </row>
    <row r="164" spans="1:13">
      <c r="A164" s="165"/>
      <c r="B164" s="163"/>
      <c r="C164" s="163"/>
      <c r="D164" s="156"/>
      <c r="E164" s="163"/>
      <c r="F164" s="375"/>
      <c r="G164" s="583"/>
      <c r="H164" s="788"/>
    </row>
    <row r="165" spans="1:13">
      <c r="A165" s="40"/>
      <c r="B165" s="40"/>
      <c r="C165" s="40"/>
      <c r="D165" s="40"/>
      <c r="E165" s="40"/>
      <c r="F165" s="40"/>
      <c r="G165" s="40"/>
      <c r="H165" s="40"/>
    </row>
    <row r="166" spans="1:13" ht="19.5">
      <c r="A166" s="837" t="s">
        <v>2399</v>
      </c>
      <c r="B166" s="40"/>
      <c r="C166" s="40"/>
      <c r="D166" s="40"/>
      <c r="E166" s="40"/>
      <c r="F166" s="40"/>
      <c r="G166" s="40"/>
      <c r="H166" s="40"/>
    </row>
    <row r="167" spans="1:13">
      <c r="A167" s="1616" t="s">
        <v>2996</v>
      </c>
      <c r="B167" s="1617"/>
      <c r="C167" s="1617"/>
      <c r="D167" s="1617"/>
      <c r="E167" s="1617"/>
      <c r="F167" s="1617"/>
      <c r="G167" s="1618"/>
      <c r="H167" s="1612" t="s">
        <v>2997</v>
      </c>
      <c r="I167" s="1613"/>
      <c r="J167" s="1613"/>
      <c r="K167" s="1613"/>
      <c r="L167" s="1614"/>
    </row>
    <row r="168" spans="1:13">
      <c r="A168" s="846" t="s">
        <v>6</v>
      </c>
      <c r="B168" s="1619" t="s">
        <v>2400</v>
      </c>
      <c r="C168" s="1620"/>
      <c r="D168" s="1620"/>
      <c r="E168" s="1621"/>
      <c r="F168" s="846" t="s">
        <v>54</v>
      </c>
      <c r="G168" s="906" t="s">
        <v>55</v>
      </c>
      <c r="H168" s="1044" t="s">
        <v>2839</v>
      </c>
      <c r="I168" s="986" t="s">
        <v>2840</v>
      </c>
      <c r="J168" s="986" t="s">
        <v>2538</v>
      </c>
      <c r="K168" s="986" t="s">
        <v>2539</v>
      </c>
      <c r="L168" s="1088" t="s">
        <v>2995</v>
      </c>
    </row>
    <row r="169" spans="1:13">
      <c r="A169" s="1094">
        <v>1</v>
      </c>
      <c r="B169" s="847" t="str">
        <f>D5</f>
        <v>BANGUN OLAH SARANA SUKSES, PT</v>
      </c>
      <c r="C169" s="848"/>
      <c r="D169" s="859"/>
      <c r="E169" s="863"/>
      <c r="F169" s="849"/>
      <c r="G169" s="917">
        <f>SUM(H5:H11)</f>
        <v>142500000</v>
      </c>
      <c r="H169" s="1146"/>
      <c r="I169" s="1147"/>
      <c r="J169" s="1148"/>
      <c r="K169" s="1147"/>
      <c r="L169" s="1147"/>
    </row>
    <row r="170" spans="1:13">
      <c r="A170" s="851">
        <v>2</v>
      </c>
      <c r="B170" s="850" t="str">
        <f>D12</f>
        <v>BINTANG MANGGALA BORNEO, PT</v>
      </c>
      <c r="C170" s="851"/>
      <c r="D170" s="860"/>
      <c r="E170" s="864"/>
      <c r="F170" s="852">
        <f>SUM(G12:G22)</f>
        <v>6050</v>
      </c>
      <c r="G170" s="987"/>
      <c r="H170" s="1149"/>
      <c r="I170" s="1150"/>
      <c r="J170" s="1150"/>
      <c r="K170" s="1150"/>
      <c r="L170" s="1150"/>
    </row>
    <row r="171" spans="1:13">
      <c r="A171" s="1093">
        <v>3</v>
      </c>
      <c r="B171" s="1089" t="str">
        <f>D23</f>
        <v>BUKIT MAKMUR MANDIRI UTAMA, PT</v>
      </c>
      <c r="C171" s="1093"/>
      <c r="D171" s="861"/>
      <c r="E171" s="1090"/>
      <c r="F171" s="853"/>
      <c r="G171" s="918">
        <f>SUM(H23:H27)</f>
        <v>1677730708.8000002</v>
      </c>
      <c r="H171" s="920"/>
      <c r="I171" s="1035"/>
      <c r="J171" s="1036">
        <f>SUM(K25:K26)</f>
        <v>867343659.60000002</v>
      </c>
      <c r="K171" s="1035"/>
      <c r="L171" s="1035"/>
    </row>
    <row r="172" spans="1:13">
      <c r="A172" s="1093">
        <v>4</v>
      </c>
      <c r="B172" s="1089" t="str">
        <f>D28</f>
        <v>CIPTA INFORMATIKA CEMERLANG, PT</v>
      </c>
      <c r="C172" s="1093"/>
      <c r="D172" s="861"/>
      <c r="E172" s="1090"/>
      <c r="F172" s="853"/>
      <c r="G172" s="918">
        <f>SUM(H28)</f>
        <v>4400000</v>
      </c>
      <c r="H172" s="920"/>
      <c r="I172" s="1035"/>
      <c r="J172" s="1035">
        <f>SUM(K28)</f>
        <v>4400000</v>
      </c>
      <c r="K172" s="1035"/>
      <c r="L172" s="1035"/>
    </row>
    <row r="173" spans="1:13">
      <c r="A173" s="851">
        <v>5</v>
      </c>
      <c r="B173" s="850" t="str">
        <f>D29</f>
        <v>CITRA SARI MAKMUR, PT</v>
      </c>
      <c r="C173" s="851"/>
      <c r="D173" s="860"/>
      <c r="E173" s="864"/>
      <c r="F173" s="852"/>
      <c r="G173" s="987">
        <f>SUM(H29)</f>
        <v>50000000</v>
      </c>
      <c r="H173" s="1149"/>
      <c r="I173" s="1159"/>
      <c r="J173" s="1150"/>
      <c r="K173" s="1150"/>
      <c r="L173" s="1150"/>
    </row>
    <row r="174" spans="1:13">
      <c r="A174" s="1093">
        <v>6</v>
      </c>
      <c r="B174" s="1089" t="str">
        <f>D30</f>
        <v>DUTA TAMBANG REKAYASA, PT</v>
      </c>
      <c r="C174" s="1093"/>
      <c r="D174" s="861"/>
      <c r="E174" s="1090"/>
      <c r="F174" s="853"/>
      <c r="G174" s="918">
        <f>SUM(H30:H31)</f>
        <v>131848200</v>
      </c>
      <c r="H174" s="920"/>
      <c r="I174" s="1035"/>
      <c r="J174" s="1035">
        <f>SUM(K30:K31)</f>
        <v>131848200</v>
      </c>
      <c r="K174" s="1034"/>
      <c r="L174" s="1034"/>
    </row>
    <row r="175" spans="1:13" s="991" customFormat="1">
      <c r="A175" s="1094">
        <v>7</v>
      </c>
      <c r="B175" s="847" t="str">
        <f>D32</f>
        <v>EXPANS PETROGAS INTRANUSA, PT</v>
      </c>
      <c r="C175" s="1094"/>
      <c r="D175" s="862"/>
      <c r="E175" s="867"/>
      <c r="F175" s="856"/>
      <c r="G175" s="917">
        <f>SUM(H32:H33)</f>
        <v>1943324.9</v>
      </c>
      <c r="H175" s="1160"/>
      <c r="I175" s="848"/>
      <c r="J175" s="848"/>
      <c r="K175" s="1156"/>
      <c r="L175" s="1156"/>
    </row>
    <row r="176" spans="1:13" s="991" customFormat="1">
      <c r="A176" s="851">
        <v>8</v>
      </c>
      <c r="B176" s="860" t="str">
        <f>D34</f>
        <v>FAJAR BHAKTI LINTAS NUSANTARA, PT</v>
      </c>
      <c r="C176" s="1038"/>
      <c r="D176" s="1039"/>
      <c r="E176" s="864"/>
      <c r="F176" s="852"/>
      <c r="G176" s="987">
        <f>SUM(H34:H35)</f>
        <v>19606100</v>
      </c>
      <c r="H176" s="1161"/>
      <c r="I176" s="1153"/>
      <c r="J176" s="1153"/>
      <c r="K176" s="1153"/>
      <c r="L176" s="1153"/>
    </row>
    <row r="177" spans="1:12">
      <c r="A177" s="1093">
        <v>9</v>
      </c>
      <c r="B177" s="861" t="str">
        <f>D36</f>
        <v>HARMONI PANCA UTAMA, PT</v>
      </c>
      <c r="C177" s="1091"/>
      <c r="D177" s="1032"/>
      <c r="E177" s="1090"/>
      <c r="F177" s="853"/>
      <c r="G177" s="918">
        <f>SUM(H36:H51)</f>
        <v>335822080</v>
      </c>
      <c r="H177" s="921"/>
      <c r="I177" s="1034"/>
      <c r="J177" s="1035">
        <f>SUM(K36:K43)</f>
        <v>167926440</v>
      </c>
      <c r="K177" s="1035"/>
      <c r="L177" s="1035"/>
    </row>
    <row r="178" spans="1:12">
      <c r="A178" s="1093">
        <v>10</v>
      </c>
      <c r="B178" s="861" t="str">
        <f>D52</f>
        <v>HASTA PANCA MANDIRI UTAMA, PT</v>
      </c>
      <c r="C178" s="1091"/>
      <c r="D178" s="1032"/>
      <c r="E178" s="1090"/>
      <c r="F178" s="853"/>
      <c r="G178" s="918">
        <f>SUM(H52:H54)</f>
        <v>69300000</v>
      </c>
      <c r="H178" s="921"/>
      <c r="I178" s="1035"/>
      <c r="J178" s="1036"/>
      <c r="K178" s="1035">
        <f>SUM(L52:L54)</f>
        <v>69300000</v>
      </c>
      <c r="L178" s="1034"/>
    </row>
    <row r="179" spans="1:12" s="991" customFormat="1">
      <c r="A179" s="1093">
        <v>11</v>
      </c>
      <c r="B179" s="861" t="str">
        <f>D55</f>
        <v>HUTAN KETAPANG INDUSTRI, PT</v>
      </c>
      <c r="C179" s="1091"/>
      <c r="D179" s="1032"/>
      <c r="E179" s="1090"/>
      <c r="F179" s="853"/>
      <c r="G179" s="918">
        <f>SUM(H55:H62)</f>
        <v>193600000</v>
      </c>
      <c r="H179" s="921"/>
      <c r="I179" s="473"/>
      <c r="J179" s="473"/>
      <c r="K179" s="992">
        <f>SUM(L55:L58)</f>
        <v>96800000</v>
      </c>
      <c r="L179" s="992"/>
    </row>
    <row r="180" spans="1:12">
      <c r="A180" s="1093">
        <v>12</v>
      </c>
      <c r="B180" s="861" t="str">
        <f>D63</f>
        <v>INTICOM SENTRALINDO, PT</v>
      </c>
      <c r="C180" s="1091"/>
      <c r="D180" s="1032"/>
      <c r="E180" s="1090"/>
      <c r="F180" s="853"/>
      <c r="G180" s="918">
        <f>SUM(H63)</f>
        <v>800623725</v>
      </c>
      <c r="H180" s="1129" t="s">
        <v>2994</v>
      </c>
      <c r="I180" s="1035"/>
      <c r="J180" s="1035"/>
      <c r="K180" s="1034"/>
      <c r="L180" s="1034"/>
    </row>
    <row r="181" spans="1:12">
      <c r="A181" s="1094">
        <v>13</v>
      </c>
      <c r="B181" s="862" t="str">
        <f>D64</f>
        <v>J RESOURCES BOOLANG MONGONDOW, PT</v>
      </c>
      <c r="C181" s="1040"/>
      <c r="D181" s="1043"/>
      <c r="E181" s="867"/>
      <c r="F181" s="856">
        <f>SUM(G64)</f>
        <v>330</v>
      </c>
      <c r="G181" s="917"/>
      <c r="H181" s="1160"/>
      <c r="I181" s="848"/>
      <c r="J181" s="1156"/>
      <c r="K181" s="1156"/>
      <c r="L181" s="1156"/>
    </row>
    <row r="182" spans="1:12">
      <c r="A182" s="1093">
        <v>14</v>
      </c>
      <c r="B182" s="861" t="str">
        <f>D65</f>
        <v>KALIMANTAN PRIMA PERSADA, PT</v>
      </c>
      <c r="C182" s="1091"/>
      <c r="D182" s="1032"/>
      <c r="E182" s="1090"/>
      <c r="F182" s="853"/>
      <c r="G182" s="918">
        <f>SUM(H65:H67)</f>
        <v>133654300</v>
      </c>
      <c r="H182" s="920"/>
      <c r="I182" s="1034"/>
      <c r="J182" s="1035">
        <f>SUM(K65:K66)</f>
        <v>90479300</v>
      </c>
      <c r="K182" s="1034"/>
      <c r="L182" s="1034"/>
    </row>
    <row r="183" spans="1:12">
      <c r="A183" s="851">
        <v>15</v>
      </c>
      <c r="B183" s="860" t="str">
        <f>D68</f>
        <v>KENCANA MANDIRI SEJAHTERA TELECOM, PT</v>
      </c>
      <c r="C183" s="1038"/>
      <c r="D183" s="1042"/>
      <c r="E183" s="866"/>
      <c r="F183" s="852"/>
      <c r="G183" s="987">
        <f>SUM(H68)</f>
        <v>13640000</v>
      </c>
      <c r="H183" s="1161"/>
      <c r="I183" s="1159"/>
      <c r="J183" s="1159"/>
      <c r="K183" s="1150"/>
      <c r="L183" s="1150"/>
    </row>
    <row r="184" spans="1:12">
      <c r="A184" s="1093">
        <v>16</v>
      </c>
      <c r="B184" s="558" t="str">
        <f>D69</f>
        <v>KUSUMA MENTARI MAKMUR, PT</v>
      </c>
      <c r="C184" s="1091"/>
      <c r="D184" s="1033"/>
      <c r="E184" s="1092"/>
      <c r="F184" s="853"/>
      <c r="G184" s="918">
        <f>SUM(H69:H70)</f>
        <v>48400000</v>
      </c>
      <c r="H184" s="921"/>
      <c r="I184" s="1034"/>
      <c r="J184" s="1034"/>
      <c r="K184" s="1035">
        <f>SUM(L69)</f>
        <v>24200000</v>
      </c>
      <c r="L184" s="1035"/>
    </row>
    <row r="185" spans="1:12">
      <c r="A185" s="1093">
        <v>17</v>
      </c>
      <c r="B185" s="861" t="str">
        <f>D71</f>
        <v>LANANG AGRO BERSATU, PT</v>
      </c>
      <c r="C185" s="1091"/>
      <c r="D185" s="1033"/>
      <c r="E185" s="1092"/>
      <c r="F185" s="853"/>
      <c r="G185" s="918">
        <f>SUM(H71:H74)</f>
        <v>96800000</v>
      </c>
      <c r="H185" s="920"/>
      <c r="I185" s="1034"/>
      <c r="J185" s="1034"/>
      <c r="K185" s="1036">
        <f>SUM(L71:L72)</f>
        <v>48400000</v>
      </c>
      <c r="L185" s="1034"/>
    </row>
    <row r="186" spans="1:12">
      <c r="A186" s="1094">
        <v>18</v>
      </c>
      <c r="B186" s="862" t="str">
        <f>D75</f>
        <v>LINE INTER CIKARA, PT</v>
      </c>
      <c r="C186" s="1040"/>
      <c r="D186" s="1041"/>
      <c r="E186" s="865"/>
      <c r="F186" s="856"/>
      <c r="G186" s="917">
        <f>SUM(H75)</f>
        <v>696000000</v>
      </c>
      <c r="H186" s="1162"/>
      <c r="I186" s="1147"/>
      <c r="J186" s="1163"/>
      <c r="K186" s="1147"/>
      <c r="L186" s="1147"/>
    </row>
    <row r="187" spans="1:12">
      <c r="A187" s="1093">
        <v>19</v>
      </c>
      <c r="B187" s="861" t="str">
        <f>D76</f>
        <v>MADHANI TALATAH NUSANTARA, PT</v>
      </c>
      <c r="C187" s="1091"/>
      <c r="D187" s="1033"/>
      <c r="E187" s="1092"/>
      <c r="F187" s="853"/>
      <c r="G187" s="918">
        <f>SUM(H76)</f>
        <v>6050000</v>
      </c>
      <c r="H187" s="920"/>
      <c r="I187" s="1035">
        <f>SUM(J76)</f>
        <v>6050000</v>
      </c>
      <c r="J187" s="1035"/>
      <c r="K187" s="1034"/>
      <c r="L187" s="1034"/>
    </row>
    <row r="188" spans="1:12">
      <c r="A188" s="1093">
        <v>20</v>
      </c>
      <c r="B188" s="861" t="str">
        <f>D77</f>
        <v>MANDALA KARYA PRIMA, PT</v>
      </c>
      <c r="C188" s="1091"/>
      <c r="D188" s="1033"/>
      <c r="E188" s="1092"/>
      <c r="F188" s="853"/>
      <c r="G188" s="918">
        <f>SUM(H77)</f>
        <v>23100000</v>
      </c>
      <c r="H188" s="920"/>
      <c r="I188" s="1034"/>
      <c r="J188" s="1034"/>
      <c r="K188" s="1035">
        <f>SUM(L77)</f>
        <v>23100000</v>
      </c>
      <c r="L188" s="1034"/>
    </row>
    <row r="189" spans="1:12">
      <c r="A189" s="1093">
        <v>21</v>
      </c>
      <c r="B189" s="558" t="str">
        <f>D78</f>
        <v>MANDIRI HERINDO ADIPERKASA, PT</v>
      </c>
      <c r="C189" s="1091"/>
      <c r="D189" s="1033"/>
      <c r="E189" s="1092"/>
      <c r="F189" s="853"/>
      <c r="G189" s="918">
        <f>SUM(H78:H80)</f>
        <v>16280000</v>
      </c>
      <c r="H189" s="920"/>
      <c r="I189" s="1034"/>
      <c r="J189" s="1035">
        <f>SUM(K78:K80)</f>
        <v>16280000</v>
      </c>
      <c r="K189" s="1034"/>
      <c r="L189" s="1034"/>
    </row>
    <row r="190" spans="1:12">
      <c r="A190" s="1093">
        <v>22</v>
      </c>
      <c r="B190" s="861" t="str">
        <f>D81</f>
        <v>MANDIRI INTI PERKASA, PT</v>
      </c>
      <c r="C190" s="1091"/>
      <c r="D190" s="1033"/>
      <c r="E190" s="1092"/>
      <c r="F190" s="853"/>
      <c r="G190" s="918">
        <f>SUM(H81:H82)</f>
        <v>28600000</v>
      </c>
      <c r="H190" s="920"/>
      <c r="I190" s="1035"/>
      <c r="J190" s="1034"/>
      <c r="K190" s="1035">
        <f>SUM(L81:L82)</f>
        <v>28600000</v>
      </c>
      <c r="L190" s="1034"/>
    </row>
    <row r="191" spans="1:12">
      <c r="A191" s="1093">
        <v>23</v>
      </c>
      <c r="B191" s="861" t="str">
        <f>D83</f>
        <v>MEDCO PAPUA INDUSTRI LESTARI, PT</v>
      </c>
      <c r="C191" s="1091"/>
      <c r="D191" s="1032"/>
      <c r="E191" s="1090"/>
      <c r="F191" s="853"/>
      <c r="G191" s="918">
        <f>SUM(H83)</f>
        <v>13200000</v>
      </c>
      <c r="H191" s="920"/>
      <c r="I191" s="1034"/>
      <c r="J191" s="1035">
        <f>SUM(K83)</f>
        <v>13200000</v>
      </c>
      <c r="K191" s="1034"/>
      <c r="L191" s="1034"/>
    </row>
    <row r="192" spans="1:12">
      <c r="A192" s="851">
        <v>24</v>
      </c>
      <c r="B192" s="1164" t="str">
        <f>D84</f>
        <v>MEDITERANIAN MEGA TRAVEL, PT</v>
      </c>
      <c r="C192" s="1038"/>
      <c r="D192" s="1039"/>
      <c r="E192" s="864"/>
      <c r="F192" s="852"/>
      <c r="G192" s="987">
        <f>SUM(H84)</f>
        <v>1400000</v>
      </c>
      <c r="H192" s="1149"/>
      <c r="I192" s="1159"/>
      <c r="J192" s="1159"/>
      <c r="K192" s="1150"/>
      <c r="L192" s="1150"/>
    </row>
    <row r="193" spans="1:12">
      <c r="A193" s="1093">
        <v>25</v>
      </c>
      <c r="B193" s="861" t="str">
        <f>D85</f>
        <v>METALINDO BUMI RAYA, PT</v>
      </c>
      <c r="C193" s="1091"/>
      <c r="D193" s="1032"/>
      <c r="E193" s="1090"/>
      <c r="F193" s="853"/>
      <c r="G193" s="918">
        <f>SUM(H85:H86)</f>
        <v>66000000</v>
      </c>
      <c r="H193" s="920"/>
      <c r="I193" s="1035"/>
      <c r="J193" s="1034"/>
      <c r="K193" s="1035">
        <f>SUM(L85)</f>
        <v>33000000</v>
      </c>
      <c r="L193" s="1034"/>
    </row>
    <row r="194" spans="1:12">
      <c r="A194" s="851">
        <v>26</v>
      </c>
      <c r="B194" s="860" t="str">
        <f>D87</f>
        <v>MOBITEL ANDALAN KOMUNIKASI, PT</v>
      </c>
      <c r="C194" s="1038"/>
      <c r="D194" s="1039"/>
      <c r="E194" s="864"/>
      <c r="F194" s="852"/>
      <c r="G194" s="987">
        <f>SUM(H87:H88)</f>
        <v>75500000</v>
      </c>
      <c r="H194" s="1149"/>
      <c r="I194" s="1150"/>
      <c r="J194" s="1159"/>
      <c r="K194" s="1150"/>
      <c r="L194" s="1150"/>
    </row>
    <row r="195" spans="1:12">
      <c r="A195" s="851">
        <v>27</v>
      </c>
      <c r="B195" s="860" t="str">
        <f>D89</f>
        <v>NEXWAVE, PT</v>
      </c>
      <c r="C195" s="1038"/>
      <c r="D195" s="1039"/>
      <c r="E195" s="864"/>
      <c r="F195" s="852"/>
      <c r="G195" s="987">
        <f>SUM(H89)</f>
        <v>8800000</v>
      </c>
      <c r="H195" s="1149"/>
      <c r="I195" s="1159"/>
      <c r="J195" s="1150"/>
      <c r="K195" s="1159"/>
      <c r="L195" s="1159"/>
    </row>
    <row r="196" spans="1:12">
      <c r="A196" s="1093">
        <v>28</v>
      </c>
      <c r="B196" s="861" t="str">
        <f>D90</f>
        <v>NUSANTARA SARANA ALAM, PT</v>
      </c>
      <c r="C196" s="1091"/>
      <c r="D196" s="1032"/>
      <c r="E196" s="1090"/>
      <c r="F196" s="853"/>
      <c r="G196" s="918">
        <f>SUM(H90:H92)</f>
        <v>72600000</v>
      </c>
      <c r="H196" s="920"/>
      <c r="I196" s="1034"/>
      <c r="J196" s="1035"/>
      <c r="K196" s="1034"/>
      <c r="L196" s="1034"/>
    </row>
    <row r="197" spans="1:12">
      <c r="A197" s="1093">
        <v>29</v>
      </c>
      <c r="B197" s="861" t="str">
        <f>D93</f>
        <v>PAMA PERSADA NUSANTARA, PT</v>
      </c>
      <c r="C197" s="1091"/>
      <c r="D197" s="1032"/>
      <c r="E197" s="1090"/>
      <c r="F197" s="853"/>
      <c r="G197" s="918">
        <f>SUM(H93)</f>
        <v>16500000</v>
      </c>
      <c r="H197" s="922"/>
      <c r="I197" s="1035"/>
      <c r="J197" s="1035"/>
      <c r="K197" s="1034"/>
      <c r="L197" s="1034"/>
    </row>
    <row r="198" spans="1:12">
      <c r="A198" s="1094">
        <v>30</v>
      </c>
      <c r="B198" s="862" t="str">
        <f>D94</f>
        <v>PASIFIK SATELIT NUSANTARA, PT</v>
      </c>
      <c r="C198" s="1040"/>
      <c r="D198" s="1043"/>
      <c r="E198" s="867"/>
      <c r="F198" s="856"/>
      <c r="G198" s="917">
        <f>SUM(H94)</f>
        <v>84480000</v>
      </c>
      <c r="H198" s="1165"/>
      <c r="I198" s="1147"/>
      <c r="J198" s="1147"/>
      <c r="K198" s="1147"/>
      <c r="L198" s="1163">
        <f>SUM(M94)</f>
        <v>84480000</v>
      </c>
    </row>
    <row r="199" spans="1:12">
      <c r="A199" s="1093">
        <v>31</v>
      </c>
      <c r="B199" s="861" t="str">
        <f>D95</f>
        <v>PEMBANGUNAN PERUMAHAN (PERSERO), PT</v>
      </c>
      <c r="C199" s="1091"/>
      <c r="D199" s="1032"/>
      <c r="E199" s="1090"/>
      <c r="F199" s="853"/>
      <c r="G199" s="918">
        <f>SUM(H95)</f>
        <v>20350000</v>
      </c>
      <c r="H199" s="923"/>
      <c r="I199" s="1034"/>
      <c r="J199" s="1034"/>
      <c r="K199" s="1035"/>
      <c r="L199" s="1035"/>
    </row>
    <row r="200" spans="1:12">
      <c r="A200" s="1093">
        <v>32</v>
      </c>
      <c r="B200" s="861" t="s">
        <v>2999</v>
      </c>
      <c r="C200" s="1091"/>
      <c r="D200" s="1032"/>
      <c r="E200" s="1090"/>
      <c r="F200" s="853"/>
      <c r="G200" s="918">
        <f>SUM(H96:H98)</f>
        <v>59999999.994000003</v>
      </c>
      <c r="H200" s="923"/>
      <c r="I200" s="1035"/>
      <c r="J200" s="1034"/>
      <c r="K200" s="1035"/>
      <c r="L200" s="1035"/>
    </row>
    <row r="201" spans="1:12" s="991" customFormat="1">
      <c r="A201" s="1093">
        <v>33</v>
      </c>
      <c r="B201" s="861" t="s">
        <v>2998</v>
      </c>
      <c r="C201" s="1091"/>
      <c r="D201" s="1032"/>
      <c r="E201" s="1090"/>
      <c r="F201" s="853"/>
      <c r="G201" s="918">
        <f>SUM(H99:H105)</f>
        <v>315000000.00699997</v>
      </c>
      <c r="H201" s="1167">
        <f>SUM(I99:I103)</f>
        <v>225000000.00499997</v>
      </c>
      <c r="I201" s="1037"/>
      <c r="J201" s="473"/>
      <c r="K201" s="473"/>
      <c r="L201" s="473"/>
    </row>
    <row r="202" spans="1:12" s="991" customFormat="1">
      <c r="A202" s="1093">
        <v>34</v>
      </c>
      <c r="B202" s="558" t="str">
        <f>D106</f>
        <v>PERTIWI AGRO SEJAHTERA, PT</v>
      </c>
      <c r="C202" s="1091"/>
      <c r="D202" s="1032"/>
      <c r="E202" s="1090"/>
      <c r="F202" s="853"/>
      <c r="G202" s="918">
        <f>SUM(H106:H108)</f>
        <v>72600000</v>
      </c>
      <c r="H202" s="923"/>
      <c r="I202" s="992"/>
      <c r="J202" s="992"/>
      <c r="K202" s="992">
        <f>SUM(L106:L107)</f>
        <v>48400000</v>
      </c>
      <c r="L202" s="992"/>
    </row>
    <row r="203" spans="1:12" s="991" customFormat="1">
      <c r="A203" s="1093">
        <v>35</v>
      </c>
      <c r="B203" s="861" t="str">
        <f>D109</f>
        <v>PETROSEA, PT</v>
      </c>
      <c r="C203" s="1091"/>
      <c r="D203" s="1032"/>
      <c r="E203" s="1090"/>
      <c r="F203" s="853"/>
      <c r="G203" s="918">
        <f>SUM(H109:H114)</f>
        <v>304205000</v>
      </c>
      <c r="H203" s="923"/>
      <c r="I203" s="992"/>
      <c r="J203" s="473"/>
      <c r="K203" s="992">
        <f>SUM(L109:L110)</f>
        <v>108900000</v>
      </c>
      <c r="L203" s="992"/>
    </row>
    <row r="204" spans="1:12" s="991" customFormat="1">
      <c r="A204" s="1093">
        <v>36</v>
      </c>
      <c r="B204" s="1142" t="str">
        <f>D115</f>
        <v>PUNCAK KEEMASAN LUMBUNG DUNIA, PT</v>
      </c>
      <c r="C204" s="1091"/>
      <c r="D204" s="1032"/>
      <c r="E204" s="1090"/>
      <c r="F204" s="853"/>
      <c r="G204" s="918">
        <f>SUM(H115)</f>
        <v>25300000</v>
      </c>
      <c r="H204" s="923"/>
      <c r="I204" s="992"/>
      <c r="J204" s="992"/>
      <c r="K204" s="473"/>
      <c r="L204" s="473"/>
    </row>
    <row r="205" spans="1:12" s="991" customFormat="1">
      <c r="A205" s="851">
        <v>37</v>
      </c>
      <c r="B205" s="860" t="str">
        <f>D116</f>
        <v>REALITA JAYA MANDIRI, PT</v>
      </c>
      <c r="C205" s="1038"/>
      <c r="D205" s="1039"/>
      <c r="E205" s="864"/>
      <c r="F205" s="852"/>
      <c r="G205" s="987">
        <f>SUM(H116:H120)</f>
        <v>101750000</v>
      </c>
      <c r="H205" s="1157"/>
      <c r="I205" s="1158"/>
      <c r="J205" s="1153"/>
      <c r="K205" s="1153"/>
      <c r="L205" s="1153"/>
    </row>
    <row r="206" spans="1:12" s="991" customFormat="1">
      <c r="A206" s="1093">
        <v>38</v>
      </c>
      <c r="B206" s="861" t="str">
        <f>D121</f>
        <v>RIUNG MITRA LESTARI, PT</v>
      </c>
      <c r="C206" s="1091"/>
      <c r="D206" s="1091"/>
      <c r="E206" s="1092"/>
      <c r="F206" s="853"/>
      <c r="G206" s="1143">
        <f>SUM(H121)</f>
        <v>11000000</v>
      </c>
      <c r="H206" s="993"/>
      <c r="I206" s="992"/>
      <c r="J206" s="992">
        <f>SUM(K121)</f>
        <v>11000000</v>
      </c>
      <c r="K206" s="473"/>
      <c r="L206" s="473"/>
    </row>
    <row r="207" spans="1:12" s="991" customFormat="1">
      <c r="A207" s="1093">
        <v>39</v>
      </c>
      <c r="B207" s="861" t="str">
        <f>D122</f>
        <v>ROKA LANE ASIA, PT</v>
      </c>
      <c r="C207" s="1091"/>
      <c r="D207" s="1091"/>
      <c r="E207" s="1092"/>
      <c r="F207" s="853"/>
      <c r="G207" s="1143">
        <f>SUM(H122:H123)</f>
        <v>37106666.663000003</v>
      </c>
      <c r="H207" s="993"/>
      <c r="I207" s="992"/>
      <c r="J207" s="992"/>
      <c r="K207" s="473"/>
      <c r="L207" s="1037">
        <f>SUM(M122:M123)</f>
        <v>37106666.663000003</v>
      </c>
    </row>
    <row r="208" spans="1:12" s="991" customFormat="1">
      <c r="A208" s="851">
        <v>40</v>
      </c>
      <c r="B208" s="860" t="str">
        <f>D124</f>
        <v>SARANA MANDIRI UTAMA, PT</v>
      </c>
      <c r="C208" s="1038"/>
      <c r="D208" s="1038"/>
      <c r="E208" s="866"/>
      <c r="F208" s="852">
        <f>SUM(G124)</f>
        <v>99</v>
      </c>
      <c r="G208" s="994"/>
      <c r="H208" s="1151"/>
      <c r="I208" s="1152"/>
      <c r="J208" s="1152"/>
      <c r="K208" s="1153"/>
      <c r="L208" s="1153"/>
    </row>
    <row r="209" spans="1:12" s="991" customFormat="1">
      <c r="A209" s="1093">
        <v>41</v>
      </c>
      <c r="B209" s="861" t="str">
        <f>D125</f>
        <v>SELARAS INTI SEMESTA, PT</v>
      </c>
      <c r="C209" s="1091"/>
      <c r="D209" s="1091"/>
      <c r="E209" s="1092"/>
      <c r="F209" s="853"/>
      <c r="G209" s="1143">
        <f>SUM(H125:H127)</f>
        <v>39600000</v>
      </c>
      <c r="H209" s="993"/>
      <c r="I209" s="992"/>
      <c r="J209" s="992"/>
      <c r="K209" s="992">
        <f>SUM(L125:L126)</f>
        <v>26400000</v>
      </c>
      <c r="L209" s="473"/>
    </row>
    <row r="210" spans="1:12" s="991" customFormat="1">
      <c r="A210" s="1093">
        <v>42</v>
      </c>
      <c r="B210" s="861" t="str">
        <f>D128</f>
        <v>TEBAR TANDAN TENERA, PT</v>
      </c>
      <c r="C210" s="1091"/>
      <c r="D210" s="1091"/>
      <c r="E210" s="1092"/>
      <c r="F210" s="853"/>
      <c r="G210" s="1143">
        <f>SUM(H128:H129)</f>
        <v>48400000</v>
      </c>
      <c r="H210" s="993"/>
      <c r="I210" s="992"/>
      <c r="J210" s="992"/>
      <c r="K210" s="473"/>
      <c r="L210" s="992">
        <f>SUM(M128)</f>
        <v>24200000</v>
      </c>
    </row>
    <row r="211" spans="1:12" s="991" customFormat="1">
      <c r="A211" s="851">
        <v>43</v>
      </c>
      <c r="B211" s="860" t="str">
        <f>D130</f>
        <v>TIGA BAJI, PT</v>
      </c>
      <c r="C211" s="1038"/>
      <c r="D211" s="1038"/>
      <c r="E211" s="866"/>
      <c r="F211" s="852">
        <f>SUM(G130:G133)</f>
        <v>5570</v>
      </c>
      <c r="G211" s="994"/>
      <c r="H211" s="1151"/>
      <c r="I211" s="1152"/>
      <c r="J211" s="1152"/>
      <c r="K211" s="1153"/>
      <c r="L211" s="1153"/>
    </row>
    <row r="212" spans="1:12" s="991" customFormat="1">
      <c r="A212" s="851">
        <v>44</v>
      </c>
      <c r="B212" s="860" t="str">
        <f>D134</f>
        <v>TRANSNETWORK, PT</v>
      </c>
      <c r="C212" s="1038"/>
      <c r="D212" s="1038"/>
      <c r="E212" s="866"/>
      <c r="F212" s="852"/>
      <c r="G212" s="994">
        <f>SUM(H134:H144)</f>
        <v>49403850</v>
      </c>
      <c r="H212" s="1151"/>
      <c r="I212" s="1152"/>
      <c r="J212" s="1152"/>
      <c r="K212" s="1153"/>
      <c r="L212" s="1153"/>
    </row>
    <row r="213" spans="1:12" s="991" customFormat="1">
      <c r="A213" s="1094">
        <v>45</v>
      </c>
      <c r="B213" s="862" t="str">
        <f>D145</f>
        <v>TRILOGI MEDIA SINEMA, PT</v>
      </c>
      <c r="C213" s="1040"/>
      <c r="D213" s="1040"/>
      <c r="E213" s="865"/>
      <c r="F213" s="856"/>
      <c r="G213" s="1154">
        <f>SUM(H145:H160)</f>
        <v>1494374950</v>
      </c>
      <c r="H213" s="1155"/>
      <c r="I213" s="1156"/>
      <c r="J213" s="1156"/>
      <c r="K213" s="848"/>
      <c r="L213" s="848"/>
    </row>
    <row r="214" spans="1:12" s="991" customFormat="1">
      <c r="A214" s="851">
        <v>46</v>
      </c>
      <c r="B214" s="860" t="str">
        <f>D161</f>
        <v>UPTRANS TEKNOLOGI, PT</v>
      </c>
      <c r="C214" s="1038"/>
      <c r="D214" s="1038"/>
      <c r="E214" s="866"/>
      <c r="F214" s="852"/>
      <c r="G214" s="994">
        <f>SUM(H161)</f>
        <v>8223100</v>
      </c>
      <c r="H214" s="1151"/>
      <c r="I214" s="1152"/>
      <c r="J214" s="1152"/>
      <c r="K214" s="1153"/>
      <c r="L214" s="1153"/>
    </row>
    <row r="215" spans="1:12" s="991" customFormat="1">
      <c r="A215" s="851">
        <v>47</v>
      </c>
      <c r="B215" s="860" t="str">
        <f>D162</f>
        <v>WILBES, PT</v>
      </c>
      <c r="C215" s="1038"/>
      <c r="D215" s="1038"/>
      <c r="E215" s="866"/>
      <c r="F215" s="852"/>
      <c r="G215" s="994">
        <f>SUM(H162)</f>
        <v>5000000</v>
      </c>
      <c r="H215" s="1151"/>
      <c r="I215" s="1152"/>
      <c r="J215" s="1152"/>
      <c r="K215" s="1153"/>
      <c r="L215" s="1153"/>
    </row>
    <row r="216" spans="1:12">
      <c r="A216" s="1615" t="s">
        <v>61</v>
      </c>
      <c r="B216" s="1615"/>
      <c r="C216" s="1615"/>
      <c r="D216" s="1615"/>
      <c r="E216" s="1615"/>
      <c r="F216" s="868">
        <f>SUM(F169:F215)</f>
        <v>12049</v>
      </c>
      <c r="G216" s="919">
        <f>SUM(G169:G215)</f>
        <v>7420692005.3640013</v>
      </c>
      <c r="H216" s="924">
        <f>SUM(H169:H215)</f>
        <v>225000000.00499997</v>
      </c>
      <c r="I216" s="869">
        <f>SUM(I169:I215)</f>
        <v>6050000</v>
      </c>
      <c r="J216" s="869">
        <f t="shared" ref="J216:L216" si="6">SUM(J169:J215)</f>
        <v>1302477599.5999999</v>
      </c>
      <c r="K216" s="869">
        <f t="shared" si="6"/>
        <v>507100000</v>
      </c>
      <c r="L216" s="869">
        <f t="shared" si="6"/>
        <v>145786666.66299999</v>
      </c>
    </row>
    <row r="217" spans="1:12" ht="14.1" customHeight="1">
      <c r="A217" s="916" t="s">
        <v>2401</v>
      </c>
      <c r="B217" s="842"/>
      <c r="C217" s="330"/>
      <c r="D217" s="330"/>
      <c r="E217" s="330"/>
      <c r="F217" s="843"/>
      <c r="G217" s="330"/>
      <c r="H217" s="330"/>
      <c r="I217" s="3"/>
      <c r="J217" s="3"/>
    </row>
    <row r="218" spans="1:12">
      <c r="A218" s="855"/>
      <c r="B218" s="842" t="s">
        <v>2993</v>
      </c>
      <c r="C218" s="330"/>
      <c r="D218" s="330"/>
      <c r="E218" s="330"/>
      <c r="G218" s="843">
        <f>SUM(G169,G175,G186,G198,G213)</f>
        <v>2419298274.9000001</v>
      </c>
      <c r="H218" s="330"/>
      <c r="I218" s="3"/>
      <c r="J218" s="3"/>
    </row>
    <row r="219" spans="1:12" s="991" customFormat="1">
      <c r="A219" s="851"/>
      <c r="B219" s="988" t="s">
        <v>2402</v>
      </c>
      <c r="C219" s="989"/>
      <c r="D219" s="989"/>
      <c r="E219" s="989"/>
      <c r="F219" s="844">
        <f>SUM(F216)</f>
        <v>12049</v>
      </c>
      <c r="G219" s="990">
        <f>SUM(G173,G176,G183,G192,G194,G195,G205,G212,G214,G215)</f>
        <v>333323050</v>
      </c>
      <c r="H219" s="989"/>
      <c r="I219" s="19"/>
      <c r="J219" s="19"/>
    </row>
    <row r="220" spans="1:12">
      <c r="A220" s="854"/>
      <c r="B220" s="842" t="s">
        <v>2403</v>
      </c>
      <c r="C220" s="330"/>
      <c r="D220" s="330"/>
      <c r="E220" s="330"/>
      <c r="F220" s="870"/>
      <c r="G220" s="871">
        <f>SUM(G171:G172,G174,G177:G180,G182,G184:G185,G187:G191,G193,G196:G197,G199:G204,G206:G207,G209:G210)</f>
        <v>4668070680.4640007</v>
      </c>
      <c r="H220" s="1166" t="s">
        <v>3007</v>
      </c>
      <c r="I220" s="3"/>
      <c r="J220" s="3"/>
    </row>
    <row r="221" spans="1:12">
      <c r="A221" s="165"/>
      <c r="B221" s="842"/>
      <c r="C221" s="330"/>
      <c r="D221" s="330"/>
      <c r="E221" s="330"/>
      <c r="F221" s="844">
        <f>SUM(F219)</f>
        <v>12049</v>
      </c>
      <c r="G221" s="845">
        <f>SUM(G218:G220)</f>
        <v>7420692005.3640003</v>
      </c>
      <c r="H221" s="330"/>
      <c r="I221" s="3"/>
      <c r="J221" s="3"/>
    </row>
    <row r="222" spans="1:12">
      <c r="A222" s="165"/>
      <c r="B222" s="842" t="s">
        <v>3006</v>
      </c>
      <c r="C222" s="330"/>
      <c r="D222" s="330"/>
      <c r="E222" s="330"/>
      <c r="F222" s="843"/>
      <c r="G222" s="871">
        <f>SUM(G180)</f>
        <v>800623725</v>
      </c>
      <c r="H222" s="842" t="s">
        <v>14</v>
      </c>
    </row>
    <row r="223" spans="1:12">
      <c r="A223" s="165"/>
      <c r="B223" s="842"/>
      <c r="C223" s="330"/>
      <c r="D223" s="330"/>
      <c r="E223" s="330"/>
      <c r="F223" s="843"/>
      <c r="G223" s="1098">
        <f>G221-G222</f>
        <v>6620068280.3640003</v>
      </c>
      <c r="H223" s="330"/>
    </row>
    <row r="224" spans="1:12">
      <c r="A224" s="165"/>
      <c r="B224" s="330"/>
      <c r="C224" s="330"/>
      <c r="D224" s="330"/>
      <c r="E224" s="330"/>
      <c r="F224" s="843"/>
      <c r="G224" s="330"/>
      <c r="H224" s="330"/>
    </row>
    <row r="225" spans="1:8">
      <c r="A225" s="165"/>
      <c r="B225" s="330"/>
      <c r="C225" s="330"/>
      <c r="D225" s="330"/>
      <c r="E225" s="330"/>
      <c r="F225" s="843"/>
      <c r="G225" s="330"/>
      <c r="H225" s="330"/>
    </row>
    <row r="226" spans="1:8">
      <c r="A226" s="165"/>
      <c r="B226" s="330"/>
      <c r="C226" s="330"/>
      <c r="D226" s="330"/>
      <c r="E226" s="330"/>
      <c r="F226" s="843"/>
      <c r="G226" s="330"/>
      <c r="H226" s="330"/>
    </row>
    <row r="227" spans="1:8">
      <c r="A227" s="165"/>
      <c r="B227" s="330"/>
      <c r="C227" s="330"/>
      <c r="D227" s="330"/>
      <c r="E227" s="330"/>
      <c r="F227" s="843"/>
      <c r="G227" s="330"/>
      <c r="H227" s="330"/>
    </row>
    <row r="228" spans="1:8">
      <c r="A228" s="165"/>
      <c r="B228" s="165"/>
      <c r="C228" s="165"/>
      <c r="D228" s="156"/>
      <c r="E228" s="163"/>
      <c r="F228" s="843"/>
      <c r="G228" s="367"/>
      <c r="H228" s="368"/>
    </row>
    <row r="229" spans="1:8">
      <c r="A229" s="165"/>
      <c r="B229" s="163"/>
      <c r="C229" s="163"/>
      <c r="D229" s="156"/>
      <c r="E229" s="163"/>
      <c r="F229" s="843"/>
      <c r="G229" s="367"/>
      <c r="H229" s="368"/>
    </row>
    <row r="230" spans="1:8">
      <c r="A230" s="165"/>
      <c r="B230" s="163"/>
      <c r="C230" s="163"/>
      <c r="D230" s="156"/>
      <c r="E230" s="163"/>
      <c r="F230" s="843"/>
      <c r="G230" s="367"/>
      <c r="H230" s="368"/>
    </row>
    <row r="231" spans="1:8">
      <c r="A231" s="165"/>
      <c r="B231" s="163"/>
      <c r="C231" s="163"/>
      <c r="D231" s="156"/>
      <c r="E231" s="163"/>
      <c r="F231" s="843"/>
      <c r="G231" s="367"/>
      <c r="H231" s="368"/>
    </row>
    <row r="232" spans="1:8">
      <c r="A232" s="165"/>
      <c r="B232" s="163"/>
      <c r="C232" s="163"/>
      <c r="D232" s="156"/>
      <c r="E232" s="163"/>
      <c r="F232" s="843"/>
      <c r="G232" s="367"/>
      <c r="H232" s="368"/>
    </row>
    <row r="233" spans="1:8">
      <c r="A233" s="165"/>
      <c r="B233" s="163"/>
      <c r="C233" s="163"/>
      <c r="D233" s="156"/>
      <c r="E233" s="163"/>
      <c r="F233" s="843"/>
      <c r="G233" s="367"/>
      <c r="H233" s="368"/>
    </row>
    <row r="234" spans="1:8">
      <c r="A234" s="165"/>
      <c r="B234" s="163"/>
      <c r="C234" s="163"/>
      <c r="D234" s="156"/>
      <c r="E234" s="163"/>
      <c r="F234" s="843"/>
      <c r="G234" s="367"/>
      <c r="H234" s="368"/>
    </row>
    <row r="235" spans="1:8">
      <c r="A235" s="165"/>
      <c r="B235" s="163"/>
      <c r="C235" s="163"/>
      <c r="D235" s="156"/>
      <c r="E235" s="163"/>
      <c r="F235" s="843"/>
      <c r="G235" s="367"/>
      <c r="H235" s="368"/>
    </row>
    <row r="236" spans="1:8">
      <c r="A236" s="165"/>
      <c r="B236" s="163"/>
      <c r="C236" s="163"/>
      <c r="D236" s="156"/>
      <c r="E236" s="163"/>
      <c r="F236" s="843"/>
      <c r="G236" s="367"/>
      <c r="H236" s="368"/>
    </row>
    <row r="237" spans="1:8">
      <c r="A237" s="165"/>
      <c r="B237" s="163"/>
      <c r="C237" s="163"/>
      <c r="D237" s="156"/>
      <c r="E237" s="163"/>
      <c r="F237" s="843"/>
      <c r="G237" s="367"/>
      <c r="H237" s="368"/>
    </row>
    <row r="238" spans="1:8">
      <c r="A238" s="165"/>
      <c r="B238" s="163"/>
      <c r="C238" s="163"/>
      <c r="D238" s="156"/>
      <c r="E238" s="163"/>
      <c r="F238" s="843"/>
      <c r="G238" s="367"/>
      <c r="H238" s="368"/>
    </row>
    <row r="239" spans="1:8">
      <c r="A239" s="165"/>
      <c r="B239" s="163"/>
      <c r="C239" s="163"/>
      <c r="D239" s="156"/>
      <c r="E239" s="163"/>
      <c r="F239" s="843"/>
      <c r="G239" s="367"/>
      <c r="H239" s="368"/>
    </row>
    <row r="240" spans="1:8">
      <c r="A240" s="165"/>
      <c r="B240" s="330"/>
      <c r="C240" s="330"/>
      <c r="D240" s="330"/>
      <c r="E240" s="330"/>
      <c r="F240" s="843"/>
      <c r="G240" s="330"/>
      <c r="H240" s="330"/>
    </row>
    <row r="241" spans="1:8">
      <c r="A241" s="165"/>
      <c r="B241" s="330"/>
      <c r="C241" s="330"/>
      <c r="D241" s="330"/>
      <c r="E241" s="330"/>
      <c r="F241" s="843"/>
      <c r="G241" s="330"/>
      <c r="H241" s="330"/>
    </row>
    <row r="242" spans="1:8">
      <c r="A242" s="165"/>
      <c r="B242" s="163"/>
      <c r="C242" s="163"/>
      <c r="D242" s="156"/>
      <c r="E242" s="375"/>
      <c r="F242" s="843"/>
      <c r="G242" s="365"/>
      <c r="H242" s="795"/>
    </row>
    <row r="243" spans="1:8">
      <c r="A243" s="165"/>
      <c r="B243" s="163"/>
      <c r="C243" s="163"/>
      <c r="D243" s="156"/>
      <c r="E243" s="375"/>
      <c r="F243" s="843"/>
      <c r="G243" s="365"/>
      <c r="H243" s="795"/>
    </row>
    <row r="244" spans="1:8">
      <c r="A244" s="165"/>
      <c r="B244" s="163"/>
      <c r="C244" s="163"/>
      <c r="D244" s="156"/>
      <c r="E244" s="375"/>
      <c r="F244" s="843"/>
      <c r="G244" s="367"/>
      <c r="H244" s="796"/>
    </row>
    <row r="245" spans="1:8">
      <c r="A245" s="165"/>
      <c r="B245" s="163"/>
      <c r="C245" s="163"/>
      <c r="D245" s="156"/>
      <c r="E245" s="375"/>
      <c r="F245" s="843"/>
      <c r="G245" s="367"/>
      <c r="H245" s="368"/>
    </row>
    <row r="246" spans="1:8">
      <c r="A246" s="165"/>
      <c r="B246" s="163"/>
      <c r="C246" s="163"/>
      <c r="D246" s="156"/>
      <c r="E246" s="375"/>
      <c r="F246" s="843"/>
      <c r="G246" s="367"/>
      <c r="H246" s="368"/>
    </row>
    <row r="247" spans="1:8" ht="15.75" thickBot="1">
      <c r="A247" s="797"/>
      <c r="B247" s="798"/>
      <c r="C247" s="798"/>
      <c r="D247" s="799"/>
      <c r="E247" s="800"/>
      <c r="F247" s="843"/>
      <c r="G247" s="801"/>
      <c r="H247" s="802"/>
    </row>
    <row r="248" spans="1:8">
      <c r="D248" s="474"/>
      <c r="E248" s="474"/>
      <c r="F248" s="474"/>
      <c r="G248" s="474"/>
      <c r="H248" s="474"/>
    </row>
    <row r="249" spans="1:8">
      <c r="A249" s="165"/>
      <c r="D249" s="474"/>
      <c r="E249" s="474"/>
      <c r="F249" s="474"/>
      <c r="G249" s="474"/>
      <c r="H249" s="474"/>
    </row>
    <row r="250" spans="1:8">
      <c r="A250" s="165"/>
      <c r="D250" s="474"/>
      <c r="E250" s="474"/>
      <c r="F250" s="474"/>
      <c r="G250" s="474"/>
      <c r="H250" s="474"/>
    </row>
    <row r="251" spans="1:8">
      <c r="A251" s="165"/>
      <c r="D251" s="474"/>
      <c r="E251" s="474"/>
      <c r="F251" s="474"/>
      <c r="G251" s="474"/>
      <c r="H251" s="474"/>
    </row>
    <row r="252" spans="1:8">
      <c r="A252" s="165"/>
      <c r="D252" s="474"/>
      <c r="E252" s="474"/>
      <c r="F252" s="474"/>
      <c r="G252" s="474"/>
      <c r="H252" s="474"/>
    </row>
    <row r="253" spans="1:8">
      <c r="A253" s="165"/>
      <c r="D253" s="474"/>
      <c r="E253" s="474"/>
      <c r="F253" s="474"/>
      <c r="G253" s="474"/>
      <c r="H253" s="474"/>
    </row>
    <row r="254" spans="1:8">
      <c r="D254" s="474"/>
      <c r="E254" s="474"/>
      <c r="F254" s="474"/>
      <c r="G254" s="474"/>
      <c r="H254" s="474"/>
    </row>
    <row r="255" spans="1:8">
      <c r="D255" s="474"/>
      <c r="E255" s="474"/>
      <c r="F255" s="474"/>
      <c r="G255" s="474"/>
      <c r="H255" s="474"/>
    </row>
    <row r="256" spans="1:8">
      <c r="D256" s="474"/>
      <c r="E256" s="474"/>
      <c r="F256" s="474"/>
      <c r="G256" s="474"/>
      <c r="H256" s="474"/>
    </row>
    <row r="257" spans="4:8">
      <c r="D257" s="474"/>
      <c r="E257" s="474"/>
      <c r="F257" s="474"/>
      <c r="G257" s="474"/>
      <c r="H257" s="474"/>
    </row>
    <row r="258" spans="4:8">
      <c r="D258" s="474"/>
      <c r="E258" s="474"/>
      <c r="F258" s="474"/>
      <c r="G258" s="474"/>
      <c r="H258" s="474"/>
    </row>
    <row r="259" spans="4:8">
      <c r="D259" s="474"/>
      <c r="E259" s="474"/>
      <c r="F259" s="474"/>
      <c r="G259" s="474"/>
      <c r="H259" s="474"/>
    </row>
    <row r="260" spans="4:8">
      <c r="D260" s="474"/>
      <c r="E260" s="474"/>
      <c r="F260" s="474"/>
      <c r="G260" s="474"/>
      <c r="H260" s="474"/>
    </row>
    <row r="261" spans="4:8">
      <c r="D261" s="474"/>
      <c r="E261" s="474"/>
      <c r="F261" s="474"/>
      <c r="G261" s="474"/>
      <c r="H261" s="474"/>
    </row>
    <row r="262" spans="4:8">
      <c r="D262" s="474"/>
      <c r="E262" s="474"/>
      <c r="F262" s="474"/>
      <c r="G262" s="474"/>
      <c r="H262" s="474"/>
    </row>
    <row r="263" spans="4:8">
      <c r="D263" s="474"/>
      <c r="E263" s="474"/>
      <c r="F263" s="474"/>
      <c r="G263" s="474"/>
      <c r="H263" s="474"/>
    </row>
    <row r="264" spans="4:8">
      <c r="D264" s="474"/>
      <c r="E264" s="474"/>
      <c r="F264" s="474"/>
      <c r="G264" s="474"/>
      <c r="H264" s="474"/>
    </row>
    <row r="265" spans="4:8">
      <c r="D265" s="474"/>
      <c r="E265" s="474"/>
      <c r="F265" s="474"/>
      <c r="G265" s="474"/>
      <c r="H265" s="474"/>
    </row>
    <row r="266" spans="4:8">
      <c r="D266" s="474"/>
      <c r="E266" s="474"/>
      <c r="F266" s="474"/>
      <c r="G266" s="474"/>
      <c r="H266" s="474"/>
    </row>
    <row r="267" spans="4:8">
      <c r="D267" s="474"/>
      <c r="E267" s="474"/>
      <c r="F267" s="474"/>
      <c r="G267" s="474"/>
      <c r="H267" s="474"/>
    </row>
    <row r="268" spans="4:8">
      <c r="D268" s="474"/>
      <c r="E268" s="474"/>
      <c r="F268" s="474"/>
      <c r="G268" s="474"/>
      <c r="H268" s="474"/>
    </row>
    <row r="269" spans="4:8">
      <c r="D269" s="474"/>
      <c r="E269" s="474"/>
      <c r="F269" s="474"/>
      <c r="G269" s="474"/>
      <c r="H269" s="474"/>
    </row>
    <row r="270" spans="4:8">
      <c r="D270" s="474"/>
      <c r="E270" s="474"/>
      <c r="F270" s="474"/>
      <c r="G270" s="474"/>
      <c r="H270" s="474"/>
    </row>
    <row r="271" spans="4:8">
      <c r="D271" s="474"/>
      <c r="E271" s="474"/>
      <c r="F271" s="474"/>
      <c r="G271" s="474"/>
      <c r="H271" s="474"/>
    </row>
    <row r="272" spans="4:8">
      <c r="D272" s="474"/>
      <c r="E272" s="474"/>
      <c r="F272" s="474"/>
      <c r="G272" s="474"/>
      <c r="H272" s="474"/>
    </row>
    <row r="273" spans="4:8">
      <c r="D273" s="474"/>
      <c r="E273" s="474"/>
      <c r="F273" s="474"/>
      <c r="G273" s="474"/>
      <c r="H273" s="474"/>
    </row>
    <row r="274" spans="4:8">
      <c r="D274" s="474"/>
      <c r="E274" s="474"/>
      <c r="F274" s="474"/>
      <c r="G274" s="474"/>
      <c r="H274" s="474"/>
    </row>
    <row r="275" spans="4:8">
      <c r="D275" s="474"/>
      <c r="E275" s="474"/>
      <c r="F275" s="474"/>
      <c r="G275" s="474"/>
      <c r="H275" s="474"/>
    </row>
    <row r="276" spans="4:8">
      <c r="D276" s="474"/>
      <c r="E276" s="474"/>
      <c r="F276" s="474"/>
      <c r="G276" s="474"/>
      <c r="H276" s="474"/>
    </row>
    <row r="277" spans="4:8">
      <c r="D277" s="474"/>
      <c r="E277" s="474"/>
      <c r="F277" s="474"/>
      <c r="G277" s="474"/>
      <c r="H277" s="474"/>
    </row>
    <row r="278" spans="4:8">
      <c r="D278" s="474"/>
      <c r="E278" s="474"/>
      <c r="F278" s="474"/>
      <c r="G278" s="474"/>
      <c r="H278" s="474"/>
    </row>
    <row r="279" spans="4:8">
      <c r="D279" s="474"/>
      <c r="E279" s="474"/>
      <c r="F279" s="474"/>
      <c r="G279" s="474"/>
      <c r="H279" s="474"/>
    </row>
    <row r="280" spans="4:8">
      <c r="D280" s="474"/>
      <c r="E280" s="474"/>
      <c r="F280" s="474"/>
      <c r="G280" s="474"/>
      <c r="H280" s="474"/>
    </row>
    <row r="281" spans="4:8">
      <c r="D281" s="474"/>
      <c r="E281" s="474"/>
      <c r="F281" s="474"/>
      <c r="G281" s="474"/>
      <c r="H281" s="474"/>
    </row>
    <row r="282" spans="4:8">
      <c r="D282" s="474"/>
      <c r="E282" s="474"/>
      <c r="F282" s="474"/>
      <c r="G282" s="474"/>
      <c r="H282" s="474"/>
    </row>
    <row r="283" spans="4:8">
      <c r="D283" s="474"/>
      <c r="E283" s="474"/>
      <c r="F283" s="474"/>
      <c r="G283" s="474"/>
      <c r="H283" s="474"/>
    </row>
    <row r="284" spans="4:8">
      <c r="D284" s="474"/>
      <c r="E284" s="474"/>
      <c r="F284" s="474"/>
      <c r="G284" s="474"/>
      <c r="H284" s="474"/>
    </row>
    <row r="285" spans="4:8">
      <c r="D285" s="474"/>
      <c r="E285" s="474"/>
      <c r="F285" s="474"/>
      <c r="G285" s="474"/>
      <c r="H285" s="474"/>
    </row>
    <row r="286" spans="4:8">
      <c r="D286" s="474"/>
      <c r="E286" s="474"/>
      <c r="F286" s="474"/>
      <c r="G286" s="474"/>
      <c r="H286" s="474"/>
    </row>
    <row r="287" spans="4:8">
      <c r="D287" s="474"/>
      <c r="E287" s="474"/>
      <c r="F287" s="474"/>
      <c r="G287" s="474"/>
      <c r="H287" s="474"/>
    </row>
    <row r="288" spans="4:8">
      <c r="D288" s="474"/>
      <c r="E288" s="474"/>
      <c r="F288" s="474"/>
      <c r="G288" s="474"/>
      <c r="H288" s="474"/>
    </row>
    <row r="289" spans="4:8">
      <c r="D289" s="474"/>
      <c r="E289" s="474"/>
      <c r="F289" s="474"/>
      <c r="G289" s="474"/>
      <c r="H289" s="474"/>
    </row>
    <row r="290" spans="4:8">
      <c r="D290" s="474"/>
      <c r="E290" s="474"/>
      <c r="F290" s="474"/>
      <c r="G290" s="474"/>
      <c r="H290" s="474"/>
    </row>
    <row r="291" spans="4:8">
      <c r="D291" s="474"/>
      <c r="E291" s="474"/>
      <c r="F291" s="474"/>
      <c r="G291" s="474"/>
      <c r="H291" s="474"/>
    </row>
    <row r="292" spans="4:8">
      <c r="D292" s="474"/>
      <c r="E292" s="474"/>
      <c r="F292" s="474"/>
      <c r="G292" s="474"/>
      <c r="H292" s="474"/>
    </row>
    <row r="293" spans="4:8">
      <c r="D293" s="474"/>
      <c r="E293" s="474"/>
      <c r="F293" s="474"/>
      <c r="G293" s="474"/>
      <c r="H293" s="474"/>
    </row>
    <row r="294" spans="4:8">
      <c r="D294" s="474"/>
      <c r="E294" s="474"/>
      <c r="F294" s="474"/>
      <c r="G294" s="474"/>
      <c r="H294" s="474"/>
    </row>
    <row r="295" spans="4:8">
      <c r="D295" s="474"/>
      <c r="E295" s="474"/>
      <c r="F295" s="474"/>
      <c r="G295" s="474"/>
      <c r="H295" s="474"/>
    </row>
    <row r="296" spans="4:8">
      <c r="D296" s="474"/>
      <c r="E296" s="474"/>
      <c r="F296" s="474"/>
      <c r="G296" s="474"/>
      <c r="H296" s="474"/>
    </row>
    <row r="297" spans="4:8">
      <c r="D297" s="474"/>
      <c r="E297" s="474"/>
      <c r="F297" s="474"/>
      <c r="G297" s="474"/>
      <c r="H297" s="474"/>
    </row>
    <row r="298" spans="4:8">
      <c r="D298" s="474"/>
      <c r="E298" s="474"/>
      <c r="F298" s="474"/>
      <c r="G298" s="474"/>
      <c r="H298" s="474"/>
    </row>
    <row r="299" spans="4:8">
      <c r="D299" s="474"/>
      <c r="E299" s="474"/>
      <c r="F299" s="474"/>
      <c r="G299" s="474"/>
      <c r="H299" s="474"/>
    </row>
    <row r="300" spans="4:8">
      <c r="D300" s="474"/>
      <c r="E300" s="474"/>
      <c r="F300" s="474"/>
      <c r="G300" s="474"/>
      <c r="H300" s="474"/>
    </row>
    <row r="301" spans="4:8">
      <c r="D301" s="474"/>
      <c r="E301" s="474"/>
      <c r="F301" s="474"/>
      <c r="G301" s="474"/>
      <c r="H301" s="474"/>
    </row>
    <row r="302" spans="4:8">
      <c r="D302" s="474"/>
      <c r="E302" s="474"/>
      <c r="F302" s="474"/>
      <c r="G302" s="474"/>
      <c r="H302" s="474"/>
    </row>
    <row r="303" spans="4:8">
      <c r="D303" s="474"/>
      <c r="E303" s="474"/>
      <c r="F303" s="474"/>
      <c r="G303" s="474"/>
      <c r="H303" s="474"/>
    </row>
    <row r="304" spans="4:8">
      <c r="D304" s="474"/>
      <c r="E304" s="474"/>
      <c r="F304" s="474"/>
      <c r="G304" s="474"/>
      <c r="H304" s="474"/>
    </row>
    <row r="305" spans="4:8">
      <c r="D305" s="474"/>
      <c r="E305" s="474"/>
      <c r="F305" s="474"/>
      <c r="G305" s="474"/>
      <c r="H305" s="474"/>
    </row>
    <row r="306" spans="4:8">
      <c r="D306" s="474"/>
      <c r="E306" s="474"/>
      <c r="F306" s="474"/>
      <c r="G306" s="474"/>
      <c r="H306" s="474"/>
    </row>
    <row r="307" spans="4:8">
      <c r="D307" s="474"/>
      <c r="E307" s="474"/>
      <c r="F307" s="474"/>
      <c r="G307" s="474"/>
      <c r="H307" s="474"/>
    </row>
    <row r="308" spans="4:8">
      <c r="D308" s="474"/>
      <c r="E308" s="474"/>
      <c r="F308" s="474"/>
      <c r="G308" s="474"/>
      <c r="H308" s="474"/>
    </row>
    <row r="309" spans="4:8">
      <c r="D309" s="474"/>
      <c r="E309" s="474"/>
      <c r="F309" s="474"/>
      <c r="G309" s="474"/>
      <c r="H309" s="474"/>
    </row>
    <row r="310" spans="4:8">
      <c r="D310" s="474"/>
      <c r="E310" s="474"/>
      <c r="F310" s="474"/>
      <c r="G310" s="474"/>
      <c r="H310" s="474"/>
    </row>
    <row r="311" spans="4:8">
      <c r="D311" s="474"/>
      <c r="E311" s="474"/>
      <c r="F311" s="474"/>
      <c r="G311" s="474"/>
      <c r="H311" s="474"/>
    </row>
    <row r="312" spans="4:8">
      <c r="D312" s="474"/>
      <c r="E312" s="474"/>
      <c r="F312" s="474"/>
      <c r="G312" s="474"/>
      <c r="H312" s="474"/>
    </row>
    <row r="313" spans="4:8">
      <c r="D313" s="474"/>
      <c r="E313" s="474"/>
      <c r="F313" s="474"/>
      <c r="G313" s="474"/>
      <c r="H313" s="474"/>
    </row>
    <row r="314" spans="4:8">
      <c r="D314" s="474"/>
      <c r="E314" s="474"/>
      <c r="F314" s="474"/>
      <c r="G314" s="474"/>
      <c r="H314" s="474"/>
    </row>
    <row r="315" spans="4:8">
      <c r="D315" s="474"/>
      <c r="E315" s="474"/>
      <c r="F315" s="474"/>
      <c r="G315" s="474"/>
      <c r="H315" s="474"/>
    </row>
    <row r="316" spans="4:8">
      <c r="D316" s="474"/>
      <c r="E316" s="474"/>
      <c r="F316" s="474"/>
      <c r="G316" s="474"/>
      <c r="H316" s="474"/>
    </row>
    <row r="317" spans="4:8">
      <c r="D317" s="474"/>
      <c r="E317" s="474"/>
      <c r="F317" s="474"/>
      <c r="G317" s="474"/>
      <c r="H317" s="474"/>
    </row>
    <row r="318" spans="4:8">
      <c r="D318" s="474"/>
      <c r="E318" s="474"/>
      <c r="F318" s="474"/>
      <c r="G318" s="474"/>
      <c r="H318" s="474"/>
    </row>
    <row r="319" spans="4:8">
      <c r="D319" s="474"/>
      <c r="E319" s="474"/>
      <c r="F319" s="474"/>
      <c r="G319" s="474"/>
      <c r="H319" s="474"/>
    </row>
    <row r="320" spans="4:8">
      <c r="D320" s="474"/>
      <c r="E320" s="474"/>
      <c r="F320" s="474"/>
      <c r="G320" s="474"/>
      <c r="H320" s="474"/>
    </row>
    <row r="321" spans="4:8">
      <c r="D321" s="474"/>
      <c r="E321" s="474"/>
      <c r="F321" s="474"/>
      <c r="G321" s="474"/>
      <c r="H321" s="474"/>
    </row>
    <row r="322" spans="4:8">
      <c r="D322" s="474"/>
      <c r="E322" s="474"/>
      <c r="F322" s="474"/>
      <c r="G322" s="474"/>
      <c r="H322" s="474"/>
    </row>
    <row r="323" spans="4:8">
      <c r="D323" s="474"/>
      <c r="E323" s="474"/>
      <c r="F323" s="474"/>
      <c r="G323" s="474"/>
      <c r="H323" s="474"/>
    </row>
    <row r="324" spans="4:8">
      <c r="D324" s="474"/>
      <c r="E324" s="474"/>
      <c r="F324" s="474"/>
      <c r="G324" s="474"/>
      <c r="H324" s="474"/>
    </row>
    <row r="325" spans="4:8">
      <c r="D325" s="474"/>
      <c r="E325" s="474"/>
      <c r="F325" s="474"/>
      <c r="G325" s="474"/>
      <c r="H325" s="474"/>
    </row>
    <row r="326" spans="4:8">
      <c r="D326" s="474"/>
      <c r="E326" s="474"/>
      <c r="F326" s="474"/>
      <c r="G326" s="474"/>
      <c r="H326" s="474"/>
    </row>
    <row r="327" spans="4:8">
      <c r="D327" s="474"/>
      <c r="E327" s="474"/>
      <c r="F327" s="474"/>
      <c r="G327" s="474"/>
      <c r="H327" s="474"/>
    </row>
    <row r="328" spans="4:8">
      <c r="D328" s="474"/>
      <c r="E328" s="474"/>
      <c r="F328" s="474"/>
      <c r="G328" s="474"/>
      <c r="H328" s="474"/>
    </row>
    <row r="329" spans="4:8">
      <c r="D329" s="474"/>
      <c r="E329" s="474"/>
      <c r="F329" s="474"/>
      <c r="G329" s="474"/>
      <c r="H329" s="474"/>
    </row>
    <row r="330" spans="4:8">
      <c r="D330" s="474"/>
      <c r="E330" s="474"/>
      <c r="F330" s="474"/>
      <c r="G330" s="474"/>
      <c r="H330" s="474"/>
    </row>
    <row r="331" spans="4:8">
      <c r="D331" s="474"/>
      <c r="E331" s="474"/>
      <c r="F331" s="474"/>
      <c r="G331" s="474"/>
      <c r="H331" s="474"/>
    </row>
    <row r="332" spans="4:8">
      <c r="D332" s="474"/>
      <c r="E332" s="474"/>
      <c r="F332" s="474"/>
      <c r="G332" s="474"/>
      <c r="H332" s="474"/>
    </row>
    <row r="333" spans="4:8">
      <c r="D333" s="474"/>
      <c r="E333" s="474"/>
      <c r="F333" s="474"/>
      <c r="G333" s="474"/>
      <c r="H333" s="474"/>
    </row>
    <row r="334" spans="4:8">
      <c r="D334" s="474"/>
      <c r="E334" s="474"/>
      <c r="F334" s="474"/>
      <c r="G334" s="474"/>
      <c r="H334" s="474"/>
    </row>
    <row r="335" spans="4:8">
      <c r="D335" s="474"/>
      <c r="E335" s="474"/>
      <c r="F335" s="474"/>
      <c r="G335" s="474"/>
      <c r="H335" s="474"/>
    </row>
    <row r="336" spans="4:8">
      <c r="D336" s="474"/>
      <c r="E336" s="474"/>
      <c r="F336" s="474"/>
      <c r="G336" s="474"/>
      <c r="H336" s="474"/>
    </row>
    <row r="337" spans="4:8">
      <c r="D337" s="474"/>
      <c r="E337" s="474"/>
      <c r="F337" s="474"/>
      <c r="G337" s="474"/>
      <c r="H337" s="474"/>
    </row>
    <row r="338" spans="4:8">
      <c r="D338" s="474"/>
      <c r="E338" s="474"/>
      <c r="F338" s="474"/>
      <c r="G338" s="474"/>
      <c r="H338" s="474"/>
    </row>
    <row r="339" spans="4:8">
      <c r="D339" s="474"/>
      <c r="E339" s="474"/>
      <c r="F339" s="474"/>
      <c r="G339" s="474"/>
      <c r="H339" s="474"/>
    </row>
    <row r="340" spans="4:8">
      <c r="D340" s="474"/>
      <c r="E340" s="474"/>
      <c r="F340" s="474"/>
      <c r="G340" s="474"/>
      <c r="H340" s="474"/>
    </row>
    <row r="341" spans="4:8">
      <c r="D341" s="474"/>
      <c r="E341" s="474"/>
      <c r="F341" s="474"/>
      <c r="G341" s="474"/>
      <c r="H341" s="474"/>
    </row>
    <row r="342" spans="4:8">
      <c r="D342" s="474"/>
      <c r="E342" s="474"/>
      <c r="F342" s="474"/>
      <c r="G342" s="474"/>
      <c r="H342" s="474"/>
    </row>
    <row r="343" spans="4:8">
      <c r="D343" s="474"/>
      <c r="E343" s="474"/>
      <c r="F343" s="474"/>
      <c r="G343" s="474"/>
      <c r="H343" s="474"/>
    </row>
    <row r="344" spans="4:8">
      <c r="D344" s="474"/>
      <c r="E344" s="474"/>
      <c r="F344" s="474"/>
      <c r="G344" s="474"/>
      <c r="H344" s="474"/>
    </row>
    <row r="345" spans="4:8">
      <c r="D345" s="474"/>
      <c r="E345" s="474"/>
      <c r="F345" s="474"/>
      <c r="G345" s="474"/>
      <c r="H345" s="474"/>
    </row>
    <row r="346" spans="4:8">
      <c r="D346" s="474"/>
      <c r="E346" s="474"/>
      <c r="F346" s="474"/>
      <c r="G346" s="474"/>
      <c r="H346" s="474"/>
    </row>
    <row r="347" spans="4:8">
      <c r="D347" s="474"/>
      <c r="E347" s="474"/>
      <c r="F347" s="474"/>
      <c r="G347" s="474"/>
      <c r="H347" s="474"/>
    </row>
    <row r="348" spans="4:8">
      <c r="D348" s="474"/>
      <c r="E348" s="474"/>
      <c r="F348" s="474"/>
      <c r="G348" s="474"/>
      <c r="H348" s="474"/>
    </row>
    <row r="349" spans="4:8">
      <c r="D349" s="474"/>
      <c r="E349" s="474"/>
      <c r="F349" s="474"/>
      <c r="G349" s="474"/>
      <c r="H349" s="474"/>
    </row>
    <row r="350" spans="4:8">
      <c r="D350" s="474"/>
      <c r="E350" s="474"/>
      <c r="F350" s="474"/>
      <c r="G350" s="474"/>
      <c r="H350" s="474"/>
    </row>
    <row r="351" spans="4:8">
      <c r="D351" s="474"/>
      <c r="E351" s="474"/>
      <c r="F351" s="474"/>
      <c r="G351" s="474"/>
      <c r="H351" s="474"/>
    </row>
    <row r="352" spans="4:8">
      <c r="D352" s="474"/>
      <c r="E352" s="474"/>
      <c r="F352" s="474"/>
      <c r="G352" s="474"/>
      <c r="H352" s="474"/>
    </row>
    <row r="353" spans="4:8">
      <c r="D353" s="474"/>
      <c r="E353" s="474"/>
      <c r="F353" s="474"/>
      <c r="G353" s="474"/>
      <c r="H353" s="474"/>
    </row>
    <row r="354" spans="4:8">
      <c r="D354" s="474"/>
      <c r="E354" s="474"/>
      <c r="F354" s="474"/>
      <c r="G354" s="474"/>
      <c r="H354" s="474"/>
    </row>
    <row r="355" spans="4:8">
      <c r="D355" s="474"/>
      <c r="E355" s="474"/>
      <c r="F355" s="474"/>
      <c r="G355" s="474"/>
      <c r="H355" s="474"/>
    </row>
    <row r="356" spans="4:8">
      <c r="D356" s="474"/>
      <c r="E356" s="474"/>
      <c r="F356" s="474"/>
      <c r="G356" s="474"/>
      <c r="H356" s="474"/>
    </row>
    <row r="357" spans="4:8">
      <c r="D357" s="474"/>
      <c r="E357" s="474"/>
      <c r="F357" s="474"/>
      <c r="G357" s="474"/>
      <c r="H357" s="474"/>
    </row>
    <row r="358" spans="4:8">
      <c r="D358" s="474"/>
      <c r="E358" s="474"/>
      <c r="F358" s="474"/>
      <c r="G358" s="474"/>
      <c r="H358" s="474"/>
    </row>
    <row r="359" spans="4:8">
      <c r="D359" s="474"/>
      <c r="E359" s="474"/>
      <c r="F359" s="474"/>
      <c r="G359" s="474"/>
      <c r="H359" s="474"/>
    </row>
    <row r="360" spans="4:8">
      <c r="D360" s="474"/>
      <c r="E360" s="474"/>
      <c r="F360" s="474"/>
      <c r="G360" s="474"/>
      <c r="H360" s="474"/>
    </row>
    <row r="361" spans="4:8">
      <c r="D361" s="474"/>
      <c r="E361" s="474"/>
      <c r="F361" s="474"/>
      <c r="G361" s="474"/>
      <c r="H361" s="474"/>
    </row>
    <row r="362" spans="4:8">
      <c r="D362" s="474"/>
      <c r="E362" s="474"/>
      <c r="F362" s="474"/>
      <c r="G362" s="474"/>
      <c r="H362" s="474"/>
    </row>
    <row r="363" spans="4:8">
      <c r="D363" s="474"/>
      <c r="E363" s="474"/>
      <c r="F363" s="474"/>
      <c r="G363" s="474"/>
      <c r="H363" s="474"/>
    </row>
    <row r="364" spans="4:8">
      <c r="D364" s="474"/>
      <c r="E364" s="474"/>
      <c r="F364" s="474"/>
      <c r="G364" s="474"/>
      <c r="H364" s="474"/>
    </row>
    <row r="365" spans="4:8">
      <c r="D365" s="474"/>
      <c r="E365" s="474"/>
      <c r="F365" s="474"/>
      <c r="G365" s="474"/>
      <c r="H365" s="474"/>
    </row>
    <row r="366" spans="4:8">
      <c r="D366" s="474"/>
      <c r="E366" s="474"/>
      <c r="F366" s="474"/>
      <c r="G366" s="474"/>
      <c r="H366" s="474"/>
    </row>
    <row r="367" spans="4:8">
      <c r="D367" s="474"/>
      <c r="E367" s="474"/>
      <c r="F367" s="474"/>
      <c r="G367" s="474"/>
      <c r="H367" s="474"/>
    </row>
    <row r="368" spans="4:8">
      <c r="D368" s="474"/>
      <c r="E368" s="474"/>
      <c r="F368" s="474"/>
      <c r="G368" s="474"/>
      <c r="H368" s="474"/>
    </row>
    <row r="369" spans="4:8">
      <c r="D369" s="474"/>
      <c r="E369" s="474"/>
      <c r="F369" s="474"/>
      <c r="G369" s="474"/>
      <c r="H369" s="474"/>
    </row>
    <row r="370" spans="4:8">
      <c r="D370" s="474"/>
      <c r="E370" s="474"/>
      <c r="F370" s="474"/>
      <c r="G370" s="474"/>
      <c r="H370" s="474"/>
    </row>
    <row r="371" spans="4:8">
      <c r="D371" s="474"/>
      <c r="E371" s="474"/>
      <c r="F371" s="474"/>
      <c r="G371" s="474"/>
      <c r="H371" s="474"/>
    </row>
    <row r="372" spans="4:8">
      <c r="D372" s="474"/>
      <c r="E372" s="474"/>
      <c r="F372" s="474"/>
      <c r="G372" s="474"/>
      <c r="H372" s="474"/>
    </row>
    <row r="373" spans="4:8">
      <c r="D373" s="474"/>
      <c r="E373" s="474"/>
      <c r="F373" s="474"/>
      <c r="G373" s="474"/>
      <c r="H373" s="474"/>
    </row>
    <row r="374" spans="4:8">
      <c r="D374" s="474"/>
      <c r="E374" s="474"/>
      <c r="F374" s="474"/>
      <c r="G374" s="474"/>
      <c r="H374" s="474"/>
    </row>
    <row r="375" spans="4:8">
      <c r="D375" s="474"/>
      <c r="E375" s="474"/>
      <c r="F375" s="474"/>
      <c r="G375" s="474"/>
      <c r="H375" s="474"/>
    </row>
    <row r="376" spans="4:8">
      <c r="D376" s="474"/>
      <c r="E376" s="474"/>
      <c r="F376" s="474"/>
      <c r="G376" s="474"/>
      <c r="H376" s="474"/>
    </row>
    <row r="377" spans="4:8">
      <c r="D377" s="474"/>
      <c r="E377" s="474"/>
      <c r="F377" s="474"/>
      <c r="G377" s="474"/>
      <c r="H377" s="474"/>
    </row>
    <row r="378" spans="4:8">
      <c r="D378" s="474"/>
      <c r="E378" s="474"/>
      <c r="F378" s="474"/>
      <c r="G378" s="474"/>
      <c r="H378" s="474"/>
    </row>
    <row r="379" spans="4:8">
      <c r="D379" s="474"/>
      <c r="E379" s="474"/>
      <c r="F379" s="474"/>
      <c r="G379" s="474"/>
      <c r="H379" s="474"/>
    </row>
    <row r="380" spans="4:8">
      <c r="D380" s="474"/>
      <c r="E380" s="474"/>
      <c r="F380" s="474"/>
      <c r="G380" s="474"/>
      <c r="H380" s="474"/>
    </row>
    <row r="381" spans="4:8">
      <c r="D381" s="474"/>
      <c r="E381" s="474"/>
      <c r="F381" s="474"/>
      <c r="G381" s="474"/>
      <c r="H381" s="474"/>
    </row>
    <row r="382" spans="4:8">
      <c r="D382" s="474"/>
      <c r="E382" s="474"/>
      <c r="F382" s="474"/>
      <c r="G382" s="474"/>
      <c r="H382" s="474"/>
    </row>
    <row r="383" spans="4:8">
      <c r="D383" s="474"/>
      <c r="E383" s="474"/>
      <c r="F383" s="474"/>
      <c r="G383" s="474"/>
      <c r="H383" s="474"/>
    </row>
    <row r="384" spans="4:8">
      <c r="D384" s="474"/>
      <c r="E384" s="474"/>
      <c r="F384" s="474"/>
      <c r="G384" s="474"/>
      <c r="H384" s="474"/>
    </row>
    <row r="385" spans="4:8">
      <c r="D385" s="474"/>
      <c r="E385" s="474"/>
      <c r="F385" s="474"/>
      <c r="G385" s="474"/>
      <c r="H385" s="474"/>
    </row>
    <row r="386" spans="4:8">
      <c r="D386" s="474"/>
      <c r="E386" s="474"/>
      <c r="F386" s="474"/>
      <c r="G386" s="474"/>
      <c r="H386" s="474"/>
    </row>
    <row r="387" spans="4:8">
      <c r="D387" s="474"/>
      <c r="E387" s="474"/>
      <c r="F387" s="474"/>
      <c r="G387" s="474"/>
      <c r="H387" s="474"/>
    </row>
    <row r="388" spans="4:8">
      <c r="D388" s="474"/>
      <c r="E388" s="474"/>
      <c r="F388" s="474"/>
      <c r="G388" s="474"/>
      <c r="H388" s="474"/>
    </row>
    <row r="389" spans="4:8">
      <c r="D389" s="474"/>
      <c r="E389" s="474"/>
      <c r="F389" s="474"/>
      <c r="G389" s="474"/>
      <c r="H389" s="474"/>
    </row>
    <row r="390" spans="4:8">
      <c r="D390" s="474"/>
      <c r="E390" s="474"/>
      <c r="F390" s="474"/>
      <c r="G390" s="474"/>
      <c r="H390" s="474"/>
    </row>
    <row r="391" spans="4:8">
      <c r="D391" s="474"/>
      <c r="E391" s="474"/>
      <c r="F391" s="474"/>
      <c r="G391" s="474"/>
      <c r="H391" s="474"/>
    </row>
    <row r="392" spans="4:8">
      <c r="D392" s="474"/>
      <c r="E392" s="474"/>
      <c r="F392" s="474"/>
      <c r="G392" s="474"/>
      <c r="H392" s="474"/>
    </row>
    <row r="393" spans="4:8">
      <c r="D393" s="474"/>
      <c r="E393" s="474"/>
      <c r="F393" s="474"/>
      <c r="G393" s="474"/>
      <c r="H393" s="474"/>
    </row>
    <row r="394" spans="4:8">
      <c r="D394" s="474"/>
      <c r="E394" s="474"/>
      <c r="F394" s="474"/>
      <c r="G394" s="474"/>
      <c r="H394" s="474"/>
    </row>
    <row r="395" spans="4:8">
      <c r="D395" s="474"/>
      <c r="E395" s="474"/>
      <c r="F395" s="474"/>
      <c r="G395" s="474"/>
      <c r="H395" s="474"/>
    </row>
    <row r="396" spans="4:8">
      <c r="D396" s="474"/>
      <c r="E396" s="474"/>
      <c r="F396" s="474"/>
      <c r="G396" s="474"/>
      <c r="H396" s="474"/>
    </row>
    <row r="397" spans="4:8">
      <c r="D397" s="474"/>
      <c r="E397" s="474"/>
      <c r="F397" s="474"/>
      <c r="G397" s="474"/>
      <c r="H397" s="474"/>
    </row>
    <row r="398" spans="4:8">
      <c r="D398" s="474"/>
      <c r="E398" s="474"/>
      <c r="F398" s="474"/>
      <c r="G398" s="474"/>
      <c r="H398" s="474"/>
    </row>
    <row r="399" spans="4:8">
      <c r="D399" s="474"/>
      <c r="E399" s="474"/>
      <c r="F399" s="474"/>
      <c r="G399" s="474"/>
      <c r="H399" s="474"/>
    </row>
    <row r="400" spans="4:8">
      <c r="D400" s="474"/>
      <c r="E400" s="474"/>
      <c r="F400" s="474"/>
      <c r="G400" s="474"/>
      <c r="H400" s="474"/>
    </row>
    <row r="401" spans="4:8">
      <c r="D401" s="474"/>
      <c r="E401" s="474"/>
      <c r="F401" s="474"/>
      <c r="G401" s="474"/>
      <c r="H401" s="474"/>
    </row>
    <row r="402" spans="4:8">
      <c r="D402" s="474"/>
      <c r="E402" s="474"/>
      <c r="F402" s="474"/>
      <c r="G402" s="474"/>
      <c r="H402" s="474"/>
    </row>
    <row r="403" spans="4:8">
      <c r="D403" s="474"/>
      <c r="E403" s="474"/>
      <c r="F403" s="474"/>
      <c r="G403" s="474"/>
      <c r="H403" s="474"/>
    </row>
    <row r="404" spans="4:8">
      <c r="D404" s="474"/>
      <c r="E404" s="474"/>
      <c r="F404" s="474"/>
      <c r="G404" s="474"/>
      <c r="H404" s="474"/>
    </row>
    <row r="405" spans="4:8">
      <c r="D405" s="474"/>
      <c r="E405" s="474"/>
      <c r="F405" s="474"/>
      <c r="G405" s="474"/>
      <c r="H405" s="474"/>
    </row>
    <row r="406" spans="4:8">
      <c r="D406" s="474"/>
      <c r="E406" s="474"/>
      <c r="F406" s="474"/>
      <c r="G406" s="474"/>
      <c r="H406" s="474"/>
    </row>
    <row r="407" spans="4:8">
      <c r="D407" s="474"/>
      <c r="E407" s="474"/>
      <c r="F407" s="474"/>
      <c r="G407" s="474"/>
      <c r="H407" s="474"/>
    </row>
    <row r="408" spans="4:8">
      <c r="D408" s="474"/>
      <c r="E408" s="474"/>
      <c r="F408" s="474"/>
      <c r="G408" s="474"/>
      <c r="H408" s="474"/>
    </row>
    <row r="409" spans="4:8">
      <c r="D409" s="474"/>
      <c r="E409" s="474"/>
      <c r="F409" s="474"/>
      <c r="G409" s="474"/>
      <c r="H409" s="474"/>
    </row>
    <row r="410" spans="4:8">
      <c r="D410" s="474"/>
      <c r="E410" s="474"/>
      <c r="F410" s="474"/>
      <c r="G410" s="474"/>
      <c r="H410" s="474"/>
    </row>
    <row r="411" spans="4:8">
      <c r="D411" s="474"/>
      <c r="E411" s="474"/>
      <c r="F411" s="474"/>
      <c r="G411" s="474"/>
      <c r="H411" s="474"/>
    </row>
    <row r="412" spans="4:8">
      <c r="D412" s="474"/>
      <c r="E412" s="474"/>
      <c r="F412" s="474"/>
      <c r="G412" s="474"/>
      <c r="H412" s="474"/>
    </row>
    <row r="413" spans="4:8">
      <c r="D413" s="474"/>
      <c r="E413" s="474"/>
      <c r="F413" s="474"/>
      <c r="G413" s="474"/>
      <c r="H413" s="474"/>
    </row>
    <row r="414" spans="4:8">
      <c r="D414" s="474"/>
      <c r="E414" s="474"/>
      <c r="F414" s="474"/>
      <c r="G414" s="474"/>
      <c r="H414" s="474"/>
    </row>
    <row r="415" spans="4:8">
      <c r="D415" s="474"/>
      <c r="E415" s="474"/>
      <c r="F415" s="474"/>
      <c r="G415" s="474"/>
      <c r="H415" s="474"/>
    </row>
    <row r="416" spans="4:8">
      <c r="D416" s="474"/>
      <c r="E416" s="474"/>
      <c r="F416" s="474"/>
      <c r="G416" s="474"/>
      <c r="H416" s="474"/>
    </row>
    <row r="417" spans="4:8">
      <c r="D417" s="474"/>
      <c r="E417" s="474"/>
      <c r="F417" s="474"/>
      <c r="G417" s="474"/>
      <c r="H417" s="474"/>
    </row>
    <row r="418" spans="4:8">
      <c r="D418" s="474"/>
      <c r="E418" s="474"/>
      <c r="F418" s="474"/>
      <c r="G418" s="474"/>
      <c r="H418" s="474"/>
    </row>
    <row r="419" spans="4:8">
      <c r="D419" s="474"/>
      <c r="E419" s="474"/>
      <c r="F419" s="474"/>
      <c r="G419" s="474"/>
      <c r="H419" s="474"/>
    </row>
    <row r="420" spans="4:8">
      <c r="D420" s="474"/>
      <c r="E420" s="474"/>
      <c r="F420" s="474"/>
      <c r="G420" s="474"/>
      <c r="H420" s="474"/>
    </row>
    <row r="421" spans="4:8">
      <c r="D421" s="474"/>
      <c r="E421" s="474"/>
      <c r="F421" s="474"/>
      <c r="G421" s="474"/>
      <c r="H421" s="474"/>
    </row>
    <row r="422" spans="4:8">
      <c r="D422" s="474"/>
      <c r="E422" s="474"/>
      <c r="F422" s="474"/>
      <c r="G422" s="474"/>
      <c r="H422" s="474"/>
    </row>
    <row r="423" spans="4:8">
      <c r="D423" s="474"/>
      <c r="E423" s="474"/>
      <c r="F423" s="474"/>
      <c r="G423" s="474"/>
      <c r="H423" s="474"/>
    </row>
    <row r="424" spans="4:8">
      <c r="D424" s="474"/>
      <c r="E424" s="474"/>
      <c r="F424" s="474"/>
      <c r="G424" s="474"/>
      <c r="H424" s="474"/>
    </row>
    <row r="425" spans="4:8">
      <c r="D425" s="474"/>
      <c r="E425" s="474"/>
      <c r="F425" s="474"/>
      <c r="G425" s="474"/>
      <c r="H425" s="474"/>
    </row>
    <row r="426" spans="4:8">
      <c r="D426" s="474"/>
      <c r="E426" s="474"/>
      <c r="F426" s="474"/>
      <c r="G426" s="474"/>
      <c r="H426" s="474"/>
    </row>
    <row r="427" spans="4:8">
      <c r="D427" s="474"/>
      <c r="E427" s="474"/>
      <c r="F427" s="474"/>
      <c r="G427" s="474"/>
      <c r="H427" s="474"/>
    </row>
    <row r="428" spans="4:8">
      <c r="D428" s="474"/>
      <c r="E428" s="474"/>
      <c r="F428" s="474"/>
      <c r="G428" s="474"/>
      <c r="H428" s="474"/>
    </row>
    <row r="429" spans="4:8">
      <c r="D429" s="474"/>
      <c r="E429" s="474"/>
      <c r="F429" s="474"/>
      <c r="G429" s="474"/>
      <c r="H429" s="474"/>
    </row>
    <row r="430" spans="4:8">
      <c r="D430" s="474"/>
      <c r="E430" s="474"/>
      <c r="F430" s="474"/>
      <c r="G430" s="474"/>
      <c r="H430" s="474"/>
    </row>
    <row r="431" spans="4:8">
      <c r="D431" s="474"/>
      <c r="E431" s="474"/>
      <c r="F431" s="474"/>
      <c r="G431" s="474"/>
      <c r="H431" s="474"/>
    </row>
    <row r="432" spans="4:8">
      <c r="D432" s="474"/>
      <c r="E432" s="474"/>
      <c r="F432" s="474"/>
      <c r="G432" s="474"/>
      <c r="H432" s="474"/>
    </row>
    <row r="433" spans="4:8">
      <c r="D433" s="474"/>
      <c r="E433" s="474"/>
      <c r="F433" s="474"/>
      <c r="G433" s="474"/>
      <c r="H433" s="474"/>
    </row>
    <row r="434" spans="4:8">
      <c r="D434" s="474"/>
      <c r="E434" s="474"/>
      <c r="F434" s="474"/>
      <c r="G434" s="474"/>
      <c r="H434" s="474"/>
    </row>
    <row r="435" spans="4:8">
      <c r="D435" s="474"/>
      <c r="E435" s="474"/>
      <c r="F435" s="474"/>
      <c r="G435" s="474"/>
      <c r="H435" s="474"/>
    </row>
    <row r="436" spans="4:8">
      <c r="D436" s="474"/>
      <c r="E436" s="474"/>
      <c r="F436" s="474"/>
      <c r="G436" s="474"/>
      <c r="H436" s="474"/>
    </row>
    <row r="437" spans="4:8">
      <c r="D437" s="474"/>
      <c r="E437" s="474"/>
      <c r="F437" s="474"/>
      <c r="G437" s="474"/>
      <c r="H437" s="474"/>
    </row>
    <row r="438" spans="4:8">
      <c r="D438" s="474"/>
      <c r="E438" s="474"/>
      <c r="F438" s="474"/>
      <c r="G438" s="474"/>
      <c r="H438" s="474"/>
    </row>
    <row r="439" spans="4:8">
      <c r="D439" s="474"/>
      <c r="E439" s="474"/>
      <c r="F439" s="474"/>
      <c r="G439" s="474"/>
      <c r="H439" s="474"/>
    </row>
    <row r="440" spans="4:8">
      <c r="D440" s="474"/>
      <c r="E440" s="474"/>
      <c r="F440" s="474"/>
      <c r="G440" s="474"/>
      <c r="H440" s="474"/>
    </row>
    <row r="441" spans="4:8">
      <c r="D441" s="474"/>
      <c r="E441" s="474"/>
      <c r="F441" s="474"/>
      <c r="G441" s="474"/>
      <c r="H441" s="474"/>
    </row>
    <row r="442" spans="4:8">
      <c r="D442" s="474"/>
      <c r="E442" s="474"/>
      <c r="F442" s="474"/>
      <c r="G442" s="474"/>
      <c r="H442" s="474"/>
    </row>
    <row r="443" spans="4:8">
      <c r="D443" s="474"/>
      <c r="E443" s="474"/>
      <c r="F443" s="474"/>
      <c r="G443" s="474"/>
      <c r="H443" s="474"/>
    </row>
    <row r="444" spans="4:8">
      <c r="D444" s="474"/>
      <c r="E444" s="474"/>
      <c r="F444" s="474"/>
      <c r="G444" s="474"/>
      <c r="H444" s="474"/>
    </row>
    <row r="445" spans="4:8">
      <c r="D445" s="474"/>
      <c r="E445" s="474"/>
      <c r="F445" s="474"/>
      <c r="G445" s="474"/>
      <c r="H445" s="474"/>
    </row>
    <row r="446" spans="4:8">
      <c r="D446" s="474"/>
      <c r="E446" s="474"/>
      <c r="F446" s="474"/>
      <c r="G446" s="474"/>
      <c r="H446" s="474"/>
    </row>
    <row r="447" spans="4:8">
      <c r="D447" s="474"/>
      <c r="E447" s="474"/>
      <c r="F447" s="474"/>
      <c r="G447" s="474"/>
      <c r="H447" s="474"/>
    </row>
    <row r="448" spans="4:8">
      <c r="D448" s="474"/>
      <c r="E448" s="474"/>
      <c r="F448" s="474"/>
      <c r="G448" s="474"/>
      <c r="H448" s="474"/>
    </row>
    <row r="449" spans="4:8">
      <c r="D449" s="474"/>
      <c r="E449" s="474"/>
      <c r="F449" s="474"/>
      <c r="G449" s="474"/>
      <c r="H449" s="474"/>
    </row>
    <row r="450" spans="4:8">
      <c r="D450" s="474"/>
      <c r="E450" s="474"/>
      <c r="F450" s="474"/>
      <c r="G450" s="474"/>
      <c r="H450" s="474"/>
    </row>
    <row r="451" spans="4:8">
      <c r="D451" s="474"/>
      <c r="E451" s="474"/>
      <c r="F451" s="474"/>
      <c r="G451" s="474"/>
      <c r="H451" s="474"/>
    </row>
    <row r="452" spans="4:8">
      <c r="D452" s="474"/>
      <c r="E452" s="474"/>
      <c r="F452" s="474"/>
      <c r="G452" s="474"/>
      <c r="H452" s="474"/>
    </row>
    <row r="453" spans="4:8">
      <c r="D453" s="474"/>
      <c r="E453" s="474"/>
      <c r="F453" s="474"/>
      <c r="G453" s="474"/>
      <c r="H453" s="474"/>
    </row>
    <row r="454" spans="4:8">
      <c r="D454" s="474"/>
      <c r="E454" s="474"/>
      <c r="F454" s="474"/>
      <c r="G454" s="474"/>
      <c r="H454" s="474"/>
    </row>
    <row r="455" spans="4:8">
      <c r="D455" s="474"/>
      <c r="E455" s="474"/>
      <c r="F455" s="474"/>
      <c r="G455" s="474"/>
      <c r="H455" s="474"/>
    </row>
    <row r="456" spans="4:8">
      <c r="D456" s="474"/>
      <c r="E456" s="474"/>
      <c r="F456" s="474"/>
      <c r="G456" s="474"/>
      <c r="H456" s="474"/>
    </row>
    <row r="457" spans="4:8">
      <c r="D457" s="474"/>
      <c r="E457" s="474"/>
      <c r="F457" s="474"/>
      <c r="G457" s="474"/>
      <c r="H457" s="474"/>
    </row>
    <row r="458" spans="4:8">
      <c r="D458" s="474"/>
      <c r="E458" s="474"/>
      <c r="F458" s="474"/>
      <c r="G458" s="474"/>
      <c r="H458" s="474"/>
    </row>
    <row r="459" spans="4:8">
      <c r="D459" s="474"/>
      <c r="E459" s="474"/>
      <c r="F459" s="474"/>
      <c r="G459" s="474"/>
      <c r="H459" s="474"/>
    </row>
    <row r="460" spans="4:8">
      <c r="D460" s="474"/>
      <c r="E460" s="474"/>
      <c r="F460" s="474"/>
      <c r="G460" s="474"/>
      <c r="H460" s="474"/>
    </row>
    <row r="461" spans="4:8">
      <c r="D461" s="474"/>
      <c r="E461" s="474"/>
      <c r="F461" s="474"/>
      <c r="G461" s="474"/>
      <c r="H461" s="474"/>
    </row>
    <row r="462" spans="4:8">
      <c r="D462" s="474"/>
      <c r="E462" s="474"/>
      <c r="F462" s="474"/>
      <c r="G462" s="474"/>
      <c r="H462" s="474"/>
    </row>
    <row r="463" spans="4:8">
      <c r="D463" s="474"/>
      <c r="E463" s="474"/>
      <c r="F463" s="474"/>
      <c r="G463" s="474"/>
      <c r="H463" s="474"/>
    </row>
    <row r="464" spans="4:8">
      <c r="D464" s="474"/>
      <c r="E464" s="474"/>
      <c r="F464" s="474"/>
      <c r="G464" s="474"/>
      <c r="H464" s="474"/>
    </row>
    <row r="465" spans="4:8">
      <c r="D465" s="474"/>
      <c r="E465" s="474"/>
      <c r="F465" s="474"/>
      <c r="G465" s="474"/>
      <c r="H465" s="474"/>
    </row>
    <row r="466" spans="4:8">
      <c r="D466" s="474"/>
      <c r="E466" s="474"/>
      <c r="F466" s="474"/>
      <c r="G466" s="474"/>
      <c r="H466" s="474"/>
    </row>
    <row r="467" spans="4:8">
      <c r="D467" s="474"/>
      <c r="E467" s="474"/>
      <c r="F467" s="474"/>
      <c r="G467" s="474"/>
      <c r="H467" s="474"/>
    </row>
    <row r="468" spans="4:8">
      <c r="D468" s="474"/>
      <c r="E468" s="474"/>
      <c r="F468" s="474"/>
      <c r="G468" s="474"/>
      <c r="H468" s="474"/>
    </row>
    <row r="469" spans="4:8">
      <c r="D469" s="474"/>
      <c r="E469" s="474"/>
      <c r="F469" s="474"/>
      <c r="G469" s="474"/>
      <c r="H469" s="474"/>
    </row>
    <row r="470" spans="4:8">
      <c r="D470" s="474"/>
      <c r="E470" s="474"/>
      <c r="F470" s="474"/>
      <c r="G470" s="474"/>
      <c r="H470" s="474"/>
    </row>
    <row r="471" spans="4:8">
      <c r="D471" s="474"/>
      <c r="E471" s="474"/>
      <c r="F471" s="474"/>
      <c r="G471" s="474"/>
      <c r="H471" s="474"/>
    </row>
    <row r="472" spans="4:8">
      <c r="D472" s="474"/>
      <c r="E472" s="474"/>
      <c r="F472" s="474"/>
      <c r="G472" s="474"/>
      <c r="H472" s="474"/>
    </row>
    <row r="473" spans="4:8">
      <c r="D473" s="474"/>
      <c r="E473" s="474"/>
      <c r="F473" s="474"/>
      <c r="G473" s="474"/>
      <c r="H473" s="474"/>
    </row>
    <row r="474" spans="4:8">
      <c r="D474" s="474"/>
      <c r="E474" s="474"/>
      <c r="F474" s="474"/>
      <c r="G474" s="474"/>
      <c r="H474" s="474"/>
    </row>
    <row r="475" spans="4:8">
      <c r="D475" s="474"/>
      <c r="E475" s="474"/>
      <c r="F475" s="474"/>
      <c r="G475" s="474"/>
      <c r="H475" s="474"/>
    </row>
    <row r="476" spans="4:8">
      <c r="D476" s="474"/>
      <c r="E476" s="474"/>
      <c r="F476" s="474"/>
      <c r="G476" s="474"/>
      <c r="H476" s="474"/>
    </row>
    <row r="477" spans="4:8">
      <c r="D477" s="474"/>
      <c r="E477" s="474"/>
      <c r="F477" s="474"/>
      <c r="G477" s="474"/>
      <c r="H477" s="474"/>
    </row>
    <row r="478" spans="4:8">
      <c r="D478" s="474"/>
      <c r="E478" s="474"/>
      <c r="F478" s="474"/>
      <c r="G478" s="474"/>
      <c r="H478" s="474"/>
    </row>
    <row r="479" spans="4:8">
      <c r="D479" s="474"/>
      <c r="E479" s="474"/>
      <c r="F479" s="474"/>
      <c r="G479" s="474"/>
      <c r="H479" s="474"/>
    </row>
    <row r="480" spans="4:8">
      <c r="D480" s="474"/>
      <c r="E480" s="474"/>
      <c r="F480" s="474"/>
      <c r="G480" s="474"/>
      <c r="H480" s="474"/>
    </row>
    <row r="481" spans="4:8">
      <c r="D481" s="474"/>
      <c r="E481" s="474"/>
      <c r="F481" s="474"/>
      <c r="G481" s="474"/>
      <c r="H481" s="474"/>
    </row>
    <row r="482" spans="4:8">
      <c r="D482" s="474"/>
      <c r="E482" s="474"/>
      <c r="F482" s="474"/>
      <c r="G482" s="474"/>
      <c r="H482" s="474"/>
    </row>
    <row r="483" spans="4:8">
      <c r="D483" s="474"/>
      <c r="E483" s="474"/>
      <c r="F483" s="474"/>
      <c r="G483" s="474"/>
      <c r="H483" s="474"/>
    </row>
    <row r="484" spans="4:8">
      <c r="D484" s="474"/>
      <c r="E484" s="474"/>
      <c r="F484" s="474"/>
      <c r="G484" s="474"/>
      <c r="H484" s="474"/>
    </row>
    <row r="485" spans="4:8">
      <c r="D485" s="474"/>
      <c r="E485" s="474"/>
      <c r="F485" s="474"/>
      <c r="G485" s="474"/>
      <c r="H485" s="474"/>
    </row>
    <row r="486" spans="4:8">
      <c r="D486" s="474"/>
      <c r="E486" s="474"/>
      <c r="F486" s="474"/>
      <c r="G486" s="474"/>
      <c r="H486" s="474"/>
    </row>
    <row r="487" spans="4:8">
      <c r="D487" s="474"/>
      <c r="E487" s="474"/>
      <c r="F487" s="474"/>
      <c r="G487" s="474"/>
      <c r="H487" s="474"/>
    </row>
    <row r="488" spans="4:8">
      <c r="D488" s="474"/>
      <c r="E488" s="474"/>
      <c r="F488" s="474"/>
      <c r="G488" s="474"/>
      <c r="H488" s="474"/>
    </row>
    <row r="489" spans="4:8">
      <c r="D489" s="474"/>
      <c r="E489" s="474"/>
      <c r="F489" s="474"/>
      <c r="G489" s="474"/>
      <c r="H489" s="474"/>
    </row>
    <row r="490" spans="4:8">
      <c r="D490" s="474"/>
      <c r="E490" s="474"/>
      <c r="F490" s="474"/>
      <c r="G490" s="474"/>
      <c r="H490" s="474"/>
    </row>
    <row r="491" spans="4:8">
      <c r="D491" s="474"/>
      <c r="E491" s="474"/>
      <c r="F491" s="474"/>
      <c r="G491" s="474"/>
      <c r="H491" s="474"/>
    </row>
    <row r="492" spans="4:8">
      <c r="D492" s="474"/>
      <c r="E492" s="474"/>
      <c r="F492" s="474"/>
      <c r="G492" s="474"/>
      <c r="H492" s="474"/>
    </row>
    <row r="493" spans="4:8">
      <c r="D493" s="474"/>
      <c r="E493" s="474"/>
      <c r="F493" s="474"/>
      <c r="G493" s="474"/>
      <c r="H493" s="474"/>
    </row>
    <row r="494" spans="4:8">
      <c r="D494" s="474"/>
      <c r="E494" s="474"/>
      <c r="F494" s="474"/>
      <c r="G494" s="474"/>
      <c r="H494" s="474"/>
    </row>
    <row r="495" spans="4:8">
      <c r="D495" s="474"/>
      <c r="E495" s="474"/>
      <c r="F495" s="474"/>
      <c r="G495" s="474"/>
      <c r="H495" s="474"/>
    </row>
    <row r="496" spans="4:8">
      <c r="D496" s="474"/>
      <c r="E496" s="474"/>
      <c r="F496" s="474"/>
      <c r="G496" s="474"/>
      <c r="H496" s="474"/>
    </row>
    <row r="497" spans="4:8">
      <c r="D497" s="474"/>
      <c r="E497" s="474"/>
      <c r="F497" s="474"/>
      <c r="G497" s="474"/>
      <c r="H497" s="474"/>
    </row>
    <row r="498" spans="4:8">
      <c r="D498" s="474"/>
      <c r="E498" s="474"/>
      <c r="F498" s="474"/>
      <c r="G498" s="474"/>
      <c r="H498" s="474"/>
    </row>
    <row r="499" spans="4:8">
      <c r="D499" s="474"/>
      <c r="E499" s="474"/>
      <c r="F499" s="474"/>
      <c r="G499" s="474"/>
      <c r="H499" s="474"/>
    </row>
    <row r="500" spans="4:8">
      <c r="D500" s="474"/>
      <c r="E500" s="474"/>
      <c r="F500" s="474"/>
      <c r="G500" s="474"/>
      <c r="H500" s="474"/>
    </row>
    <row r="501" spans="4:8">
      <c r="D501" s="474"/>
      <c r="E501" s="474"/>
      <c r="F501" s="474"/>
      <c r="G501" s="474"/>
      <c r="H501" s="474"/>
    </row>
    <row r="502" spans="4:8">
      <c r="D502" s="474"/>
      <c r="E502" s="474"/>
      <c r="F502" s="474"/>
      <c r="G502" s="474"/>
      <c r="H502" s="474"/>
    </row>
    <row r="503" spans="4:8">
      <c r="D503" s="474"/>
      <c r="E503" s="474"/>
      <c r="F503" s="474"/>
      <c r="G503" s="474"/>
      <c r="H503" s="474"/>
    </row>
    <row r="504" spans="4:8">
      <c r="D504" s="474"/>
      <c r="E504" s="474"/>
      <c r="F504" s="474"/>
      <c r="G504" s="474"/>
      <c r="H504" s="474"/>
    </row>
    <row r="505" spans="4:8">
      <c r="D505" s="474"/>
      <c r="E505" s="474"/>
      <c r="F505" s="474"/>
      <c r="G505" s="474"/>
      <c r="H505" s="474"/>
    </row>
    <row r="506" spans="4:8">
      <c r="D506" s="474"/>
      <c r="E506" s="474"/>
      <c r="F506" s="474"/>
      <c r="G506" s="474"/>
      <c r="H506" s="474"/>
    </row>
    <row r="507" spans="4:8">
      <c r="D507" s="474"/>
      <c r="E507" s="474"/>
      <c r="F507" s="474"/>
      <c r="G507" s="474"/>
      <c r="H507" s="474"/>
    </row>
    <row r="508" spans="4:8">
      <c r="D508" s="474"/>
      <c r="E508" s="474"/>
      <c r="F508" s="474"/>
      <c r="G508" s="474"/>
      <c r="H508" s="474"/>
    </row>
    <row r="509" spans="4:8">
      <c r="D509" s="474"/>
      <c r="E509" s="474"/>
      <c r="F509" s="474"/>
      <c r="G509" s="474"/>
      <c r="H509" s="474"/>
    </row>
    <row r="510" spans="4:8">
      <c r="D510" s="474"/>
      <c r="E510" s="474"/>
      <c r="F510" s="474"/>
      <c r="G510" s="474"/>
      <c r="H510" s="474"/>
    </row>
    <row r="511" spans="4:8">
      <c r="D511" s="474"/>
      <c r="E511" s="474"/>
      <c r="F511" s="474"/>
      <c r="G511" s="474"/>
      <c r="H511" s="474"/>
    </row>
    <row r="512" spans="4:8">
      <c r="D512" s="474"/>
      <c r="E512" s="474"/>
      <c r="F512" s="474"/>
      <c r="G512" s="474"/>
      <c r="H512" s="474"/>
    </row>
    <row r="513" spans="4:8">
      <c r="D513" s="474"/>
      <c r="E513" s="474"/>
      <c r="F513" s="474"/>
      <c r="G513" s="474"/>
      <c r="H513" s="474"/>
    </row>
    <row r="514" spans="4:8">
      <c r="D514" s="474"/>
      <c r="E514" s="474"/>
      <c r="F514" s="474"/>
      <c r="G514" s="474"/>
      <c r="H514" s="474"/>
    </row>
    <row r="515" spans="4:8">
      <c r="D515" s="474"/>
      <c r="E515" s="474"/>
      <c r="F515" s="474"/>
      <c r="G515" s="474"/>
      <c r="H515" s="474"/>
    </row>
    <row r="516" spans="4:8">
      <c r="D516" s="474"/>
      <c r="E516" s="474"/>
      <c r="F516" s="474"/>
      <c r="G516" s="474"/>
      <c r="H516" s="474"/>
    </row>
    <row r="517" spans="4:8">
      <c r="D517" s="474"/>
      <c r="E517" s="474"/>
      <c r="F517" s="474"/>
      <c r="G517" s="474"/>
      <c r="H517" s="474"/>
    </row>
    <row r="518" spans="4:8">
      <c r="D518" s="474"/>
      <c r="E518" s="474"/>
      <c r="F518" s="474"/>
      <c r="G518" s="474"/>
      <c r="H518" s="474"/>
    </row>
    <row r="519" spans="4:8">
      <c r="D519" s="474"/>
      <c r="E519" s="474"/>
      <c r="F519" s="474"/>
      <c r="G519" s="474"/>
      <c r="H519" s="474"/>
    </row>
    <row r="520" spans="4:8">
      <c r="D520" s="474"/>
      <c r="E520" s="474"/>
      <c r="F520" s="474"/>
      <c r="G520" s="474"/>
      <c r="H520" s="474"/>
    </row>
    <row r="521" spans="4:8">
      <c r="D521" s="474"/>
      <c r="E521" s="474"/>
      <c r="F521" s="474"/>
      <c r="G521" s="474"/>
      <c r="H521" s="474"/>
    </row>
    <row r="522" spans="4:8">
      <c r="D522" s="474"/>
      <c r="E522" s="474"/>
      <c r="F522" s="474"/>
      <c r="G522" s="474"/>
      <c r="H522" s="474"/>
    </row>
    <row r="523" spans="4:8">
      <c r="D523" s="474"/>
      <c r="E523" s="474"/>
      <c r="F523" s="474"/>
      <c r="G523" s="474"/>
      <c r="H523" s="474"/>
    </row>
    <row r="524" spans="4:8">
      <c r="D524" s="474"/>
      <c r="E524" s="474"/>
      <c r="F524" s="474"/>
      <c r="G524" s="474"/>
      <c r="H524" s="474"/>
    </row>
    <row r="525" spans="4:8">
      <c r="D525" s="474"/>
      <c r="E525" s="474"/>
      <c r="F525" s="474"/>
      <c r="G525" s="474"/>
      <c r="H525" s="474"/>
    </row>
    <row r="526" spans="4:8">
      <c r="D526" s="474"/>
      <c r="E526" s="474"/>
      <c r="F526" s="474"/>
      <c r="G526" s="474"/>
      <c r="H526" s="474"/>
    </row>
    <row r="527" spans="4:8">
      <c r="D527" s="474"/>
      <c r="E527" s="474"/>
      <c r="F527" s="474"/>
      <c r="G527" s="474"/>
      <c r="H527" s="474"/>
    </row>
    <row r="528" spans="4:8">
      <c r="D528" s="474"/>
      <c r="E528" s="474"/>
      <c r="F528" s="474"/>
      <c r="G528" s="474"/>
      <c r="H528" s="474"/>
    </row>
    <row r="529" spans="4:8">
      <c r="D529" s="474"/>
      <c r="E529" s="474"/>
      <c r="F529" s="474"/>
      <c r="G529" s="474"/>
      <c r="H529" s="474"/>
    </row>
    <row r="530" spans="4:8">
      <c r="D530" s="474"/>
      <c r="E530" s="474"/>
      <c r="F530" s="474"/>
      <c r="G530" s="474"/>
      <c r="H530" s="474"/>
    </row>
    <row r="531" spans="4:8">
      <c r="D531" s="474"/>
      <c r="E531" s="474"/>
      <c r="F531" s="474"/>
      <c r="G531" s="474"/>
      <c r="H531" s="474"/>
    </row>
    <row r="532" spans="4:8">
      <c r="D532" s="474"/>
      <c r="E532" s="474"/>
      <c r="F532" s="474"/>
      <c r="G532" s="474"/>
      <c r="H532" s="474"/>
    </row>
    <row r="533" spans="4:8">
      <c r="D533" s="474"/>
      <c r="E533" s="474"/>
      <c r="F533" s="474"/>
      <c r="G533" s="474"/>
      <c r="H533" s="474"/>
    </row>
    <row r="534" spans="4:8">
      <c r="D534" s="474"/>
      <c r="E534" s="474"/>
      <c r="F534" s="474"/>
      <c r="G534" s="474"/>
      <c r="H534" s="474"/>
    </row>
    <row r="535" spans="4:8">
      <c r="D535" s="474"/>
      <c r="E535" s="474"/>
      <c r="F535" s="474"/>
      <c r="G535" s="474"/>
      <c r="H535" s="474"/>
    </row>
    <row r="536" spans="4:8">
      <c r="D536" s="474"/>
      <c r="E536" s="474"/>
      <c r="F536" s="474"/>
      <c r="G536" s="474"/>
      <c r="H536" s="474"/>
    </row>
    <row r="537" spans="4:8">
      <c r="D537" s="474"/>
      <c r="E537" s="474"/>
      <c r="F537" s="474"/>
      <c r="G537" s="474"/>
      <c r="H537" s="474"/>
    </row>
    <row r="538" spans="4:8">
      <c r="D538" s="474"/>
      <c r="E538" s="474"/>
      <c r="F538" s="474"/>
      <c r="G538" s="474"/>
      <c r="H538" s="474"/>
    </row>
    <row r="539" spans="4:8">
      <c r="D539" s="474"/>
      <c r="E539" s="474"/>
      <c r="F539" s="474"/>
      <c r="G539" s="474"/>
      <c r="H539" s="474"/>
    </row>
    <row r="540" spans="4:8">
      <c r="D540" s="474"/>
      <c r="E540" s="474"/>
      <c r="F540" s="474"/>
      <c r="G540" s="474"/>
      <c r="H540" s="474"/>
    </row>
    <row r="541" spans="4:8">
      <c r="D541" s="474"/>
      <c r="E541" s="474"/>
      <c r="F541" s="474"/>
      <c r="G541" s="474"/>
      <c r="H541" s="474"/>
    </row>
    <row r="542" spans="4:8">
      <c r="D542" s="474"/>
      <c r="E542" s="474"/>
      <c r="F542" s="474"/>
      <c r="G542" s="474"/>
      <c r="H542" s="474"/>
    </row>
  </sheetData>
  <sortState ref="B5:H162">
    <sortCondition ref="D5:D162"/>
    <sortCondition ref="F5:F162"/>
  </sortState>
  <mergeCells count="12">
    <mergeCell ref="I3:M3"/>
    <mergeCell ref="H167:L167"/>
    <mergeCell ref="A216:E216"/>
    <mergeCell ref="A167:G167"/>
    <mergeCell ref="B168:E168"/>
    <mergeCell ref="A3:A4"/>
    <mergeCell ref="B3:B4"/>
    <mergeCell ref="C3:C4"/>
    <mergeCell ref="D3:D4"/>
    <mergeCell ref="E3:E4"/>
    <mergeCell ref="F3:F4"/>
    <mergeCell ref="G3:H3"/>
  </mergeCells>
  <printOptions horizontalCentered="1"/>
  <pageMargins left="0.12" right="0.11" top="0.24" bottom="0.28000000000000003" header="0.18" footer="0.12"/>
  <pageSetup paperSize="9" scale="67" orientation="landscape" verticalDpi="360" r:id="rId1"/>
  <headerFooter>
    <oddFooter>Page &amp;P of &amp;N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94"/>
  <sheetViews>
    <sheetView showGridLines="0" zoomScale="85" zoomScaleNormal="85" workbookViewId="0">
      <pane xSplit="3" ySplit="4" topLeftCell="D36" activePane="bottomRight" state="frozen"/>
      <selection pane="topRight" activeCell="D1" sqref="D1"/>
      <selection pane="bottomLeft" activeCell="A5" sqref="A5"/>
      <selection pane="bottomRight" activeCell="I50" sqref="I50"/>
    </sheetView>
  </sheetViews>
  <sheetFormatPr defaultRowHeight="12.75"/>
  <cols>
    <col min="1" max="1" width="9.140625" style="4"/>
    <col min="2" max="2" width="38.85546875" style="3" customWidth="1"/>
    <col min="3" max="3" width="12.85546875" style="3" bestFit="1" customWidth="1"/>
    <col min="4" max="4" width="28" style="3" bestFit="1" customWidth="1"/>
    <col min="5" max="5" width="17.7109375" style="4" bestFit="1" customWidth="1"/>
    <col min="6" max="9" width="9.140625" style="3"/>
    <col min="10" max="10" width="8.42578125" style="3" customWidth="1"/>
    <col min="11" max="15" width="9.140625" style="3"/>
    <col min="16" max="16" width="10.28515625" style="3" bestFit="1" customWidth="1"/>
    <col min="17" max="16384" width="9.140625" style="3"/>
  </cols>
  <sheetData>
    <row r="1" spans="1:14" ht="15" customHeight="1">
      <c r="A1" s="1628" t="s">
        <v>664</v>
      </c>
      <c r="B1" s="1628"/>
      <c r="C1" s="1628"/>
      <c r="D1" s="1628"/>
      <c r="E1" s="1628"/>
      <c r="F1" s="1628"/>
      <c r="G1" s="1628"/>
      <c r="H1" s="1628"/>
      <c r="I1" s="1628"/>
      <c r="J1" s="1628"/>
      <c r="K1" s="1628"/>
      <c r="L1" s="1628"/>
      <c r="M1" s="1628"/>
      <c r="N1" s="1628"/>
    </row>
    <row r="2" spans="1:14">
      <c r="A2" s="439" t="s">
        <v>766</v>
      </c>
    </row>
    <row r="3" spans="1:14">
      <c r="A3" s="1631" t="s">
        <v>6</v>
      </c>
      <c r="B3" s="1631" t="s">
        <v>740</v>
      </c>
      <c r="C3" s="1631" t="s">
        <v>141</v>
      </c>
      <c r="D3" s="1631" t="s">
        <v>739</v>
      </c>
      <c r="E3" s="1631" t="s">
        <v>738</v>
      </c>
      <c r="F3" s="1632" t="s">
        <v>741</v>
      </c>
      <c r="G3" s="1633"/>
      <c r="H3" s="1633"/>
      <c r="I3" s="1633"/>
      <c r="J3" s="1633"/>
      <c r="K3" s="1633"/>
      <c r="L3" s="1633"/>
      <c r="M3" s="1633"/>
      <c r="N3" s="1634"/>
    </row>
    <row r="4" spans="1:14" ht="39.75" customHeight="1">
      <c r="A4" s="1631"/>
      <c r="B4" s="1631"/>
      <c r="C4" s="1631"/>
      <c r="D4" s="1631"/>
      <c r="E4" s="1631"/>
      <c r="F4" s="479" t="s">
        <v>744</v>
      </c>
      <c r="G4" s="479" t="s">
        <v>746</v>
      </c>
      <c r="H4" s="494" t="s">
        <v>759</v>
      </c>
      <c r="I4" s="479" t="s">
        <v>745</v>
      </c>
      <c r="J4" s="492" t="s">
        <v>1435</v>
      </c>
      <c r="K4" s="479" t="s">
        <v>758</v>
      </c>
      <c r="L4" s="479" t="s">
        <v>742</v>
      </c>
      <c r="M4" s="479" t="s">
        <v>743</v>
      </c>
      <c r="N4" s="493"/>
    </row>
    <row r="5" spans="1:14">
      <c r="A5" s="427">
        <v>1</v>
      </c>
      <c r="B5" s="495" t="s">
        <v>1437</v>
      </c>
      <c r="C5" s="429" t="s">
        <v>62</v>
      </c>
      <c r="D5" s="491" t="s">
        <v>1434</v>
      </c>
      <c r="E5" s="427"/>
      <c r="F5" s="437" t="s">
        <v>765</v>
      </c>
      <c r="G5" s="437">
        <v>2</v>
      </c>
      <c r="H5" s="262" t="s">
        <v>1436</v>
      </c>
      <c r="I5" s="438" t="s">
        <v>14</v>
      </c>
      <c r="J5" s="438" t="s">
        <v>14</v>
      </c>
      <c r="K5" s="437" t="s">
        <v>765</v>
      </c>
      <c r="L5" s="262"/>
      <c r="M5" s="262"/>
      <c r="N5" s="262"/>
    </row>
    <row r="6" spans="1:14">
      <c r="A6" s="427">
        <v>2</v>
      </c>
      <c r="B6" s="477" t="s">
        <v>20</v>
      </c>
      <c r="C6" s="478" t="s">
        <v>1399</v>
      </c>
      <c r="D6" s="478" t="s">
        <v>14</v>
      </c>
      <c r="E6" s="427"/>
      <c r="F6" s="437" t="s">
        <v>765</v>
      </c>
      <c r="G6" s="437" t="s">
        <v>765</v>
      </c>
      <c r="H6" s="438" t="s">
        <v>14</v>
      </c>
      <c r="I6" s="438" t="s">
        <v>14</v>
      </c>
      <c r="J6" s="438" t="s">
        <v>14</v>
      </c>
      <c r="K6" s="437"/>
      <c r="L6" s="262"/>
      <c r="M6" s="262"/>
      <c r="N6" s="262"/>
    </row>
    <row r="7" spans="1:14">
      <c r="A7" s="427">
        <v>3</v>
      </c>
      <c r="B7" s="477" t="s">
        <v>20</v>
      </c>
      <c r="C7" s="478" t="s">
        <v>675</v>
      </c>
      <c r="D7" s="478" t="s">
        <v>14</v>
      </c>
      <c r="E7" s="427"/>
      <c r="F7" s="437" t="s">
        <v>765</v>
      </c>
      <c r="G7" s="437" t="s">
        <v>765</v>
      </c>
      <c r="H7" s="438" t="s">
        <v>14</v>
      </c>
      <c r="I7" s="437" t="s">
        <v>765</v>
      </c>
      <c r="J7" s="438" t="s">
        <v>14</v>
      </c>
      <c r="K7" s="437"/>
      <c r="L7" s="262"/>
      <c r="M7" s="262"/>
      <c r="N7" s="262"/>
    </row>
    <row r="8" spans="1:14">
      <c r="A8" s="427">
        <v>4</v>
      </c>
      <c r="B8" s="1072" t="s">
        <v>22</v>
      </c>
      <c r="C8" s="1067" t="s">
        <v>372</v>
      </c>
      <c r="D8" s="1067" t="s">
        <v>665</v>
      </c>
      <c r="E8" s="1069" t="s">
        <v>717</v>
      </c>
      <c r="F8" s="1070" t="s">
        <v>765</v>
      </c>
      <c r="G8" s="1070" t="s">
        <v>765</v>
      </c>
      <c r="H8" s="1070" t="s">
        <v>765</v>
      </c>
      <c r="I8" s="1071" t="s">
        <v>14</v>
      </c>
      <c r="J8" s="1071" t="s">
        <v>14</v>
      </c>
      <c r="K8" s="262"/>
      <c r="L8" s="262"/>
      <c r="M8" s="262"/>
      <c r="N8" s="262"/>
    </row>
    <row r="9" spans="1:14">
      <c r="A9" s="427">
        <v>5</v>
      </c>
      <c r="B9" s="1072" t="s">
        <v>22</v>
      </c>
      <c r="C9" s="1067" t="s">
        <v>372</v>
      </c>
      <c r="D9" s="1067" t="s">
        <v>666</v>
      </c>
      <c r="E9" s="1069" t="s">
        <v>713</v>
      </c>
      <c r="F9" s="1070" t="s">
        <v>765</v>
      </c>
      <c r="G9" s="1070" t="s">
        <v>765</v>
      </c>
      <c r="H9" s="1070" t="s">
        <v>765</v>
      </c>
      <c r="I9" s="1071" t="s">
        <v>14</v>
      </c>
      <c r="J9" s="1071" t="s">
        <v>14</v>
      </c>
      <c r="K9" s="262"/>
      <c r="L9" s="262"/>
      <c r="M9" s="262"/>
      <c r="N9" s="262"/>
    </row>
    <row r="10" spans="1:14">
      <c r="A10" s="427">
        <v>6</v>
      </c>
      <c r="B10" s="1072" t="s">
        <v>24</v>
      </c>
      <c r="C10" s="1067" t="s">
        <v>362</v>
      </c>
      <c r="D10" s="1067" t="s">
        <v>667</v>
      </c>
      <c r="E10" s="1069" t="s">
        <v>715</v>
      </c>
      <c r="F10" s="1070" t="s">
        <v>765</v>
      </c>
      <c r="G10" s="1070" t="s">
        <v>765</v>
      </c>
      <c r="H10" s="1070" t="s">
        <v>765</v>
      </c>
      <c r="I10" s="1071" t="s">
        <v>14</v>
      </c>
      <c r="J10" s="1071" t="s">
        <v>14</v>
      </c>
      <c r="K10" s="262"/>
      <c r="L10" s="262"/>
      <c r="M10" s="262"/>
      <c r="N10" s="262"/>
    </row>
    <row r="11" spans="1:14">
      <c r="A11" s="427">
        <v>7</v>
      </c>
      <c r="B11" s="1057" t="s">
        <v>1625</v>
      </c>
      <c r="C11" s="1063"/>
      <c r="D11" s="1063"/>
      <c r="E11" s="1074"/>
      <c r="F11" s="671" t="s">
        <v>765</v>
      </c>
      <c r="G11" s="671" t="s">
        <v>765</v>
      </c>
      <c r="H11" s="671" t="s">
        <v>765</v>
      </c>
      <c r="I11" s="671" t="s">
        <v>765</v>
      </c>
      <c r="J11" s="438" t="s">
        <v>14</v>
      </c>
      <c r="K11" s="262"/>
      <c r="L11" s="262"/>
      <c r="M11" s="262"/>
      <c r="N11" s="262"/>
    </row>
    <row r="12" spans="1:14">
      <c r="A12" s="427">
        <v>8</v>
      </c>
      <c r="B12" s="1072" t="s">
        <v>49</v>
      </c>
      <c r="C12" s="1067" t="s">
        <v>668</v>
      </c>
      <c r="D12" s="1073" t="s">
        <v>560</v>
      </c>
      <c r="E12" s="1069" t="s">
        <v>715</v>
      </c>
      <c r="F12" s="1070" t="s">
        <v>765</v>
      </c>
      <c r="G12" s="1070" t="s">
        <v>765</v>
      </c>
      <c r="H12" s="1071" t="s">
        <v>14</v>
      </c>
      <c r="I12" s="1070" t="s">
        <v>765</v>
      </c>
      <c r="J12" s="1071" t="s">
        <v>14</v>
      </c>
      <c r="K12" s="262"/>
      <c r="L12" s="262"/>
      <c r="M12" s="262"/>
      <c r="N12" s="262"/>
    </row>
    <row r="13" spans="1:14">
      <c r="A13" s="427">
        <v>9</v>
      </c>
      <c r="B13" s="1072" t="s">
        <v>28</v>
      </c>
      <c r="C13" s="1067" t="s">
        <v>668</v>
      </c>
      <c r="D13" s="1073" t="s">
        <v>669</v>
      </c>
      <c r="E13" s="1069" t="s">
        <v>718</v>
      </c>
      <c r="F13" s="1070" t="s">
        <v>765</v>
      </c>
      <c r="G13" s="1070" t="s">
        <v>765</v>
      </c>
      <c r="H13" s="1070" t="s">
        <v>765</v>
      </c>
      <c r="I13" s="1070" t="s">
        <v>765</v>
      </c>
      <c r="J13" s="1071" t="s">
        <v>14</v>
      </c>
      <c r="K13" s="262"/>
      <c r="L13" s="262"/>
      <c r="M13" s="262"/>
      <c r="N13" s="262"/>
    </row>
    <row r="14" spans="1:14">
      <c r="A14" s="427">
        <v>10</v>
      </c>
      <c r="B14" s="1072" t="s">
        <v>28</v>
      </c>
      <c r="C14" s="1067" t="s">
        <v>365</v>
      </c>
      <c r="D14" s="1073" t="s">
        <v>669</v>
      </c>
      <c r="E14" s="1069" t="s">
        <v>719</v>
      </c>
      <c r="F14" s="1070" t="s">
        <v>765</v>
      </c>
      <c r="G14" s="1070" t="s">
        <v>765</v>
      </c>
      <c r="H14" s="1070" t="s">
        <v>765</v>
      </c>
      <c r="I14" s="1070" t="s">
        <v>765</v>
      </c>
      <c r="J14" s="1071" t="s">
        <v>14</v>
      </c>
      <c r="K14" s="262"/>
      <c r="L14" s="262"/>
      <c r="M14" s="262"/>
      <c r="N14" s="262"/>
    </row>
    <row r="15" spans="1:14">
      <c r="A15" s="427">
        <v>11</v>
      </c>
      <c r="B15" s="428" t="s">
        <v>95</v>
      </c>
      <c r="C15" s="429" t="s">
        <v>670</v>
      </c>
      <c r="D15" s="1058" t="s">
        <v>671</v>
      </c>
      <c r="E15" s="427" t="s">
        <v>720</v>
      </c>
      <c r="F15" s="437" t="s">
        <v>765</v>
      </c>
      <c r="G15" s="437" t="s">
        <v>765</v>
      </c>
      <c r="H15" s="437" t="s">
        <v>765</v>
      </c>
      <c r="I15" s="438" t="s">
        <v>14</v>
      </c>
      <c r="J15" s="438" t="s">
        <v>14</v>
      </c>
      <c r="K15" s="262"/>
      <c r="L15" s="262"/>
      <c r="M15" s="262"/>
      <c r="N15" s="262"/>
    </row>
    <row r="16" spans="1:14">
      <c r="A16" s="427">
        <v>12</v>
      </c>
      <c r="B16" s="434" t="s">
        <v>95</v>
      </c>
      <c r="C16" s="429" t="s">
        <v>670</v>
      </c>
      <c r="D16" s="1058" t="s">
        <v>672</v>
      </c>
      <c r="E16" s="427" t="s">
        <v>721</v>
      </c>
      <c r="F16" s="437" t="s">
        <v>765</v>
      </c>
      <c r="G16" s="437" t="s">
        <v>765</v>
      </c>
      <c r="H16" s="437" t="s">
        <v>765</v>
      </c>
      <c r="I16" s="438" t="s">
        <v>14</v>
      </c>
      <c r="J16" s="438" t="s">
        <v>14</v>
      </c>
      <c r="K16" s="262"/>
      <c r="L16" s="262"/>
      <c r="M16" s="262"/>
      <c r="N16" s="262"/>
    </row>
    <row r="17" spans="1:14">
      <c r="A17" s="427">
        <v>13</v>
      </c>
      <c r="B17" s="428" t="s">
        <v>95</v>
      </c>
      <c r="C17" s="429" t="s">
        <v>670</v>
      </c>
      <c r="D17" s="1058" t="s">
        <v>673</v>
      </c>
      <c r="E17" s="427" t="s">
        <v>715</v>
      </c>
      <c r="F17" s="437" t="s">
        <v>765</v>
      </c>
      <c r="G17" s="437" t="s">
        <v>765</v>
      </c>
      <c r="H17" s="437" t="s">
        <v>765</v>
      </c>
      <c r="I17" s="438" t="s">
        <v>14</v>
      </c>
      <c r="J17" s="438" t="s">
        <v>14</v>
      </c>
      <c r="K17" s="262"/>
      <c r="L17" s="262"/>
      <c r="M17" s="262"/>
      <c r="N17" s="262"/>
    </row>
    <row r="18" spans="1:14">
      <c r="A18" s="427">
        <v>14</v>
      </c>
      <c r="B18" s="428" t="s">
        <v>95</v>
      </c>
      <c r="C18" s="429" t="s">
        <v>670</v>
      </c>
      <c r="D18" s="1058" t="s">
        <v>674</v>
      </c>
      <c r="E18" s="427" t="s">
        <v>719</v>
      </c>
      <c r="F18" s="437" t="s">
        <v>765</v>
      </c>
      <c r="G18" s="437" t="s">
        <v>765</v>
      </c>
      <c r="H18" s="437" t="s">
        <v>765</v>
      </c>
      <c r="I18" s="438" t="s">
        <v>14</v>
      </c>
      <c r="J18" s="438" t="s">
        <v>14</v>
      </c>
      <c r="K18" s="262"/>
      <c r="L18" s="262"/>
      <c r="M18" s="262"/>
      <c r="N18" s="262"/>
    </row>
    <row r="19" spans="1:14">
      <c r="A19" s="427">
        <v>15</v>
      </c>
      <c r="B19" s="428" t="s">
        <v>95</v>
      </c>
      <c r="C19" s="429" t="s">
        <v>675</v>
      </c>
      <c r="D19" s="1058" t="s">
        <v>676</v>
      </c>
      <c r="E19" s="427" t="s">
        <v>722</v>
      </c>
      <c r="F19" s="437" t="s">
        <v>765</v>
      </c>
      <c r="G19" s="437" t="s">
        <v>765</v>
      </c>
      <c r="H19" s="437" t="s">
        <v>765</v>
      </c>
      <c r="I19" s="438" t="s">
        <v>14</v>
      </c>
      <c r="J19" s="438" t="s">
        <v>14</v>
      </c>
      <c r="K19" s="262"/>
      <c r="L19" s="262"/>
      <c r="M19" s="262"/>
      <c r="N19" s="262"/>
    </row>
    <row r="20" spans="1:14">
      <c r="A20" s="427">
        <v>16</v>
      </c>
      <c r="B20" s="428" t="s">
        <v>95</v>
      </c>
      <c r="C20" s="429" t="s">
        <v>675</v>
      </c>
      <c r="D20" s="1058" t="s">
        <v>677</v>
      </c>
      <c r="E20" s="427" t="s">
        <v>717</v>
      </c>
      <c r="F20" s="437" t="s">
        <v>765</v>
      </c>
      <c r="G20" s="437" t="s">
        <v>765</v>
      </c>
      <c r="H20" s="437" t="s">
        <v>765</v>
      </c>
      <c r="I20" s="438" t="s">
        <v>14</v>
      </c>
      <c r="J20" s="438" t="s">
        <v>14</v>
      </c>
      <c r="K20" s="262"/>
      <c r="L20" s="262"/>
      <c r="M20" s="262"/>
      <c r="N20" s="262"/>
    </row>
    <row r="21" spans="1:14">
      <c r="A21" s="427">
        <v>17</v>
      </c>
      <c r="B21" s="736" t="s">
        <v>95</v>
      </c>
      <c r="C21" s="737" t="s">
        <v>675</v>
      </c>
      <c r="D21" s="1058" t="s">
        <v>1896</v>
      </c>
      <c r="E21" s="427"/>
      <c r="F21" s="437" t="s">
        <v>765</v>
      </c>
      <c r="G21" s="437" t="s">
        <v>765</v>
      </c>
      <c r="H21" s="437" t="s">
        <v>765</v>
      </c>
      <c r="I21" s="438" t="s">
        <v>14</v>
      </c>
      <c r="J21" s="438" t="s">
        <v>14</v>
      </c>
      <c r="K21" s="262"/>
      <c r="L21" s="262"/>
      <c r="M21" s="262"/>
      <c r="N21" s="262"/>
    </row>
    <row r="22" spans="1:14">
      <c r="A22" s="427">
        <v>18</v>
      </c>
      <c r="B22" s="1057" t="s">
        <v>95</v>
      </c>
      <c r="C22" s="1058" t="s">
        <v>675</v>
      </c>
      <c r="D22" s="1058" t="s">
        <v>2897</v>
      </c>
      <c r="E22" s="427"/>
      <c r="F22" s="437" t="s">
        <v>765</v>
      </c>
      <c r="G22" s="437" t="s">
        <v>765</v>
      </c>
      <c r="H22" s="437" t="s">
        <v>765</v>
      </c>
      <c r="I22" s="438"/>
      <c r="J22" s="438"/>
      <c r="K22" s="262"/>
      <c r="L22" s="262"/>
      <c r="M22" s="262"/>
      <c r="N22" s="262"/>
    </row>
    <row r="23" spans="1:14">
      <c r="A23" s="427">
        <v>19</v>
      </c>
      <c r="B23" s="428" t="s">
        <v>96</v>
      </c>
      <c r="C23" s="429" t="s">
        <v>675</v>
      </c>
      <c r="D23" s="429" t="s">
        <v>678</v>
      </c>
      <c r="E23" s="430">
        <v>42675</v>
      </c>
      <c r="F23" s="671" t="s">
        <v>765</v>
      </c>
      <c r="G23" s="671" t="s">
        <v>765</v>
      </c>
      <c r="H23" s="671" t="s">
        <v>765</v>
      </c>
      <c r="I23" s="438" t="s">
        <v>14</v>
      </c>
      <c r="J23" s="438" t="s">
        <v>14</v>
      </c>
      <c r="K23" s="262"/>
      <c r="L23" s="262"/>
      <c r="M23" s="262"/>
      <c r="N23" s="262"/>
    </row>
    <row r="24" spans="1:14">
      <c r="A24" s="427">
        <v>20</v>
      </c>
      <c r="B24" s="428" t="s">
        <v>96</v>
      </c>
      <c r="C24" s="429" t="s">
        <v>675</v>
      </c>
      <c r="D24" s="429" t="s">
        <v>666</v>
      </c>
      <c r="E24" s="431">
        <v>42675</v>
      </c>
      <c r="F24" s="671" t="s">
        <v>765</v>
      </c>
      <c r="G24" s="671" t="s">
        <v>765</v>
      </c>
      <c r="H24" s="671" t="s">
        <v>765</v>
      </c>
      <c r="I24" s="438" t="s">
        <v>14</v>
      </c>
      <c r="J24" s="438" t="s">
        <v>14</v>
      </c>
      <c r="K24" s="262"/>
      <c r="L24" s="262"/>
      <c r="M24" s="262"/>
      <c r="N24" s="262"/>
    </row>
    <row r="25" spans="1:14">
      <c r="A25" s="427">
        <v>21</v>
      </c>
      <c r="B25" s="1072" t="s">
        <v>96</v>
      </c>
      <c r="C25" s="1073" t="s">
        <v>670</v>
      </c>
      <c r="D25" s="1073" t="s">
        <v>679</v>
      </c>
      <c r="E25" s="1069" t="s">
        <v>723</v>
      </c>
      <c r="F25" s="1070" t="s">
        <v>765</v>
      </c>
      <c r="G25" s="1070" t="s">
        <v>765</v>
      </c>
      <c r="H25" s="1070" t="s">
        <v>765</v>
      </c>
      <c r="I25" s="1071" t="s">
        <v>14</v>
      </c>
      <c r="J25" s="1071" t="s">
        <v>14</v>
      </c>
      <c r="K25" s="262"/>
      <c r="L25" s="262"/>
      <c r="M25" s="262"/>
      <c r="N25" s="262"/>
    </row>
    <row r="26" spans="1:14">
      <c r="A26" s="427">
        <v>22</v>
      </c>
      <c r="B26" s="428" t="s">
        <v>96</v>
      </c>
      <c r="C26" s="429" t="s">
        <v>670</v>
      </c>
      <c r="D26" s="429" t="s">
        <v>680</v>
      </c>
      <c r="E26" s="430">
        <v>42675</v>
      </c>
      <c r="F26" s="671" t="s">
        <v>765</v>
      </c>
      <c r="G26" s="671" t="s">
        <v>765</v>
      </c>
      <c r="H26" s="671" t="s">
        <v>765</v>
      </c>
      <c r="I26" s="438" t="s">
        <v>14</v>
      </c>
      <c r="J26" s="438" t="s">
        <v>14</v>
      </c>
      <c r="K26" s="262"/>
      <c r="L26" s="262"/>
      <c r="M26" s="262"/>
      <c r="N26" s="262"/>
    </row>
    <row r="27" spans="1:14">
      <c r="A27" s="427">
        <v>23</v>
      </c>
      <c r="B27" s="428" t="s">
        <v>206</v>
      </c>
      <c r="C27" s="426" t="s">
        <v>675</v>
      </c>
      <c r="D27" s="426" t="s">
        <v>681</v>
      </c>
      <c r="E27" s="427" t="s">
        <v>724</v>
      </c>
      <c r="F27" s="437" t="s">
        <v>765</v>
      </c>
      <c r="G27" s="437" t="s">
        <v>765</v>
      </c>
      <c r="H27" s="437" t="s">
        <v>765</v>
      </c>
      <c r="I27" s="437" t="s">
        <v>765</v>
      </c>
      <c r="J27" s="438" t="s">
        <v>14</v>
      </c>
      <c r="K27" s="262"/>
      <c r="L27" s="262"/>
      <c r="M27" s="262"/>
      <c r="N27" s="262"/>
    </row>
    <row r="28" spans="1:14">
      <c r="A28" s="427">
        <v>24</v>
      </c>
      <c r="B28" s="428" t="s">
        <v>206</v>
      </c>
      <c r="C28" s="426" t="s">
        <v>675</v>
      </c>
      <c r="D28" s="426" t="s">
        <v>682</v>
      </c>
      <c r="E28" s="427" t="s">
        <v>725</v>
      </c>
      <c r="F28" s="437" t="s">
        <v>765</v>
      </c>
      <c r="G28" s="437" t="s">
        <v>765</v>
      </c>
      <c r="H28" s="437" t="s">
        <v>765</v>
      </c>
      <c r="I28" s="437" t="s">
        <v>765</v>
      </c>
      <c r="J28" s="438" t="s">
        <v>14</v>
      </c>
      <c r="K28" s="262"/>
      <c r="L28" s="262"/>
      <c r="M28" s="262"/>
      <c r="N28" s="262"/>
    </row>
    <row r="29" spans="1:14">
      <c r="A29" s="427">
        <v>25</v>
      </c>
      <c r="B29" s="428" t="s">
        <v>206</v>
      </c>
      <c r="C29" s="426" t="s">
        <v>675</v>
      </c>
      <c r="D29" s="426" t="s">
        <v>683</v>
      </c>
      <c r="E29" s="427" t="s">
        <v>716</v>
      </c>
      <c r="F29" s="437" t="s">
        <v>765</v>
      </c>
      <c r="G29" s="437" t="s">
        <v>765</v>
      </c>
      <c r="H29" s="437" t="s">
        <v>765</v>
      </c>
      <c r="I29" s="437" t="s">
        <v>765</v>
      </c>
      <c r="J29" s="438" t="s">
        <v>14</v>
      </c>
      <c r="K29" s="262"/>
      <c r="L29" s="262"/>
      <c r="M29" s="262"/>
      <c r="N29" s="262"/>
    </row>
    <row r="30" spans="1:14">
      <c r="A30" s="427">
        <v>26</v>
      </c>
      <c r="B30" s="428" t="s">
        <v>206</v>
      </c>
      <c r="C30" s="426" t="s">
        <v>675</v>
      </c>
      <c r="D30" s="426" t="s">
        <v>684</v>
      </c>
      <c r="E30" s="427" t="s">
        <v>726</v>
      </c>
      <c r="F30" s="437" t="s">
        <v>765</v>
      </c>
      <c r="G30" s="437" t="s">
        <v>765</v>
      </c>
      <c r="H30" s="437" t="s">
        <v>765</v>
      </c>
      <c r="I30" s="437" t="s">
        <v>765</v>
      </c>
      <c r="J30" s="438" t="s">
        <v>14</v>
      </c>
      <c r="K30" s="262"/>
      <c r="L30" s="262"/>
      <c r="M30" s="262"/>
      <c r="N30" s="262"/>
    </row>
    <row r="31" spans="1:14">
      <c r="A31" s="427">
        <v>27</v>
      </c>
      <c r="B31" s="428" t="s">
        <v>35</v>
      </c>
      <c r="C31" s="426" t="s">
        <v>686</v>
      </c>
      <c r="D31" s="426" t="s">
        <v>685</v>
      </c>
      <c r="E31" s="427" t="s">
        <v>715</v>
      </c>
      <c r="F31" s="437" t="s">
        <v>765</v>
      </c>
      <c r="G31" s="427">
        <v>3</v>
      </c>
      <c r="H31" s="437" t="s">
        <v>765</v>
      </c>
      <c r="I31" s="438" t="s">
        <v>14</v>
      </c>
      <c r="J31" s="437" t="s">
        <v>765</v>
      </c>
      <c r="K31" s="262"/>
      <c r="L31" s="262"/>
      <c r="M31" s="262"/>
      <c r="N31" s="262"/>
    </row>
    <row r="32" spans="1:14">
      <c r="A32" s="427">
        <v>28</v>
      </c>
      <c r="B32" s="1629" t="s">
        <v>121</v>
      </c>
      <c r="C32" s="1630" t="s">
        <v>687</v>
      </c>
      <c r="D32" s="432" t="s">
        <v>688</v>
      </c>
      <c r="E32" s="427" t="s">
        <v>727</v>
      </c>
      <c r="F32" s="671" t="s">
        <v>765</v>
      </c>
      <c r="G32" s="671" t="s">
        <v>765</v>
      </c>
      <c r="H32" s="438" t="s">
        <v>14</v>
      </c>
      <c r="I32" s="671" t="s">
        <v>765</v>
      </c>
      <c r="J32" s="438" t="s">
        <v>14</v>
      </c>
      <c r="K32" s="262"/>
      <c r="L32" s="262"/>
      <c r="M32" s="262"/>
      <c r="N32" s="262"/>
    </row>
    <row r="33" spans="1:14">
      <c r="A33" s="427">
        <v>29</v>
      </c>
      <c r="B33" s="1629"/>
      <c r="C33" s="1630"/>
      <c r="D33" s="432" t="s">
        <v>693</v>
      </c>
      <c r="E33" s="427" t="s">
        <v>720</v>
      </c>
      <c r="F33" s="671" t="s">
        <v>765</v>
      </c>
      <c r="G33" s="671" t="s">
        <v>765</v>
      </c>
      <c r="H33" s="438" t="s">
        <v>14</v>
      </c>
      <c r="I33" s="671" t="s">
        <v>765</v>
      </c>
      <c r="J33" s="438" t="s">
        <v>14</v>
      </c>
      <c r="K33" s="262"/>
      <c r="L33" s="262"/>
      <c r="M33" s="262"/>
      <c r="N33" s="262"/>
    </row>
    <row r="34" spans="1:14">
      <c r="A34" s="427">
        <v>30</v>
      </c>
      <c r="B34" s="1629"/>
      <c r="C34" s="1630"/>
      <c r="D34" s="432" t="s">
        <v>689</v>
      </c>
      <c r="E34" s="427" t="s">
        <v>718</v>
      </c>
      <c r="F34" s="671" t="s">
        <v>765</v>
      </c>
      <c r="G34" s="671" t="s">
        <v>765</v>
      </c>
      <c r="H34" s="438" t="s">
        <v>14</v>
      </c>
      <c r="I34" s="671" t="s">
        <v>765</v>
      </c>
      <c r="J34" s="438" t="s">
        <v>14</v>
      </c>
      <c r="K34" s="262"/>
      <c r="L34" s="262"/>
      <c r="M34" s="262"/>
      <c r="N34" s="262"/>
    </row>
    <row r="35" spans="1:14">
      <c r="A35" s="427">
        <v>31</v>
      </c>
      <c r="B35" s="1629"/>
      <c r="C35" s="429" t="s">
        <v>690</v>
      </c>
      <c r="D35" s="432" t="s">
        <v>692</v>
      </c>
      <c r="E35" s="427" t="s">
        <v>715</v>
      </c>
      <c r="F35" s="671" t="s">
        <v>765</v>
      </c>
      <c r="G35" s="671" t="s">
        <v>765</v>
      </c>
      <c r="H35" s="438" t="s">
        <v>14</v>
      </c>
      <c r="I35" s="671" t="s">
        <v>765</v>
      </c>
      <c r="J35" s="438" t="s">
        <v>14</v>
      </c>
      <c r="K35" s="262"/>
      <c r="L35" s="262"/>
      <c r="M35" s="262"/>
      <c r="N35" s="262"/>
    </row>
    <row r="36" spans="1:14">
      <c r="A36" s="427">
        <v>32</v>
      </c>
      <c r="B36" s="1629"/>
      <c r="C36" s="429" t="s">
        <v>691</v>
      </c>
      <c r="D36" s="432" t="s">
        <v>693</v>
      </c>
      <c r="E36" s="427" t="s">
        <v>720</v>
      </c>
      <c r="F36" s="671" t="s">
        <v>765</v>
      </c>
      <c r="G36" s="671" t="s">
        <v>765</v>
      </c>
      <c r="H36" s="438" t="s">
        <v>14</v>
      </c>
      <c r="I36" s="671" t="s">
        <v>765</v>
      </c>
      <c r="J36" s="438" t="s">
        <v>14</v>
      </c>
      <c r="K36" s="262"/>
      <c r="L36" s="262"/>
      <c r="M36" s="262"/>
      <c r="N36" s="262"/>
    </row>
    <row r="37" spans="1:14">
      <c r="A37" s="427">
        <v>33</v>
      </c>
      <c r="B37" s="428" t="s">
        <v>151</v>
      </c>
      <c r="C37" s="426" t="s">
        <v>675</v>
      </c>
      <c r="D37" s="429" t="s">
        <v>696</v>
      </c>
      <c r="E37" s="427" t="s">
        <v>728</v>
      </c>
      <c r="F37" s="437" t="s">
        <v>765</v>
      </c>
      <c r="G37" s="437" t="s">
        <v>765</v>
      </c>
      <c r="H37" s="437" t="s">
        <v>765</v>
      </c>
      <c r="I37" s="437" t="s">
        <v>765</v>
      </c>
      <c r="J37" s="438" t="s">
        <v>14</v>
      </c>
      <c r="K37" s="262"/>
      <c r="L37" s="262"/>
      <c r="M37" s="262"/>
      <c r="N37" s="262"/>
    </row>
    <row r="38" spans="1:14">
      <c r="A38" s="427">
        <v>34</v>
      </c>
      <c r="B38" s="428" t="s">
        <v>117</v>
      </c>
      <c r="C38" s="426" t="s">
        <v>675</v>
      </c>
      <c r="D38" s="429" t="s">
        <v>694</v>
      </c>
      <c r="E38" s="427" t="s">
        <v>729</v>
      </c>
      <c r="F38" s="437" t="s">
        <v>765</v>
      </c>
      <c r="G38" s="437" t="s">
        <v>765</v>
      </c>
      <c r="H38" s="437" t="s">
        <v>765</v>
      </c>
      <c r="I38" s="437" t="s">
        <v>765</v>
      </c>
      <c r="J38" s="438" t="s">
        <v>14</v>
      </c>
      <c r="K38" s="262"/>
      <c r="L38" s="262"/>
      <c r="M38" s="262"/>
      <c r="N38" s="262"/>
    </row>
    <row r="39" spans="1:14">
      <c r="A39" s="427">
        <v>35</v>
      </c>
      <c r="B39" s="428" t="s">
        <v>117</v>
      </c>
      <c r="C39" s="426" t="s">
        <v>675</v>
      </c>
      <c r="D39" s="429" t="s">
        <v>695</v>
      </c>
      <c r="E39" s="427" t="s">
        <v>705</v>
      </c>
      <c r="F39" s="437" t="s">
        <v>765</v>
      </c>
      <c r="G39" s="437" t="s">
        <v>765</v>
      </c>
      <c r="H39" s="437" t="s">
        <v>765</v>
      </c>
      <c r="I39" s="437" t="s">
        <v>765</v>
      </c>
      <c r="J39" s="438" t="s">
        <v>14</v>
      </c>
      <c r="K39" s="262"/>
      <c r="L39" s="262"/>
      <c r="M39" s="262"/>
      <c r="N39" s="262"/>
    </row>
    <row r="40" spans="1:14">
      <c r="A40" s="427">
        <v>36</v>
      </c>
      <c r="B40" s="428" t="s">
        <v>40</v>
      </c>
      <c r="C40" s="426" t="s">
        <v>675</v>
      </c>
      <c r="D40" s="429" t="s">
        <v>748</v>
      </c>
      <c r="E40" s="427" t="s">
        <v>757</v>
      </c>
      <c r="F40" s="437" t="s">
        <v>765</v>
      </c>
      <c r="G40" s="427">
        <v>2</v>
      </c>
      <c r="H40" s="437" t="s">
        <v>765</v>
      </c>
      <c r="I40" s="438" t="s">
        <v>14</v>
      </c>
      <c r="J40" s="437" t="s">
        <v>765</v>
      </c>
      <c r="K40" s="437" t="s">
        <v>765</v>
      </c>
      <c r="L40" s="262"/>
      <c r="M40" s="262"/>
      <c r="N40" s="262"/>
    </row>
    <row r="41" spans="1:14">
      <c r="A41" s="427">
        <v>37</v>
      </c>
      <c r="B41" s="428" t="s">
        <v>40</v>
      </c>
      <c r="C41" s="426" t="s">
        <v>675</v>
      </c>
      <c r="D41" s="970" t="s">
        <v>2717</v>
      </c>
      <c r="E41" s="430">
        <v>42614</v>
      </c>
      <c r="F41" s="437" t="s">
        <v>765</v>
      </c>
      <c r="G41" s="427">
        <v>2</v>
      </c>
      <c r="H41" s="437" t="s">
        <v>765</v>
      </c>
      <c r="I41" s="438" t="s">
        <v>14</v>
      </c>
      <c r="J41" s="437" t="s">
        <v>765</v>
      </c>
      <c r="K41" s="437" t="s">
        <v>765</v>
      </c>
      <c r="L41" s="262"/>
      <c r="M41" s="262"/>
      <c r="N41" s="262"/>
    </row>
    <row r="42" spans="1:14">
      <c r="A42" s="427">
        <v>38</v>
      </c>
      <c r="B42" s="428" t="s">
        <v>40</v>
      </c>
      <c r="C42" s="426" t="s">
        <v>675</v>
      </c>
      <c r="D42" s="429" t="s">
        <v>750</v>
      </c>
      <c r="E42" s="430">
        <v>42614</v>
      </c>
      <c r="F42" s="437" t="s">
        <v>765</v>
      </c>
      <c r="G42" s="427">
        <v>2</v>
      </c>
      <c r="H42" s="437" t="s">
        <v>765</v>
      </c>
      <c r="I42" s="438" t="s">
        <v>14</v>
      </c>
      <c r="J42" s="437" t="s">
        <v>765</v>
      </c>
      <c r="K42" s="437" t="s">
        <v>765</v>
      </c>
      <c r="L42" s="262"/>
      <c r="M42" s="262"/>
      <c r="N42" s="262"/>
    </row>
    <row r="43" spans="1:14">
      <c r="A43" s="427">
        <v>39</v>
      </c>
      <c r="B43" s="428" t="s">
        <v>40</v>
      </c>
      <c r="C43" s="426" t="s">
        <v>675</v>
      </c>
      <c r="D43" s="429" t="s">
        <v>751</v>
      </c>
      <c r="E43" s="430">
        <v>42614</v>
      </c>
      <c r="F43" s="437" t="s">
        <v>765</v>
      </c>
      <c r="G43" s="427">
        <v>2</v>
      </c>
      <c r="H43" s="437" t="s">
        <v>765</v>
      </c>
      <c r="I43" s="438" t="s">
        <v>14</v>
      </c>
      <c r="J43" s="437" t="s">
        <v>765</v>
      </c>
      <c r="K43" s="437" t="s">
        <v>765</v>
      </c>
      <c r="L43" s="262"/>
      <c r="M43" s="262"/>
      <c r="N43" s="262"/>
    </row>
    <row r="44" spans="1:14">
      <c r="A44" s="427">
        <v>40</v>
      </c>
      <c r="B44" s="428" t="s">
        <v>40</v>
      </c>
      <c r="C44" s="426" t="s">
        <v>668</v>
      </c>
      <c r="D44" s="970" t="s">
        <v>2718</v>
      </c>
      <c r="E44" s="427" t="s">
        <v>756</v>
      </c>
      <c r="F44" s="437" t="s">
        <v>765</v>
      </c>
      <c r="G44" s="427">
        <v>2</v>
      </c>
      <c r="H44" s="437" t="s">
        <v>765</v>
      </c>
      <c r="I44" s="438" t="s">
        <v>14</v>
      </c>
      <c r="J44" s="437" t="s">
        <v>765</v>
      </c>
      <c r="K44" s="437" t="s">
        <v>765</v>
      </c>
      <c r="L44" s="262"/>
      <c r="M44" s="262"/>
      <c r="N44" s="262"/>
    </row>
    <row r="45" spans="1:14">
      <c r="A45" s="427">
        <v>41</v>
      </c>
      <c r="B45" s="428" t="s">
        <v>40</v>
      </c>
      <c r="C45" s="426" t="s">
        <v>668</v>
      </c>
      <c r="D45" s="429" t="s">
        <v>752</v>
      </c>
      <c r="E45" s="430">
        <v>42614</v>
      </c>
      <c r="F45" s="437" t="s">
        <v>765</v>
      </c>
      <c r="G45" s="427">
        <v>2</v>
      </c>
      <c r="H45" s="437" t="s">
        <v>765</v>
      </c>
      <c r="I45" s="438" t="s">
        <v>14</v>
      </c>
      <c r="J45" s="437" t="s">
        <v>765</v>
      </c>
      <c r="K45" s="437" t="s">
        <v>765</v>
      </c>
      <c r="L45" s="262"/>
      <c r="M45" s="262"/>
      <c r="N45" s="262"/>
    </row>
    <row r="46" spans="1:14">
      <c r="A46" s="427">
        <v>42</v>
      </c>
      <c r="B46" s="428" t="s">
        <v>40</v>
      </c>
      <c r="C46" s="426" t="s">
        <v>668</v>
      </c>
      <c r="D46" s="429" t="s">
        <v>753</v>
      </c>
      <c r="E46" s="430">
        <v>42614</v>
      </c>
      <c r="F46" s="437" t="s">
        <v>765</v>
      </c>
      <c r="G46" s="427">
        <v>2</v>
      </c>
      <c r="H46" s="437" t="s">
        <v>765</v>
      </c>
      <c r="I46" s="438" t="s">
        <v>14</v>
      </c>
      <c r="J46" s="437" t="s">
        <v>765</v>
      </c>
      <c r="K46" s="437" t="s">
        <v>765</v>
      </c>
      <c r="L46" s="262"/>
      <c r="M46" s="262"/>
      <c r="N46" s="262"/>
    </row>
    <row r="47" spans="1:14">
      <c r="A47" s="427">
        <v>43</v>
      </c>
      <c r="B47" s="428" t="s">
        <v>40</v>
      </c>
      <c r="C47" s="426" t="s">
        <v>668</v>
      </c>
      <c r="D47" s="429" t="s">
        <v>754</v>
      </c>
      <c r="E47" s="430">
        <v>42614</v>
      </c>
      <c r="F47" s="437" t="s">
        <v>765</v>
      </c>
      <c r="G47" s="427">
        <v>2</v>
      </c>
      <c r="H47" s="437" t="s">
        <v>765</v>
      </c>
      <c r="I47" s="438" t="s">
        <v>14</v>
      </c>
      <c r="J47" s="437" t="s">
        <v>765</v>
      </c>
      <c r="K47" s="437" t="s">
        <v>765</v>
      </c>
      <c r="L47" s="262"/>
      <c r="M47" s="262"/>
      <c r="N47" s="262"/>
    </row>
    <row r="48" spans="1:14">
      <c r="A48" s="427">
        <v>44</v>
      </c>
      <c r="B48" s="428" t="s">
        <v>40</v>
      </c>
      <c r="C48" s="426" t="s">
        <v>668</v>
      </c>
      <c r="D48" s="429" t="s">
        <v>755</v>
      </c>
      <c r="E48" s="430">
        <v>42614</v>
      </c>
      <c r="F48" s="437" t="s">
        <v>765</v>
      </c>
      <c r="G48" s="427">
        <v>2</v>
      </c>
      <c r="H48" s="437" t="s">
        <v>765</v>
      </c>
      <c r="I48" s="438" t="s">
        <v>14</v>
      </c>
      <c r="J48" s="437" t="s">
        <v>765</v>
      </c>
      <c r="K48" s="437" t="s">
        <v>765</v>
      </c>
      <c r="L48" s="262"/>
      <c r="M48" s="262"/>
      <c r="N48" s="262"/>
    </row>
    <row r="49" spans="1:16">
      <c r="A49" s="427">
        <v>45</v>
      </c>
      <c r="B49" s="428" t="s">
        <v>40</v>
      </c>
      <c r="C49" s="426" t="s">
        <v>747</v>
      </c>
      <c r="D49" s="429" t="s">
        <v>754</v>
      </c>
      <c r="E49" s="430">
        <v>42614</v>
      </c>
      <c r="F49" s="437" t="s">
        <v>765</v>
      </c>
      <c r="G49" s="427">
        <v>2</v>
      </c>
      <c r="H49" s="437" t="s">
        <v>765</v>
      </c>
      <c r="I49" s="438" t="s">
        <v>14</v>
      </c>
      <c r="J49" s="437" t="s">
        <v>765</v>
      </c>
      <c r="K49" s="437" t="s">
        <v>765</v>
      </c>
      <c r="L49" s="262"/>
      <c r="M49" s="262"/>
      <c r="N49" s="262"/>
    </row>
    <row r="50" spans="1:16">
      <c r="A50" s="427">
        <v>46</v>
      </c>
      <c r="B50" s="1057" t="s">
        <v>128</v>
      </c>
      <c r="C50" s="426" t="s">
        <v>697</v>
      </c>
      <c r="D50" s="426" t="s">
        <v>698</v>
      </c>
      <c r="E50" s="427" t="s">
        <v>730</v>
      </c>
      <c r="F50" s="437" t="s">
        <v>765</v>
      </c>
      <c r="G50" s="437" t="s">
        <v>765</v>
      </c>
      <c r="H50" s="438" t="s">
        <v>14</v>
      </c>
      <c r="I50" s="671" t="s">
        <v>765</v>
      </c>
      <c r="J50" s="438" t="s">
        <v>14</v>
      </c>
      <c r="K50" s="262"/>
      <c r="L50" s="262"/>
      <c r="M50" s="262"/>
      <c r="N50" s="262"/>
    </row>
    <row r="51" spans="1:16">
      <c r="A51" s="427">
        <v>47</v>
      </c>
      <c r="B51" s="1057" t="s">
        <v>159</v>
      </c>
      <c r="C51" s="480" t="s">
        <v>668</v>
      </c>
      <c r="D51" s="480" t="s">
        <v>1409</v>
      </c>
      <c r="E51" s="427"/>
      <c r="F51" s="671" t="s">
        <v>765</v>
      </c>
      <c r="G51" s="671" t="s">
        <v>765</v>
      </c>
      <c r="H51" s="438" t="s">
        <v>14</v>
      </c>
      <c r="I51" s="671" t="s">
        <v>765</v>
      </c>
      <c r="J51" s="438" t="s">
        <v>14</v>
      </c>
      <c r="K51" s="262"/>
      <c r="L51" s="262"/>
      <c r="M51" s="262"/>
      <c r="N51" s="262"/>
    </row>
    <row r="52" spans="1:16">
      <c r="A52" s="427">
        <v>48</v>
      </c>
      <c r="B52" s="1057" t="s">
        <v>159</v>
      </c>
      <c r="C52" s="480" t="s">
        <v>670</v>
      </c>
      <c r="D52" s="480" t="s">
        <v>1433</v>
      </c>
      <c r="E52" s="427"/>
      <c r="F52" s="671" t="s">
        <v>765</v>
      </c>
      <c r="G52" s="671" t="s">
        <v>765</v>
      </c>
      <c r="H52" s="438" t="s">
        <v>14</v>
      </c>
      <c r="I52" s="671" t="s">
        <v>765</v>
      </c>
      <c r="J52" s="438" t="s">
        <v>14</v>
      </c>
      <c r="K52" s="262"/>
      <c r="L52" s="262"/>
      <c r="M52" s="262"/>
      <c r="N52" s="262"/>
    </row>
    <row r="53" spans="1:16">
      <c r="A53" s="427">
        <v>49</v>
      </c>
      <c r="B53" s="1057" t="s">
        <v>159</v>
      </c>
      <c r="C53" s="480" t="s">
        <v>1406</v>
      </c>
      <c r="D53" s="480" t="s">
        <v>1407</v>
      </c>
      <c r="E53" s="427"/>
      <c r="F53" s="671" t="s">
        <v>765</v>
      </c>
      <c r="G53" s="671" t="s">
        <v>765</v>
      </c>
      <c r="H53" s="438" t="s">
        <v>14</v>
      </c>
      <c r="I53" s="671" t="s">
        <v>765</v>
      </c>
      <c r="J53" s="438" t="s">
        <v>14</v>
      </c>
      <c r="K53" s="262"/>
      <c r="L53" s="262"/>
      <c r="M53" s="262"/>
      <c r="N53" s="262"/>
    </row>
    <row r="54" spans="1:16">
      <c r="A54" s="427">
        <v>50</v>
      </c>
      <c r="B54" s="1057" t="s">
        <v>164</v>
      </c>
      <c r="C54" s="426" t="s">
        <v>697</v>
      </c>
      <c r="D54" s="426" t="s">
        <v>698</v>
      </c>
      <c r="E54" s="427" t="s">
        <v>730</v>
      </c>
      <c r="F54" s="437" t="s">
        <v>765</v>
      </c>
      <c r="G54" s="437" t="s">
        <v>765</v>
      </c>
      <c r="H54" s="438" t="s">
        <v>14</v>
      </c>
      <c r="I54" s="671" t="s">
        <v>765</v>
      </c>
      <c r="J54" s="438" t="s">
        <v>14</v>
      </c>
      <c r="K54" s="262"/>
      <c r="L54" s="262"/>
      <c r="M54" s="262"/>
      <c r="N54" s="262"/>
    </row>
    <row r="55" spans="1:16">
      <c r="A55" s="427">
        <v>51</v>
      </c>
      <c r="B55" s="1057" t="s">
        <v>164</v>
      </c>
      <c r="C55" s="426" t="s">
        <v>699</v>
      </c>
      <c r="D55" s="426" t="s">
        <v>700</v>
      </c>
      <c r="E55" s="427" t="s">
        <v>731</v>
      </c>
      <c r="F55" s="437" t="s">
        <v>765</v>
      </c>
      <c r="G55" s="437" t="s">
        <v>765</v>
      </c>
      <c r="H55" s="438" t="s">
        <v>14</v>
      </c>
      <c r="I55" s="671" t="s">
        <v>765</v>
      </c>
      <c r="J55" s="438" t="s">
        <v>14</v>
      </c>
      <c r="K55" s="262"/>
      <c r="L55" s="262"/>
      <c r="M55" s="262"/>
      <c r="N55" s="262"/>
    </row>
    <row r="56" spans="1:16">
      <c r="A56" s="427">
        <v>52</v>
      </c>
      <c r="B56" s="433" t="s">
        <v>45</v>
      </c>
      <c r="C56" s="426" t="s">
        <v>675</v>
      </c>
      <c r="D56" s="426" t="s">
        <v>701</v>
      </c>
      <c r="E56" s="430">
        <v>42675</v>
      </c>
      <c r="F56" s="437" t="s">
        <v>765</v>
      </c>
      <c r="G56" s="437" t="s">
        <v>765</v>
      </c>
      <c r="H56" s="437" t="s">
        <v>765</v>
      </c>
      <c r="I56" s="438" t="s">
        <v>14</v>
      </c>
      <c r="J56" s="438" t="s">
        <v>14</v>
      </c>
      <c r="K56" s="262"/>
      <c r="L56" s="262"/>
      <c r="M56" s="262"/>
      <c r="N56" s="262"/>
    </row>
    <row r="57" spans="1:16">
      <c r="A57" s="427">
        <v>53</v>
      </c>
      <c r="B57" s="428" t="s">
        <v>133</v>
      </c>
      <c r="C57" s="426" t="s">
        <v>365</v>
      </c>
      <c r="D57" s="426" t="s">
        <v>703</v>
      </c>
      <c r="E57" s="427" t="s">
        <v>702</v>
      </c>
      <c r="F57" s="671" t="s">
        <v>765</v>
      </c>
      <c r="G57" s="671" t="s">
        <v>765</v>
      </c>
      <c r="H57" s="671" t="s">
        <v>765</v>
      </c>
      <c r="I57" s="438" t="s">
        <v>14</v>
      </c>
      <c r="J57" s="437" t="s">
        <v>765</v>
      </c>
      <c r="K57" s="262"/>
      <c r="L57" s="262"/>
      <c r="M57" s="262"/>
      <c r="N57" s="262"/>
    </row>
    <row r="58" spans="1:16">
      <c r="A58" s="427">
        <v>54</v>
      </c>
      <c r="B58" s="477" t="s">
        <v>430</v>
      </c>
      <c r="C58" s="429" t="s">
        <v>365</v>
      </c>
      <c r="D58" s="429" t="s">
        <v>704</v>
      </c>
      <c r="E58" s="427" t="s">
        <v>705</v>
      </c>
      <c r="F58" s="671" t="s">
        <v>765</v>
      </c>
      <c r="G58" s="671" t="s">
        <v>765</v>
      </c>
      <c r="H58" s="671" t="s">
        <v>765</v>
      </c>
      <c r="I58" s="438" t="s">
        <v>14</v>
      </c>
      <c r="J58" s="438" t="s">
        <v>14</v>
      </c>
      <c r="K58" s="262"/>
      <c r="L58" s="262"/>
      <c r="M58" s="262"/>
      <c r="N58" s="262"/>
    </row>
    <row r="59" spans="1:16">
      <c r="A59" s="427">
        <v>55</v>
      </c>
      <c r="B59" s="433" t="s">
        <v>108</v>
      </c>
      <c r="C59" s="426" t="s">
        <v>675</v>
      </c>
      <c r="D59" s="426" t="s">
        <v>706</v>
      </c>
      <c r="E59" s="427" t="s">
        <v>707</v>
      </c>
      <c r="F59" s="437" t="s">
        <v>765</v>
      </c>
      <c r="G59" s="437" t="s">
        <v>765</v>
      </c>
      <c r="H59" s="437" t="s">
        <v>765</v>
      </c>
      <c r="I59" s="671" t="s">
        <v>765</v>
      </c>
      <c r="J59" s="438" t="s">
        <v>14</v>
      </c>
      <c r="K59" s="262"/>
      <c r="L59" s="262"/>
      <c r="M59" s="262"/>
      <c r="N59" s="262"/>
    </row>
    <row r="60" spans="1:16">
      <c r="A60" s="427">
        <v>56</v>
      </c>
      <c r="B60" s="1066" t="s">
        <v>606</v>
      </c>
      <c r="C60" s="1067" t="s">
        <v>675</v>
      </c>
      <c r="D60" s="1067" t="s">
        <v>708</v>
      </c>
      <c r="E60" s="1069" t="s">
        <v>709</v>
      </c>
      <c r="F60" s="1070" t="s">
        <v>765</v>
      </c>
      <c r="G60" s="1070" t="s">
        <v>765</v>
      </c>
      <c r="H60" s="1070" t="s">
        <v>765</v>
      </c>
      <c r="I60" s="1070" t="s">
        <v>765</v>
      </c>
      <c r="J60" s="1071" t="s">
        <v>14</v>
      </c>
      <c r="K60" s="262"/>
      <c r="L60" s="262"/>
      <c r="M60" s="262"/>
      <c r="N60" s="262"/>
    </row>
    <row r="61" spans="1:16">
      <c r="A61" s="427">
        <v>57</v>
      </c>
      <c r="B61" s="1066" t="s">
        <v>136</v>
      </c>
      <c r="C61" s="1067" t="s">
        <v>675</v>
      </c>
      <c r="D61" s="1067" t="s">
        <v>732</v>
      </c>
      <c r="E61" s="1068">
        <v>42614</v>
      </c>
      <c r="F61" s="1069">
        <v>2</v>
      </c>
      <c r="G61" s="1069">
        <v>3</v>
      </c>
      <c r="H61" s="1070" t="s">
        <v>765</v>
      </c>
      <c r="I61" s="1071" t="s">
        <v>14</v>
      </c>
      <c r="J61" s="1071" t="s">
        <v>14</v>
      </c>
      <c r="K61" s="262"/>
      <c r="L61" s="438" t="s">
        <v>14</v>
      </c>
      <c r="M61" s="438" t="s">
        <v>14</v>
      </c>
      <c r="N61" s="262"/>
    </row>
    <row r="62" spans="1:16">
      <c r="A62" s="427">
        <v>58</v>
      </c>
      <c r="B62" s="433" t="s">
        <v>136</v>
      </c>
      <c r="C62" s="426" t="s">
        <v>675</v>
      </c>
      <c r="D62" s="1063" t="s">
        <v>733</v>
      </c>
      <c r="E62" s="430">
        <v>42614</v>
      </c>
      <c r="F62" s="427">
        <v>2</v>
      </c>
      <c r="G62" s="427">
        <v>3</v>
      </c>
      <c r="H62" s="437" t="s">
        <v>765</v>
      </c>
      <c r="I62" s="438" t="s">
        <v>14</v>
      </c>
      <c r="J62" s="438" t="s">
        <v>14</v>
      </c>
      <c r="K62" s="262"/>
      <c r="L62" s="438" t="s">
        <v>14</v>
      </c>
      <c r="M62" s="438" t="s">
        <v>14</v>
      </c>
      <c r="N62" s="262"/>
    </row>
    <row r="63" spans="1:16">
      <c r="A63" s="427">
        <v>59</v>
      </c>
      <c r="B63" s="433" t="s">
        <v>136</v>
      </c>
      <c r="C63" s="426" t="s">
        <v>675</v>
      </c>
      <c r="D63" s="1063" t="s">
        <v>734</v>
      </c>
      <c r="E63" s="427" t="s">
        <v>736</v>
      </c>
      <c r="F63" s="427">
        <v>2</v>
      </c>
      <c r="G63" s="427">
        <v>3</v>
      </c>
      <c r="H63" s="437" t="s">
        <v>765</v>
      </c>
      <c r="I63" s="438" t="s">
        <v>14</v>
      </c>
      <c r="J63" s="438" t="s">
        <v>14</v>
      </c>
      <c r="K63" s="262"/>
      <c r="L63" s="438" t="s">
        <v>14</v>
      </c>
      <c r="M63" s="438" t="s">
        <v>14</v>
      </c>
      <c r="N63" s="262"/>
      <c r="P63" s="3">
        <v>7500000</v>
      </c>
    </row>
    <row r="64" spans="1:16">
      <c r="A64" s="427">
        <v>60</v>
      </c>
      <c r="B64" s="1066" t="s">
        <v>136</v>
      </c>
      <c r="C64" s="1067" t="s">
        <v>675</v>
      </c>
      <c r="D64" s="1067" t="s">
        <v>735</v>
      </c>
      <c r="E64" s="1069" t="s">
        <v>737</v>
      </c>
      <c r="F64" s="1069">
        <v>2</v>
      </c>
      <c r="G64" s="1069">
        <v>3</v>
      </c>
      <c r="H64" s="1070" t="s">
        <v>765</v>
      </c>
      <c r="I64" s="1071" t="s">
        <v>14</v>
      </c>
      <c r="J64" s="1071" t="s">
        <v>14</v>
      </c>
      <c r="K64" s="262"/>
      <c r="L64" s="438" t="s">
        <v>14</v>
      </c>
      <c r="M64" s="438" t="s">
        <v>14</v>
      </c>
      <c r="N64" s="262"/>
      <c r="P64" s="3">
        <v>27000000</v>
      </c>
    </row>
    <row r="65" spans="1:16">
      <c r="A65" s="427">
        <v>61</v>
      </c>
      <c r="B65" s="433" t="s">
        <v>764</v>
      </c>
      <c r="C65" s="480" t="s">
        <v>1412</v>
      </c>
      <c r="D65" s="480" t="s">
        <v>1411</v>
      </c>
      <c r="E65" s="427"/>
      <c r="F65" s="671" t="s">
        <v>765</v>
      </c>
      <c r="G65" s="671" t="s">
        <v>765</v>
      </c>
      <c r="H65" s="671" t="s">
        <v>765</v>
      </c>
      <c r="I65" s="671" t="s">
        <v>765</v>
      </c>
      <c r="J65" s="438" t="s">
        <v>14</v>
      </c>
      <c r="K65" s="262"/>
      <c r="L65" s="262"/>
      <c r="M65" s="262"/>
      <c r="N65" s="262"/>
      <c r="P65" s="3">
        <f>SUM(P63:P64)</f>
        <v>34500000</v>
      </c>
    </row>
    <row r="66" spans="1:16">
      <c r="A66" s="427">
        <v>62</v>
      </c>
      <c r="B66" s="477" t="s">
        <v>445</v>
      </c>
      <c r="C66" s="429" t="s">
        <v>670</v>
      </c>
      <c r="D66" s="426" t="s">
        <v>710</v>
      </c>
      <c r="E66" s="427" t="s">
        <v>711</v>
      </c>
      <c r="F66" s="671" t="s">
        <v>765</v>
      </c>
      <c r="G66" s="671" t="s">
        <v>765</v>
      </c>
      <c r="H66" s="438" t="s">
        <v>14</v>
      </c>
      <c r="I66" s="671" t="s">
        <v>765</v>
      </c>
      <c r="J66" s="438" t="s">
        <v>14</v>
      </c>
      <c r="K66" s="262"/>
      <c r="L66" s="262"/>
      <c r="M66" s="262"/>
      <c r="N66" s="262"/>
    </row>
    <row r="67" spans="1:16">
      <c r="A67" s="427">
        <v>63</v>
      </c>
      <c r="B67" s="754" t="s">
        <v>1623</v>
      </c>
      <c r="C67" s="755"/>
      <c r="D67" s="756"/>
      <c r="E67" s="427"/>
      <c r="F67" s="671" t="s">
        <v>765</v>
      </c>
      <c r="G67" s="671" t="s">
        <v>765</v>
      </c>
      <c r="H67" s="1412" t="s">
        <v>14</v>
      </c>
      <c r="I67" s="671" t="s">
        <v>765</v>
      </c>
      <c r="J67" s="438"/>
      <c r="K67" s="262"/>
      <c r="L67" s="262"/>
      <c r="M67" s="262"/>
      <c r="N67" s="262"/>
    </row>
    <row r="68" spans="1:16">
      <c r="A68" s="427">
        <v>64</v>
      </c>
      <c r="B68" s="975" t="s">
        <v>2686</v>
      </c>
      <c r="C68" s="976" t="s">
        <v>365</v>
      </c>
      <c r="D68" s="977" t="s">
        <v>2803</v>
      </c>
      <c r="E68" s="427"/>
      <c r="F68" s="671" t="s">
        <v>765</v>
      </c>
      <c r="G68" s="671" t="s">
        <v>765</v>
      </c>
      <c r="H68" s="671" t="s">
        <v>765</v>
      </c>
      <c r="I68" s="1412" t="s">
        <v>14</v>
      </c>
      <c r="J68" s="1412" t="s">
        <v>14</v>
      </c>
      <c r="K68" s="262"/>
      <c r="L68" s="262"/>
      <c r="M68" s="262"/>
      <c r="N68" s="262"/>
    </row>
    <row r="69" spans="1:16">
      <c r="A69" s="427">
        <v>65</v>
      </c>
      <c r="B69" s="428" t="s">
        <v>412</v>
      </c>
      <c r="C69" s="426" t="s">
        <v>675</v>
      </c>
      <c r="D69" s="426" t="s">
        <v>712</v>
      </c>
      <c r="E69" s="427" t="s">
        <v>713</v>
      </c>
      <c r="F69" s="671" t="s">
        <v>765</v>
      </c>
      <c r="G69" s="671" t="s">
        <v>765</v>
      </c>
      <c r="H69" s="671" t="s">
        <v>765</v>
      </c>
      <c r="I69" s="671" t="s">
        <v>765</v>
      </c>
      <c r="J69" s="438" t="s">
        <v>14</v>
      </c>
      <c r="K69" s="262"/>
      <c r="L69" s="262"/>
      <c r="M69" s="262"/>
      <c r="N69" s="262"/>
    </row>
    <row r="70" spans="1:16">
      <c r="A70" s="427">
        <v>66</v>
      </c>
      <c r="B70" s="1072" t="s">
        <v>47</v>
      </c>
      <c r="C70" s="1067" t="s">
        <v>714</v>
      </c>
      <c r="D70" s="1067"/>
      <c r="E70" s="1069" t="s">
        <v>715</v>
      </c>
      <c r="F70" s="1070" t="s">
        <v>765</v>
      </c>
      <c r="G70" s="1071" t="s">
        <v>14</v>
      </c>
      <c r="H70" s="1071" t="s">
        <v>14</v>
      </c>
      <c r="I70" s="1071" t="s">
        <v>14</v>
      </c>
      <c r="J70" s="1071" t="s">
        <v>14</v>
      </c>
      <c r="K70" s="262"/>
      <c r="L70" s="262"/>
      <c r="M70" s="262"/>
      <c r="N70" s="262"/>
    </row>
    <row r="71" spans="1:16">
      <c r="A71" s="427">
        <v>67</v>
      </c>
      <c r="B71" s="428" t="s">
        <v>98</v>
      </c>
      <c r="C71" s="429" t="s">
        <v>62</v>
      </c>
      <c r="D71" s="426"/>
      <c r="E71" s="427"/>
      <c r="F71" s="437" t="s">
        <v>765</v>
      </c>
      <c r="G71" s="437" t="s">
        <v>765</v>
      </c>
      <c r="H71" s="438" t="s">
        <v>14</v>
      </c>
      <c r="I71" s="438" t="s">
        <v>14</v>
      </c>
      <c r="J71" s="438" t="s">
        <v>14</v>
      </c>
      <c r="K71" s="437" t="s">
        <v>765</v>
      </c>
      <c r="L71" s="262"/>
      <c r="M71" s="262"/>
      <c r="N71" s="262"/>
    </row>
    <row r="74" spans="1:16">
      <c r="P74" s="3">
        <v>135000000</v>
      </c>
    </row>
    <row r="75" spans="1:16">
      <c r="P75" s="3">
        <f>P74/27000000</f>
        <v>5</v>
      </c>
    </row>
    <row r="76" spans="1:16">
      <c r="B76" s="3" t="s">
        <v>2048</v>
      </c>
    </row>
    <row r="77" spans="1:16">
      <c r="B77" s="3" t="s">
        <v>2049</v>
      </c>
    </row>
    <row r="78" spans="1:16">
      <c r="B78" s="3" t="s">
        <v>2050</v>
      </c>
    </row>
    <row r="79" spans="1:16">
      <c r="B79" s="3" t="s">
        <v>1763</v>
      </c>
    </row>
    <row r="80" spans="1:16">
      <c r="B80" s="3" t="s">
        <v>1765</v>
      </c>
    </row>
    <row r="81" spans="2:4">
      <c r="B81" s="3" t="s">
        <v>1890</v>
      </c>
    </row>
    <row r="84" spans="2:4">
      <c r="D84" s="263">
        <v>254443317</v>
      </c>
    </row>
    <row r="85" spans="2:4">
      <c r="D85" s="263">
        <v>346500000</v>
      </c>
    </row>
    <row r="86" spans="2:4">
      <c r="D86" s="263">
        <v>426393492</v>
      </c>
    </row>
    <row r="87" spans="2:4">
      <c r="D87" s="263">
        <v>65265731</v>
      </c>
    </row>
    <row r="88" spans="2:4">
      <c r="D88" s="263">
        <f>4500000+7151500</f>
        <v>11651500</v>
      </c>
    </row>
    <row r="89" spans="2:4">
      <c r="D89" s="263">
        <f>SUM(D84:D88)</f>
        <v>1104254040</v>
      </c>
    </row>
    <row r="90" spans="2:4">
      <c r="D90" s="263"/>
    </row>
    <row r="91" spans="2:4">
      <c r="D91" s="263"/>
    </row>
    <row r="92" spans="2:4">
      <c r="D92" s="263"/>
    </row>
    <row r="93" spans="2:4">
      <c r="D93" s="263"/>
    </row>
    <row r="94" spans="2:4">
      <c r="D94" s="263"/>
    </row>
  </sheetData>
  <mergeCells count="9">
    <mergeCell ref="A1:N1"/>
    <mergeCell ref="B32:B36"/>
    <mergeCell ref="C32:C34"/>
    <mergeCell ref="A3:A4"/>
    <mergeCell ref="B3:B4"/>
    <mergeCell ref="C3:C4"/>
    <mergeCell ref="D3:D4"/>
    <mergeCell ref="E3:E4"/>
    <mergeCell ref="F3:N3"/>
  </mergeCells>
  <printOptions horizontalCentered="1"/>
  <pageMargins left="0.12" right="0.19" top="0.35" bottom="0.13" header="0.3" footer="0.13"/>
  <pageSetup paperSize="9" scale="49" orientation="landscape" horizontalDpi="4294967293" verticalDpi="36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81"/>
  <sheetViews>
    <sheetView showGridLines="0" view="pageBreakPreview" zoomScale="70" zoomScaleNormal="85" zoomScaleSheetLayoutView="70" workbookViewId="0">
      <pane xSplit="4" ySplit="4" topLeftCell="E5" activePane="bottomRight" state="frozen"/>
      <selection pane="topRight" activeCell="E1" sqref="E1"/>
      <selection pane="bottomLeft" activeCell="A7" sqref="A7"/>
      <selection pane="bottomRight" activeCell="P23" sqref="P23:Q23"/>
    </sheetView>
  </sheetViews>
  <sheetFormatPr defaultRowHeight="12.75"/>
  <cols>
    <col min="1" max="1" width="6.140625" style="35" customWidth="1"/>
    <col min="2" max="2" width="32.28515625" style="35" customWidth="1"/>
    <col min="3" max="3" width="31" style="43" customWidth="1"/>
    <col min="4" max="4" width="31.5703125" style="43" bestFit="1" customWidth="1"/>
    <col min="5" max="5" width="5.28515625" style="43" customWidth="1"/>
    <col min="6" max="6" width="4.7109375" style="43" customWidth="1"/>
    <col min="7" max="7" width="3.7109375" style="43" customWidth="1"/>
    <col min="8" max="9" width="4.7109375" style="43" customWidth="1"/>
    <col min="10" max="11" width="4.7109375" style="35" customWidth="1"/>
    <col min="12" max="13" width="4.7109375" style="43" customWidth="1"/>
    <col min="14" max="31" width="4.7109375" style="35" customWidth="1"/>
    <col min="32" max="32" width="29.5703125" style="35" customWidth="1"/>
    <col min="33" max="33" width="10" style="474" bestFit="1" customWidth="1"/>
    <col min="34" max="34" width="12" style="474" customWidth="1"/>
    <col min="35" max="264" width="9.140625" style="33"/>
    <col min="265" max="265" width="4.28515625" style="33" customWidth="1"/>
    <col min="266" max="266" width="44" style="33" bestFit="1" customWidth="1"/>
    <col min="267" max="267" width="10.28515625" style="33" customWidth="1"/>
    <col min="268" max="268" width="16.5703125" style="33" customWidth="1"/>
    <col min="269" max="280" width="3.7109375" style="33" customWidth="1"/>
    <col min="281" max="281" width="11" style="33" bestFit="1" customWidth="1"/>
    <col min="282" max="520" width="9.140625" style="33"/>
    <col min="521" max="521" width="4.28515625" style="33" customWidth="1"/>
    <col min="522" max="522" width="44" style="33" bestFit="1" customWidth="1"/>
    <col min="523" max="523" width="10.28515625" style="33" customWidth="1"/>
    <col min="524" max="524" width="16.5703125" style="33" customWidth="1"/>
    <col min="525" max="536" width="3.7109375" style="33" customWidth="1"/>
    <col min="537" max="537" width="11" style="33" bestFit="1" customWidth="1"/>
    <col min="538" max="776" width="9.140625" style="33"/>
    <col min="777" max="777" width="4.28515625" style="33" customWidth="1"/>
    <col min="778" max="778" width="44" style="33" bestFit="1" customWidth="1"/>
    <col min="779" max="779" width="10.28515625" style="33" customWidth="1"/>
    <col min="780" max="780" width="16.5703125" style="33" customWidth="1"/>
    <col min="781" max="792" width="3.7109375" style="33" customWidth="1"/>
    <col min="793" max="793" width="11" style="33" bestFit="1" customWidth="1"/>
    <col min="794" max="1032" width="9.140625" style="33"/>
    <col min="1033" max="1033" width="4.28515625" style="33" customWidth="1"/>
    <col min="1034" max="1034" width="44" style="33" bestFit="1" customWidth="1"/>
    <col min="1035" max="1035" width="10.28515625" style="33" customWidth="1"/>
    <col min="1036" max="1036" width="16.5703125" style="33" customWidth="1"/>
    <col min="1037" max="1048" width="3.7109375" style="33" customWidth="1"/>
    <col min="1049" max="1049" width="11" style="33" bestFit="1" customWidth="1"/>
    <col min="1050" max="1288" width="9.140625" style="33"/>
    <col min="1289" max="1289" width="4.28515625" style="33" customWidth="1"/>
    <col min="1290" max="1290" width="44" style="33" bestFit="1" customWidth="1"/>
    <col min="1291" max="1291" width="10.28515625" style="33" customWidth="1"/>
    <col min="1292" max="1292" width="16.5703125" style="33" customWidth="1"/>
    <col min="1293" max="1304" width="3.7109375" style="33" customWidth="1"/>
    <col min="1305" max="1305" width="11" style="33" bestFit="1" customWidth="1"/>
    <col min="1306" max="1544" width="9.140625" style="33"/>
    <col min="1545" max="1545" width="4.28515625" style="33" customWidth="1"/>
    <col min="1546" max="1546" width="44" style="33" bestFit="1" customWidth="1"/>
    <col min="1547" max="1547" width="10.28515625" style="33" customWidth="1"/>
    <col min="1548" max="1548" width="16.5703125" style="33" customWidth="1"/>
    <col min="1549" max="1560" width="3.7109375" style="33" customWidth="1"/>
    <col min="1561" max="1561" width="11" style="33" bestFit="1" customWidth="1"/>
    <col min="1562" max="1800" width="9.140625" style="33"/>
    <col min="1801" max="1801" width="4.28515625" style="33" customWidth="1"/>
    <col min="1802" max="1802" width="44" style="33" bestFit="1" customWidth="1"/>
    <col min="1803" max="1803" width="10.28515625" style="33" customWidth="1"/>
    <col min="1804" max="1804" width="16.5703125" style="33" customWidth="1"/>
    <col min="1805" max="1816" width="3.7109375" style="33" customWidth="1"/>
    <col min="1817" max="1817" width="11" style="33" bestFit="1" customWidth="1"/>
    <col min="1818" max="2056" width="9.140625" style="33"/>
    <col min="2057" max="2057" width="4.28515625" style="33" customWidth="1"/>
    <col min="2058" max="2058" width="44" style="33" bestFit="1" customWidth="1"/>
    <col min="2059" max="2059" width="10.28515625" style="33" customWidth="1"/>
    <col min="2060" max="2060" width="16.5703125" style="33" customWidth="1"/>
    <col min="2061" max="2072" width="3.7109375" style="33" customWidth="1"/>
    <col min="2073" max="2073" width="11" style="33" bestFit="1" customWidth="1"/>
    <col min="2074" max="2312" width="9.140625" style="33"/>
    <col min="2313" max="2313" width="4.28515625" style="33" customWidth="1"/>
    <col min="2314" max="2314" width="44" style="33" bestFit="1" customWidth="1"/>
    <col min="2315" max="2315" width="10.28515625" style="33" customWidth="1"/>
    <col min="2316" max="2316" width="16.5703125" style="33" customWidth="1"/>
    <col min="2317" max="2328" width="3.7109375" style="33" customWidth="1"/>
    <col min="2329" max="2329" width="11" style="33" bestFit="1" customWidth="1"/>
    <col min="2330" max="2568" width="9.140625" style="33"/>
    <col min="2569" max="2569" width="4.28515625" style="33" customWidth="1"/>
    <col min="2570" max="2570" width="44" style="33" bestFit="1" customWidth="1"/>
    <col min="2571" max="2571" width="10.28515625" style="33" customWidth="1"/>
    <col min="2572" max="2572" width="16.5703125" style="33" customWidth="1"/>
    <col min="2573" max="2584" width="3.7109375" style="33" customWidth="1"/>
    <col min="2585" max="2585" width="11" style="33" bestFit="1" customWidth="1"/>
    <col min="2586" max="2824" width="9.140625" style="33"/>
    <col min="2825" max="2825" width="4.28515625" style="33" customWidth="1"/>
    <col min="2826" max="2826" width="44" style="33" bestFit="1" customWidth="1"/>
    <col min="2827" max="2827" width="10.28515625" style="33" customWidth="1"/>
    <col min="2828" max="2828" width="16.5703125" style="33" customWidth="1"/>
    <col min="2829" max="2840" width="3.7109375" style="33" customWidth="1"/>
    <col min="2841" max="2841" width="11" style="33" bestFit="1" customWidth="1"/>
    <col min="2842" max="3080" width="9.140625" style="33"/>
    <col min="3081" max="3081" width="4.28515625" style="33" customWidth="1"/>
    <col min="3082" max="3082" width="44" style="33" bestFit="1" customWidth="1"/>
    <col min="3083" max="3083" width="10.28515625" style="33" customWidth="1"/>
    <col min="3084" max="3084" width="16.5703125" style="33" customWidth="1"/>
    <col min="3085" max="3096" width="3.7109375" style="33" customWidth="1"/>
    <col min="3097" max="3097" width="11" style="33" bestFit="1" customWidth="1"/>
    <col min="3098" max="3336" width="9.140625" style="33"/>
    <col min="3337" max="3337" width="4.28515625" style="33" customWidth="1"/>
    <col min="3338" max="3338" width="44" style="33" bestFit="1" customWidth="1"/>
    <col min="3339" max="3339" width="10.28515625" style="33" customWidth="1"/>
    <col min="3340" max="3340" width="16.5703125" style="33" customWidth="1"/>
    <col min="3341" max="3352" width="3.7109375" style="33" customWidth="1"/>
    <col min="3353" max="3353" width="11" style="33" bestFit="1" customWidth="1"/>
    <col min="3354" max="3592" width="9.140625" style="33"/>
    <col min="3593" max="3593" width="4.28515625" style="33" customWidth="1"/>
    <col min="3594" max="3594" width="44" style="33" bestFit="1" customWidth="1"/>
    <col min="3595" max="3595" width="10.28515625" style="33" customWidth="1"/>
    <col min="3596" max="3596" width="16.5703125" style="33" customWidth="1"/>
    <col min="3597" max="3608" width="3.7109375" style="33" customWidth="1"/>
    <col min="3609" max="3609" width="11" style="33" bestFit="1" customWidth="1"/>
    <col min="3610" max="3848" width="9.140625" style="33"/>
    <col min="3849" max="3849" width="4.28515625" style="33" customWidth="1"/>
    <col min="3850" max="3850" width="44" style="33" bestFit="1" customWidth="1"/>
    <col min="3851" max="3851" width="10.28515625" style="33" customWidth="1"/>
    <col min="3852" max="3852" width="16.5703125" style="33" customWidth="1"/>
    <col min="3853" max="3864" width="3.7109375" style="33" customWidth="1"/>
    <col min="3865" max="3865" width="11" style="33" bestFit="1" customWidth="1"/>
    <col min="3866" max="4104" width="9.140625" style="33"/>
    <col min="4105" max="4105" width="4.28515625" style="33" customWidth="1"/>
    <col min="4106" max="4106" width="44" style="33" bestFit="1" customWidth="1"/>
    <col min="4107" max="4107" width="10.28515625" style="33" customWidth="1"/>
    <col min="4108" max="4108" width="16.5703125" style="33" customWidth="1"/>
    <col min="4109" max="4120" width="3.7109375" style="33" customWidth="1"/>
    <col min="4121" max="4121" width="11" style="33" bestFit="1" customWidth="1"/>
    <col min="4122" max="4360" width="9.140625" style="33"/>
    <col min="4361" max="4361" width="4.28515625" style="33" customWidth="1"/>
    <col min="4362" max="4362" width="44" style="33" bestFit="1" customWidth="1"/>
    <col min="4363" max="4363" width="10.28515625" style="33" customWidth="1"/>
    <col min="4364" max="4364" width="16.5703125" style="33" customWidth="1"/>
    <col min="4365" max="4376" width="3.7109375" style="33" customWidth="1"/>
    <col min="4377" max="4377" width="11" style="33" bestFit="1" customWidth="1"/>
    <col min="4378" max="4616" width="9.140625" style="33"/>
    <col min="4617" max="4617" width="4.28515625" style="33" customWidth="1"/>
    <col min="4618" max="4618" width="44" style="33" bestFit="1" customWidth="1"/>
    <col min="4619" max="4619" width="10.28515625" style="33" customWidth="1"/>
    <col min="4620" max="4620" width="16.5703125" style="33" customWidth="1"/>
    <col min="4621" max="4632" width="3.7109375" style="33" customWidth="1"/>
    <col min="4633" max="4633" width="11" style="33" bestFit="1" customWidth="1"/>
    <col min="4634" max="4872" width="9.140625" style="33"/>
    <col min="4873" max="4873" width="4.28515625" style="33" customWidth="1"/>
    <col min="4874" max="4874" width="44" style="33" bestFit="1" customWidth="1"/>
    <col min="4875" max="4875" width="10.28515625" style="33" customWidth="1"/>
    <col min="4876" max="4876" width="16.5703125" style="33" customWidth="1"/>
    <col min="4877" max="4888" width="3.7109375" style="33" customWidth="1"/>
    <col min="4889" max="4889" width="11" style="33" bestFit="1" customWidth="1"/>
    <col min="4890" max="5128" width="9.140625" style="33"/>
    <col min="5129" max="5129" width="4.28515625" style="33" customWidth="1"/>
    <col min="5130" max="5130" width="44" style="33" bestFit="1" customWidth="1"/>
    <col min="5131" max="5131" width="10.28515625" style="33" customWidth="1"/>
    <col min="5132" max="5132" width="16.5703125" style="33" customWidth="1"/>
    <col min="5133" max="5144" width="3.7109375" style="33" customWidth="1"/>
    <col min="5145" max="5145" width="11" style="33" bestFit="1" customWidth="1"/>
    <col min="5146" max="5384" width="9.140625" style="33"/>
    <col min="5385" max="5385" width="4.28515625" style="33" customWidth="1"/>
    <col min="5386" max="5386" width="44" style="33" bestFit="1" customWidth="1"/>
    <col min="5387" max="5387" width="10.28515625" style="33" customWidth="1"/>
    <col min="5388" max="5388" width="16.5703125" style="33" customWidth="1"/>
    <col min="5389" max="5400" width="3.7109375" style="33" customWidth="1"/>
    <col min="5401" max="5401" width="11" style="33" bestFit="1" customWidth="1"/>
    <col min="5402" max="5640" width="9.140625" style="33"/>
    <col min="5641" max="5641" width="4.28515625" style="33" customWidth="1"/>
    <col min="5642" max="5642" width="44" style="33" bestFit="1" customWidth="1"/>
    <col min="5643" max="5643" width="10.28515625" style="33" customWidth="1"/>
    <col min="5644" max="5644" width="16.5703125" style="33" customWidth="1"/>
    <col min="5645" max="5656" width="3.7109375" style="33" customWidth="1"/>
    <col min="5657" max="5657" width="11" style="33" bestFit="1" customWidth="1"/>
    <col min="5658" max="5896" width="9.140625" style="33"/>
    <col min="5897" max="5897" width="4.28515625" style="33" customWidth="1"/>
    <col min="5898" max="5898" width="44" style="33" bestFit="1" customWidth="1"/>
    <col min="5899" max="5899" width="10.28515625" style="33" customWidth="1"/>
    <col min="5900" max="5900" width="16.5703125" style="33" customWidth="1"/>
    <col min="5901" max="5912" width="3.7109375" style="33" customWidth="1"/>
    <col min="5913" max="5913" width="11" style="33" bestFit="1" customWidth="1"/>
    <col min="5914" max="6152" width="9.140625" style="33"/>
    <col min="6153" max="6153" width="4.28515625" style="33" customWidth="1"/>
    <col min="6154" max="6154" width="44" style="33" bestFit="1" customWidth="1"/>
    <col min="6155" max="6155" width="10.28515625" style="33" customWidth="1"/>
    <col min="6156" max="6156" width="16.5703125" style="33" customWidth="1"/>
    <col min="6157" max="6168" width="3.7109375" style="33" customWidth="1"/>
    <col min="6169" max="6169" width="11" style="33" bestFit="1" customWidth="1"/>
    <col min="6170" max="6408" width="9.140625" style="33"/>
    <col min="6409" max="6409" width="4.28515625" style="33" customWidth="1"/>
    <col min="6410" max="6410" width="44" style="33" bestFit="1" customWidth="1"/>
    <col min="6411" max="6411" width="10.28515625" style="33" customWidth="1"/>
    <col min="6412" max="6412" width="16.5703125" style="33" customWidth="1"/>
    <col min="6413" max="6424" width="3.7109375" style="33" customWidth="1"/>
    <col min="6425" max="6425" width="11" style="33" bestFit="1" customWidth="1"/>
    <col min="6426" max="6664" width="9.140625" style="33"/>
    <col min="6665" max="6665" width="4.28515625" style="33" customWidth="1"/>
    <col min="6666" max="6666" width="44" style="33" bestFit="1" customWidth="1"/>
    <col min="6667" max="6667" width="10.28515625" style="33" customWidth="1"/>
    <col min="6668" max="6668" width="16.5703125" style="33" customWidth="1"/>
    <col min="6669" max="6680" width="3.7109375" style="33" customWidth="1"/>
    <col min="6681" max="6681" width="11" style="33" bestFit="1" customWidth="1"/>
    <col min="6682" max="6920" width="9.140625" style="33"/>
    <col min="6921" max="6921" width="4.28515625" style="33" customWidth="1"/>
    <col min="6922" max="6922" width="44" style="33" bestFit="1" customWidth="1"/>
    <col min="6923" max="6923" width="10.28515625" style="33" customWidth="1"/>
    <col min="6924" max="6924" width="16.5703125" style="33" customWidth="1"/>
    <col min="6925" max="6936" width="3.7109375" style="33" customWidth="1"/>
    <col min="6937" max="6937" width="11" style="33" bestFit="1" customWidth="1"/>
    <col min="6938" max="7176" width="9.140625" style="33"/>
    <col min="7177" max="7177" width="4.28515625" style="33" customWidth="1"/>
    <col min="7178" max="7178" width="44" style="33" bestFit="1" customWidth="1"/>
    <col min="7179" max="7179" width="10.28515625" style="33" customWidth="1"/>
    <col min="7180" max="7180" width="16.5703125" style="33" customWidth="1"/>
    <col min="7181" max="7192" width="3.7109375" style="33" customWidth="1"/>
    <col min="7193" max="7193" width="11" style="33" bestFit="1" customWidth="1"/>
    <col min="7194" max="7432" width="9.140625" style="33"/>
    <col min="7433" max="7433" width="4.28515625" style="33" customWidth="1"/>
    <col min="7434" max="7434" width="44" style="33" bestFit="1" customWidth="1"/>
    <col min="7435" max="7435" width="10.28515625" style="33" customWidth="1"/>
    <col min="7436" max="7436" width="16.5703125" style="33" customWidth="1"/>
    <col min="7437" max="7448" width="3.7109375" style="33" customWidth="1"/>
    <col min="7449" max="7449" width="11" style="33" bestFit="1" customWidth="1"/>
    <col min="7450" max="7688" width="9.140625" style="33"/>
    <col min="7689" max="7689" width="4.28515625" style="33" customWidth="1"/>
    <col min="7690" max="7690" width="44" style="33" bestFit="1" customWidth="1"/>
    <col min="7691" max="7691" width="10.28515625" style="33" customWidth="1"/>
    <col min="7692" max="7692" width="16.5703125" style="33" customWidth="1"/>
    <col min="7693" max="7704" width="3.7109375" style="33" customWidth="1"/>
    <col min="7705" max="7705" width="11" style="33" bestFit="1" customWidth="1"/>
    <col min="7706" max="7944" width="9.140625" style="33"/>
    <col min="7945" max="7945" width="4.28515625" style="33" customWidth="1"/>
    <col min="7946" max="7946" width="44" style="33" bestFit="1" customWidth="1"/>
    <col min="7947" max="7947" width="10.28515625" style="33" customWidth="1"/>
    <col min="7948" max="7948" width="16.5703125" style="33" customWidth="1"/>
    <col min="7949" max="7960" width="3.7109375" style="33" customWidth="1"/>
    <col min="7961" max="7961" width="11" style="33" bestFit="1" customWidth="1"/>
    <col min="7962" max="8200" width="9.140625" style="33"/>
    <col min="8201" max="8201" width="4.28515625" style="33" customWidth="1"/>
    <col min="8202" max="8202" width="44" style="33" bestFit="1" customWidth="1"/>
    <col min="8203" max="8203" width="10.28515625" style="33" customWidth="1"/>
    <col min="8204" max="8204" width="16.5703125" style="33" customWidth="1"/>
    <col min="8205" max="8216" width="3.7109375" style="33" customWidth="1"/>
    <col min="8217" max="8217" width="11" style="33" bestFit="1" customWidth="1"/>
    <col min="8218" max="8456" width="9.140625" style="33"/>
    <col min="8457" max="8457" width="4.28515625" style="33" customWidth="1"/>
    <col min="8458" max="8458" width="44" style="33" bestFit="1" customWidth="1"/>
    <col min="8459" max="8459" width="10.28515625" style="33" customWidth="1"/>
    <col min="8460" max="8460" width="16.5703125" style="33" customWidth="1"/>
    <col min="8461" max="8472" width="3.7109375" style="33" customWidth="1"/>
    <col min="8473" max="8473" width="11" style="33" bestFit="1" customWidth="1"/>
    <col min="8474" max="8712" width="9.140625" style="33"/>
    <col min="8713" max="8713" width="4.28515625" style="33" customWidth="1"/>
    <col min="8714" max="8714" width="44" style="33" bestFit="1" customWidth="1"/>
    <col min="8715" max="8715" width="10.28515625" style="33" customWidth="1"/>
    <col min="8716" max="8716" width="16.5703125" style="33" customWidth="1"/>
    <col min="8717" max="8728" width="3.7109375" style="33" customWidth="1"/>
    <col min="8729" max="8729" width="11" style="33" bestFit="1" customWidth="1"/>
    <col min="8730" max="8968" width="9.140625" style="33"/>
    <col min="8969" max="8969" width="4.28515625" style="33" customWidth="1"/>
    <col min="8970" max="8970" width="44" style="33" bestFit="1" customWidth="1"/>
    <col min="8971" max="8971" width="10.28515625" style="33" customWidth="1"/>
    <col min="8972" max="8972" width="16.5703125" style="33" customWidth="1"/>
    <col min="8973" max="8984" width="3.7109375" style="33" customWidth="1"/>
    <col min="8985" max="8985" width="11" style="33" bestFit="1" customWidth="1"/>
    <col min="8986" max="9224" width="9.140625" style="33"/>
    <col min="9225" max="9225" width="4.28515625" style="33" customWidth="1"/>
    <col min="9226" max="9226" width="44" style="33" bestFit="1" customWidth="1"/>
    <col min="9227" max="9227" width="10.28515625" style="33" customWidth="1"/>
    <col min="9228" max="9228" width="16.5703125" style="33" customWidth="1"/>
    <col min="9229" max="9240" width="3.7109375" style="33" customWidth="1"/>
    <col min="9241" max="9241" width="11" style="33" bestFit="1" customWidth="1"/>
    <col min="9242" max="9480" width="9.140625" style="33"/>
    <col min="9481" max="9481" width="4.28515625" style="33" customWidth="1"/>
    <col min="9482" max="9482" width="44" style="33" bestFit="1" customWidth="1"/>
    <col min="9483" max="9483" width="10.28515625" style="33" customWidth="1"/>
    <col min="9484" max="9484" width="16.5703125" style="33" customWidth="1"/>
    <col min="9485" max="9496" width="3.7109375" style="33" customWidth="1"/>
    <col min="9497" max="9497" width="11" style="33" bestFit="1" customWidth="1"/>
    <col min="9498" max="9736" width="9.140625" style="33"/>
    <col min="9737" max="9737" width="4.28515625" style="33" customWidth="1"/>
    <col min="9738" max="9738" width="44" style="33" bestFit="1" customWidth="1"/>
    <col min="9739" max="9739" width="10.28515625" style="33" customWidth="1"/>
    <col min="9740" max="9740" width="16.5703125" style="33" customWidth="1"/>
    <col min="9741" max="9752" width="3.7109375" style="33" customWidth="1"/>
    <col min="9753" max="9753" width="11" style="33" bestFit="1" customWidth="1"/>
    <col min="9754" max="9992" width="9.140625" style="33"/>
    <col min="9993" max="9993" width="4.28515625" style="33" customWidth="1"/>
    <col min="9994" max="9994" width="44" style="33" bestFit="1" customWidth="1"/>
    <col min="9995" max="9995" width="10.28515625" style="33" customWidth="1"/>
    <col min="9996" max="9996" width="16.5703125" style="33" customWidth="1"/>
    <col min="9997" max="10008" width="3.7109375" style="33" customWidth="1"/>
    <col min="10009" max="10009" width="11" style="33" bestFit="1" customWidth="1"/>
    <col min="10010" max="10248" width="9.140625" style="33"/>
    <col min="10249" max="10249" width="4.28515625" style="33" customWidth="1"/>
    <col min="10250" max="10250" width="44" style="33" bestFit="1" customWidth="1"/>
    <col min="10251" max="10251" width="10.28515625" style="33" customWidth="1"/>
    <col min="10252" max="10252" width="16.5703125" style="33" customWidth="1"/>
    <col min="10253" max="10264" width="3.7109375" style="33" customWidth="1"/>
    <col min="10265" max="10265" width="11" style="33" bestFit="1" customWidth="1"/>
    <col min="10266" max="10504" width="9.140625" style="33"/>
    <col min="10505" max="10505" width="4.28515625" style="33" customWidth="1"/>
    <col min="10506" max="10506" width="44" style="33" bestFit="1" customWidth="1"/>
    <col min="10507" max="10507" width="10.28515625" style="33" customWidth="1"/>
    <col min="10508" max="10508" width="16.5703125" style="33" customWidth="1"/>
    <col min="10509" max="10520" width="3.7109375" style="33" customWidth="1"/>
    <col min="10521" max="10521" width="11" style="33" bestFit="1" customWidth="1"/>
    <col min="10522" max="10760" width="9.140625" style="33"/>
    <col min="10761" max="10761" width="4.28515625" style="33" customWidth="1"/>
    <col min="10762" max="10762" width="44" style="33" bestFit="1" customWidth="1"/>
    <col min="10763" max="10763" width="10.28515625" style="33" customWidth="1"/>
    <col min="10764" max="10764" width="16.5703125" style="33" customWidth="1"/>
    <col min="10765" max="10776" width="3.7109375" style="33" customWidth="1"/>
    <col min="10777" max="10777" width="11" style="33" bestFit="1" customWidth="1"/>
    <col min="10778" max="11016" width="9.140625" style="33"/>
    <col min="11017" max="11017" width="4.28515625" style="33" customWidth="1"/>
    <col min="11018" max="11018" width="44" style="33" bestFit="1" customWidth="1"/>
    <col min="11019" max="11019" width="10.28515625" style="33" customWidth="1"/>
    <col min="11020" max="11020" width="16.5703125" style="33" customWidth="1"/>
    <col min="11021" max="11032" width="3.7109375" style="33" customWidth="1"/>
    <col min="11033" max="11033" width="11" style="33" bestFit="1" customWidth="1"/>
    <col min="11034" max="11272" width="9.140625" style="33"/>
    <col min="11273" max="11273" width="4.28515625" style="33" customWidth="1"/>
    <col min="11274" max="11274" width="44" style="33" bestFit="1" customWidth="1"/>
    <col min="11275" max="11275" width="10.28515625" style="33" customWidth="1"/>
    <col min="11276" max="11276" width="16.5703125" style="33" customWidth="1"/>
    <col min="11277" max="11288" width="3.7109375" style="33" customWidth="1"/>
    <col min="11289" max="11289" width="11" style="33" bestFit="1" customWidth="1"/>
    <col min="11290" max="11528" width="9.140625" style="33"/>
    <col min="11529" max="11529" width="4.28515625" style="33" customWidth="1"/>
    <col min="11530" max="11530" width="44" style="33" bestFit="1" customWidth="1"/>
    <col min="11531" max="11531" width="10.28515625" style="33" customWidth="1"/>
    <col min="11532" max="11532" width="16.5703125" style="33" customWidth="1"/>
    <col min="11533" max="11544" width="3.7109375" style="33" customWidth="1"/>
    <col min="11545" max="11545" width="11" style="33" bestFit="1" customWidth="1"/>
    <col min="11546" max="11784" width="9.140625" style="33"/>
    <col min="11785" max="11785" width="4.28515625" style="33" customWidth="1"/>
    <col min="11786" max="11786" width="44" style="33" bestFit="1" customWidth="1"/>
    <col min="11787" max="11787" width="10.28515625" style="33" customWidth="1"/>
    <col min="11788" max="11788" width="16.5703125" style="33" customWidth="1"/>
    <col min="11789" max="11800" width="3.7109375" style="33" customWidth="1"/>
    <col min="11801" max="11801" width="11" style="33" bestFit="1" customWidth="1"/>
    <col min="11802" max="12040" width="9.140625" style="33"/>
    <col min="12041" max="12041" width="4.28515625" style="33" customWidth="1"/>
    <col min="12042" max="12042" width="44" style="33" bestFit="1" customWidth="1"/>
    <col min="12043" max="12043" width="10.28515625" style="33" customWidth="1"/>
    <col min="12044" max="12044" width="16.5703125" style="33" customWidth="1"/>
    <col min="12045" max="12056" width="3.7109375" style="33" customWidth="1"/>
    <col min="12057" max="12057" width="11" style="33" bestFit="1" customWidth="1"/>
    <col min="12058" max="12296" width="9.140625" style="33"/>
    <col min="12297" max="12297" width="4.28515625" style="33" customWidth="1"/>
    <col min="12298" max="12298" width="44" style="33" bestFit="1" customWidth="1"/>
    <col min="12299" max="12299" width="10.28515625" style="33" customWidth="1"/>
    <col min="12300" max="12300" width="16.5703125" style="33" customWidth="1"/>
    <col min="12301" max="12312" width="3.7109375" style="33" customWidth="1"/>
    <col min="12313" max="12313" width="11" style="33" bestFit="1" customWidth="1"/>
    <col min="12314" max="12552" width="9.140625" style="33"/>
    <col min="12553" max="12553" width="4.28515625" style="33" customWidth="1"/>
    <col min="12554" max="12554" width="44" style="33" bestFit="1" customWidth="1"/>
    <col min="12555" max="12555" width="10.28515625" style="33" customWidth="1"/>
    <col min="12556" max="12556" width="16.5703125" style="33" customWidth="1"/>
    <col min="12557" max="12568" width="3.7109375" style="33" customWidth="1"/>
    <col min="12569" max="12569" width="11" style="33" bestFit="1" customWidth="1"/>
    <col min="12570" max="12808" width="9.140625" style="33"/>
    <col min="12809" max="12809" width="4.28515625" style="33" customWidth="1"/>
    <col min="12810" max="12810" width="44" style="33" bestFit="1" customWidth="1"/>
    <col min="12811" max="12811" width="10.28515625" style="33" customWidth="1"/>
    <col min="12812" max="12812" width="16.5703125" style="33" customWidth="1"/>
    <col min="12813" max="12824" width="3.7109375" style="33" customWidth="1"/>
    <col min="12825" max="12825" width="11" style="33" bestFit="1" customWidth="1"/>
    <col min="12826" max="13064" width="9.140625" style="33"/>
    <col min="13065" max="13065" width="4.28515625" style="33" customWidth="1"/>
    <col min="13066" max="13066" width="44" style="33" bestFit="1" customWidth="1"/>
    <col min="13067" max="13067" width="10.28515625" style="33" customWidth="1"/>
    <col min="13068" max="13068" width="16.5703125" style="33" customWidth="1"/>
    <col min="13069" max="13080" width="3.7109375" style="33" customWidth="1"/>
    <col min="13081" max="13081" width="11" style="33" bestFit="1" customWidth="1"/>
    <col min="13082" max="13320" width="9.140625" style="33"/>
    <col min="13321" max="13321" width="4.28515625" style="33" customWidth="1"/>
    <col min="13322" max="13322" width="44" style="33" bestFit="1" customWidth="1"/>
    <col min="13323" max="13323" width="10.28515625" style="33" customWidth="1"/>
    <col min="13324" max="13324" width="16.5703125" style="33" customWidth="1"/>
    <col min="13325" max="13336" width="3.7109375" style="33" customWidth="1"/>
    <col min="13337" max="13337" width="11" style="33" bestFit="1" customWidth="1"/>
    <col min="13338" max="13576" width="9.140625" style="33"/>
    <col min="13577" max="13577" width="4.28515625" style="33" customWidth="1"/>
    <col min="13578" max="13578" width="44" style="33" bestFit="1" customWidth="1"/>
    <col min="13579" max="13579" width="10.28515625" style="33" customWidth="1"/>
    <col min="13580" max="13580" width="16.5703125" style="33" customWidth="1"/>
    <col min="13581" max="13592" width="3.7109375" style="33" customWidth="1"/>
    <col min="13593" max="13593" width="11" style="33" bestFit="1" customWidth="1"/>
    <col min="13594" max="13832" width="9.140625" style="33"/>
    <col min="13833" max="13833" width="4.28515625" style="33" customWidth="1"/>
    <col min="13834" max="13834" width="44" style="33" bestFit="1" customWidth="1"/>
    <col min="13835" max="13835" width="10.28515625" style="33" customWidth="1"/>
    <col min="13836" max="13836" width="16.5703125" style="33" customWidth="1"/>
    <col min="13837" max="13848" width="3.7109375" style="33" customWidth="1"/>
    <col min="13849" max="13849" width="11" style="33" bestFit="1" customWidth="1"/>
    <col min="13850" max="14088" width="9.140625" style="33"/>
    <col min="14089" max="14089" width="4.28515625" style="33" customWidth="1"/>
    <col min="14090" max="14090" width="44" style="33" bestFit="1" customWidth="1"/>
    <col min="14091" max="14091" width="10.28515625" style="33" customWidth="1"/>
    <col min="14092" max="14092" width="16.5703125" style="33" customWidth="1"/>
    <col min="14093" max="14104" width="3.7109375" style="33" customWidth="1"/>
    <col min="14105" max="14105" width="11" style="33" bestFit="1" customWidth="1"/>
    <col min="14106" max="14344" width="9.140625" style="33"/>
    <col min="14345" max="14345" width="4.28515625" style="33" customWidth="1"/>
    <col min="14346" max="14346" width="44" style="33" bestFit="1" customWidth="1"/>
    <col min="14347" max="14347" width="10.28515625" style="33" customWidth="1"/>
    <col min="14348" max="14348" width="16.5703125" style="33" customWidth="1"/>
    <col min="14349" max="14360" width="3.7109375" style="33" customWidth="1"/>
    <col min="14361" max="14361" width="11" style="33" bestFit="1" customWidth="1"/>
    <col min="14362" max="14600" width="9.140625" style="33"/>
    <col min="14601" max="14601" width="4.28515625" style="33" customWidth="1"/>
    <col min="14602" max="14602" width="44" style="33" bestFit="1" customWidth="1"/>
    <col min="14603" max="14603" width="10.28515625" style="33" customWidth="1"/>
    <col min="14604" max="14604" width="16.5703125" style="33" customWidth="1"/>
    <col min="14605" max="14616" width="3.7109375" style="33" customWidth="1"/>
    <col min="14617" max="14617" width="11" style="33" bestFit="1" customWidth="1"/>
    <col min="14618" max="14856" width="9.140625" style="33"/>
    <col min="14857" max="14857" width="4.28515625" style="33" customWidth="1"/>
    <col min="14858" max="14858" width="44" style="33" bestFit="1" customWidth="1"/>
    <col min="14859" max="14859" width="10.28515625" style="33" customWidth="1"/>
    <col min="14860" max="14860" width="16.5703125" style="33" customWidth="1"/>
    <col min="14861" max="14872" width="3.7109375" style="33" customWidth="1"/>
    <col min="14873" max="14873" width="11" style="33" bestFit="1" customWidth="1"/>
    <col min="14874" max="15112" width="9.140625" style="33"/>
    <col min="15113" max="15113" width="4.28515625" style="33" customWidth="1"/>
    <col min="15114" max="15114" width="44" style="33" bestFit="1" customWidth="1"/>
    <col min="15115" max="15115" width="10.28515625" style="33" customWidth="1"/>
    <col min="15116" max="15116" width="16.5703125" style="33" customWidth="1"/>
    <col min="15117" max="15128" width="3.7109375" style="33" customWidth="1"/>
    <col min="15129" max="15129" width="11" style="33" bestFit="1" customWidth="1"/>
    <col min="15130" max="15368" width="9.140625" style="33"/>
    <col min="15369" max="15369" width="4.28515625" style="33" customWidth="1"/>
    <col min="15370" max="15370" width="44" style="33" bestFit="1" customWidth="1"/>
    <col min="15371" max="15371" width="10.28515625" style="33" customWidth="1"/>
    <col min="15372" max="15372" width="16.5703125" style="33" customWidth="1"/>
    <col min="15373" max="15384" width="3.7109375" style="33" customWidth="1"/>
    <col min="15385" max="15385" width="11" style="33" bestFit="1" customWidth="1"/>
    <col min="15386" max="15624" width="9.140625" style="33"/>
    <col min="15625" max="15625" width="4.28515625" style="33" customWidth="1"/>
    <col min="15626" max="15626" width="44" style="33" bestFit="1" customWidth="1"/>
    <col min="15627" max="15627" width="10.28515625" style="33" customWidth="1"/>
    <col min="15628" max="15628" width="16.5703125" style="33" customWidth="1"/>
    <col min="15629" max="15640" width="3.7109375" style="33" customWidth="1"/>
    <col min="15641" max="15641" width="11" style="33" bestFit="1" customWidth="1"/>
    <col min="15642" max="15880" width="9.140625" style="33"/>
    <col min="15881" max="15881" width="4.28515625" style="33" customWidth="1"/>
    <col min="15882" max="15882" width="44" style="33" bestFit="1" customWidth="1"/>
    <col min="15883" max="15883" width="10.28515625" style="33" customWidth="1"/>
    <col min="15884" max="15884" width="16.5703125" style="33" customWidth="1"/>
    <col min="15885" max="15896" width="3.7109375" style="33" customWidth="1"/>
    <col min="15897" max="15897" width="11" style="33" bestFit="1" customWidth="1"/>
    <col min="15898" max="16136" width="9.140625" style="33"/>
    <col min="16137" max="16137" width="4.28515625" style="33" customWidth="1"/>
    <col min="16138" max="16138" width="44" style="33" bestFit="1" customWidth="1"/>
    <col min="16139" max="16139" width="10.28515625" style="33" customWidth="1"/>
    <col min="16140" max="16140" width="16.5703125" style="33" customWidth="1"/>
    <col min="16141" max="16152" width="3.7109375" style="33" customWidth="1"/>
    <col min="16153" max="16153" width="11" style="33" bestFit="1" customWidth="1"/>
    <col min="16154" max="16384" width="9.140625" style="33"/>
  </cols>
  <sheetData>
    <row r="1" spans="1:35" ht="21.75" customHeight="1">
      <c r="A1" s="1728" t="s">
        <v>1404</v>
      </c>
      <c r="B1" s="1728"/>
      <c r="C1" s="1728"/>
      <c r="D1" s="1728"/>
      <c r="E1" s="1728"/>
      <c r="F1" s="1728"/>
      <c r="G1" s="1728"/>
      <c r="H1" s="1728"/>
      <c r="I1" s="1728"/>
      <c r="J1" s="1728"/>
      <c r="K1" s="1728"/>
      <c r="L1" s="1728"/>
      <c r="M1" s="1728"/>
      <c r="N1" s="1728"/>
      <c r="O1" s="1728"/>
      <c r="P1" s="1728"/>
      <c r="Q1" s="1728"/>
      <c r="R1" s="1728"/>
      <c r="S1" s="1728"/>
      <c r="T1" s="1728"/>
      <c r="U1" s="1728"/>
      <c r="V1" s="1728"/>
      <c r="W1" s="1728"/>
      <c r="X1" s="1728"/>
      <c r="Y1" s="1728"/>
      <c r="Z1" s="1728"/>
      <c r="AA1" s="1728"/>
      <c r="AB1" s="1728"/>
      <c r="AC1" s="1728"/>
      <c r="AD1" s="1728"/>
      <c r="AE1" s="1728"/>
      <c r="AF1" s="1728"/>
      <c r="AG1" s="692"/>
    </row>
    <row r="2" spans="1:35" ht="21.75" customHeight="1">
      <c r="A2" s="36"/>
      <c r="B2" s="34"/>
      <c r="C2" s="34"/>
      <c r="D2" s="34"/>
      <c r="E2" s="685"/>
      <c r="F2" s="685"/>
      <c r="G2" s="440"/>
      <c r="H2" s="34"/>
      <c r="I2" s="34"/>
    </row>
    <row r="3" spans="1:35" s="37" customFormat="1" ht="15" customHeight="1">
      <c r="A3" s="1730" t="s">
        <v>69</v>
      </c>
      <c r="B3" s="1730" t="s">
        <v>70</v>
      </c>
      <c r="C3" s="1729" t="s">
        <v>779</v>
      </c>
      <c r="D3" s="1550" t="s">
        <v>1398</v>
      </c>
      <c r="E3" s="1711">
        <v>2016</v>
      </c>
      <c r="F3" s="1713"/>
      <c r="G3" s="1712"/>
      <c r="H3" s="1711" t="s">
        <v>1729</v>
      </c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1713"/>
      <c r="U3" s="1713"/>
      <c r="V3" s="1713"/>
      <c r="W3" s="1713"/>
      <c r="X3" s="1713"/>
      <c r="Y3" s="1713"/>
      <c r="Z3" s="1713"/>
      <c r="AA3" s="1713"/>
      <c r="AB3" s="1713"/>
      <c r="AC3" s="1713"/>
      <c r="AD3" s="1713"/>
      <c r="AE3" s="1712"/>
      <c r="AF3" s="1550" t="s">
        <v>81</v>
      </c>
      <c r="AG3" s="1550"/>
      <c r="AH3" s="1550"/>
    </row>
    <row r="4" spans="1:35" s="37" customFormat="1" ht="21.75" customHeight="1">
      <c r="A4" s="1552"/>
      <c r="B4" s="1552"/>
      <c r="C4" s="1729"/>
      <c r="D4" s="1550"/>
      <c r="E4" s="684" t="s">
        <v>777</v>
      </c>
      <c r="F4" s="1711" t="s">
        <v>1400</v>
      </c>
      <c r="G4" s="1712"/>
      <c r="H4" s="1711" t="s">
        <v>767</v>
      </c>
      <c r="I4" s="1712"/>
      <c r="J4" s="1711" t="s">
        <v>768</v>
      </c>
      <c r="K4" s="1712"/>
      <c r="L4" s="1711" t="s">
        <v>769</v>
      </c>
      <c r="M4" s="1712"/>
      <c r="N4" s="1711" t="s">
        <v>770</v>
      </c>
      <c r="O4" s="1712"/>
      <c r="P4" s="1711" t="s">
        <v>771</v>
      </c>
      <c r="Q4" s="1712"/>
      <c r="R4" s="1711" t="s">
        <v>772</v>
      </c>
      <c r="S4" s="1712"/>
      <c r="T4" s="1711" t="s">
        <v>773</v>
      </c>
      <c r="U4" s="1712"/>
      <c r="V4" s="1711" t="s">
        <v>774</v>
      </c>
      <c r="W4" s="1712"/>
      <c r="X4" s="1711" t="s">
        <v>775</v>
      </c>
      <c r="Y4" s="1712"/>
      <c r="Z4" s="1711" t="s">
        <v>776</v>
      </c>
      <c r="AA4" s="1712"/>
      <c r="AB4" s="1711" t="s">
        <v>777</v>
      </c>
      <c r="AC4" s="1712"/>
      <c r="AD4" s="1711" t="s">
        <v>778</v>
      </c>
      <c r="AE4" s="1712"/>
      <c r="AF4" s="686" t="s">
        <v>1438</v>
      </c>
      <c r="AG4" s="686" t="s">
        <v>1439</v>
      </c>
      <c r="AH4" s="686" t="s">
        <v>1440</v>
      </c>
    </row>
    <row r="5" spans="1:35" s="40" customFormat="1" ht="15" customHeight="1">
      <c r="A5" s="470">
        <v>1</v>
      </c>
      <c r="B5" s="468" t="s">
        <v>126</v>
      </c>
      <c r="C5" s="469" t="s">
        <v>368</v>
      </c>
      <c r="D5" s="653" t="s">
        <v>14</v>
      </c>
      <c r="E5" s="669"/>
      <c r="F5" s="1641"/>
      <c r="G5" s="1642"/>
      <c r="H5" s="1641"/>
      <c r="I5" s="1642"/>
      <c r="J5" s="1641"/>
      <c r="K5" s="1642"/>
      <c r="L5" s="1639" t="s">
        <v>2174</v>
      </c>
      <c r="M5" s="1640"/>
      <c r="N5" s="1705"/>
      <c r="O5" s="1706"/>
      <c r="P5" s="1705"/>
      <c r="Q5" s="1706"/>
      <c r="R5" s="1705"/>
      <c r="S5" s="1706"/>
      <c r="T5" s="1705"/>
      <c r="U5" s="1706"/>
      <c r="V5" s="1705"/>
      <c r="W5" s="1706"/>
      <c r="X5" s="1639"/>
      <c r="Y5" s="1640"/>
      <c r="Z5" s="1639"/>
      <c r="AA5" s="1640"/>
      <c r="AB5" s="1639"/>
      <c r="AC5" s="1640"/>
      <c r="AD5" s="1639"/>
      <c r="AE5" s="1640"/>
      <c r="AF5" s="734"/>
      <c r="AG5" s="350"/>
      <c r="AH5" s="350"/>
    </row>
    <row r="6" spans="1:35" s="40" customFormat="1" ht="15" customHeight="1">
      <c r="A6" s="470">
        <v>2</v>
      </c>
      <c r="B6" s="468" t="s">
        <v>20</v>
      </c>
      <c r="C6" s="469" t="s">
        <v>1399</v>
      </c>
      <c r="D6" s="651" t="s">
        <v>1730</v>
      </c>
      <c r="E6" s="669"/>
      <c r="F6" s="1639" t="s">
        <v>1755</v>
      </c>
      <c r="G6" s="1640"/>
      <c r="H6" s="1639" t="s">
        <v>1714</v>
      </c>
      <c r="I6" s="1640"/>
      <c r="J6" s="1639" t="s">
        <v>1757</v>
      </c>
      <c r="K6" s="1640"/>
      <c r="L6" s="1639" t="s">
        <v>1759</v>
      </c>
      <c r="M6" s="1640"/>
      <c r="N6" s="1639" t="s">
        <v>1830</v>
      </c>
      <c r="O6" s="1640"/>
      <c r="P6" s="1639" t="s">
        <v>1840</v>
      </c>
      <c r="Q6" s="1640"/>
      <c r="R6" s="1639" t="s">
        <v>1844</v>
      </c>
      <c r="S6" s="1640"/>
      <c r="T6" s="1639"/>
      <c r="U6" s="1640"/>
      <c r="V6" s="1639"/>
      <c r="W6" s="1640"/>
      <c r="X6" s="1639"/>
      <c r="Y6" s="1640"/>
      <c r="Z6" s="1639"/>
      <c r="AA6" s="1640"/>
      <c r="AB6" s="1639"/>
      <c r="AC6" s="1640"/>
      <c r="AD6" s="652"/>
      <c r="AE6" s="653"/>
      <c r="AF6" s="1723" t="s">
        <v>1907</v>
      </c>
      <c r="AG6" s="1716">
        <v>42797</v>
      </c>
      <c r="AH6" s="1716">
        <v>43161</v>
      </c>
    </row>
    <row r="7" spans="1:35" s="40" customFormat="1" ht="38.25">
      <c r="A7" s="470">
        <v>3</v>
      </c>
      <c r="B7" s="468" t="s">
        <v>20</v>
      </c>
      <c r="C7" s="655" t="s">
        <v>1731</v>
      </c>
      <c r="D7" s="735"/>
      <c r="E7" s="669"/>
      <c r="F7" s="1639" t="s">
        <v>1756</v>
      </c>
      <c r="G7" s="1640"/>
      <c r="H7" s="1639" t="s">
        <v>1715</v>
      </c>
      <c r="I7" s="1640"/>
      <c r="J7" s="1639" t="s">
        <v>1758</v>
      </c>
      <c r="K7" s="1640"/>
      <c r="L7" s="1639" t="s">
        <v>1760</v>
      </c>
      <c r="M7" s="1640"/>
      <c r="N7" s="1639" t="s">
        <v>1831</v>
      </c>
      <c r="O7" s="1640"/>
      <c r="P7" s="1639" t="s">
        <v>1842</v>
      </c>
      <c r="Q7" s="1640"/>
      <c r="R7" s="1639" t="s">
        <v>1843</v>
      </c>
      <c r="S7" s="1640"/>
      <c r="T7" s="1639"/>
      <c r="U7" s="1640"/>
      <c r="V7" s="1639"/>
      <c r="W7" s="1640"/>
      <c r="X7" s="1639"/>
      <c r="Y7" s="1640"/>
      <c r="Z7" s="1639"/>
      <c r="AA7" s="1640"/>
      <c r="AB7" s="1639"/>
      <c r="AC7" s="1640"/>
      <c r="AD7" s="1639"/>
      <c r="AE7" s="1640"/>
      <c r="AF7" s="1724"/>
      <c r="AG7" s="1716"/>
      <c r="AH7" s="1716"/>
    </row>
    <row r="8" spans="1:35" s="40" customFormat="1" ht="15" customHeight="1">
      <c r="A8" s="1180">
        <v>4</v>
      </c>
      <c r="B8" s="1072" t="s">
        <v>22</v>
      </c>
      <c r="C8" s="1180" t="s">
        <v>1733</v>
      </c>
      <c r="D8" s="1180" t="s">
        <v>1401</v>
      </c>
      <c r="E8" s="669"/>
      <c r="F8" s="1636" t="s">
        <v>1714</v>
      </c>
      <c r="G8" s="1637"/>
      <c r="H8" s="1638"/>
      <c r="I8" s="1707" t="s">
        <v>1918</v>
      </c>
      <c r="J8" s="1708"/>
      <c r="K8" s="1708"/>
      <c r="L8" s="1708"/>
      <c r="M8" s="1708"/>
      <c r="N8" s="1708"/>
      <c r="O8" s="1708"/>
      <c r="P8" s="1708"/>
      <c r="Q8" s="1708"/>
      <c r="R8" s="1708"/>
      <c r="S8" s="1708"/>
      <c r="T8" s="1708"/>
      <c r="U8" s="1708"/>
      <c r="V8" s="1708"/>
      <c r="W8" s="1708"/>
      <c r="X8" s="1708"/>
      <c r="Y8" s="1708"/>
      <c r="Z8" s="1708"/>
      <c r="AA8" s="1708"/>
      <c r="AB8" s="1708"/>
      <c r="AC8" s="1708"/>
      <c r="AD8" s="1708"/>
      <c r="AE8" s="1709"/>
      <c r="AF8" s="1719"/>
      <c r="AG8" s="1722"/>
      <c r="AH8" s="1722"/>
    </row>
    <row r="9" spans="1:35" s="40" customFormat="1" ht="15" customHeight="1">
      <c r="A9" s="1180">
        <v>5</v>
      </c>
      <c r="B9" s="1072" t="s">
        <v>22</v>
      </c>
      <c r="C9" s="1180" t="s">
        <v>1732</v>
      </c>
      <c r="D9" s="1180" t="s">
        <v>666</v>
      </c>
      <c r="E9" s="669"/>
      <c r="F9" s="700"/>
      <c r="G9" s="1636" t="s">
        <v>1715</v>
      </c>
      <c r="H9" s="1638"/>
      <c r="I9" s="1636" t="s">
        <v>1757</v>
      </c>
      <c r="J9" s="1637"/>
      <c r="K9" s="1638"/>
      <c r="L9" s="1636" t="s">
        <v>1758</v>
      </c>
      <c r="M9" s="1637"/>
      <c r="N9" s="1636" t="s">
        <v>1759</v>
      </c>
      <c r="O9" s="1637"/>
      <c r="P9" s="1636" t="s">
        <v>1760</v>
      </c>
      <c r="Q9" s="1637"/>
      <c r="R9" s="1630" t="s">
        <v>1830</v>
      </c>
      <c r="S9" s="1630"/>
      <c r="T9" s="1630" t="s">
        <v>1831</v>
      </c>
      <c r="U9" s="1630"/>
      <c r="V9" s="1725" t="s">
        <v>1918</v>
      </c>
      <c r="W9" s="1726"/>
      <c r="X9" s="1726"/>
      <c r="Y9" s="1726"/>
      <c r="Z9" s="1726"/>
      <c r="AA9" s="1726"/>
      <c r="AB9" s="1726"/>
      <c r="AC9" s="1726"/>
      <c r="AD9" s="1726"/>
      <c r="AE9" s="1727"/>
      <c r="AF9" s="1720"/>
      <c r="AG9" s="1722"/>
      <c r="AH9" s="1722"/>
    </row>
    <row r="10" spans="1:35" s="40" customFormat="1" ht="15" customHeight="1">
      <c r="A10" s="1180">
        <v>6</v>
      </c>
      <c r="B10" s="1072" t="s">
        <v>24</v>
      </c>
      <c r="C10" s="1180" t="s">
        <v>1402</v>
      </c>
      <c r="D10" s="1180" t="s">
        <v>667</v>
      </c>
      <c r="E10" s="669"/>
      <c r="F10" s="1639" t="s">
        <v>1714</v>
      </c>
      <c r="G10" s="1640"/>
      <c r="H10" s="1639" t="s">
        <v>1715</v>
      </c>
      <c r="I10" s="1640"/>
      <c r="J10" s="1639" t="s">
        <v>1757</v>
      </c>
      <c r="K10" s="1640"/>
      <c r="L10" s="1639" t="s">
        <v>1758</v>
      </c>
      <c r="M10" s="1640"/>
      <c r="N10" s="1639" t="s">
        <v>1759</v>
      </c>
      <c r="O10" s="1640"/>
      <c r="P10" s="1639" t="s">
        <v>1760</v>
      </c>
      <c r="Q10" s="1640"/>
      <c r="R10" s="1639" t="s">
        <v>1830</v>
      </c>
      <c r="S10" s="1640"/>
      <c r="T10" s="1656" t="s">
        <v>1918</v>
      </c>
      <c r="U10" s="1657"/>
      <c r="V10" s="1657"/>
      <c r="W10" s="1657"/>
      <c r="X10" s="1657"/>
      <c r="Y10" s="1657"/>
      <c r="Z10" s="1657"/>
      <c r="AA10" s="1657"/>
      <c r="AB10" s="1657"/>
      <c r="AC10" s="1657"/>
      <c r="AD10" s="1657"/>
      <c r="AE10" s="1658"/>
      <c r="AF10" s="1067"/>
      <c r="AG10" s="1067"/>
      <c r="AH10" s="1067"/>
    </row>
    <row r="11" spans="1:35" s="40" customFormat="1" ht="15" customHeight="1">
      <c r="A11" s="1063">
        <v>7</v>
      </c>
      <c r="B11" s="978" t="s">
        <v>1625</v>
      </c>
      <c r="C11" s="1085" t="s">
        <v>2961</v>
      </c>
      <c r="D11" s="979" t="s">
        <v>2557</v>
      </c>
      <c r="E11" s="1641"/>
      <c r="F11" s="1696"/>
      <c r="G11" s="1696"/>
      <c r="H11" s="1696"/>
      <c r="I11" s="1696"/>
      <c r="J11" s="1696"/>
      <c r="K11" s="1696"/>
      <c r="L11" s="1696"/>
      <c r="M11" s="1696"/>
      <c r="N11" s="1696"/>
      <c r="O11" s="1642"/>
      <c r="P11" s="1659" t="s">
        <v>1714</v>
      </c>
      <c r="Q11" s="1659"/>
      <c r="R11" s="1659" t="s">
        <v>1715</v>
      </c>
      <c r="S11" s="1659"/>
      <c r="T11" s="1659" t="s">
        <v>1757</v>
      </c>
      <c r="U11" s="1659"/>
      <c r="V11" s="1659"/>
      <c r="W11" s="1659"/>
      <c r="X11" s="1659"/>
      <c r="Y11" s="1659"/>
      <c r="Z11" s="1659"/>
      <c r="AA11" s="1659"/>
      <c r="AB11" s="1659"/>
      <c r="AC11" s="1659"/>
      <c r="AD11" s="1659"/>
      <c r="AE11" s="1659"/>
      <c r="AF11" s="1083" t="s">
        <v>2904</v>
      </c>
      <c r="AG11" s="1084">
        <v>42887</v>
      </c>
      <c r="AH11" s="1084">
        <v>43647</v>
      </c>
    </row>
    <row r="12" spans="1:35" s="40" customFormat="1" ht="38.25">
      <c r="A12" s="1180">
        <v>8</v>
      </c>
      <c r="B12" s="1072" t="s">
        <v>49</v>
      </c>
      <c r="C12" s="1180" t="s">
        <v>2558</v>
      </c>
      <c r="D12" s="1073" t="s">
        <v>2557</v>
      </c>
      <c r="E12" s="669"/>
      <c r="F12" s="1636" t="s">
        <v>1714</v>
      </c>
      <c r="G12" s="1638"/>
      <c r="H12" s="1639" t="s">
        <v>2020</v>
      </c>
      <c r="I12" s="1640"/>
      <c r="J12" s="1639" t="s">
        <v>1758</v>
      </c>
      <c r="K12" s="1640"/>
      <c r="L12" s="1639" t="s">
        <v>1759</v>
      </c>
      <c r="M12" s="1640"/>
      <c r="N12" s="1639" t="s">
        <v>1760</v>
      </c>
      <c r="O12" s="1640"/>
      <c r="P12" s="1639" t="s">
        <v>1830</v>
      </c>
      <c r="Q12" s="1640"/>
      <c r="R12" s="1656" t="s">
        <v>2753</v>
      </c>
      <c r="S12" s="1657"/>
      <c r="T12" s="1657"/>
      <c r="U12" s="1657"/>
      <c r="V12" s="1657"/>
      <c r="W12" s="1657"/>
      <c r="X12" s="1657"/>
      <c r="Y12" s="1657"/>
      <c r="Z12" s="1657"/>
      <c r="AA12" s="1657"/>
      <c r="AB12" s="1657"/>
      <c r="AC12" s="1657"/>
      <c r="AD12" s="1657"/>
      <c r="AE12" s="1658"/>
      <c r="AF12" s="732" t="s">
        <v>2076</v>
      </c>
      <c r="AG12" s="731">
        <v>41744</v>
      </c>
      <c r="AH12" s="1055">
        <v>42840</v>
      </c>
      <c r="AI12" s="40" t="s">
        <v>2212</v>
      </c>
    </row>
    <row r="13" spans="1:35" s="40" customFormat="1" ht="15" customHeight="1">
      <c r="A13" s="1180">
        <v>9</v>
      </c>
      <c r="B13" s="1072" t="s">
        <v>28</v>
      </c>
      <c r="C13" s="1180" t="s">
        <v>1734</v>
      </c>
      <c r="D13" s="1073" t="s">
        <v>1403</v>
      </c>
      <c r="E13" s="669"/>
      <c r="F13" s="1636" t="s">
        <v>1714</v>
      </c>
      <c r="G13" s="1637"/>
      <c r="H13" s="1638"/>
      <c r="I13" s="1630" t="s">
        <v>1757</v>
      </c>
      <c r="J13" s="1630"/>
      <c r="K13" s="1675" t="s">
        <v>2705</v>
      </c>
      <c r="L13" s="1676"/>
      <c r="M13" s="1676"/>
      <c r="N13" s="1676"/>
      <c r="O13" s="1676"/>
      <c r="P13" s="1676"/>
      <c r="Q13" s="1676"/>
      <c r="R13" s="1676"/>
      <c r="S13" s="1676"/>
      <c r="T13" s="1676"/>
      <c r="U13" s="1676"/>
      <c r="V13" s="1676"/>
      <c r="W13" s="1676"/>
      <c r="X13" s="1676"/>
      <c r="Y13" s="1676"/>
      <c r="Z13" s="1676"/>
      <c r="AA13" s="1676"/>
      <c r="AB13" s="1676"/>
      <c r="AC13" s="1676"/>
      <c r="AD13" s="1676"/>
      <c r="AE13" s="1677"/>
      <c r="AF13" s="1719" t="s">
        <v>1909</v>
      </c>
      <c r="AG13" s="1721">
        <v>42319</v>
      </c>
      <c r="AH13" s="1714">
        <v>42794</v>
      </c>
    </row>
    <row r="14" spans="1:35" s="40" customFormat="1" ht="15" customHeight="1">
      <c r="A14" s="1180">
        <v>10</v>
      </c>
      <c r="B14" s="1072" t="s">
        <v>28</v>
      </c>
      <c r="C14" s="1180" t="s">
        <v>365</v>
      </c>
      <c r="D14" s="1073" t="s">
        <v>1403</v>
      </c>
      <c r="E14" s="669"/>
      <c r="F14" s="1636" t="s">
        <v>1715</v>
      </c>
      <c r="G14" s="1637"/>
      <c r="H14" s="1638"/>
      <c r="I14" s="1630" t="s">
        <v>1758</v>
      </c>
      <c r="J14" s="1630"/>
      <c r="K14" s="1678"/>
      <c r="L14" s="1679"/>
      <c r="M14" s="1679"/>
      <c r="N14" s="1679"/>
      <c r="O14" s="1679"/>
      <c r="P14" s="1679"/>
      <c r="Q14" s="1679"/>
      <c r="R14" s="1679"/>
      <c r="S14" s="1679"/>
      <c r="T14" s="1679"/>
      <c r="U14" s="1679"/>
      <c r="V14" s="1679"/>
      <c r="W14" s="1679"/>
      <c r="X14" s="1679"/>
      <c r="Y14" s="1679"/>
      <c r="Z14" s="1679"/>
      <c r="AA14" s="1679"/>
      <c r="AB14" s="1679"/>
      <c r="AC14" s="1679"/>
      <c r="AD14" s="1679"/>
      <c r="AE14" s="1680"/>
      <c r="AF14" s="1720"/>
      <c r="AG14" s="1720"/>
      <c r="AH14" s="1715"/>
    </row>
    <row r="15" spans="1:35" s="40" customFormat="1" ht="15" customHeight="1">
      <c r="A15" s="1063">
        <v>11</v>
      </c>
      <c r="B15" s="468" t="s">
        <v>95</v>
      </c>
      <c r="C15" s="935" t="s">
        <v>2559</v>
      </c>
      <c r="D15" s="469" t="s">
        <v>671</v>
      </c>
      <c r="E15" s="669"/>
      <c r="F15" s="1636" t="s">
        <v>1714</v>
      </c>
      <c r="G15" s="1637"/>
      <c r="H15" s="1638"/>
      <c r="I15" s="1636" t="s">
        <v>1840</v>
      </c>
      <c r="J15" s="1637"/>
      <c r="K15" s="1636"/>
      <c r="L15" s="1637"/>
      <c r="M15" s="1636"/>
      <c r="N15" s="1637"/>
      <c r="O15" s="969" t="s">
        <v>2326</v>
      </c>
      <c r="P15" s="1630" t="s">
        <v>2375</v>
      </c>
      <c r="Q15" s="1630"/>
      <c r="R15" s="968"/>
      <c r="S15" s="1075"/>
      <c r="T15" s="1075"/>
      <c r="U15" s="1075"/>
      <c r="V15" s="1075"/>
      <c r="W15" s="1075"/>
      <c r="X15" s="1075"/>
      <c r="Y15" s="1075"/>
      <c r="Z15" s="1075"/>
      <c r="AA15" s="1075"/>
      <c r="AB15" s="1075"/>
      <c r="AC15" s="1075"/>
      <c r="AD15" s="1075"/>
      <c r="AE15" s="664"/>
      <c r="AF15" s="1746" t="s">
        <v>2809</v>
      </c>
      <c r="AG15" s="1736">
        <v>42849</v>
      </c>
      <c r="AH15" s="1736">
        <v>43213</v>
      </c>
    </row>
    <row r="16" spans="1:35" s="40" customFormat="1" ht="15" customHeight="1">
      <c r="A16" s="1063">
        <v>12</v>
      </c>
      <c r="B16" s="468" t="s">
        <v>95</v>
      </c>
      <c r="C16" s="935" t="s">
        <v>1735</v>
      </c>
      <c r="D16" s="469" t="s">
        <v>672</v>
      </c>
      <c r="E16" s="669"/>
      <c r="F16" s="1636" t="s">
        <v>1715</v>
      </c>
      <c r="G16" s="1637"/>
      <c r="H16" s="1638"/>
      <c r="I16" s="1636" t="s">
        <v>1842</v>
      </c>
      <c r="J16" s="1637"/>
      <c r="K16" s="1636"/>
      <c r="L16" s="1637"/>
      <c r="M16" s="1636"/>
      <c r="N16" s="1637"/>
      <c r="O16" s="969" t="s">
        <v>2327</v>
      </c>
      <c r="P16" s="1630" t="s">
        <v>2527</v>
      </c>
      <c r="Q16" s="1630"/>
      <c r="R16" s="968"/>
      <c r="S16" s="1075"/>
      <c r="T16" s="1075"/>
      <c r="U16" s="1075"/>
      <c r="V16" s="1075"/>
      <c r="W16" s="1075"/>
      <c r="X16" s="1075"/>
      <c r="Y16" s="1075"/>
      <c r="Z16" s="1075"/>
      <c r="AA16" s="1075"/>
      <c r="AB16" s="1075"/>
      <c r="AC16" s="1075"/>
      <c r="AD16" s="1075"/>
      <c r="AE16" s="664"/>
      <c r="AF16" s="1737"/>
      <c r="AG16" s="1753"/>
      <c r="AH16" s="1753"/>
    </row>
    <row r="17" spans="1:34" s="40" customFormat="1" ht="15" customHeight="1">
      <c r="A17" s="1063">
        <v>13</v>
      </c>
      <c r="B17" s="468" t="s">
        <v>95</v>
      </c>
      <c r="C17" s="935" t="s">
        <v>1736</v>
      </c>
      <c r="D17" s="469" t="s">
        <v>673</v>
      </c>
      <c r="E17" s="669"/>
      <c r="F17" s="1636"/>
      <c r="G17" s="1638"/>
      <c r="H17" s="1639" t="s">
        <v>1757</v>
      </c>
      <c r="I17" s="1640"/>
      <c r="J17" s="1639" t="s">
        <v>1843</v>
      </c>
      <c r="K17" s="1640"/>
      <c r="L17" s="1639"/>
      <c r="M17" s="1640"/>
      <c r="N17" s="1639" t="s">
        <v>2292</v>
      </c>
      <c r="O17" s="1640"/>
      <c r="P17" s="1630" t="s">
        <v>2528</v>
      </c>
      <c r="Q17" s="1630"/>
      <c r="R17" s="670"/>
      <c r="S17" s="666"/>
      <c r="T17" s="666"/>
      <c r="U17" s="666"/>
      <c r="V17" s="666"/>
      <c r="W17" s="666"/>
      <c r="X17" s="666"/>
      <c r="Y17" s="666"/>
      <c r="Z17" s="666"/>
      <c r="AA17" s="666"/>
      <c r="AB17" s="666"/>
      <c r="AC17" s="666"/>
      <c r="AD17" s="666"/>
      <c r="AE17" s="664"/>
      <c r="AF17" s="1737"/>
      <c r="AG17" s="1753"/>
      <c r="AH17" s="1753"/>
    </row>
    <row r="18" spans="1:34" s="40" customFormat="1" ht="15" customHeight="1">
      <c r="A18" s="1063">
        <v>14</v>
      </c>
      <c r="B18" s="468" t="s">
        <v>95</v>
      </c>
      <c r="C18" s="957" t="s">
        <v>1735</v>
      </c>
      <c r="D18" s="469" t="s">
        <v>674</v>
      </c>
      <c r="E18" s="669"/>
      <c r="F18" s="1636" t="s">
        <v>1758</v>
      </c>
      <c r="G18" s="1637"/>
      <c r="H18" s="1638"/>
      <c r="I18" s="1637" t="s">
        <v>1844</v>
      </c>
      <c r="J18" s="1637"/>
      <c r="K18" s="1636"/>
      <c r="L18" s="1637"/>
      <c r="M18" s="1636"/>
      <c r="N18" s="1637"/>
      <c r="O18" s="969" t="s">
        <v>2328</v>
      </c>
      <c r="P18" s="1630" t="s">
        <v>2529</v>
      </c>
      <c r="Q18" s="1630"/>
      <c r="R18" s="968"/>
      <c r="S18" s="1075"/>
      <c r="T18" s="1075"/>
      <c r="U18" s="1075"/>
      <c r="V18" s="1075"/>
      <c r="W18" s="1075"/>
      <c r="X18" s="1075"/>
      <c r="Y18" s="1075"/>
      <c r="Z18" s="1075"/>
      <c r="AA18" s="1075"/>
      <c r="AB18" s="1075"/>
      <c r="AC18" s="1075"/>
      <c r="AD18" s="1075"/>
      <c r="AE18" s="664"/>
      <c r="AF18" s="1737"/>
      <c r="AG18" s="1753"/>
      <c r="AH18" s="1753"/>
    </row>
    <row r="19" spans="1:34" s="40" customFormat="1" ht="15" customHeight="1">
      <c r="A19" s="1063">
        <v>15</v>
      </c>
      <c r="B19" s="468" t="s">
        <v>95</v>
      </c>
      <c r="C19" s="983" t="s">
        <v>2838</v>
      </c>
      <c r="D19" s="469" t="s">
        <v>676</v>
      </c>
      <c r="E19" s="669"/>
      <c r="F19" s="1636" t="s">
        <v>1759</v>
      </c>
      <c r="G19" s="1637"/>
      <c r="H19" s="1638"/>
      <c r="I19" s="1636" t="s">
        <v>1919</v>
      </c>
      <c r="J19" s="1637"/>
      <c r="K19" s="1638"/>
      <c r="L19" s="1639"/>
      <c r="M19" s="1640"/>
      <c r="N19" s="664"/>
      <c r="O19" s="969" t="s">
        <v>2329</v>
      </c>
      <c r="P19" s="1630" t="s">
        <v>2595</v>
      </c>
      <c r="Q19" s="1630"/>
      <c r="R19" s="968"/>
      <c r="S19" s="1075"/>
      <c r="T19" s="1075"/>
      <c r="U19" s="1075"/>
      <c r="V19" s="1075"/>
      <c r="W19" s="1075"/>
      <c r="X19" s="1075"/>
      <c r="Y19" s="1075"/>
      <c r="Z19" s="1075"/>
      <c r="AA19" s="1075"/>
      <c r="AB19" s="1075"/>
      <c r="AC19" s="1075"/>
      <c r="AD19" s="1075"/>
      <c r="AE19" s="664"/>
      <c r="AF19" s="1737"/>
      <c r="AG19" s="1753"/>
      <c r="AH19" s="1753"/>
    </row>
    <row r="20" spans="1:34" s="40" customFormat="1" ht="15" customHeight="1">
      <c r="A20" s="1063">
        <v>16</v>
      </c>
      <c r="B20" s="468" t="s">
        <v>95</v>
      </c>
      <c r="C20" s="935" t="s">
        <v>1737</v>
      </c>
      <c r="D20" s="501" t="s">
        <v>1591</v>
      </c>
      <c r="E20" s="669"/>
      <c r="F20" s="1636" t="s">
        <v>1760</v>
      </c>
      <c r="G20" s="1637"/>
      <c r="H20" s="1638"/>
      <c r="I20" s="1636" t="s">
        <v>1920</v>
      </c>
      <c r="J20" s="1638"/>
      <c r="K20" s="664"/>
      <c r="L20" s="1639"/>
      <c r="M20" s="1640"/>
      <c r="N20" s="670"/>
      <c r="O20" s="969" t="s">
        <v>2330</v>
      </c>
      <c r="P20" s="1630" t="s">
        <v>2596</v>
      </c>
      <c r="Q20" s="1630"/>
      <c r="R20" s="670"/>
      <c r="S20" s="666"/>
      <c r="T20" s="666"/>
      <c r="U20" s="666"/>
      <c r="V20" s="666"/>
      <c r="W20" s="666"/>
      <c r="X20" s="666"/>
      <c r="Y20" s="666"/>
      <c r="Z20" s="666"/>
      <c r="AA20" s="1075"/>
      <c r="AB20" s="1075"/>
      <c r="AC20" s="1075"/>
      <c r="AD20" s="1075"/>
      <c r="AE20" s="664"/>
      <c r="AF20" s="1737"/>
      <c r="AG20" s="1753"/>
      <c r="AH20" s="1753"/>
    </row>
    <row r="21" spans="1:34" s="40" customFormat="1" ht="15" customHeight="1">
      <c r="A21" s="1063">
        <v>17</v>
      </c>
      <c r="B21" s="681" t="s">
        <v>95</v>
      </c>
      <c r="C21" s="935" t="s">
        <v>2560</v>
      </c>
      <c r="D21" s="682" t="s">
        <v>1896</v>
      </c>
      <c r="E21" s="669"/>
      <c r="F21" s="1636" t="s">
        <v>1897</v>
      </c>
      <c r="G21" s="1637"/>
      <c r="H21" s="1638"/>
      <c r="I21" s="1636" t="s">
        <v>1921</v>
      </c>
      <c r="J21" s="1638"/>
      <c r="K21" s="683"/>
      <c r="L21" s="683"/>
      <c r="M21" s="683"/>
      <c r="N21" s="683"/>
      <c r="O21" s="969" t="s">
        <v>2331</v>
      </c>
      <c r="P21" s="1630" t="s">
        <v>2597</v>
      </c>
      <c r="Q21" s="1630"/>
      <c r="R21" s="1060"/>
      <c r="S21" s="1062"/>
      <c r="T21" s="1062"/>
      <c r="U21" s="1062"/>
      <c r="V21" s="1062"/>
      <c r="W21" s="1062"/>
      <c r="X21" s="1062"/>
      <c r="Y21" s="1062"/>
      <c r="Z21" s="1062"/>
      <c r="AA21" s="1059"/>
      <c r="AB21" s="1059"/>
      <c r="AC21" s="1059"/>
      <c r="AD21" s="1059"/>
      <c r="AE21" s="664"/>
      <c r="AF21" s="1737"/>
      <c r="AG21" s="1753"/>
      <c r="AH21" s="1753"/>
    </row>
    <row r="22" spans="1:34" s="40" customFormat="1" ht="15" customHeight="1">
      <c r="A22" s="1063">
        <v>18</v>
      </c>
      <c r="B22" s="956" t="s">
        <v>95</v>
      </c>
      <c r="C22" s="957" t="s">
        <v>2711</v>
      </c>
      <c r="D22" s="957" t="s">
        <v>2712</v>
      </c>
      <c r="E22" s="961"/>
      <c r="F22" s="1635"/>
      <c r="G22" s="1635"/>
      <c r="H22" s="1635"/>
      <c r="I22" s="1635"/>
      <c r="J22" s="1635"/>
      <c r="K22" s="1635"/>
      <c r="L22" s="1635"/>
      <c r="M22" s="1635"/>
      <c r="N22" s="1635"/>
      <c r="O22" s="1635"/>
      <c r="P22" s="1635"/>
      <c r="Q22" s="1635"/>
      <c r="R22" s="1659" t="s">
        <v>2630</v>
      </c>
      <c r="S22" s="1659"/>
      <c r="T22" s="1062"/>
      <c r="U22" s="1062"/>
      <c r="V22" s="1062"/>
      <c r="W22" s="1062"/>
      <c r="X22" s="1062"/>
      <c r="Y22" s="1062"/>
      <c r="Z22" s="1062"/>
      <c r="AA22" s="1059"/>
      <c r="AB22" s="1059"/>
      <c r="AC22" s="1059"/>
      <c r="AD22" s="1059"/>
      <c r="AE22" s="664"/>
      <c r="AF22" s="1738"/>
      <c r="AG22" s="1754"/>
      <c r="AH22" s="1754"/>
    </row>
    <row r="23" spans="1:34" s="40" customFormat="1" ht="15" customHeight="1">
      <c r="A23" s="1063">
        <v>19</v>
      </c>
      <c r="B23" s="468" t="s">
        <v>96</v>
      </c>
      <c r="C23" s="651" t="s">
        <v>1738</v>
      </c>
      <c r="D23" s="469" t="s">
        <v>679</v>
      </c>
      <c r="E23" s="669"/>
      <c r="F23" s="1636" t="s">
        <v>1714</v>
      </c>
      <c r="G23" s="1637"/>
      <c r="H23" s="1638"/>
      <c r="I23" s="1636" t="s">
        <v>1759</v>
      </c>
      <c r="J23" s="1637"/>
      <c r="K23" s="939" t="s">
        <v>1840</v>
      </c>
      <c r="L23" s="1630" t="s">
        <v>1919</v>
      </c>
      <c r="M23" s="1630"/>
      <c r="N23" s="1630" t="s">
        <v>2290</v>
      </c>
      <c r="O23" s="1630"/>
      <c r="P23" s="1731"/>
      <c r="Q23" s="1731"/>
      <c r="R23" s="1731"/>
      <c r="S23" s="1731"/>
      <c r="T23" s="1075"/>
      <c r="U23" s="1075"/>
      <c r="V23" s="1075"/>
      <c r="W23" s="1075"/>
      <c r="X23" s="1075"/>
      <c r="Y23" s="1075"/>
      <c r="Z23" s="1075"/>
      <c r="AA23" s="1075"/>
      <c r="AB23" s="1075"/>
      <c r="AC23" s="1075"/>
      <c r="AD23" s="1075"/>
      <c r="AE23" s="664"/>
      <c r="AF23" s="1746" t="s">
        <v>1910</v>
      </c>
      <c r="AG23" s="1716">
        <v>42256</v>
      </c>
      <c r="AH23" s="1717">
        <v>42986</v>
      </c>
    </row>
    <row r="24" spans="1:34" s="40" customFormat="1" ht="15" customHeight="1">
      <c r="A24" s="1063">
        <v>20</v>
      </c>
      <c r="B24" s="468" t="s">
        <v>96</v>
      </c>
      <c r="C24" s="935" t="s">
        <v>2560</v>
      </c>
      <c r="D24" s="469" t="s">
        <v>680</v>
      </c>
      <c r="E24" s="669"/>
      <c r="F24" s="1641"/>
      <c r="G24" s="1642"/>
      <c r="H24" s="1639" t="s">
        <v>1715</v>
      </c>
      <c r="I24" s="1640"/>
      <c r="J24" s="1639" t="s">
        <v>1760</v>
      </c>
      <c r="K24" s="1640"/>
      <c r="L24" s="1683" t="s">
        <v>2561</v>
      </c>
      <c r="M24" s="1684"/>
      <c r="N24" s="1659" t="s">
        <v>1923</v>
      </c>
      <c r="O24" s="1659"/>
      <c r="P24" s="1659" t="s">
        <v>1926</v>
      </c>
      <c r="Q24" s="1659"/>
      <c r="R24" s="968"/>
      <c r="S24" s="1075"/>
      <c r="T24" s="1075"/>
      <c r="U24" s="1075"/>
      <c r="V24" s="1075"/>
      <c r="W24" s="1075"/>
      <c r="X24" s="1075"/>
      <c r="Y24" s="1075"/>
      <c r="Z24" s="1075"/>
      <c r="AA24" s="1075"/>
      <c r="AB24" s="1075"/>
      <c r="AC24" s="1075"/>
      <c r="AD24" s="666"/>
      <c r="AE24" s="664"/>
      <c r="AF24" s="1737"/>
      <c r="AG24" s="1660"/>
      <c r="AH24" s="1718"/>
    </row>
    <row r="25" spans="1:34" s="40" customFormat="1" ht="15" customHeight="1">
      <c r="A25" s="1063">
        <v>21</v>
      </c>
      <c r="B25" s="468" t="s">
        <v>96</v>
      </c>
      <c r="C25" s="935" t="s">
        <v>2560</v>
      </c>
      <c r="D25" s="935" t="s">
        <v>2562</v>
      </c>
      <c r="E25" s="669"/>
      <c r="F25" s="1641"/>
      <c r="G25" s="1642"/>
      <c r="H25" s="1639" t="s">
        <v>1757</v>
      </c>
      <c r="I25" s="1640"/>
      <c r="J25" s="1639" t="s">
        <v>1830</v>
      </c>
      <c r="K25" s="1640"/>
      <c r="L25" s="1685" t="s">
        <v>2709</v>
      </c>
      <c r="M25" s="1686"/>
      <c r="N25" s="1659" t="s">
        <v>1924</v>
      </c>
      <c r="O25" s="1659"/>
      <c r="P25" s="1659" t="s">
        <v>1927</v>
      </c>
      <c r="Q25" s="1659"/>
      <c r="R25" s="670"/>
      <c r="S25" s="666"/>
      <c r="T25" s="666"/>
      <c r="U25" s="666"/>
      <c r="V25" s="666"/>
      <c r="W25" s="666"/>
      <c r="X25" s="666"/>
      <c r="Y25" s="666"/>
      <c r="Z25" s="666"/>
      <c r="AA25" s="666"/>
      <c r="AB25" s="666"/>
      <c r="AC25" s="666"/>
      <c r="AD25" s="666"/>
      <c r="AE25" s="664"/>
      <c r="AF25" s="1737"/>
      <c r="AG25" s="1660"/>
      <c r="AH25" s="1718"/>
    </row>
    <row r="26" spans="1:34" s="40" customFormat="1" ht="15" customHeight="1">
      <c r="A26" s="1063">
        <v>22</v>
      </c>
      <c r="B26" s="468" t="s">
        <v>96</v>
      </c>
      <c r="C26" s="935" t="s">
        <v>2560</v>
      </c>
      <c r="D26" s="935" t="s">
        <v>2563</v>
      </c>
      <c r="E26" s="669"/>
      <c r="F26" s="1641"/>
      <c r="G26" s="1642"/>
      <c r="H26" s="1639" t="s">
        <v>1758</v>
      </c>
      <c r="I26" s="1640"/>
      <c r="J26" s="1639" t="s">
        <v>1831</v>
      </c>
      <c r="K26" s="1640"/>
      <c r="L26" s="1685" t="s">
        <v>2710</v>
      </c>
      <c r="M26" s="1686"/>
      <c r="N26" s="1659" t="s">
        <v>1925</v>
      </c>
      <c r="O26" s="1659"/>
      <c r="P26" s="1659" t="s">
        <v>1928</v>
      </c>
      <c r="Q26" s="1659"/>
      <c r="R26" s="670"/>
      <c r="S26" s="1075"/>
      <c r="T26" s="1075"/>
      <c r="U26" s="1075"/>
      <c r="V26" s="1075"/>
      <c r="W26" s="666"/>
      <c r="X26" s="666"/>
      <c r="Y26" s="666"/>
      <c r="Z26" s="666"/>
      <c r="AA26" s="666"/>
      <c r="AB26" s="666"/>
      <c r="AC26" s="666"/>
      <c r="AD26" s="666"/>
      <c r="AE26" s="664"/>
      <c r="AF26" s="1738"/>
      <c r="AG26" s="1660"/>
      <c r="AH26" s="1718"/>
    </row>
    <row r="27" spans="1:34" s="40" customFormat="1" ht="25.5">
      <c r="A27" s="960">
        <v>23</v>
      </c>
      <c r="B27" s="468" t="s">
        <v>206</v>
      </c>
      <c r="C27" s="1184" t="s">
        <v>1739</v>
      </c>
      <c r="D27" s="470" t="s">
        <v>681</v>
      </c>
      <c r="E27" s="669"/>
      <c r="F27" s="1636" t="s">
        <v>1714</v>
      </c>
      <c r="G27" s="1637"/>
      <c r="H27" s="1638"/>
      <c r="I27" s="1653" t="s">
        <v>1759</v>
      </c>
      <c r="J27" s="1655"/>
      <c r="K27" s="1653" t="s">
        <v>1840</v>
      </c>
      <c r="L27" s="1655"/>
      <c r="M27" s="1653" t="s">
        <v>1919</v>
      </c>
      <c r="N27" s="1655"/>
      <c r="O27" s="965" t="s">
        <v>1923</v>
      </c>
      <c r="P27" s="1681" t="s">
        <v>2290</v>
      </c>
      <c r="Q27" s="1682"/>
      <c r="R27" s="1076"/>
      <c r="S27" s="1077"/>
      <c r="T27" s="1077"/>
      <c r="U27" s="1077"/>
      <c r="V27" s="1077"/>
      <c r="W27" s="1654"/>
      <c r="X27" s="1654"/>
      <c r="Y27" s="1654"/>
      <c r="Z27" s="1654"/>
      <c r="AA27" s="1654"/>
      <c r="AB27" s="1654"/>
      <c r="AC27" s="1643"/>
      <c r="AD27" s="1643"/>
      <c r="AE27" s="1061"/>
      <c r="AF27" s="1723" t="s">
        <v>1912</v>
      </c>
      <c r="AG27" s="1716">
        <v>42472</v>
      </c>
      <c r="AH27" s="1755">
        <v>42836</v>
      </c>
    </row>
    <row r="28" spans="1:34" s="40" customFormat="1" ht="25.5">
      <c r="A28" s="960">
        <v>24</v>
      </c>
      <c r="B28" s="468" t="s">
        <v>206</v>
      </c>
      <c r="C28" s="1184" t="s">
        <v>1739</v>
      </c>
      <c r="D28" s="470" t="s">
        <v>682</v>
      </c>
      <c r="E28" s="669"/>
      <c r="F28" s="1636" t="s">
        <v>1715</v>
      </c>
      <c r="G28" s="1637"/>
      <c r="H28" s="1638"/>
      <c r="I28" s="1653" t="s">
        <v>1760</v>
      </c>
      <c r="J28" s="1655"/>
      <c r="K28" s="1653" t="s">
        <v>1842</v>
      </c>
      <c r="L28" s="1655"/>
      <c r="M28" s="1653" t="s">
        <v>1920</v>
      </c>
      <c r="N28" s="1655"/>
      <c r="O28" s="965" t="s">
        <v>1924</v>
      </c>
      <c r="P28" s="1681" t="s">
        <v>2291</v>
      </c>
      <c r="Q28" s="1682"/>
      <c r="R28" s="1076"/>
      <c r="S28" s="1077"/>
      <c r="T28" s="1077"/>
      <c r="U28" s="1077"/>
      <c r="V28" s="1077"/>
      <c r="W28" s="1654"/>
      <c r="X28" s="1654"/>
      <c r="Y28" s="1654"/>
      <c r="Z28" s="1654"/>
      <c r="AA28" s="1654"/>
      <c r="AB28" s="1654"/>
      <c r="AC28" s="1643"/>
      <c r="AD28" s="1643"/>
      <c r="AE28" s="1061"/>
      <c r="AF28" s="1735"/>
      <c r="AG28" s="1660"/>
      <c r="AH28" s="1756"/>
    </row>
    <row r="29" spans="1:34" s="40" customFormat="1" ht="25.5">
      <c r="A29" s="1063">
        <v>25</v>
      </c>
      <c r="B29" s="468" t="s">
        <v>206</v>
      </c>
      <c r="C29" s="1184" t="s">
        <v>1739</v>
      </c>
      <c r="D29" s="470" t="s">
        <v>683</v>
      </c>
      <c r="E29" s="669"/>
      <c r="F29" s="1636" t="s">
        <v>1757</v>
      </c>
      <c r="G29" s="1637"/>
      <c r="H29" s="1638"/>
      <c r="I29" s="1653" t="s">
        <v>1830</v>
      </c>
      <c r="J29" s="1655"/>
      <c r="K29" s="1653" t="s">
        <v>1843</v>
      </c>
      <c r="L29" s="1655"/>
      <c r="M29" s="1653" t="s">
        <v>1921</v>
      </c>
      <c r="N29" s="1655"/>
      <c r="O29" s="965" t="s">
        <v>1925</v>
      </c>
      <c r="P29" s="1681" t="s">
        <v>2292</v>
      </c>
      <c r="Q29" s="1682"/>
      <c r="R29" s="1076"/>
      <c r="S29" s="1077"/>
      <c r="T29" s="1077"/>
      <c r="U29" s="1077"/>
      <c r="V29" s="1077"/>
      <c r="W29" s="1654"/>
      <c r="X29" s="1654"/>
      <c r="Y29" s="1654"/>
      <c r="Z29" s="1654"/>
      <c r="AA29" s="1654"/>
      <c r="AB29" s="1654"/>
      <c r="AC29" s="1643"/>
      <c r="AD29" s="1643"/>
      <c r="AE29" s="1061"/>
      <c r="AF29" s="1735"/>
      <c r="AG29" s="1660"/>
      <c r="AH29" s="1756"/>
    </row>
    <row r="30" spans="1:34" s="40" customFormat="1" ht="25.5">
      <c r="A30" s="1063">
        <v>26</v>
      </c>
      <c r="B30" s="468" t="s">
        <v>206</v>
      </c>
      <c r="C30" s="1184" t="s">
        <v>1739</v>
      </c>
      <c r="D30" s="470" t="s">
        <v>684</v>
      </c>
      <c r="E30" s="669"/>
      <c r="F30" s="1636" t="s">
        <v>1758</v>
      </c>
      <c r="G30" s="1637"/>
      <c r="H30" s="1638"/>
      <c r="I30" s="1653" t="s">
        <v>1831</v>
      </c>
      <c r="J30" s="1655"/>
      <c r="K30" s="1653" t="s">
        <v>1844</v>
      </c>
      <c r="L30" s="1655"/>
      <c r="M30" s="1653" t="s">
        <v>1922</v>
      </c>
      <c r="N30" s="1655"/>
      <c r="O30" s="965" t="s">
        <v>1926</v>
      </c>
      <c r="P30" s="1681" t="s">
        <v>2293</v>
      </c>
      <c r="Q30" s="1682"/>
      <c r="R30" s="670"/>
      <c r="S30" s="666"/>
      <c r="T30" s="666"/>
      <c r="U30" s="666"/>
      <c r="V30" s="666"/>
      <c r="W30" s="1654"/>
      <c r="X30" s="1654"/>
      <c r="Y30" s="1654"/>
      <c r="Z30" s="1654"/>
      <c r="AA30" s="1654"/>
      <c r="AB30" s="1654"/>
      <c r="AC30" s="1643"/>
      <c r="AD30" s="1643"/>
      <c r="AE30" s="1061"/>
      <c r="AF30" s="1724"/>
      <c r="AG30" s="1660"/>
      <c r="AH30" s="1756"/>
    </row>
    <row r="31" spans="1:34" s="40" customFormat="1" ht="15" customHeight="1">
      <c r="A31" s="1180">
        <v>27</v>
      </c>
      <c r="B31" s="1072" t="s">
        <v>35</v>
      </c>
      <c r="C31" s="1180" t="s">
        <v>675</v>
      </c>
      <c r="D31" s="1180" t="s">
        <v>685</v>
      </c>
      <c r="E31" s="1641"/>
      <c r="F31" s="1696"/>
      <c r="G31" s="1696"/>
      <c r="H31" s="1696"/>
      <c r="I31" s="1696"/>
      <c r="J31" s="1696"/>
      <c r="K31" s="1696"/>
      <c r="L31" s="1696"/>
      <c r="M31" s="1696"/>
      <c r="N31" s="1696"/>
      <c r="O31" s="1696"/>
      <c r="P31" s="1696"/>
      <c r="Q31" s="1696"/>
      <c r="R31" s="1696"/>
      <c r="S31" s="1696"/>
      <c r="T31" s="1696"/>
      <c r="U31" s="1696"/>
      <c r="V31" s="1696"/>
      <c r="W31" s="1696"/>
      <c r="X31" s="1696"/>
      <c r="Y31" s="1696"/>
      <c r="Z31" s="1696"/>
      <c r="AA31" s="1696"/>
      <c r="AB31" s="1696"/>
      <c r="AC31" s="1696"/>
      <c r="AD31" s="1696"/>
      <c r="AE31" s="1642"/>
      <c r="AF31" s="350"/>
      <c r="AG31" s="251"/>
      <c r="AH31" s="733"/>
    </row>
    <row r="32" spans="1:34" s="40" customFormat="1" ht="15" customHeight="1">
      <c r="A32" s="1063">
        <v>28</v>
      </c>
      <c r="B32" s="473" t="s">
        <v>121</v>
      </c>
      <c r="C32" s="651" t="s">
        <v>1741</v>
      </c>
      <c r="D32" s="656" t="s">
        <v>1740</v>
      </c>
      <c r="E32" s="669"/>
      <c r="F32" s="1644" t="s">
        <v>2080</v>
      </c>
      <c r="G32" s="1645"/>
      <c r="H32" s="1646"/>
      <c r="I32" s="1644" t="s">
        <v>1757</v>
      </c>
      <c r="J32" s="1646"/>
      <c r="K32" s="1644" t="s">
        <v>1758</v>
      </c>
      <c r="L32" s="1646"/>
      <c r="M32" s="1690" t="s">
        <v>2691</v>
      </c>
      <c r="N32" s="1691"/>
      <c r="O32" s="1687" t="s">
        <v>1831</v>
      </c>
      <c r="P32" s="757"/>
      <c r="Q32" s="1081"/>
      <c r="R32" s="1081"/>
      <c r="S32" s="1081"/>
      <c r="T32" s="1081"/>
      <c r="U32" s="1081"/>
      <c r="V32" s="1081"/>
      <c r="W32" s="1081"/>
      <c r="X32" s="1081"/>
      <c r="Y32" s="666"/>
      <c r="Z32" s="666"/>
      <c r="AA32" s="666"/>
      <c r="AB32" s="666"/>
      <c r="AC32" s="666"/>
      <c r="AD32" s="666"/>
      <c r="AE32" s="1061"/>
      <c r="AF32" s="1723" t="s">
        <v>1908</v>
      </c>
      <c r="AG32" s="1736">
        <v>42060</v>
      </c>
      <c r="AH32" s="1736">
        <v>43155</v>
      </c>
    </row>
    <row r="33" spans="1:34" s="40" customFormat="1" ht="15" customHeight="1">
      <c r="A33" s="1063">
        <v>29</v>
      </c>
      <c r="B33" s="473" t="s">
        <v>121</v>
      </c>
      <c r="C33" s="830" t="s">
        <v>2285</v>
      </c>
      <c r="D33" s="656" t="s">
        <v>1742</v>
      </c>
      <c r="E33" s="669"/>
      <c r="F33" s="1647"/>
      <c r="G33" s="1648"/>
      <c r="H33" s="1649"/>
      <c r="I33" s="1647"/>
      <c r="J33" s="1649"/>
      <c r="K33" s="1647"/>
      <c r="L33" s="1649"/>
      <c r="M33" s="1692"/>
      <c r="N33" s="1693"/>
      <c r="O33" s="1688"/>
      <c r="P33" s="670"/>
      <c r="Q33" s="666"/>
      <c r="R33" s="666"/>
      <c r="S33" s="666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1735"/>
      <c r="AG33" s="1735"/>
      <c r="AH33" s="1735"/>
    </row>
    <row r="34" spans="1:34" s="40" customFormat="1" ht="15" customHeight="1">
      <c r="A34" s="1063">
        <v>30</v>
      </c>
      <c r="B34" s="473" t="s">
        <v>121</v>
      </c>
      <c r="C34" s="491" t="s">
        <v>2287</v>
      </c>
      <c r="D34" s="832" t="s">
        <v>2286</v>
      </c>
      <c r="E34" s="831"/>
      <c r="F34" s="1647"/>
      <c r="G34" s="1648"/>
      <c r="H34" s="1649"/>
      <c r="I34" s="1647"/>
      <c r="J34" s="1649"/>
      <c r="K34" s="1647"/>
      <c r="L34" s="1649"/>
      <c r="M34" s="1692"/>
      <c r="N34" s="1693"/>
      <c r="O34" s="1688"/>
      <c r="P34" s="670"/>
      <c r="Q34" s="666"/>
      <c r="R34" s="666"/>
      <c r="S34" s="666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1735"/>
      <c r="AG34" s="1735"/>
      <c r="AH34" s="1735"/>
    </row>
    <row r="35" spans="1:34" s="40" customFormat="1" ht="15" customHeight="1">
      <c r="A35" s="1063">
        <v>31</v>
      </c>
      <c r="B35" s="473" t="s">
        <v>121</v>
      </c>
      <c r="C35" s="830" t="s">
        <v>2289</v>
      </c>
      <c r="D35" s="832" t="s">
        <v>2288</v>
      </c>
      <c r="E35" s="669"/>
      <c r="F35" s="1647"/>
      <c r="G35" s="1648"/>
      <c r="H35" s="1649"/>
      <c r="I35" s="1647"/>
      <c r="J35" s="1649"/>
      <c r="K35" s="1647"/>
      <c r="L35" s="1649"/>
      <c r="M35" s="1694"/>
      <c r="N35" s="1695"/>
      <c r="O35" s="1689"/>
      <c r="P35" s="670"/>
      <c r="Q35" s="666"/>
      <c r="R35" s="666"/>
      <c r="S35" s="666"/>
      <c r="T35" s="666"/>
      <c r="U35" s="666"/>
      <c r="V35" s="666"/>
      <c r="W35" s="1082"/>
      <c r="X35" s="1082"/>
      <c r="Y35" s="1082"/>
      <c r="Z35" s="1082"/>
      <c r="AA35" s="1082"/>
      <c r="AB35" s="1082"/>
      <c r="AC35" s="1082"/>
      <c r="AD35" s="1082"/>
      <c r="AE35" s="1080"/>
      <c r="AF35" s="1735"/>
      <c r="AG35" s="1735"/>
      <c r="AH35" s="1735"/>
    </row>
    <row r="36" spans="1:34" s="40" customFormat="1" ht="15" customHeight="1">
      <c r="A36" s="1063">
        <v>32</v>
      </c>
      <c r="B36" s="473" t="s">
        <v>121</v>
      </c>
      <c r="C36" s="651" t="s">
        <v>1741</v>
      </c>
      <c r="D36" s="656" t="s">
        <v>1743</v>
      </c>
      <c r="E36" s="669"/>
      <c r="F36" s="1650"/>
      <c r="G36" s="1651"/>
      <c r="H36" s="1652"/>
      <c r="I36" s="1650"/>
      <c r="J36" s="1652"/>
      <c r="K36" s="1650"/>
      <c r="L36" s="1652"/>
      <c r="M36" s="831"/>
      <c r="N36" s="831"/>
      <c r="O36" s="831"/>
      <c r="P36" s="831"/>
      <c r="Q36" s="831"/>
      <c r="R36" s="831"/>
      <c r="S36" s="831"/>
      <c r="T36" s="670"/>
      <c r="U36" s="666"/>
      <c r="V36" s="666"/>
      <c r="W36" s="1643"/>
      <c r="X36" s="1643"/>
      <c r="Y36" s="1643"/>
      <c r="Z36" s="1643"/>
      <c r="AA36" s="1643"/>
      <c r="AB36" s="1643"/>
      <c r="AC36" s="1643"/>
      <c r="AD36" s="1643"/>
      <c r="AE36" s="1061"/>
      <c r="AF36" s="1724"/>
      <c r="AG36" s="1724"/>
      <c r="AH36" s="1724"/>
    </row>
    <row r="37" spans="1:34" s="40" customFormat="1" ht="15" customHeight="1">
      <c r="A37" s="1063">
        <v>33</v>
      </c>
      <c r="B37" s="468" t="s">
        <v>151</v>
      </c>
      <c r="C37" s="963" t="s">
        <v>675</v>
      </c>
      <c r="D37" s="469" t="s">
        <v>696</v>
      </c>
      <c r="E37" s="1636" t="s">
        <v>1714</v>
      </c>
      <c r="F37" s="1638"/>
      <c r="G37" s="1636" t="s">
        <v>1715</v>
      </c>
      <c r="H37" s="1638"/>
      <c r="I37" s="1636" t="s">
        <v>1757</v>
      </c>
      <c r="J37" s="1638"/>
      <c r="K37" s="1636" t="s">
        <v>1758</v>
      </c>
      <c r="L37" s="1638"/>
      <c r="M37" s="1653" t="s">
        <v>1759</v>
      </c>
      <c r="N37" s="1654"/>
      <c r="O37" s="1655"/>
      <c r="P37" s="1660" t="s">
        <v>1760</v>
      </c>
      <c r="Q37" s="1660"/>
      <c r="R37" s="1078"/>
      <c r="S37" s="1077"/>
      <c r="T37" s="1079"/>
      <c r="U37" s="1077"/>
      <c r="V37" s="1079"/>
      <c r="W37" s="1077"/>
      <c r="X37" s="1079"/>
      <c r="Y37" s="1077"/>
      <c r="Z37" s="1079"/>
      <c r="AA37" s="1077"/>
      <c r="AB37" s="1079"/>
      <c r="AC37" s="1077"/>
      <c r="AD37" s="1079"/>
      <c r="AE37" s="833"/>
      <c r="AF37" s="688" t="s">
        <v>1912</v>
      </c>
      <c r="AG37" s="694">
        <v>42472</v>
      </c>
      <c r="AH37" s="1055">
        <v>42836</v>
      </c>
    </row>
    <row r="38" spans="1:34" s="40" customFormat="1" ht="15" customHeight="1">
      <c r="A38" s="1063">
        <v>34</v>
      </c>
      <c r="B38" s="468" t="s">
        <v>117</v>
      </c>
      <c r="C38" s="963" t="s">
        <v>675</v>
      </c>
      <c r="D38" s="957" t="s">
        <v>2707</v>
      </c>
      <c r="E38" s="669"/>
      <c r="F38" s="1653" t="s">
        <v>1714</v>
      </c>
      <c r="G38" s="1654"/>
      <c r="H38" s="1655"/>
      <c r="I38" s="1653" t="s">
        <v>1757</v>
      </c>
      <c r="J38" s="1655"/>
      <c r="K38" s="1653" t="s">
        <v>1759</v>
      </c>
      <c r="L38" s="1655"/>
      <c r="M38" s="1653" t="s">
        <v>1830</v>
      </c>
      <c r="N38" s="1655"/>
      <c r="O38" s="965" t="s">
        <v>1840</v>
      </c>
      <c r="P38" s="1710" t="s">
        <v>1843</v>
      </c>
      <c r="Q38" s="1710"/>
      <c r="R38" s="1076"/>
      <c r="S38" s="1077"/>
      <c r="T38" s="1079"/>
      <c r="U38" s="1077"/>
      <c r="V38" s="1079"/>
      <c r="W38" s="1077"/>
      <c r="X38" s="1079"/>
      <c r="Y38" s="1077"/>
      <c r="Z38" s="1079"/>
      <c r="AA38" s="1077"/>
      <c r="AB38" s="1079"/>
      <c r="AC38" s="1077"/>
      <c r="AD38" s="1079"/>
      <c r="AE38" s="1061"/>
      <c r="AF38" s="1723" t="s">
        <v>1912</v>
      </c>
      <c r="AG38" s="1736">
        <v>42472</v>
      </c>
      <c r="AH38" s="1740">
        <v>42836</v>
      </c>
    </row>
    <row r="39" spans="1:34" s="40" customFormat="1" ht="15" customHeight="1">
      <c r="A39" s="1063">
        <v>35</v>
      </c>
      <c r="B39" s="468" t="s">
        <v>117</v>
      </c>
      <c r="C39" s="963" t="s">
        <v>675</v>
      </c>
      <c r="D39" s="957" t="s">
        <v>2708</v>
      </c>
      <c r="E39" s="669"/>
      <c r="F39" s="1653" t="s">
        <v>1715</v>
      </c>
      <c r="G39" s="1654"/>
      <c r="H39" s="1655"/>
      <c r="I39" s="1653" t="s">
        <v>1758</v>
      </c>
      <c r="J39" s="1655"/>
      <c r="K39" s="1653" t="s">
        <v>1760</v>
      </c>
      <c r="L39" s="1655"/>
      <c r="M39" s="1653" t="s">
        <v>1831</v>
      </c>
      <c r="N39" s="1655"/>
      <c r="O39" s="965" t="s">
        <v>1842</v>
      </c>
      <c r="P39" s="1710" t="s">
        <v>1844</v>
      </c>
      <c r="Q39" s="1710"/>
      <c r="R39" s="670"/>
      <c r="S39" s="666"/>
      <c r="T39" s="666"/>
      <c r="U39" s="666"/>
      <c r="V39" s="666"/>
      <c r="W39" s="1077"/>
      <c r="X39" s="1079"/>
      <c r="Y39" s="1077"/>
      <c r="Z39" s="1079"/>
      <c r="AA39" s="1077"/>
      <c r="AB39" s="1079"/>
      <c r="AC39" s="1077"/>
      <c r="AD39" s="1079"/>
      <c r="AE39" s="1061"/>
      <c r="AF39" s="1724"/>
      <c r="AG39" s="1724"/>
      <c r="AH39" s="1741"/>
    </row>
    <row r="40" spans="1:34" s="40" customFormat="1" ht="15" customHeight="1">
      <c r="A40" s="1063">
        <v>36</v>
      </c>
      <c r="B40" s="468" t="s">
        <v>40</v>
      </c>
      <c r="C40" s="938" t="s">
        <v>668</v>
      </c>
      <c r="D40" s="1169" t="s">
        <v>748</v>
      </c>
      <c r="E40" s="669"/>
      <c r="F40" s="1639" t="s">
        <v>1758</v>
      </c>
      <c r="G40" s="1640"/>
      <c r="H40" s="1639" t="s">
        <v>1922</v>
      </c>
      <c r="I40" s="1640"/>
      <c r="J40" s="1639" t="s">
        <v>2410</v>
      </c>
      <c r="K40" s="1643"/>
      <c r="L40" s="1643"/>
      <c r="M40" s="1643"/>
      <c r="N40" s="1643"/>
      <c r="O40" s="1640"/>
      <c r="P40" s="1639" t="s">
        <v>2719</v>
      </c>
      <c r="Q40" s="1643"/>
      <c r="R40" s="1643"/>
      <c r="S40" s="1643"/>
      <c r="T40" s="1643"/>
      <c r="U40" s="1640"/>
      <c r="V40" s="1639"/>
      <c r="W40" s="1640"/>
      <c r="X40" s="1639"/>
      <c r="Y40" s="1640"/>
      <c r="Z40" s="1639"/>
      <c r="AA40" s="1640"/>
      <c r="AB40" s="1639"/>
      <c r="AC40" s="1640"/>
      <c r="AD40" s="1639"/>
      <c r="AE40" s="1640"/>
      <c r="AF40" s="1746" t="s">
        <v>2810</v>
      </c>
      <c r="AG40" s="1742">
        <v>42856</v>
      </c>
      <c r="AH40" s="1742">
        <v>43220</v>
      </c>
    </row>
    <row r="41" spans="1:34" s="40" customFormat="1" ht="15" customHeight="1">
      <c r="A41" s="1063">
        <v>37</v>
      </c>
      <c r="B41" s="468" t="s">
        <v>40</v>
      </c>
      <c r="C41" s="938" t="s">
        <v>1744</v>
      </c>
      <c r="D41" s="1169" t="s">
        <v>749</v>
      </c>
      <c r="E41" s="669"/>
      <c r="F41" s="1639" t="s">
        <v>1714</v>
      </c>
      <c r="G41" s="1640"/>
      <c r="H41" s="1639" t="s">
        <v>1919</v>
      </c>
      <c r="I41" s="1640"/>
      <c r="J41" s="1639" t="s">
        <v>2290</v>
      </c>
      <c r="K41" s="1643"/>
      <c r="L41" s="1643"/>
      <c r="M41" s="1643"/>
      <c r="N41" s="1643"/>
      <c r="O41" s="1640"/>
      <c r="P41" s="1639" t="s">
        <v>2595</v>
      </c>
      <c r="Q41" s="1643"/>
      <c r="R41" s="1643"/>
      <c r="S41" s="1643"/>
      <c r="T41" s="1643"/>
      <c r="U41" s="1640"/>
      <c r="V41" s="670"/>
      <c r="W41" s="664"/>
      <c r="X41" s="670"/>
      <c r="Y41" s="664"/>
      <c r="Z41" s="670"/>
      <c r="AA41" s="664"/>
      <c r="AB41" s="670"/>
      <c r="AC41" s="664"/>
      <c r="AD41" s="689"/>
      <c r="AE41" s="690"/>
      <c r="AF41" s="1737"/>
      <c r="AG41" s="1739"/>
      <c r="AH41" s="1739"/>
    </row>
    <row r="42" spans="1:34" s="40" customFormat="1" ht="15" customHeight="1">
      <c r="A42" s="1063">
        <v>38</v>
      </c>
      <c r="B42" s="681" t="s">
        <v>40</v>
      </c>
      <c r="C42" s="938" t="s">
        <v>675</v>
      </c>
      <c r="D42" s="1169" t="s">
        <v>1899</v>
      </c>
      <c r="E42" s="669"/>
      <c r="F42" s="1639" t="s">
        <v>1900</v>
      </c>
      <c r="G42" s="1640"/>
      <c r="H42" s="1639" t="s">
        <v>2375</v>
      </c>
      <c r="I42" s="1640"/>
      <c r="J42" s="1639" t="s">
        <v>2328</v>
      </c>
      <c r="K42" s="1643"/>
      <c r="L42" s="1643"/>
      <c r="M42" s="1643"/>
      <c r="N42" s="1643"/>
      <c r="O42" s="1640"/>
      <c r="P42" s="1639" t="s">
        <v>2630</v>
      </c>
      <c r="Q42" s="1643"/>
      <c r="R42" s="1643"/>
      <c r="S42" s="1643"/>
      <c r="T42" s="1643"/>
      <c r="U42" s="1640"/>
      <c r="V42" s="689"/>
      <c r="W42" s="690"/>
      <c r="X42" s="689"/>
      <c r="Y42" s="690"/>
      <c r="Z42" s="689"/>
      <c r="AA42" s="690"/>
      <c r="AB42" s="689"/>
      <c r="AC42" s="691"/>
      <c r="AD42" s="689"/>
      <c r="AE42" s="690"/>
      <c r="AF42" s="1737"/>
      <c r="AG42" s="1739"/>
      <c r="AH42" s="1739"/>
    </row>
    <row r="43" spans="1:34" s="40" customFormat="1" ht="15" customHeight="1">
      <c r="A43" s="1063">
        <v>39</v>
      </c>
      <c r="B43" s="468" t="s">
        <v>40</v>
      </c>
      <c r="C43" s="938" t="s">
        <v>1744</v>
      </c>
      <c r="D43" s="1169" t="s">
        <v>750</v>
      </c>
      <c r="E43" s="669"/>
      <c r="F43" s="1639" t="s">
        <v>1715</v>
      </c>
      <c r="G43" s="1640"/>
      <c r="H43" s="1639" t="s">
        <v>1920</v>
      </c>
      <c r="I43" s="1640"/>
      <c r="J43" s="1639" t="s">
        <v>2291</v>
      </c>
      <c r="K43" s="1643"/>
      <c r="L43" s="1643"/>
      <c r="M43" s="1643"/>
      <c r="N43" s="1643"/>
      <c r="O43" s="1640"/>
      <c r="P43" s="1639" t="s">
        <v>2596</v>
      </c>
      <c r="Q43" s="1643"/>
      <c r="R43" s="1643"/>
      <c r="S43" s="1643"/>
      <c r="T43" s="1643"/>
      <c r="U43" s="1640"/>
      <c r="V43" s="1639"/>
      <c r="W43" s="1640"/>
      <c r="X43" s="1639"/>
      <c r="Y43" s="1640"/>
      <c r="Z43" s="1639"/>
      <c r="AA43" s="1640"/>
      <c r="AB43" s="1639"/>
      <c r="AC43" s="1643"/>
      <c r="AD43" s="689"/>
      <c r="AE43" s="690"/>
      <c r="AF43" s="1737"/>
      <c r="AG43" s="1739"/>
      <c r="AH43" s="1739"/>
    </row>
    <row r="44" spans="1:34" s="40" customFormat="1" ht="15" customHeight="1">
      <c r="A44" s="1063">
        <v>40</v>
      </c>
      <c r="B44" s="468" t="s">
        <v>40</v>
      </c>
      <c r="C44" s="938" t="s">
        <v>1744</v>
      </c>
      <c r="D44" s="1169" t="s">
        <v>751</v>
      </c>
      <c r="E44" s="669"/>
      <c r="F44" s="1639" t="s">
        <v>1757</v>
      </c>
      <c r="G44" s="1640"/>
      <c r="H44" s="1639" t="s">
        <v>1921</v>
      </c>
      <c r="I44" s="1640"/>
      <c r="J44" s="1639" t="s">
        <v>2292</v>
      </c>
      <c r="K44" s="1643"/>
      <c r="L44" s="1643"/>
      <c r="M44" s="1643"/>
      <c r="N44" s="1643"/>
      <c r="O44" s="1640"/>
      <c r="P44" s="1659" t="s">
        <v>2750</v>
      </c>
      <c r="Q44" s="1659"/>
      <c r="R44" s="1659"/>
      <c r="S44" s="1659"/>
      <c r="T44" s="1659"/>
      <c r="U44" s="1659"/>
      <c r="V44" s="666"/>
      <c r="W44" s="664"/>
      <c r="X44" s="1639"/>
      <c r="Y44" s="1640"/>
      <c r="Z44" s="1639"/>
      <c r="AA44" s="1640"/>
      <c r="AB44" s="1639"/>
      <c r="AC44" s="1643"/>
      <c r="AD44" s="689"/>
      <c r="AE44" s="690"/>
      <c r="AF44" s="1737"/>
      <c r="AG44" s="1739"/>
      <c r="AH44" s="1739"/>
    </row>
    <row r="45" spans="1:34" s="40" customFormat="1" ht="15" customHeight="1">
      <c r="A45" s="1063">
        <v>41</v>
      </c>
      <c r="B45" s="956" t="s">
        <v>40</v>
      </c>
      <c r="C45" s="960" t="s">
        <v>1747</v>
      </c>
      <c r="D45" s="1169" t="s">
        <v>2702</v>
      </c>
      <c r="E45" s="961"/>
      <c r="F45" s="1641"/>
      <c r="G45" s="1642"/>
      <c r="H45" s="1641"/>
      <c r="I45" s="1642"/>
      <c r="J45" s="1641"/>
      <c r="K45" s="1642"/>
      <c r="L45" s="1641"/>
      <c r="M45" s="1642"/>
      <c r="N45" s="1641"/>
      <c r="O45" s="1642"/>
      <c r="P45" s="1639" t="s">
        <v>2751</v>
      </c>
      <c r="Q45" s="1643"/>
      <c r="R45" s="1643"/>
      <c r="S45" s="1643"/>
      <c r="T45" s="1643"/>
      <c r="U45" s="1640"/>
      <c r="V45" s="958"/>
      <c r="W45" s="959"/>
      <c r="X45" s="958"/>
      <c r="Y45" s="959"/>
      <c r="Z45" s="958"/>
      <c r="AA45" s="959"/>
      <c r="AB45" s="958"/>
      <c r="AC45" s="962"/>
      <c r="AD45" s="958"/>
      <c r="AE45" s="959"/>
      <c r="AF45" s="1737"/>
      <c r="AG45" s="1739"/>
      <c r="AH45" s="1739"/>
    </row>
    <row r="46" spans="1:34" s="40" customFormat="1" ht="15" customHeight="1">
      <c r="A46" s="1063">
        <v>42</v>
      </c>
      <c r="B46" s="468" t="s">
        <v>40</v>
      </c>
      <c r="C46" s="938" t="s">
        <v>668</v>
      </c>
      <c r="D46" s="1169" t="s">
        <v>752</v>
      </c>
      <c r="E46" s="669"/>
      <c r="F46" s="1636" t="s">
        <v>1759</v>
      </c>
      <c r="G46" s="1638"/>
      <c r="H46" s="1639" t="s">
        <v>1923</v>
      </c>
      <c r="I46" s="1640"/>
      <c r="J46" s="1639" t="s">
        <v>2294</v>
      </c>
      <c r="K46" s="1643"/>
      <c r="L46" s="1643"/>
      <c r="M46" s="1643"/>
      <c r="N46" s="1643"/>
      <c r="O46" s="1640"/>
      <c r="P46" s="1639" t="s">
        <v>2720</v>
      </c>
      <c r="Q46" s="1643"/>
      <c r="R46" s="1643"/>
      <c r="S46" s="1643"/>
      <c r="T46" s="1643"/>
      <c r="U46" s="1640"/>
      <c r="V46" s="1639"/>
      <c r="W46" s="1640"/>
      <c r="X46" s="1639"/>
      <c r="Y46" s="1640"/>
      <c r="Z46" s="1639"/>
      <c r="AA46" s="1640"/>
      <c r="AB46" s="1639"/>
      <c r="AC46" s="1640"/>
      <c r="AD46" s="689"/>
      <c r="AE46" s="690"/>
      <c r="AF46" s="1737"/>
      <c r="AG46" s="1739"/>
      <c r="AH46" s="1739"/>
    </row>
    <row r="47" spans="1:34" s="40" customFormat="1" ht="15" customHeight="1">
      <c r="A47" s="1063">
        <v>43</v>
      </c>
      <c r="B47" s="468" t="s">
        <v>40</v>
      </c>
      <c r="C47" s="938" t="s">
        <v>668</v>
      </c>
      <c r="D47" s="1169" t="s">
        <v>753</v>
      </c>
      <c r="E47" s="669"/>
      <c r="F47" s="1636" t="s">
        <v>1760</v>
      </c>
      <c r="G47" s="1638"/>
      <c r="H47" s="1639" t="s">
        <v>1924</v>
      </c>
      <c r="I47" s="1640"/>
      <c r="J47" s="1639" t="s">
        <v>2295</v>
      </c>
      <c r="K47" s="1643"/>
      <c r="L47" s="1643"/>
      <c r="M47" s="1643"/>
      <c r="N47" s="1643"/>
      <c r="O47" s="1640"/>
      <c r="P47" s="1639" t="s">
        <v>2721</v>
      </c>
      <c r="Q47" s="1643"/>
      <c r="R47" s="1643"/>
      <c r="S47" s="1643"/>
      <c r="T47" s="1643"/>
      <c r="U47" s="1640"/>
      <c r="V47" s="1639"/>
      <c r="W47" s="1640"/>
      <c r="X47" s="1639"/>
      <c r="Y47" s="1640"/>
      <c r="Z47" s="1639"/>
      <c r="AA47" s="1640"/>
      <c r="AB47" s="1639"/>
      <c r="AC47" s="1640"/>
      <c r="AD47" s="689"/>
      <c r="AE47" s="690"/>
      <c r="AF47" s="1737"/>
      <c r="AG47" s="1739"/>
      <c r="AH47" s="1739"/>
    </row>
    <row r="48" spans="1:34" s="40" customFormat="1" ht="15" customHeight="1">
      <c r="A48" s="1063">
        <v>44</v>
      </c>
      <c r="B48" s="468" t="s">
        <v>40</v>
      </c>
      <c r="C48" s="938" t="s">
        <v>668</v>
      </c>
      <c r="D48" s="1169" t="s">
        <v>754</v>
      </c>
      <c r="E48" s="669"/>
      <c r="F48" s="1669" t="s">
        <v>1831</v>
      </c>
      <c r="G48" s="1670"/>
      <c r="H48" s="1639" t="s">
        <v>1926</v>
      </c>
      <c r="I48" s="1640"/>
      <c r="J48" s="1661" t="s">
        <v>2326</v>
      </c>
      <c r="K48" s="1662"/>
      <c r="L48" s="1662"/>
      <c r="M48" s="1662"/>
      <c r="N48" s="1662"/>
      <c r="O48" s="1663"/>
      <c r="P48" s="1661" t="s">
        <v>2723</v>
      </c>
      <c r="Q48" s="1662"/>
      <c r="R48" s="1662"/>
      <c r="S48" s="1662"/>
      <c r="T48" s="1662"/>
      <c r="U48" s="1663"/>
      <c r="V48" s="1639"/>
      <c r="W48" s="1640"/>
      <c r="X48" s="1639"/>
      <c r="Y48" s="1640"/>
      <c r="Z48" s="1699"/>
      <c r="AA48" s="1700"/>
      <c r="AB48" s="1639"/>
      <c r="AC48" s="1640"/>
      <c r="AD48" s="1639"/>
      <c r="AE48" s="1640"/>
      <c r="AF48" s="1737"/>
      <c r="AG48" s="1739"/>
      <c r="AH48" s="1739"/>
    </row>
    <row r="49" spans="1:35" s="40" customFormat="1" ht="15" customHeight="1">
      <c r="A49" s="1063">
        <v>45</v>
      </c>
      <c r="B49" s="468" t="s">
        <v>40</v>
      </c>
      <c r="C49" s="938" t="s">
        <v>747</v>
      </c>
      <c r="D49" s="1169" t="s">
        <v>754</v>
      </c>
      <c r="E49" s="669"/>
      <c r="F49" s="1671"/>
      <c r="G49" s="1672"/>
      <c r="H49" s="1639"/>
      <c r="I49" s="1640"/>
      <c r="J49" s="1664"/>
      <c r="K49" s="1665"/>
      <c r="L49" s="1665"/>
      <c r="M49" s="1665"/>
      <c r="N49" s="1665"/>
      <c r="O49" s="1666"/>
      <c r="P49" s="1664"/>
      <c r="Q49" s="1665"/>
      <c r="R49" s="1665"/>
      <c r="S49" s="1665"/>
      <c r="T49" s="1665"/>
      <c r="U49" s="1666"/>
      <c r="V49" s="1639"/>
      <c r="W49" s="1640"/>
      <c r="X49" s="1639"/>
      <c r="Y49" s="1640"/>
      <c r="Z49" s="1701"/>
      <c r="AA49" s="1702"/>
      <c r="AB49" s="1639"/>
      <c r="AC49" s="1640"/>
      <c r="AD49" s="1639"/>
      <c r="AE49" s="1640"/>
      <c r="AF49" s="1737"/>
      <c r="AG49" s="1739"/>
      <c r="AH49" s="1739"/>
    </row>
    <row r="50" spans="1:35" s="40" customFormat="1" ht="15" customHeight="1">
      <c r="A50" s="1063">
        <v>46</v>
      </c>
      <c r="B50" s="468" t="s">
        <v>40</v>
      </c>
      <c r="C50" s="938" t="s">
        <v>668</v>
      </c>
      <c r="D50" s="1169" t="s">
        <v>755</v>
      </c>
      <c r="E50" s="669"/>
      <c r="F50" s="1667" t="s">
        <v>1898</v>
      </c>
      <c r="G50" s="1668"/>
      <c r="H50" s="1639" t="s">
        <v>1925</v>
      </c>
      <c r="I50" s="1640"/>
      <c r="J50" s="1639" t="s">
        <v>2409</v>
      </c>
      <c r="K50" s="1643"/>
      <c r="L50" s="1643"/>
      <c r="M50" s="1643"/>
      <c r="N50" s="1643"/>
      <c r="O50" s="1640"/>
      <c r="P50" s="1639" t="s">
        <v>2722</v>
      </c>
      <c r="Q50" s="1643"/>
      <c r="R50" s="1643"/>
      <c r="S50" s="1643"/>
      <c r="T50" s="1643"/>
      <c r="U50" s="1640"/>
      <c r="V50" s="1639"/>
      <c r="W50" s="1640"/>
      <c r="X50" s="1639"/>
      <c r="Y50" s="1640"/>
      <c r="Z50" s="1639"/>
      <c r="AA50" s="1640"/>
      <c r="AB50" s="1639"/>
      <c r="AC50" s="1640"/>
      <c r="AD50" s="689"/>
      <c r="AE50" s="690"/>
      <c r="AF50" s="1737"/>
      <c r="AG50" s="1739"/>
      <c r="AH50" s="1739"/>
    </row>
    <row r="51" spans="1:35" s="40" customFormat="1" ht="15" customHeight="1">
      <c r="A51" s="1063">
        <v>47</v>
      </c>
      <c r="B51" s="468" t="s">
        <v>40</v>
      </c>
      <c r="C51" s="1189" t="s">
        <v>2727</v>
      </c>
      <c r="D51" s="971" t="s">
        <v>671</v>
      </c>
      <c r="E51" s="669"/>
      <c r="F51" s="1636" t="s">
        <v>1840</v>
      </c>
      <c r="G51" s="1638"/>
      <c r="H51" s="1639" t="s">
        <v>1927</v>
      </c>
      <c r="I51" s="1640"/>
      <c r="J51" s="1639" t="s">
        <v>2327</v>
      </c>
      <c r="K51" s="1643"/>
      <c r="L51" s="1643"/>
      <c r="M51" s="1643"/>
      <c r="N51" s="1643"/>
      <c r="O51" s="1640"/>
      <c r="P51" s="1639" t="s">
        <v>2724</v>
      </c>
      <c r="Q51" s="1643"/>
      <c r="R51" s="1643"/>
      <c r="S51" s="1643"/>
      <c r="T51" s="1643"/>
      <c r="U51" s="1640"/>
      <c r="V51" s="1639"/>
      <c r="W51" s="1640"/>
      <c r="X51" s="1639"/>
      <c r="Y51" s="1640"/>
      <c r="Z51" s="1639"/>
      <c r="AA51" s="1640"/>
      <c r="AB51" s="1639"/>
      <c r="AC51" s="1640"/>
      <c r="AD51" s="689"/>
      <c r="AE51" s="690"/>
      <c r="AF51" s="1737"/>
      <c r="AG51" s="1739"/>
      <c r="AH51" s="1739"/>
    </row>
    <row r="52" spans="1:35" s="40" customFormat="1" ht="15" customHeight="1">
      <c r="A52" s="1063">
        <v>48</v>
      </c>
      <c r="B52" s="702" t="s">
        <v>40</v>
      </c>
      <c r="C52" s="704" t="s">
        <v>1929</v>
      </c>
      <c r="D52" s="703" t="s">
        <v>14</v>
      </c>
      <c r="E52" s="707"/>
      <c r="F52" s="1641"/>
      <c r="G52" s="1696"/>
      <c r="H52" s="1639" t="s">
        <v>1928</v>
      </c>
      <c r="I52" s="1640"/>
      <c r="J52" s="705"/>
      <c r="K52" s="706"/>
      <c r="L52" s="705"/>
      <c r="M52" s="706"/>
      <c r="N52" s="705"/>
      <c r="O52" s="706"/>
      <c r="P52" s="705"/>
      <c r="Q52" s="706"/>
      <c r="R52" s="705"/>
      <c r="S52" s="706"/>
      <c r="T52" s="705"/>
      <c r="U52" s="706"/>
      <c r="V52" s="705"/>
      <c r="W52" s="706"/>
      <c r="X52" s="705"/>
      <c r="Y52" s="706"/>
      <c r="Z52" s="705"/>
      <c r="AA52" s="706"/>
      <c r="AB52" s="705"/>
      <c r="AC52" s="706"/>
      <c r="AD52" s="705"/>
      <c r="AE52" s="706"/>
      <c r="AF52" s="1738"/>
      <c r="AG52" s="1743"/>
      <c r="AH52" s="1743"/>
    </row>
    <row r="53" spans="1:35" s="40" customFormat="1" ht="15" customHeight="1">
      <c r="A53" s="1063">
        <v>49</v>
      </c>
      <c r="B53" s="468" t="s">
        <v>128</v>
      </c>
      <c r="C53" s="938" t="s">
        <v>2706</v>
      </c>
      <c r="D53" s="470" t="s">
        <v>698</v>
      </c>
      <c r="E53" s="669"/>
      <c r="F53" s="1653" t="s">
        <v>1714</v>
      </c>
      <c r="G53" s="1654"/>
      <c r="H53" s="1655"/>
      <c r="I53" s="1660" t="s">
        <v>1715</v>
      </c>
      <c r="J53" s="1660"/>
      <c r="K53" s="1660" t="s">
        <v>1757</v>
      </c>
      <c r="L53" s="1660"/>
      <c r="M53" s="1660" t="s">
        <v>1758</v>
      </c>
      <c r="N53" s="1660"/>
      <c r="O53" s="954" t="s">
        <v>1759</v>
      </c>
      <c r="P53" s="1660" t="s">
        <v>1760</v>
      </c>
      <c r="Q53" s="1660"/>
      <c r="R53" s="667"/>
      <c r="S53" s="1077"/>
      <c r="T53" s="1077"/>
      <c r="U53" s="1077"/>
      <c r="V53" s="1077"/>
      <c r="W53" s="1077"/>
      <c r="X53" s="1077"/>
      <c r="Y53" s="1077"/>
      <c r="Z53" s="1077"/>
      <c r="AA53" s="1077"/>
      <c r="AB53" s="1077"/>
      <c r="AC53" s="1077"/>
      <c r="AD53" s="1077"/>
      <c r="AE53" s="1061"/>
      <c r="AF53" s="693" t="s">
        <v>1906</v>
      </c>
      <c r="AG53" s="694">
        <v>42171</v>
      </c>
      <c r="AH53" s="952">
        <v>42901</v>
      </c>
    </row>
    <row r="54" spans="1:35" s="40" customFormat="1" ht="15" customHeight="1">
      <c r="A54" s="1063">
        <v>50</v>
      </c>
      <c r="B54" s="687" t="s">
        <v>159</v>
      </c>
      <c r="C54" s="938" t="s">
        <v>1406</v>
      </c>
      <c r="D54" s="688" t="s">
        <v>1407</v>
      </c>
      <c r="E54" s="700"/>
      <c r="F54" s="1639" t="s">
        <v>1761</v>
      </c>
      <c r="G54" s="1640"/>
      <c r="H54" s="1639" t="s">
        <v>1715</v>
      </c>
      <c r="I54" s="1640"/>
      <c r="J54" s="1639" t="s">
        <v>1759</v>
      </c>
      <c r="K54" s="1640"/>
      <c r="L54" s="1639" t="s">
        <v>1831</v>
      </c>
      <c r="M54" s="1640"/>
      <c r="N54" s="1639" t="s">
        <v>1843</v>
      </c>
      <c r="O54" s="1640"/>
      <c r="P54" s="1639" t="s">
        <v>1920</v>
      </c>
      <c r="Q54" s="1640"/>
      <c r="R54" s="670"/>
      <c r="S54" s="666"/>
      <c r="T54" s="666"/>
      <c r="U54" s="666"/>
      <c r="V54" s="666"/>
      <c r="W54" s="666"/>
      <c r="X54" s="666"/>
      <c r="Y54" s="666"/>
      <c r="Z54" s="666"/>
      <c r="AA54" s="666"/>
      <c r="AB54" s="666"/>
      <c r="AC54" s="666"/>
      <c r="AD54" s="666"/>
      <c r="AE54" s="664"/>
      <c r="AF54" s="1737" t="s">
        <v>2075</v>
      </c>
      <c r="AG54" s="1739">
        <v>42675</v>
      </c>
      <c r="AH54" s="1739">
        <v>43038</v>
      </c>
    </row>
    <row r="55" spans="1:35" s="40" customFormat="1" ht="15" customHeight="1">
      <c r="A55" s="1063">
        <v>51</v>
      </c>
      <c r="B55" s="687" t="s">
        <v>159</v>
      </c>
      <c r="C55" s="938" t="s">
        <v>1408</v>
      </c>
      <c r="D55" s="688" t="s">
        <v>1409</v>
      </c>
      <c r="E55" s="1653" t="s">
        <v>1917</v>
      </c>
      <c r="F55" s="1655"/>
      <c r="G55" s="1639" t="s">
        <v>1714</v>
      </c>
      <c r="H55" s="1640"/>
      <c r="I55" s="1639" t="s">
        <v>1758</v>
      </c>
      <c r="J55" s="1640"/>
      <c r="K55" s="1639" t="s">
        <v>1830</v>
      </c>
      <c r="L55" s="1640"/>
      <c r="M55" s="1639" t="s">
        <v>1842</v>
      </c>
      <c r="N55" s="1640"/>
      <c r="O55" s="1639" t="s">
        <v>1919</v>
      </c>
      <c r="P55" s="1643"/>
      <c r="Q55" s="1640"/>
      <c r="R55" s="670"/>
      <c r="S55" s="666"/>
      <c r="T55" s="666"/>
      <c r="U55" s="666"/>
      <c r="V55" s="666"/>
      <c r="W55" s="666"/>
      <c r="X55" s="666"/>
      <c r="Y55" s="666"/>
      <c r="Z55" s="666"/>
      <c r="AA55" s="666"/>
      <c r="AB55" s="666"/>
      <c r="AC55" s="666"/>
      <c r="AD55" s="666"/>
      <c r="AE55" s="1061"/>
      <c r="AF55" s="1737"/>
      <c r="AG55" s="1737"/>
      <c r="AH55" s="1737"/>
    </row>
    <row r="56" spans="1:35" s="40" customFormat="1" ht="15" customHeight="1">
      <c r="A56" s="1063">
        <v>52</v>
      </c>
      <c r="B56" s="687" t="s">
        <v>159</v>
      </c>
      <c r="C56" s="938" t="s">
        <v>1405</v>
      </c>
      <c r="D56" s="688" t="s">
        <v>710</v>
      </c>
      <c r="E56" s="1641"/>
      <c r="F56" s="1642"/>
      <c r="G56" s="1639" t="s">
        <v>1762</v>
      </c>
      <c r="H56" s="1640"/>
      <c r="I56" s="1639" t="s">
        <v>1757</v>
      </c>
      <c r="J56" s="1640"/>
      <c r="K56" s="1639" t="s">
        <v>1760</v>
      </c>
      <c r="L56" s="1640"/>
      <c r="M56" s="1639" t="s">
        <v>1840</v>
      </c>
      <c r="N56" s="1640"/>
      <c r="O56" s="1639" t="s">
        <v>1844</v>
      </c>
      <c r="P56" s="1640"/>
      <c r="Q56" s="955" t="s">
        <v>1921</v>
      </c>
      <c r="R56" s="670"/>
      <c r="S56" s="666"/>
      <c r="T56" s="666"/>
      <c r="U56" s="666"/>
      <c r="V56" s="666"/>
      <c r="W56" s="666"/>
      <c r="X56" s="666"/>
      <c r="Y56" s="666"/>
      <c r="Z56" s="666"/>
      <c r="AA56" s="666"/>
      <c r="AB56" s="666"/>
      <c r="AC56" s="666"/>
      <c r="AD56" s="666"/>
      <c r="AE56" s="668"/>
      <c r="AF56" s="1738"/>
      <c r="AG56" s="1738"/>
      <c r="AH56" s="1738"/>
    </row>
    <row r="57" spans="1:35" s="40" customFormat="1" ht="15" customHeight="1">
      <c r="A57" s="1175"/>
      <c r="B57" s="1168" t="s">
        <v>159</v>
      </c>
      <c r="C57" s="938" t="s">
        <v>3018</v>
      </c>
      <c r="D57" s="1175" t="s">
        <v>3019</v>
      </c>
      <c r="E57" s="1172"/>
      <c r="F57" s="1178"/>
      <c r="G57" s="1173"/>
      <c r="H57" s="1171"/>
      <c r="I57" s="1170"/>
      <c r="J57" s="1171"/>
      <c r="K57" s="1170"/>
      <c r="L57" s="1171"/>
      <c r="M57" s="1170"/>
      <c r="N57" s="1171"/>
      <c r="O57" s="1170"/>
      <c r="P57" s="1171"/>
      <c r="Q57" s="955"/>
      <c r="R57" s="670"/>
      <c r="S57" s="666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8"/>
      <c r="AF57" s="1181"/>
      <c r="AG57" s="1182"/>
      <c r="AH57" s="1182"/>
    </row>
    <row r="58" spans="1:35" s="40" customFormat="1" ht="15" customHeight="1">
      <c r="A58" s="1063">
        <v>53</v>
      </c>
      <c r="B58" s="468" t="s">
        <v>164</v>
      </c>
      <c r="C58" s="938" t="s">
        <v>1745</v>
      </c>
      <c r="D58" s="496" t="s">
        <v>698</v>
      </c>
      <c r="E58" s="669"/>
      <c r="F58" s="1653" t="s">
        <v>1714</v>
      </c>
      <c r="G58" s="1654"/>
      <c r="H58" s="1655"/>
      <c r="I58" s="1660" t="s">
        <v>1757</v>
      </c>
      <c r="J58" s="1660"/>
      <c r="K58" s="1660" t="s">
        <v>1759</v>
      </c>
      <c r="L58" s="1660"/>
      <c r="M58" s="1639" t="s">
        <v>1830</v>
      </c>
      <c r="N58" s="1640"/>
      <c r="O58" s="1639" t="s">
        <v>1840</v>
      </c>
      <c r="P58" s="1640"/>
      <c r="Q58" s="966" t="s">
        <v>1843</v>
      </c>
      <c r="R58" s="667"/>
      <c r="S58" s="1077"/>
      <c r="T58" s="1077"/>
      <c r="U58" s="1077"/>
      <c r="V58" s="1077"/>
      <c r="W58" s="1077"/>
      <c r="X58" s="1077"/>
      <c r="Y58" s="1077"/>
      <c r="Z58" s="1077"/>
      <c r="AA58" s="1077"/>
      <c r="AB58" s="1077"/>
      <c r="AC58" s="1077"/>
      <c r="AD58" s="1077"/>
      <c r="AE58" s="1061"/>
      <c r="AF58" s="1744" t="s">
        <v>1905</v>
      </c>
      <c r="AG58" s="1716">
        <v>41878</v>
      </c>
      <c r="AH58" s="1717">
        <v>42973</v>
      </c>
    </row>
    <row r="59" spans="1:35" s="40" customFormat="1" ht="15" customHeight="1">
      <c r="A59" s="1063">
        <v>54</v>
      </c>
      <c r="B59" s="468" t="s">
        <v>164</v>
      </c>
      <c r="C59" s="938" t="s">
        <v>2690</v>
      </c>
      <c r="D59" s="470" t="s">
        <v>700</v>
      </c>
      <c r="E59" s="669"/>
      <c r="F59" s="1653" t="s">
        <v>1715</v>
      </c>
      <c r="G59" s="1654"/>
      <c r="H59" s="1655"/>
      <c r="I59" s="1660" t="s">
        <v>1758</v>
      </c>
      <c r="J59" s="1660"/>
      <c r="K59" s="1660" t="s">
        <v>1760</v>
      </c>
      <c r="L59" s="1660"/>
      <c r="M59" s="1653" t="s">
        <v>1831</v>
      </c>
      <c r="N59" s="1655"/>
      <c r="O59" s="1639" t="s">
        <v>1842</v>
      </c>
      <c r="P59" s="1640"/>
      <c r="Q59" s="966" t="s">
        <v>1844</v>
      </c>
      <c r="R59" s="66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61"/>
      <c r="AF59" s="1745"/>
      <c r="AG59" s="1660"/>
      <c r="AH59" s="1718"/>
    </row>
    <row r="60" spans="1:35" s="40" customFormat="1" ht="15" customHeight="1">
      <c r="A60" s="1063">
        <v>55</v>
      </c>
      <c r="B60" s="433" t="s">
        <v>45</v>
      </c>
      <c r="C60" s="654" t="s">
        <v>1747</v>
      </c>
      <c r="D60" s="470" t="s">
        <v>701</v>
      </c>
      <c r="E60" s="669"/>
      <c r="F60" s="1641"/>
      <c r="G60" s="1642"/>
      <c r="H60" s="1639" t="s">
        <v>1714</v>
      </c>
      <c r="I60" s="1640"/>
      <c r="J60" s="1639" t="s">
        <v>1715</v>
      </c>
      <c r="K60" s="1640"/>
      <c r="L60" s="1639" t="s">
        <v>1757</v>
      </c>
      <c r="M60" s="1640"/>
      <c r="N60" s="1639" t="s">
        <v>1758</v>
      </c>
      <c r="O60" s="1640"/>
      <c r="P60" s="1639" t="s">
        <v>1759</v>
      </c>
      <c r="Q60" s="1640"/>
      <c r="R60" s="1639" t="s">
        <v>1760</v>
      </c>
      <c r="S60" s="1640"/>
      <c r="T60" s="670"/>
      <c r="U60" s="666"/>
      <c r="V60" s="666"/>
      <c r="W60" s="666"/>
      <c r="X60" s="666"/>
      <c r="Y60" s="666"/>
      <c r="Z60" s="666"/>
      <c r="AA60" s="666"/>
      <c r="AB60" s="666"/>
      <c r="AC60" s="666"/>
      <c r="AD60" s="666"/>
      <c r="AE60" s="664"/>
      <c r="AF60" s="350"/>
      <c r="AG60" s="350"/>
      <c r="AH60" s="350"/>
    </row>
    <row r="61" spans="1:35" s="40" customFormat="1" ht="15" customHeight="1">
      <c r="A61" s="1063">
        <v>56</v>
      </c>
      <c r="B61" s="468" t="s">
        <v>133</v>
      </c>
      <c r="C61" s="938" t="s">
        <v>365</v>
      </c>
      <c r="D61" s="470" t="s">
        <v>703</v>
      </c>
      <c r="E61" s="669"/>
      <c r="F61" s="1641"/>
      <c r="G61" s="1642"/>
      <c r="H61" s="1639" t="s">
        <v>1714</v>
      </c>
      <c r="I61" s="1640"/>
      <c r="J61" s="1639" t="s">
        <v>1715</v>
      </c>
      <c r="K61" s="1640"/>
      <c r="L61" s="1639" t="s">
        <v>1757</v>
      </c>
      <c r="M61" s="1640"/>
      <c r="N61" s="1639" t="s">
        <v>1758</v>
      </c>
      <c r="O61" s="1640"/>
      <c r="P61" s="1639" t="s">
        <v>1759</v>
      </c>
      <c r="Q61" s="1640"/>
      <c r="R61" s="1639" t="s">
        <v>1760</v>
      </c>
      <c r="S61" s="1640"/>
      <c r="T61" s="670"/>
      <c r="U61" s="666"/>
      <c r="V61" s="666"/>
      <c r="W61" s="666"/>
      <c r="X61" s="666"/>
      <c r="Y61" s="666"/>
      <c r="Z61" s="666"/>
      <c r="AA61" s="666"/>
      <c r="AB61" s="666"/>
      <c r="AC61" s="666"/>
      <c r="AD61" s="666"/>
      <c r="AE61" s="664"/>
      <c r="AF61" s="688" t="s">
        <v>1911</v>
      </c>
      <c r="AG61" s="694">
        <v>42644</v>
      </c>
      <c r="AH61" s="1053">
        <v>43008</v>
      </c>
    </row>
    <row r="62" spans="1:35" s="40" customFormat="1" ht="38.25">
      <c r="A62" s="1175">
        <v>57</v>
      </c>
      <c r="B62" s="745" t="s">
        <v>2064</v>
      </c>
      <c r="C62" s="1184" t="s">
        <v>2081</v>
      </c>
      <c r="D62" s="747" t="s">
        <v>2082</v>
      </c>
      <c r="E62" s="746"/>
      <c r="F62" s="750"/>
      <c r="G62" s="1673" t="s">
        <v>2083</v>
      </c>
      <c r="H62" s="1674"/>
      <c r="I62" s="1673" t="s">
        <v>1757</v>
      </c>
      <c r="J62" s="1674"/>
      <c r="K62" s="1673" t="s">
        <v>1759</v>
      </c>
      <c r="L62" s="1674"/>
      <c r="M62" s="1673" t="s">
        <v>1760</v>
      </c>
      <c r="N62" s="1674"/>
      <c r="O62" s="967" t="s">
        <v>1830</v>
      </c>
      <c r="P62" s="1659" t="s">
        <v>1831</v>
      </c>
      <c r="Q62" s="1659"/>
      <c r="R62" s="748"/>
      <c r="S62" s="748"/>
      <c r="T62" s="1062"/>
      <c r="U62" s="1062"/>
      <c r="V62" s="1062"/>
      <c r="W62" s="1062"/>
      <c r="X62" s="1062"/>
      <c r="Y62" s="1062"/>
      <c r="Z62" s="1062"/>
      <c r="AA62" s="1062"/>
      <c r="AB62" s="1062"/>
      <c r="AC62" s="1062"/>
      <c r="AD62" s="1062"/>
      <c r="AE62" s="1061"/>
      <c r="AF62" s="747"/>
      <c r="AG62" s="749"/>
      <c r="AH62" s="749"/>
    </row>
    <row r="63" spans="1:35" s="40" customFormat="1">
      <c r="A63" s="1175">
        <v>58</v>
      </c>
      <c r="B63" s="1168" t="s">
        <v>2894</v>
      </c>
      <c r="C63" s="1186"/>
      <c r="D63" s="1175"/>
      <c r="E63" s="1172"/>
      <c r="F63" s="1178"/>
      <c r="G63" s="1176"/>
      <c r="H63" s="1177"/>
      <c r="I63" s="1176"/>
      <c r="J63" s="1177"/>
      <c r="K63" s="1176"/>
      <c r="L63" s="1177"/>
      <c r="M63" s="1176"/>
      <c r="N63" s="1177"/>
      <c r="O63" s="967"/>
      <c r="P63" s="1171"/>
      <c r="Q63" s="1174"/>
      <c r="R63" s="1173"/>
      <c r="S63" s="1173"/>
      <c r="T63" s="1173"/>
      <c r="U63" s="1173"/>
      <c r="V63" s="1173"/>
      <c r="W63" s="1173"/>
      <c r="X63" s="1173"/>
      <c r="Y63" s="1173"/>
      <c r="Z63" s="1173"/>
      <c r="AA63" s="1173"/>
      <c r="AB63" s="1173"/>
      <c r="AC63" s="1173"/>
      <c r="AD63" s="1173"/>
      <c r="AE63" s="1171"/>
      <c r="AF63" s="1175"/>
      <c r="AG63" s="1179"/>
      <c r="AH63" s="1179"/>
    </row>
    <row r="64" spans="1:35" s="40" customFormat="1" ht="25.5">
      <c r="A64" s="1175">
        <v>59</v>
      </c>
      <c r="B64" s="468" t="s">
        <v>430</v>
      </c>
      <c r="C64" s="655" t="s">
        <v>1748</v>
      </c>
      <c r="D64" s="469" t="s">
        <v>704</v>
      </c>
      <c r="E64" s="1641"/>
      <c r="F64" s="1642"/>
      <c r="G64" s="1639" t="s">
        <v>1714</v>
      </c>
      <c r="H64" s="1640"/>
      <c r="I64" s="1639" t="s">
        <v>1715</v>
      </c>
      <c r="J64" s="1640"/>
      <c r="K64" s="1639" t="s">
        <v>1757</v>
      </c>
      <c r="L64" s="1640"/>
      <c r="M64" s="1639" t="s">
        <v>1758</v>
      </c>
      <c r="N64" s="1640"/>
      <c r="O64" s="1639" t="s">
        <v>1759</v>
      </c>
      <c r="P64" s="1640"/>
      <c r="Q64" s="955" t="s">
        <v>1760</v>
      </c>
      <c r="R64" s="670"/>
      <c r="S64" s="666"/>
      <c r="T64" s="666"/>
      <c r="U64" s="666"/>
      <c r="V64" s="666"/>
      <c r="W64" s="666"/>
      <c r="X64" s="666"/>
      <c r="Y64" s="666"/>
      <c r="Z64" s="666"/>
      <c r="AA64" s="666"/>
      <c r="AB64" s="666"/>
      <c r="AC64" s="666"/>
      <c r="AD64" s="666"/>
      <c r="AE64" s="1061"/>
      <c r="AF64" s="730" t="s">
        <v>560</v>
      </c>
      <c r="AG64" s="731">
        <v>42486</v>
      </c>
      <c r="AH64" s="1055">
        <v>42851</v>
      </c>
      <c r="AI64" s="40" t="s">
        <v>2211</v>
      </c>
    </row>
    <row r="65" spans="1:36" s="40" customFormat="1" ht="25.5">
      <c r="A65" s="1175">
        <v>60</v>
      </c>
      <c r="B65" s="468" t="s">
        <v>1410</v>
      </c>
      <c r="C65" s="469" t="s">
        <v>365</v>
      </c>
      <c r="D65" s="655" t="s">
        <v>2714</v>
      </c>
      <c r="E65" s="1641"/>
      <c r="F65" s="1696"/>
      <c r="G65" s="1642"/>
      <c r="H65" s="1639" t="s">
        <v>1714</v>
      </c>
      <c r="I65" s="1640"/>
      <c r="J65" s="1639" t="s">
        <v>1715</v>
      </c>
      <c r="K65" s="1640"/>
      <c r="L65" s="1639" t="s">
        <v>1757</v>
      </c>
      <c r="M65" s="1640"/>
      <c r="N65" s="1639" t="s">
        <v>1758</v>
      </c>
      <c r="O65" s="1640"/>
      <c r="P65" s="1639" t="s">
        <v>1759</v>
      </c>
      <c r="Q65" s="1640"/>
      <c r="R65" s="670"/>
      <c r="S65" s="666"/>
      <c r="T65" s="666"/>
      <c r="U65" s="666"/>
      <c r="V65" s="666"/>
      <c r="W65" s="666"/>
      <c r="X65" s="666"/>
      <c r="Y65" s="666"/>
      <c r="Z65" s="666"/>
      <c r="AA65" s="666"/>
      <c r="AB65" s="666"/>
      <c r="AC65" s="666"/>
      <c r="AD65" s="666"/>
      <c r="AE65" s="664"/>
      <c r="AF65" s="350"/>
      <c r="AG65" s="350"/>
      <c r="AH65" s="350"/>
    </row>
    <row r="66" spans="1:36" s="40" customFormat="1" ht="15" customHeight="1">
      <c r="A66" s="1175">
        <v>61</v>
      </c>
      <c r="B66" s="433" t="s">
        <v>108</v>
      </c>
      <c r="C66" s="963" t="s">
        <v>675</v>
      </c>
      <c r="D66" s="654" t="s">
        <v>1749</v>
      </c>
      <c r="E66" s="1641"/>
      <c r="F66" s="1642"/>
      <c r="G66" s="1639" t="s">
        <v>1764</v>
      </c>
      <c r="H66" s="1640"/>
      <c r="I66" s="1653" t="s">
        <v>1714</v>
      </c>
      <c r="J66" s="1655"/>
      <c r="K66" s="1653" t="s">
        <v>1715</v>
      </c>
      <c r="L66" s="1655"/>
      <c r="M66" s="1653" t="s">
        <v>1757</v>
      </c>
      <c r="N66" s="1655"/>
      <c r="O66" s="1653" t="s">
        <v>1758</v>
      </c>
      <c r="P66" s="1655"/>
      <c r="Q66" s="966" t="s">
        <v>1759</v>
      </c>
      <c r="R66" s="1660" t="s">
        <v>1760</v>
      </c>
      <c r="S66" s="1660"/>
      <c r="T66" s="1660" t="s">
        <v>1830</v>
      </c>
      <c r="U66" s="1660"/>
      <c r="V66" s="1078"/>
      <c r="W66" s="1077"/>
      <c r="X66" s="1079"/>
      <c r="Y66" s="1077"/>
      <c r="Z66" s="1079"/>
      <c r="AA66" s="1077"/>
      <c r="AB66" s="1079"/>
      <c r="AC66" s="1077"/>
      <c r="AD66" s="1079"/>
      <c r="AE66" s="1061"/>
      <c r="AF66" s="688" t="s">
        <v>1912</v>
      </c>
      <c r="AG66" s="694">
        <v>42472</v>
      </c>
      <c r="AH66" s="1055">
        <v>42836</v>
      </c>
    </row>
    <row r="67" spans="1:36" s="40" customFormat="1" ht="25.5">
      <c r="A67" s="1180">
        <v>62</v>
      </c>
      <c r="B67" s="1066" t="s">
        <v>606</v>
      </c>
      <c r="C67" s="1185" t="s">
        <v>1750</v>
      </c>
      <c r="D67" s="1180" t="s">
        <v>708</v>
      </c>
      <c r="E67" s="669"/>
      <c r="F67" s="713" t="s">
        <v>1714</v>
      </c>
      <c r="G67" s="1673" t="s">
        <v>2085</v>
      </c>
      <c r="H67" s="1674"/>
      <c r="I67" s="1656" t="s">
        <v>2084</v>
      </c>
      <c r="J67" s="1657"/>
      <c r="K67" s="1657"/>
      <c r="L67" s="1657"/>
      <c r="M67" s="1657"/>
      <c r="N67" s="1657"/>
      <c r="O67" s="1657"/>
      <c r="P67" s="1657"/>
      <c r="Q67" s="1657"/>
      <c r="R67" s="1657"/>
      <c r="S67" s="1657"/>
      <c r="T67" s="1657"/>
      <c r="U67" s="1657"/>
      <c r="V67" s="1657"/>
      <c r="W67" s="1657"/>
      <c r="X67" s="1657"/>
      <c r="Y67" s="1657"/>
      <c r="Z67" s="1657"/>
      <c r="AA67" s="1657"/>
      <c r="AB67" s="1657"/>
      <c r="AC67" s="1657"/>
      <c r="AD67" s="1657"/>
      <c r="AE67" s="1658"/>
      <c r="AF67" s="688" t="s">
        <v>1912</v>
      </c>
      <c r="AG67" s="694">
        <v>42472</v>
      </c>
      <c r="AH67" s="1055">
        <v>42836</v>
      </c>
    </row>
    <row r="68" spans="1:36" s="40" customFormat="1" ht="15" customHeight="1">
      <c r="A68" s="1063">
        <v>63</v>
      </c>
      <c r="B68" s="433" t="s">
        <v>136</v>
      </c>
      <c r="C68" s="960" t="s">
        <v>2703</v>
      </c>
      <c r="D68" s="470" t="s">
        <v>734</v>
      </c>
      <c r="E68" s="669"/>
      <c r="F68" s="669"/>
      <c r="G68" s="1660" t="s">
        <v>1715</v>
      </c>
      <c r="H68" s="1660"/>
      <c r="I68" s="1659" t="s">
        <v>1760</v>
      </c>
      <c r="J68" s="1659"/>
      <c r="K68" s="1659" t="s">
        <v>2704</v>
      </c>
      <c r="L68" s="1659"/>
      <c r="M68" s="1659" t="s">
        <v>1919</v>
      </c>
      <c r="N68" s="1659"/>
      <c r="O68" s="955" t="s">
        <v>1921</v>
      </c>
      <c r="P68" s="1639" t="s">
        <v>1923</v>
      </c>
      <c r="Q68" s="1640"/>
      <c r="R68" s="670"/>
      <c r="S68" s="666"/>
      <c r="T68" s="666"/>
      <c r="U68" s="666"/>
      <c r="V68" s="666"/>
      <c r="W68" s="666"/>
      <c r="X68" s="666"/>
      <c r="Y68" s="666"/>
      <c r="Z68" s="666"/>
      <c r="AA68" s="666"/>
      <c r="AB68" s="666"/>
      <c r="AC68" s="666"/>
      <c r="AD68" s="666"/>
      <c r="AE68" s="668"/>
      <c r="AF68" s="1757">
        <v>4320000157</v>
      </c>
      <c r="AG68" s="1747">
        <v>42248</v>
      </c>
      <c r="AH68" s="1732">
        <v>42978</v>
      </c>
      <c r="AI68" s="502" t="s">
        <v>1571</v>
      </c>
      <c r="AJ68" s="163"/>
    </row>
    <row r="69" spans="1:36" s="40" customFormat="1" ht="15" customHeight="1">
      <c r="A69" s="1063">
        <v>64</v>
      </c>
      <c r="B69" s="433" t="s">
        <v>136</v>
      </c>
      <c r="C69" s="960" t="s">
        <v>2703</v>
      </c>
      <c r="D69" s="973" t="s">
        <v>733</v>
      </c>
      <c r="E69" s="669"/>
      <c r="F69" s="1639" t="s">
        <v>1714</v>
      </c>
      <c r="G69" s="1640"/>
      <c r="H69" s="1639" t="s">
        <v>1759</v>
      </c>
      <c r="I69" s="1640"/>
      <c r="J69" s="1639" t="s">
        <v>1831</v>
      </c>
      <c r="K69" s="1640"/>
      <c r="L69" s="1639" t="s">
        <v>1844</v>
      </c>
      <c r="M69" s="1640"/>
      <c r="N69" s="1639" t="s">
        <v>1920</v>
      </c>
      <c r="O69" s="1640"/>
      <c r="P69" s="1639" t="s">
        <v>1922</v>
      </c>
      <c r="Q69" s="1640"/>
      <c r="R69" s="670"/>
      <c r="S69" s="666"/>
      <c r="T69" s="666"/>
      <c r="U69" s="666"/>
      <c r="V69" s="666"/>
      <c r="W69" s="666"/>
      <c r="X69" s="666"/>
      <c r="Y69" s="666"/>
      <c r="Z69" s="666"/>
      <c r="AA69" s="666"/>
      <c r="AB69" s="666"/>
      <c r="AC69" s="666"/>
      <c r="AD69" s="666"/>
      <c r="AE69" s="664"/>
      <c r="AF69" s="1748"/>
      <c r="AG69" s="1748"/>
      <c r="AH69" s="1733"/>
      <c r="AI69" s="502" t="s">
        <v>1572</v>
      </c>
      <c r="AJ69" s="163"/>
    </row>
    <row r="70" spans="1:36" s="40" customFormat="1" ht="15" customHeight="1">
      <c r="A70" s="1175"/>
      <c r="B70" s="433" t="s">
        <v>136</v>
      </c>
      <c r="C70" s="938" t="s">
        <v>3015</v>
      </c>
      <c r="D70" s="1175" t="s">
        <v>3013</v>
      </c>
      <c r="E70" s="1172"/>
      <c r="F70" s="1173"/>
      <c r="G70" s="1173"/>
      <c r="H70" s="1173"/>
      <c r="I70" s="1173"/>
      <c r="J70" s="1173"/>
      <c r="K70" s="1173"/>
      <c r="L70" s="1173"/>
      <c r="M70" s="1173"/>
      <c r="N70" s="1173"/>
      <c r="O70" s="1173"/>
      <c r="P70" s="1173"/>
      <c r="Q70" s="1173"/>
      <c r="R70" s="666"/>
      <c r="S70" s="666"/>
      <c r="T70" s="666"/>
      <c r="U70" s="666"/>
      <c r="V70" s="666"/>
      <c r="W70" s="666"/>
      <c r="X70" s="666"/>
      <c r="Y70" s="666"/>
      <c r="Z70" s="666"/>
      <c r="AA70" s="666"/>
      <c r="AB70" s="666"/>
      <c r="AC70" s="666"/>
      <c r="AD70" s="666"/>
      <c r="AE70" s="664"/>
      <c r="AF70" s="1748"/>
      <c r="AG70" s="1748"/>
      <c r="AH70" s="1733"/>
      <c r="AI70" s="502"/>
      <c r="AJ70" s="163"/>
    </row>
    <row r="71" spans="1:36" s="40" customFormat="1" ht="15" customHeight="1">
      <c r="A71" s="1175"/>
      <c r="B71" s="433" t="s">
        <v>136</v>
      </c>
      <c r="C71" s="1175" t="s">
        <v>3016</v>
      </c>
      <c r="D71" s="1175" t="s">
        <v>3013</v>
      </c>
      <c r="E71" s="1172"/>
      <c r="F71" s="1173"/>
      <c r="G71" s="1173"/>
      <c r="H71" s="1173"/>
      <c r="I71" s="1173"/>
      <c r="J71" s="1173"/>
      <c r="K71" s="1173"/>
      <c r="L71" s="1173"/>
      <c r="M71" s="1173"/>
      <c r="N71" s="1173"/>
      <c r="O71" s="1173"/>
      <c r="P71" s="1173"/>
      <c r="Q71" s="1173"/>
      <c r="R71" s="666"/>
      <c r="S71" s="666"/>
      <c r="T71" s="666"/>
      <c r="U71" s="666"/>
      <c r="V71" s="666"/>
      <c r="W71" s="666"/>
      <c r="X71" s="666"/>
      <c r="Y71" s="666"/>
      <c r="Z71" s="666"/>
      <c r="AA71" s="666"/>
      <c r="AB71" s="666"/>
      <c r="AC71" s="666"/>
      <c r="AD71" s="666"/>
      <c r="AE71" s="664"/>
      <c r="AF71" s="1748"/>
      <c r="AG71" s="1748"/>
      <c r="AH71" s="1733"/>
      <c r="AI71" s="502"/>
      <c r="AJ71" s="163"/>
    </row>
    <row r="72" spans="1:36" s="40" customFormat="1" ht="15" customHeight="1">
      <c r="A72" s="1175"/>
      <c r="B72" s="433" t="s">
        <v>136</v>
      </c>
      <c r="C72" s="938" t="s">
        <v>3017</v>
      </c>
      <c r="D72" s="938" t="s">
        <v>3014</v>
      </c>
      <c r="E72" s="1172"/>
      <c r="F72" s="1173"/>
      <c r="G72" s="1173"/>
      <c r="H72" s="1173"/>
      <c r="I72" s="1173"/>
      <c r="J72" s="1173"/>
      <c r="K72" s="1173"/>
      <c r="L72" s="1173"/>
      <c r="M72" s="1173"/>
      <c r="N72" s="1173"/>
      <c r="O72" s="1173"/>
      <c r="P72" s="1173"/>
      <c r="Q72" s="1173"/>
      <c r="R72" s="666"/>
      <c r="S72" s="666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4"/>
      <c r="AF72" s="1748"/>
      <c r="AG72" s="1748"/>
      <c r="AH72" s="1733"/>
      <c r="AI72" s="502"/>
      <c r="AJ72" s="163"/>
    </row>
    <row r="73" spans="1:36" s="40" customFormat="1" ht="15" customHeight="1">
      <c r="A73" s="1180">
        <v>65</v>
      </c>
      <c r="B73" s="1066" t="s">
        <v>136</v>
      </c>
      <c r="C73" s="1180" t="s">
        <v>675</v>
      </c>
      <c r="D73" s="1180" t="s">
        <v>735</v>
      </c>
      <c r="E73" s="1750" t="s">
        <v>1901</v>
      </c>
      <c r="F73" s="1751"/>
      <c r="G73" s="1752" t="s">
        <v>1758</v>
      </c>
      <c r="H73" s="1640"/>
      <c r="I73" s="1752" t="s">
        <v>1830</v>
      </c>
      <c r="J73" s="1640"/>
      <c r="K73" s="1752" t="s">
        <v>1843</v>
      </c>
      <c r="L73" s="1640"/>
      <c r="M73" s="1656" t="s">
        <v>2705</v>
      </c>
      <c r="N73" s="1657"/>
      <c r="O73" s="1657"/>
      <c r="P73" s="1657"/>
      <c r="Q73" s="1657"/>
      <c r="R73" s="1657"/>
      <c r="S73" s="1657"/>
      <c r="T73" s="1657"/>
      <c r="U73" s="1657"/>
      <c r="V73" s="1657"/>
      <c r="W73" s="1657"/>
      <c r="X73" s="1657"/>
      <c r="Y73" s="1657"/>
      <c r="Z73" s="1657"/>
      <c r="AA73" s="1657"/>
      <c r="AB73" s="1657"/>
      <c r="AC73" s="1657"/>
      <c r="AD73" s="1657"/>
      <c r="AE73" s="1658"/>
      <c r="AF73" s="1749"/>
      <c r="AG73" s="1749"/>
      <c r="AH73" s="1734"/>
      <c r="AI73" s="502" t="s">
        <v>1570</v>
      </c>
      <c r="AJ73" s="163"/>
    </row>
    <row r="74" spans="1:36" s="40" customFormat="1" ht="25.5">
      <c r="A74" s="1063">
        <v>66</v>
      </c>
      <c r="B74" s="433" t="s">
        <v>764</v>
      </c>
      <c r="C74" s="665" t="s">
        <v>1751</v>
      </c>
      <c r="D74" s="654" t="s">
        <v>1752</v>
      </c>
      <c r="E74" s="669"/>
      <c r="F74" s="669"/>
      <c r="G74" s="1639" t="s">
        <v>385</v>
      </c>
      <c r="H74" s="1640"/>
      <c r="I74" s="1639" t="s">
        <v>1714</v>
      </c>
      <c r="J74" s="1640"/>
      <c r="K74" s="1639" t="s">
        <v>1715</v>
      </c>
      <c r="L74" s="1640"/>
      <c r="M74" s="1639" t="s">
        <v>1757</v>
      </c>
      <c r="N74" s="1640"/>
      <c r="O74" s="1639" t="s">
        <v>1758</v>
      </c>
      <c r="P74" s="1640"/>
      <c r="Q74" s="1639" t="s">
        <v>1759</v>
      </c>
      <c r="R74" s="1640"/>
      <c r="S74" s="664"/>
      <c r="T74" s="670"/>
      <c r="U74" s="666"/>
      <c r="V74" s="666"/>
      <c r="W74" s="666"/>
      <c r="X74" s="666"/>
      <c r="Y74" s="666"/>
      <c r="Z74" s="666"/>
      <c r="AA74" s="666"/>
      <c r="AB74" s="666"/>
      <c r="AC74" s="666"/>
      <c r="AD74" s="666"/>
      <c r="AE74" s="1064"/>
      <c r="AF74" s="730" t="s">
        <v>2074</v>
      </c>
      <c r="AG74" s="731">
        <v>42653</v>
      </c>
      <c r="AH74" s="731">
        <v>43382</v>
      </c>
    </row>
    <row r="75" spans="1:36" s="40" customFormat="1" ht="27" customHeight="1">
      <c r="A75" s="1063">
        <v>67</v>
      </c>
      <c r="B75" s="468" t="s">
        <v>445</v>
      </c>
      <c r="C75" s="651" t="s">
        <v>1753</v>
      </c>
      <c r="D75" s="470" t="s">
        <v>710</v>
      </c>
      <c r="E75" s="669"/>
      <c r="F75" s="669"/>
      <c r="G75" s="1639" t="s">
        <v>1714</v>
      </c>
      <c r="H75" s="1640"/>
      <c r="I75" s="1639" t="s">
        <v>1715</v>
      </c>
      <c r="J75" s="1640"/>
      <c r="K75" s="1639" t="s">
        <v>1757</v>
      </c>
      <c r="L75" s="1640"/>
      <c r="M75" s="1639" t="s">
        <v>1758</v>
      </c>
      <c r="N75" s="1640"/>
      <c r="O75" s="1639" t="s">
        <v>1759</v>
      </c>
      <c r="P75" s="1640"/>
      <c r="Q75" s="985" t="s">
        <v>1760</v>
      </c>
      <c r="R75" s="1659" t="s">
        <v>1830</v>
      </c>
      <c r="S75" s="1659"/>
      <c r="T75" s="670"/>
      <c r="U75" s="666"/>
      <c r="V75" s="666"/>
      <c r="W75" s="666"/>
      <c r="X75" s="666"/>
      <c r="Y75" s="666"/>
      <c r="Z75" s="666"/>
      <c r="AA75" s="666"/>
      <c r="AB75" s="666"/>
      <c r="AC75" s="666"/>
      <c r="AD75" s="666"/>
      <c r="AE75" s="664"/>
      <c r="AF75" s="695" t="s">
        <v>1905</v>
      </c>
      <c r="AG75" s="731">
        <v>41878</v>
      </c>
      <c r="AH75" s="1053">
        <v>42973</v>
      </c>
    </row>
    <row r="76" spans="1:36" s="40" customFormat="1" ht="25.5">
      <c r="A76" s="1063">
        <v>68</v>
      </c>
      <c r="B76" s="550" t="s">
        <v>1712</v>
      </c>
      <c r="C76" s="655" t="s">
        <v>1754</v>
      </c>
      <c r="D76" s="551" t="s">
        <v>1713</v>
      </c>
      <c r="E76" s="669"/>
      <c r="F76" s="746"/>
      <c r="G76" s="1750" t="s">
        <v>1902</v>
      </c>
      <c r="H76" s="1751"/>
      <c r="I76" s="1639" t="s">
        <v>1757</v>
      </c>
      <c r="J76" s="1640"/>
      <c r="K76" s="1639" t="s">
        <v>1758</v>
      </c>
      <c r="L76" s="1640"/>
      <c r="M76" s="1639" t="s">
        <v>1759</v>
      </c>
      <c r="N76" s="1640"/>
      <c r="O76" s="1639" t="s">
        <v>1760</v>
      </c>
      <c r="P76" s="1640"/>
      <c r="Q76" s="955" t="s">
        <v>1830</v>
      </c>
      <c r="R76" s="1659" t="s">
        <v>1831</v>
      </c>
      <c r="S76" s="1659"/>
      <c r="T76" s="670"/>
      <c r="U76" s="666"/>
      <c r="V76" s="666"/>
      <c r="W76" s="666"/>
      <c r="X76" s="666"/>
      <c r="Y76" s="666"/>
      <c r="Z76" s="666"/>
      <c r="AA76" s="666"/>
      <c r="AB76" s="666"/>
      <c r="AC76" s="666"/>
      <c r="AD76" s="666"/>
      <c r="AE76" s="664"/>
      <c r="AF76" s="350"/>
      <c r="AG76" s="350"/>
      <c r="AH76" s="350"/>
    </row>
    <row r="77" spans="1:36" s="40" customFormat="1" ht="25.5">
      <c r="A77" s="1063">
        <v>69</v>
      </c>
      <c r="B77" s="956" t="s">
        <v>2686</v>
      </c>
      <c r="C77" s="655" t="s">
        <v>2699</v>
      </c>
      <c r="D77" s="960" t="s">
        <v>2700</v>
      </c>
      <c r="E77" s="961"/>
      <c r="F77" s="1641"/>
      <c r="G77" s="1642"/>
      <c r="H77" s="1641"/>
      <c r="I77" s="1642"/>
      <c r="J77" s="1641"/>
      <c r="K77" s="1642"/>
      <c r="L77" s="1641"/>
      <c r="M77" s="1642"/>
      <c r="N77" s="1641"/>
      <c r="O77" s="1642"/>
      <c r="P77" s="1703" t="s">
        <v>2701</v>
      </c>
      <c r="Q77" s="1704"/>
      <c r="R77" s="1659" t="s">
        <v>1757</v>
      </c>
      <c r="S77" s="1659"/>
      <c r="T77" s="1060"/>
      <c r="U77" s="1062"/>
      <c r="V77" s="1062"/>
      <c r="W77" s="1062"/>
      <c r="X77" s="1062"/>
      <c r="Y77" s="1062"/>
      <c r="Z77" s="1062"/>
      <c r="AA77" s="1062"/>
      <c r="AB77" s="1062"/>
      <c r="AC77" s="1062"/>
      <c r="AD77" s="1062"/>
      <c r="AE77" s="1061"/>
      <c r="AF77" s="963"/>
      <c r="AG77" s="963"/>
      <c r="AH77" s="963"/>
    </row>
    <row r="78" spans="1:36" s="40" customFormat="1" ht="38.25">
      <c r="A78" s="1063">
        <v>70</v>
      </c>
      <c r="B78" s="468" t="s">
        <v>412</v>
      </c>
      <c r="C78" s="1184" t="s">
        <v>3012</v>
      </c>
      <c r="D78" s="470" t="s">
        <v>712</v>
      </c>
      <c r="E78" s="669"/>
      <c r="F78" s="669"/>
      <c r="G78" s="1639" t="s">
        <v>1714</v>
      </c>
      <c r="H78" s="1640"/>
      <c r="I78" s="1639" t="s">
        <v>1715</v>
      </c>
      <c r="J78" s="1640"/>
      <c r="K78" s="1639" t="s">
        <v>1757</v>
      </c>
      <c r="L78" s="1640"/>
      <c r="M78" s="1639" t="s">
        <v>1758</v>
      </c>
      <c r="N78" s="1640"/>
      <c r="O78" s="964" t="s">
        <v>1759</v>
      </c>
      <c r="P78" s="1659" t="s">
        <v>1760</v>
      </c>
      <c r="Q78" s="1659"/>
      <c r="R78" s="1659" t="s">
        <v>1830</v>
      </c>
      <c r="S78" s="1659"/>
      <c r="T78" s="1078"/>
      <c r="U78" s="1077"/>
      <c r="V78" s="1079"/>
      <c r="W78" s="1077"/>
      <c r="X78" s="1079"/>
      <c r="Y78" s="1077"/>
      <c r="Z78" s="1079"/>
      <c r="AA78" s="1077"/>
      <c r="AB78" s="1079"/>
      <c r="AC78" s="1077"/>
      <c r="AD78" s="1079"/>
      <c r="AE78" s="664"/>
      <c r="AF78" s="688" t="s">
        <v>1912</v>
      </c>
      <c r="AG78" s="694">
        <v>42472</v>
      </c>
      <c r="AH78" s="1055">
        <v>42836</v>
      </c>
    </row>
    <row r="79" spans="1:36" s="40" customFormat="1" ht="15" customHeight="1">
      <c r="A79" s="1180">
        <v>71</v>
      </c>
      <c r="B79" s="1072" t="s">
        <v>47</v>
      </c>
      <c r="C79" s="1180" t="s">
        <v>714</v>
      </c>
      <c r="D79" s="1180" t="s">
        <v>14</v>
      </c>
      <c r="E79" s="669"/>
      <c r="F79" s="1653" t="s">
        <v>1714</v>
      </c>
      <c r="G79" s="1655"/>
      <c r="H79" s="1639" t="s">
        <v>1715</v>
      </c>
      <c r="I79" s="1640"/>
      <c r="J79" s="1639" t="s">
        <v>1757</v>
      </c>
      <c r="K79" s="1640"/>
      <c r="L79" s="1639" t="s">
        <v>1758</v>
      </c>
      <c r="M79" s="1640"/>
      <c r="N79" s="1639" t="s">
        <v>1759</v>
      </c>
      <c r="O79" s="1640"/>
      <c r="P79" s="1639" t="s">
        <v>1760</v>
      </c>
      <c r="Q79" s="1640"/>
      <c r="R79" s="1656" t="s">
        <v>2705</v>
      </c>
      <c r="S79" s="1657"/>
      <c r="T79" s="1657"/>
      <c r="U79" s="1657"/>
      <c r="V79" s="1657"/>
      <c r="W79" s="1657"/>
      <c r="X79" s="1657"/>
      <c r="Y79" s="1657"/>
      <c r="Z79" s="1657"/>
      <c r="AA79" s="1657"/>
      <c r="AB79" s="1657"/>
      <c r="AC79" s="1657"/>
      <c r="AD79" s="1657"/>
      <c r="AE79" s="1658"/>
      <c r="AF79" s="1067"/>
      <c r="AG79" s="1067"/>
      <c r="AH79" s="1067"/>
    </row>
    <row r="80" spans="1:36" s="40" customFormat="1" ht="15" customHeight="1">
      <c r="A80" s="1063">
        <v>72</v>
      </c>
      <c r="B80" s="751" t="s">
        <v>98</v>
      </c>
      <c r="C80" s="752" t="s">
        <v>368</v>
      </c>
      <c r="D80" s="742" t="s">
        <v>14</v>
      </c>
      <c r="E80" s="753"/>
      <c r="F80" s="1641"/>
      <c r="G80" s="1642"/>
      <c r="H80" s="1697"/>
      <c r="I80" s="1698"/>
      <c r="J80" s="1697"/>
      <c r="K80" s="1698"/>
      <c r="L80" s="1697"/>
      <c r="M80" s="1698"/>
      <c r="N80" s="1661" t="s">
        <v>2713</v>
      </c>
      <c r="O80" s="1663"/>
      <c r="P80" s="1697"/>
      <c r="Q80" s="1698"/>
      <c r="R80" s="1697"/>
      <c r="S80" s="1698"/>
      <c r="T80" s="1661"/>
      <c r="U80" s="1663"/>
      <c r="V80" s="1661"/>
      <c r="W80" s="1663"/>
      <c r="X80" s="1661"/>
      <c r="Y80" s="1663"/>
      <c r="Z80" s="1661"/>
      <c r="AA80" s="1663"/>
      <c r="AB80" s="1661"/>
      <c r="AC80" s="1663"/>
      <c r="AD80" s="1661"/>
      <c r="AE80" s="1663"/>
      <c r="AF80" s="743"/>
      <c r="AG80" s="350"/>
      <c r="AH80" s="350"/>
    </row>
    <row r="81" spans="1:34" s="40" customFormat="1" ht="15" customHeight="1">
      <c r="A81" s="960">
        <v>73</v>
      </c>
      <c r="B81" s="738" t="s">
        <v>2079</v>
      </c>
      <c r="C81" s="739" t="s">
        <v>368</v>
      </c>
      <c r="D81" s="740" t="s">
        <v>14</v>
      </c>
      <c r="E81" s="741"/>
      <c r="F81" s="1641"/>
      <c r="G81" s="1642"/>
      <c r="H81" s="1705"/>
      <c r="I81" s="1706"/>
      <c r="J81" s="1639" t="s">
        <v>1714</v>
      </c>
      <c r="K81" s="1640"/>
      <c r="L81" s="1705"/>
      <c r="M81" s="1706"/>
      <c r="N81" s="1705"/>
      <c r="O81" s="1706"/>
      <c r="P81" s="1705"/>
      <c r="Q81" s="1706"/>
      <c r="R81" s="1705"/>
      <c r="S81" s="1706"/>
      <c r="T81" s="1639"/>
      <c r="U81" s="1640"/>
      <c r="V81" s="1639"/>
      <c r="W81" s="1640"/>
      <c r="X81" s="1639"/>
      <c r="Y81" s="1640"/>
      <c r="Z81" s="1639"/>
      <c r="AA81" s="1640"/>
      <c r="AB81" s="1639"/>
      <c r="AC81" s="1640"/>
      <c r="AD81" s="1639"/>
      <c r="AE81" s="1640"/>
      <c r="AF81" s="744"/>
      <c r="AG81" s="744"/>
      <c r="AH81" s="744"/>
    </row>
  </sheetData>
  <mergeCells count="494">
    <mergeCell ref="R11:S11"/>
    <mergeCell ref="T11:U11"/>
    <mergeCell ref="V11:W11"/>
    <mergeCell ref="X11:Y11"/>
    <mergeCell ref="Z11:AA11"/>
    <mergeCell ref="AB11:AC11"/>
    <mergeCell ref="AD11:AE11"/>
    <mergeCell ref="P11:Q11"/>
    <mergeCell ref="E11:O11"/>
    <mergeCell ref="AF15:AF22"/>
    <mergeCell ref="AG15:AG22"/>
    <mergeCell ref="AH15:AH22"/>
    <mergeCell ref="N81:O81"/>
    <mergeCell ref="P81:Q81"/>
    <mergeCell ref="R81:S81"/>
    <mergeCell ref="T81:U81"/>
    <mergeCell ref="R61:S61"/>
    <mergeCell ref="P60:Q60"/>
    <mergeCell ref="AD81:AE81"/>
    <mergeCell ref="AG27:AG30"/>
    <mergeCell ref="AH27:AH30"/>
    <mergeCell ref="R60:S60"/>
    <mergeCell ref="P61:Q61"/>
    <mergeCell ref="T66:U66"/>
    <mergeCell ref="AF27:AF30"/>
    <mergeCell ref="AB44:AC44"/>
    <mergeCell ref="AB46:AC46"/>
    <mergeCell ref="X81:Y81"/>
    <mergeCell ref="Z81:AA81"/>
    <mergeCell ref="AB81:AC81"/>
    <mergeCell ref="AF23:AF26"/>
    <mergeCell ref="AF68:AF73"/>
    <mergeCell ref="X40:Y40"/>
    <mergeCell ref="R78:S78"/>
    <mergeCell ref="G75:H75"/>
    <mergeCell ref="G68:H68"/>
    <mergeCell ref="G73:H73"/>
    <mergeCell ref="G74:H74"/>
    <mergeCell ref="I74:J74"/>
    <mergeCell ref="F69:G69"/>
    <mergeCell ref="I68:J68"/>
    <mergeCell ref="J69:K69"/>
    <mergeCell ref="H69:I69"/>
    <mergeCell ref="K68:L68"/>
    <mergeCell ref="P69:Q69"/>
    <mergeCell ref="O76:P76"/>
    <mergeCell ref="G76:H76"/>
    <mergeCell ref="I76:J76"/>
    <mergeCell ref="R77:S77"/>
    <mergeCell ref="R75:S75"/>
    <mergeCell ref="R76:S76"/>
    <mergeCell ref="G67:H67"/>
    <mergeCell ref="K74:L74"/>
    <mergeCell ref="K73:L73"/>
    <mergeCell ref="J65:K65"/>
    <mergeCell ref="M66:N66"/>
    <mergeCell ref="I66:J66"/>
    <mergeCell ref="K66:L66"/>
    <mergeCell ref="M68:N68"/>
    <mergeCell ref="G66:H66"/>
    <mergeCell ref="L65:M65"/>
    <mergeCell ref="H65:I65"/>
    <mergeCell ref="M73:AE73"/>
    <mergeCell ref="I67:AE67"/>
    <mergeCell ref="L69:M69"/>
    <mergeCell ref="F81:G81"/>
    <mergeCell ref="K56:L56"/>
    <mergeCell ref="H81:I81"/>
    <mergeCell ref="J81:K81"/>
    <mergeCell ref="L81:M81"/>
    <mergeCell ref="T80:U80"/>
    <mergeCell ref="H80:I80"/>
    <mergeCell ref="K78:L78"/>
    <mergeCell ref="M78:N78"/>
    <mergeCell ref="R66:S66"/>
    <mergeCell ref="E66:F66"/>
    <mergeCell ref="I75:J75"/>
    <mergeCell ref="E73:F73"/>
    <mergeCell ref="K75:L75"/>
    <mergeCell ref="I73:J73"/>
    <mergeCell ref="I64:J64"/>
    <mergeCell ref="H61:I61"/>
    <mergeCell ref="M64:N64"/>
    <mergeCell ref="M75:N75"/>
    <mergeCell ref="M74:N74"/>
    <mergeCell ref="N69:O69"/>
    <mergeCell ref="E65:G65"/>
    <mergeCell ref="O66:P66"/>
    <mergeCell ref="P65:Q65"/>
    <mergeCell ref="V81:W81"/>
    <mergeCell ref="AH68:AH73"/>
    <mergeCell ref="AF32:AF36"/>
    <mergeCell ref="AG32:AG36"/>
    <mergeCell ref="AH32:AH36"/>
    <mergeCell ref="AF54:AF56"/>
    <mergeCell ref="AG54:AG56"/>
    <mergeCell ref="AH54:AH56"/>
    <mergeCell ref="AF38:AF39"/>
    <mergeCell ref="AG38:AG39"/>
    <mergeCell ref="AH38:AH39"/>
    <mergeCell ref="AG40:AG52"/>
    <mergeCell ref="AH40:AH52"/>
    <mergeCell ref="AF58:AF59"/>
    <mergeCell ref="AF40:AF52"/>
    <mergeCell ref="AG58:AG59"/>
    <mergeCell ref="AH58:AH59"/>
    <mergeCell ref="AB40:AC40"/>
    <mergeCell ref="X43:Y43"/>
    <mergeCell ref="X48:Y49"/>
    <mergeCell ref="X46:Y46"/>
    <mergeCell ref="AD48:AE49"/>
    <mergeCell ref="AC36:AD36"/>
    <mergeCell ref="AG68:AG73"/>
    <mergeCell ref="V43:W43"/>
    <mergeCell ref="Z44:AA44"/>
    <mergeCell ref="Z46:AA46"/>
    <mergeCell ref="Z47:AA47"/>
    <mergeCell ref="P37:Q37"/>
    <mergeCell ref="AB51:AC51"/>
    <mergeCell ref="Z51:AA51"/>
    <mergeCell ref="V51:W51"/>
    <mergeCell ref="V48:W49"/>
    <mergeCell ref="X51:Y51"/>
    <mergeCell ref="X44:Y44"/>
    <mergeCell ref="V46:W46"/>
    <mergeCell ref="X47:Y47"/>
    <mergeCell ref="V47:W47"/>
    <mergeCell ref="AB48:AC49"/>
    <mergeCell ref="Z50:AA50"/>
    <mergeCell ref="E64:F64"/>
    <mergeCell ref="L60:M60"/>
    <mergeCell ref="L61:M61"/>
    <mergeCell ref="I62:J62"/>
    <mergeCell ref="K62:L62"/>
    <mergeCell ref="G62:H62"/>
    <mergeCell ref="N60:O60"/>
    <mergeCell ref="N61:O61"/>
    <mergeCell ref="K64:L64"/>
    <mergeCell ref="J61:K61"/>
    <mergeCell ref="G64:H64"/>
    <mergeCell ref="F5:G5"/>
    <mergeCell ref="J42:O42"/>
    <mergeCell ref="I38:J38"/>
    <mergeCell ref="H42:I42"/>
    <mergeCell ref="P26:Q26"/>
    <mergeCell ref="M28:N28"/>
    <mergeCell ref="N23:O23"/>
    <mergeCell ref="P23:Q23"/>
    <mergeCell ref="L25:M25"/>
    <mergeCell ref="P27:Q27"/>
    <mergeCell ref="F16:H16"/>
    <mergeCell ref="M18:N18"/>
    <mergeCell ref="N5:O5"/>
    <mergeCell ref="J40:O40"/>
    <mergeCell ref="N25:O25"/>
    <mergeCell ref="H17:I17"/>
    <mergeCell ref="L7:M7"/>
    <mergeCell ref="N7:O7"/>
    <mergeCell ref="P7:Q7"/>
    <mergeCell ref="M16:N16"/>
    <mergeCell ref="K16:L16"/>
    <mergeCell ref="P15:Q15"/>
    <mergeCell ref="J17:K17"/>
    <mergeCell ref="I16:J16"/>
    <mergeCell ref="R12:AE12"/>
    <mergeCell ref="AB7:AC7"/>
    <mergeCell ref="F12:G12"/>
    <mergeCell ref="I13:J13"/>
    <mergeCell ref="L12:M12"/>
    <mergeCell ref="I9:K9"/>
    <mergeCell ref="F53:H53"/>
    <mergeCell ref="F52:G52"/>
    <mergeCell ref="G56:H56"/>
    <mergeCell ref="I53:J53"/>
    <mergeCell ref="P43:U43"/>
    <mergeCell ref="AB50:AC50"/>
    <mergeCell ref="R9:S9"/>
    <mergeCell ref="R23:S23"/>
    <mergeCell ref="Z43:AA43"/>
    <mergeCell ref="P51:U51"/>
    <mergeCell ref="P48:U49"/>
    <mergeCell ref="V50:W50"/>
    <mergeCell ref="P50:U50"/>
    <mergeCell ref="AA36:AB36"/>
    <mergeCell ref="AB47:AC47"/>
    <mergeCell ref="Z40:AA40"/>
    <mergeCell ref="X50:Y50"/>
    <mergeCell ref="AB43:AC43"/>
    <mergeCell ref="A1:AF1"/>
    <mergeCell ref="C3:C4"/>
    <mergeCell ref="D3:D4"/>
    <mergeCell ref="P4:Q4"/>
    <mergeCell ref="AD4:AE4"/>
    <mergeCell ref="H3:AE3"/>
    <mergeCell ref="P5:Q5"/>
    <mergeCell ref="R5:S5"/>
    <mergeCell ref="R4:S4"/>
    <mergeCell ref="T4:U4"/>
    <mergeCell ref="V4:W4"/>
    <mergeCell ref="X4:Y4"/>
    <mergeCell ref="Z4:AA4"/>
    <mergeCell ref="AB4:AC4"/>
    <mergeCell ref="H4:I4"/>
    <mergeCell ref="J4:K4"/>
    <mergeCell ref="L4:M4"/>
    <mergeCell ref="B3:B4"/>
    <mergeCell ref="F4:G4"/>
    <mergeCell ref="X5:Y5"/>
    <mergeCell ref="T5:U5"/>
    <mergeCell ref="AB5:AC5"/>
    <mergeCell ref="Z5:AA5"/>
    <mergeCell ref="A3:A4"/>
    <mergeCell ref="E3:G3"/>
    <mergeCell ref="P17:Q17"/>
    <mergeCell ref="N17:O17"/>
    <mergeCell ref="AH13:AH14"/>
    <mergeCell ref="AG23:AG26"/>
    <mergeCell ref="AH23:AH26"/>
    <mergeCell ref="AF13:AF14"/>
    <mergeCell ref="AG13:AG14"/>
    <mergeCell ref="AH6:AH7"/>
    <mergeCell ref="AF8:AF9"/>
    <mergeCell ref="AG8:AG9"/>
    <mergeCell ref="AH8:AH9"/>
    <mergeCell ref="AF6:AF7"/>
    <mergeCell ref="AG6:AG7"/>
    <mergeCell ref="AB6:AC6"/>
    <mergeCell ref="V6:W6"/>
    <mergeCell ref="X6:Y6"/>
    <mergeCell ref="Z6:AA6"/>
    <mergeCell ref="X7:Y7"/>
    <mergeCell ref="V7:W7"/>
    <mergeCell ref="Z7:AA7"/>
    <mergeCell ref="T7:U7"/>
    <mergeCell ref="T9:U9"/>
    <mergeCell ref="V9:AE9"/>
    <mergeCell ref="P53:Q53"/>
    <mergeCell ref="AF3:AH3"/>
    <mergeCell ref="AD5:AE5"/>
    <mergeCell ref="L5:M5"/>
    <mergeCell ref="V5:W5"/>
    <mergeCell ref="I8:AE8"/>
    <mergeCell ref="N6:O6"/>
    <mergeCell ref="J6:K6"/>
    <mergeCell ref="P16:Q16"/>
    <mergeCell ref="P39:Q39"/>
    <mergeCell ref="P38:Q38"/>
    <mergeCell ref="K18:L18"/>
    <mergeCell ref="N10:O10"/>
    <mergeCell ref="N9:O9"/>
    <mergeCell ref="L10:M10"/>
    <mergeCell ref="R10:S10"/>
    <mergeCell ref="P41:U41"/>
    <mergeCell ref="W28:X28"/>
    <mergeCell ref="W29:X29"/>
    <mergeCell ref="W30:X30"/>
    <mergeCell ref="K53:L53"/>
    <mergeCell ref="H52:I52"/>
    <mergeCell ref="N4:O4"/>
    <mergeCell ref="P9:Q9"/>
    <mergeCell ref="F79:G79"/>
    <mergeCell ref="J80:K80"/>
    <mergeCell ref="L80:M80"/>
    <mergeCell ref="N80:O80"/>
    <mergeCell ref="P80:Q80"/>
    <mergeCell ref="F77:G77"/>
    <mergeCell ref="H77:I77"/>
    <mergeCell ref="J77:K77"/>
    <mergeCell ref="L77:M77"/>
    <mergeCell ref="N77:O77"/>
    <mergeCell ref="P77:Q77"/>
    <mergeCell ref="F80:G80"/>
    <mergeCell ref="L79:M79"/>
    <mergeCell ref="N79:O79"/>
    <mergeCell ref="P79:Q79"/>
    <mergeCell ref="H79:I79"/>
    <mergeCell ref="J79:K79"/>
    <mergeCell ref="G78:H78"/>
    <mergeCell ref="I78:J78"/>
    <mergeCell ref="P78:Q78"/>
    <mergeCell ref="AC28:AD28"/>
    <mergeCell ref="AA27:AB27"/>
    <mergeCell ref="AA28:AB28"/>
    <mergeCell ref="AC30:AD30"/>
    <mergeCell ref="AC27:AD27"/>
    <mergeCell ref="AA29:AB29"/>
    <mergeCell ref="AC29:AD29"/>
    <mergeCell ref="Y28:Z28"/>
    <mergeCell ref="Y30:Z30"/>
    <mergeCell ref="M37:O37"/>
    <mergeCell ref="K38:L38"/>
    <mergeCell ref="K37:L37"/>
    <mergeCell ref="I37:J37"/>
    <mergeCell ref="H54:I54"/>
    <mergeCell ref="F58:H58"/>
    <mergeCell ref="F59:H59"/>
    <mergeCell ref="F60:G60"/>
    <mergeCell ref="E56:F56"/>
    <mergeCell ref="I55:J55"/>
    <mergeCell ref="M58:N58"/>
    <mergeCell ref="G37:H37"/>
    <mergeCell ref="M38:N38"/>
    <mergeCell ref="I59:J59"/>
    <mergeCell ref="O56:P56"/>
    <mergeCell ref="O55:Q55"/>
    <mergeCell ref="I56:J56"/>
    <mergeCell ref="H40:I40"/>
    <mergeCell ref="E55:F55"/>
    <mergeCell ref="F44:G44"/>
    <mergeCell ref="F42:G42"/>
    <mergeCell ref="H41:I41"/>
    <mergeCell ref="J43:O43"/>
    <mergeCell ref="J44:O44"/>
    <mergeCell ref="R80:S80"/>
    <mergeCell ref="AD80:AE80"/>
    <mergeCell ref="AB80:AC80"/>
    <mergeCell ref="V80:W80"/>
    <mergeCell ref="X80:Y80"/>
    <mergeCell ref="Z80:AA80"/>
    <mergeCell ref="R79:AE79"/>
    <mergeCell ref="Z48:AA49"/>
    <mergeCell ref="V40:W40"/>
    <mergeCell ref="AD40:AE40"/>
    <mergeCell ref="P42:U42"/>
    <mergeCell ref="P40:U40"/>
    <mergeCell ref="P44:U44"/>
    <mergeCell ref="P45:U45"/>
    <mergeCell ref="O64:P64"/>
    <mergeCell ref="P46:U46"/>
    <mergeCell ref="P47:U47"/>
    <mergeCell ref="P68:Q68"/>
    <mergeCell ref="N65:O65"/>
    <mergeCell ref="O59:P59"/>
    <mergeCell ref="O58:P58"/>
    <mergeCell ref="Q74:R74"/>
    <mergeCell ref="J41:O41"/>
    <mergeCell ref="K76:L76"/>
    <mergeCell ref="N24:O24"/>
    <mergeCell ref="P24:Q24"/>
    <mergeCell ref="P25:Q25"/>
    <mergeCell ref="W36:X36"/>
    <mergeCell ref="Y36:Z36"/>
    <mergeCell ref="I30:J30"/>
    <mergeCell ref="K29:L29"/>
    <mergeCell ref="L26:M26"/>
    <mergeCell ref="H26:I26"/>
    <mergeCell ref="H25:I25"/>
    <mergeCell ref="M27:N27"/>
    <mergeCell ref="M29:N29"/>
    <mergeCell ref="F30:H30"/>
    <mergeCell ref="N26:O26"/>
    <mergeCell ref="O32:O35"/>
    <mergeCell ref="M32:N35"/>
    <mergeCell ref="F29:H29"/>
    <mergeCell ref="I29:J29"/>
    <mergeCell ref="E31:AE31"/>
    <mergeCell ref="W27:X27"/>
    <mergeCell ref="Y29:Z29"/>
    <mergeCell ref="Y27:Z27"/>
    <mergeCell ref="P28:Q28"/>
    <mergeCell ref="P29:Q29"/>
    <mergeCell ref="P30:Q30"/>
    <mergeCell ref="I27:J27"/>
    <mergeCell ref="K30:L30"/>
    <mergeCell ref="M30:N30"/>
    <mergeCell ref="K32:L36"/>
    <mergeCell ref="F38:H38"/>
    <mergeCell ref="T6:U6"/>
    <mergeCell ref="I14:J14"/>
    <mergeCell ref="K15:L15"/>
    <mergeCell ref="M15:N15"/>
    <mergeCell ref="F13:H13"/>
    <mergeCell ref="F14:H14"/>
    <mergeCell ref="F15:H15"/>
    <mergeCell ref="I15:J15"/>
    <mergeCell ref="J10:K10"/>
    <mergeCell ref="H10:I10"/>
    <mergeCell ref="H12:I12"/>
    <mergeCell ref="J12:K12"/>
    <mergeCell ref="F23:H23"/>
    <mergeCell ref="K27:L27"/>
    <mergeCell ref="K28:L28"/>
    <mergeCell ref="L19:M19"/>
    <mergeCell ref="J24:K24"/>
    <mergeCell ref="L24:M24"/>
    <mergeCell ref="L22:M22"/>
    <mergeCell ref="J5:K5"/>
    <mergeCell ref="P6:Q6"/>
    <mergeCell ref="R6:S6"/>
    <mergeCell ref="L6:M6"/>
    <mergeCell ref="H6:I6"/>
    <mergeCell ref="R7:S7"/>
    <mergeCell ref="G9:H9"/>
    <mergeCell ref="H7:I7"/>
    <mergeCell ref="J7:K7"/>
    <mergeCell ref="F6:G6"/>
    <mergeCell ref="F8:H8"/>
    <mergeCell ref="F7:G7"/>
    <mergeCell ref="H5:I5"/>
    <mergeCell ref="L9:M9"/>
    <mergeCell ref="F17:G17"/>
    <mergeCell ref="N12:O12"/>
    <mergeCell ref="P12:Q12"/>
    <mergeCell ref="P10:Q10"/>
    <mergeCell ref="F10:G10"/>
    <mergeCell ref="I18:J18"/>
    <mergeCell ref="L17:M17"/>
    <mergeCell ref="K13:AE14"/>
    <mergeCell ref="AD7:AE7"/>
    <mergeCell ref="F28:H28"/>
    <mergeCell ref="I23:J23"/>
    <mergeCell ref="I19:K19"/>
    <mergeCell ref="H24:I24"/>
    <mergeCell ref="F24:G24"/>
    <mergeCell ref="F25:G25"/>
    <mergeCell ref="F22:G22"/>
    <mergeCell ref="H22:I22"/>
    <mergeCell ref="J22:K22"/>
    <mergeCell ref="P62:Q62"/>
    <mergeCell ref="J54:K54"/>
    <mergeCell ref="N54:O54"/>
    <mergeCell ref="P54:Q54"/>
    <mergeCell ref="L54:M54"/>
    <mergeCell ref="K55:L55"/>
    <mergeCell ref="M55:N55"/>
    <mergeCell ref="K58:L58"/>
    <mergeCell ref="I58:J58"/>
    <mergeCell ref="K59:L59"/>
    <mergeCell ref="M59:N59"/>
    <mergeCell ref="M56:N56"/>
    <mergeCell ref="H60:I60"/>
    <mergeCell ref="J60:K60"/>
    <mergeCell ref="G55:H55"/>
    <mergeCell ref="F54:G54"/>
    <mergeCell ref="M62:N62"/>
    <mergeCell ref="F61:G61"/>
    <mergeCell ref="J47:O47"/>
    <mergeCell ref="J48:O49"/>
    <mergeCell ref="H47:I47"/>
    <mergeCell ref="H50:I50"/>
    <mergeCell ref="H48:I49"/>
    <mergeCell ref="J50:O50"/>
    <mergeCell ref="F51:G51"/>
    <mergeCell ref="F50:G50"/>
    <mergeCell ref="F48:G49"/>
    <mergeCell ref="H51:I51"/>
    <mergeCell ref="T10:AE10"/>
    <mergeCell ref="M76:N76"/>
    <mergeCell ref="O74:P74"/>
    <mergeCell ref="O75:P75"/>
    <mergeCell ref="P18:Q18"/>
    <mergeCell ref="P19:Q19"/>
    <mergeCell ref="P20:Q20"/>
    <mergeCell ref="P21:Q21"/>
    <mergeCell ref="R22:S22"/>
    <mergeCell ref="J51:O51"/>
    <mergeCell ref="M53:N53"/>
    <mergeCell ref="K39:L39"/>
    <mergeCell ref="I39:J39"/>
    <mergeCell ref="AA30:AB30"/>
    <mergeCell ref="M39:N39"/>
    <mergeCell ref="J25:K25"/>
    <mergeCell ref="H44:I44"/>
    <mergeCell ref="H45:I45"/>
    <mergeCell ref="J45:K45"/>
    <mergeCell ref="L45:M45"/>
    <mergeCell ref="F18:H18"/>
    <mergeCell ref="F19:H19"/>
    <mergeCell ref="F47:G47"/>
    <mergeCell ref="F40:G40"/>
    <mergeCell ref="N22:O22"/>
    <mergeCell ref="P22:Q22"/>
    <mergeCell ref="F20:H20"/>
    <mergeCell ref="F21:H21"/>
    <mergeCell ref="I20:J20"/>
    <mergeCell ref="I21:J21"/>
    <mergeCell ref="F46:G46"/>
    <mergeCell ref="F43:G43"/>
    <mergeCell ref="N45:O45"/>
    <mergeCell ref="H46:I46"/>
    <mergeCell ref="J46:O46"/>
    <mergeCell ref="F45:G45"/>
    <mergeCell ref="H43:I43"/>
    <mergeCell ref="F41:G41"/>
    <mergeCell ref="F32:H36"/>
    <mergeCell ref="E37:F37"/>
    <mergeCell ref="I32:J36"/>
    <mergeCell ref="F39:H39"/>
    <mergeCell ref="L20:M20"/>
    <mergeCell ref="J26:K26"/>
    <mergeCell ref="L23:M23"/>
    <mergeCell ref="I28:J28"/>
    <mergeCell ref="F26:G26"/>
    <mergeCell ref="F27:H27"/>
  </mergeCells>
  <hyperlinks>
    <hyperlink ref="AI73" r:id="rId1" display="Leo.Akbar@petrosea.com"/>
    <hyperlink ref="AI68" r:id="rId2"/>
    <hyperlink ref="AI69" r:id="rId3" display="Johanes.Mahendra@petrosea.com"/>
  </hyperlinks>
  <printOptions horizontalCentered="1"/>
  <pageMargins left="0.12" right="0.12" top="0.18" bottom="0.27" header="0.12" footer="0.12"/>
  <pageSetup paperSize="9" scale="65" orientation="landscape" verticalDpi="360" r:id="rId4"/>
  <legacyDrawing r:id="rId5"/>
</worksheet>
</file>

<file path=xl/worksheets/sheet6.xml><?xml version="1.0" encoding="utf-8"?>
<worksheet xmlns="http://schemas.openxmlformats.org/spreadsheetml/2006/main" xmlns:r="http://schemas.openxmlformats.org/officeDocument/2006/relationships">
  <dimension ref="A1:J84"/>
  <sheetViews>
    <sheetView zoomScale="85" zoomScaleNormal="85" workbookViewId="0">
      <pane xSplit="3" ySplit="3" topLeftCell="D67" activePane="bottomRight" state="frozen"/>
      <selection pane="topRight" activeCell="D1" sqref="D1"/>
      <selection pane="bottomLeft" activeCell="A4" sqref="A4"/>
      <selection pane="bottomRight" activeCell="G22" sqref="G22"/>
    </sheetView>
  </sheetViews>
  <sheetFormatPr defaultRowHeight="15"/>
  <cols>
    <col min="1" max="1" width="4.140625" style="609" customWidth="1"/>
    <col min="2" max="2" width="35.42578125" bestFit="1" customWidth="1"/>
    <col min="3" max="3" width="27.7109375" bestFit="1" customWidth="1"/>
    <col min="4" max="4" width="14" customWidth="1"/>
    <col min="5" max="5" width="11.5703125" bestFit="1" customWidth="1"/>
    <col min="6" max="6" width="22.140625" customWidth="1"/>
    <col min="7" max="7" width="15" customWidth="1"/>
    <col min="8" max="8" width="22.28515625" customWidth="1"/>
    <col min="9" max="10" width="14.28515625" bestFit="1" customWidth="1"/>
  </cols>
  <sheetData>
    <row r="1" spans="1:10">
      <c r="A1" s="889" t="s">
        <v>2474</v>
      </c>
    </row>
    <row r="2" spans="1:10">
      <c r="A2" s="889" t="s">
        <v>2475</v>
      </c>
    </row>
    <row r="3" spans="1:10" ht="30">
      <c r="A3" s="331" t="s">
        <v>6</v>
      </c>
      <c r="B3" s="331" t="s">
        <v>2452</v>
      </c>
      <c r="C3" s="331" t="s">
        <v>739</v>
      </c>
      <c r="D3" s="331" t="s">
        <v>2453</v>
      </c>
      <c r="E3" s="881" t="s">
        <v>2468</v>
      </c>
      <c r="F3" s="882" t="s">
        <v>2472</v>
      </c>
      <c r="G3" s="881" t="s">
        <v>2469</v>
      </c>
      <c r="H3" s="882" t="s">
        <v>2471</v>
      </c>
      <c r="I3" s="882" t="s">
        <v>2833</v>
      </c>
    </row>
    <row r="4" spans="1:10">
      <c r="A4" s="657">
        <v>1</v>
      </c>
      <c r="B4" s="488" t="s">
        <v>2454</v>
      </c>
      <c r="C4" s="883" t="s">
        <v>2458</v>
      </c>
      <c r="D4" s="611">
        <v>10000000</v>
      </c>
      <c r="E4" s="884">
        <f>D4*5%</f>
        <v>500000</v>
      </c>
      <c r="F4" s="616">
        <f>D4-E4</f>
        <v>9500000</v>
      </c>
      <c r="G4" s="884">
        <v>0</v>
      </c>
      <c r="H4" s="616">
        <f>F4-G4</f>
        <v>9500000</v>
      </c>
      <c r="I4" s="980">
        <v>13000000</v>
      </c>
    </row>
    <row r="5" spans="1:10">
      <c r="A5" s="657">
        <v>2</v>
      </c>
      <c r="B5" s="488" t="s">
        <v>2455</v>
      </c>
      <c r="C5" s="883" t="s">
        <v>2461</v>
      </c>
      <c r="D5" s="616">
        <v>2425</v>
      </c>
      <c r="E5" s="884">
        <f t="shared" ref="E5:E17" si="0">D5*5%</f>
        <v>121.25</v>
      </c>
      <c r="F5" s="611">
        <v>2304</v>
      </c>
      <c r="G5" s="884">
        <f>F5*7.5%</f>
        <v>172.79999999999998</v>
      </c>
      <c r="H5" s="616">
        <f>F5-G5</f>
        <v>2131.1999999999998</v>
      </c>
      <c r="I5" s="981">
        <f>H5-(H5*5%)</f>
        <v>2024.6399999999999</v>
      </c>
      <c r="J5" s="487">
        <f>I5*13334</f>
        <v>26996549.759999998</v>
      </c>
    </row>
    <row r="6" spans="1:10">
      <c r="A6" s="657">
        <v>3</v>
      </c>
      <c r="B6" s="488" t="s">
        <v>2455</v>
      </c>
      <c r="C6" s="885" t="s">
        <v>2462</v>
      </c>
      <c r="D6" s="886">
        <v>2425</v>
      </c>
      <c r="E6" s="887">
        <f t="shared" si="0"/>
        <v>121.25</v>
      </c>
      <c r="F6" s="888">
        <v>2304</v>
      </c>
      <c r="G6" s="887">
        <f>F6*7.5%</f>
        <v>172.79999999999998</v>
      </c>
      <c r="H6" s="886">
        <f t="shared" ref="H6:H17" si="1">F6-G6</f>
        <v>2131.1999999999998</v>
      </c>
      <c r="I6" s="886"/>
    </row>
    <row r="7" spans="1:10">
      <c r="A7" s="657">
        <v>4</v>
      </c>
      <c r="B7" s="488" t="s">
        <v>2455</v>
      </c>
      <c r="C7" s="883" t="s">
        <v>2463</v>
      </c>
      <c r="D7" s="616">
        <v>2425</v>
      </c>
      <c r="E7" s="884">
        <f t="shared" si="0"/>
        <v>121.25</v>
      </c>
      <c r="F7" s="611">
        <v>2304</v>
      </c>
      <c r="G7" s="884">
        <f>F7*7.5%</f>
        <v>172.79999999999998</v>
      </c>
      <c r="H7" s="616">
        <f t="shared" si="1"/>
        <v>2131.1999999999998</v>
      </c>
      <c r="I7" s="981">
        <f>H7-(H7*5%)</f>
        <v>2024.6399999999999</v>
      </c>
      <c r="J7" s="487">
        <f>I7*13334</f>
        <v>26996549.759999998</v>
      </c>
    </row>
    <row r="8" spans="1:10">
      <c r="A8" s="657">
        <v>5</v>
      </c>
      <c r="B8" s="488" t="s">
        <v>2455</v>
      </c>
      <c r="C8" s="883" t="s">
        <v>749</v>
      </c>
      <c r="D8" s="616"/>
      <c r="E8" s="884"/>
      <c r="F8" s="611"/>
      <c r="G8" s="884"/>
      <c r="H8" s="616">
        <v>2131.1999999999998</v>
      </c>
      <c r="I8" s="981">
        <f>H8-(H8*5%)</f>
        <v>2024.6399999999999</v>
      </c>
      <c r="J8" s="487">
        <f>I8*13334</f>
        <v>26996549.759999998</v>
      </c>
    </row>
    <row r="9" spans="1:10">
      <c r="A9" s="657">
        <v>6</v>
      </c>
      <c r="B9" s="488" t="s">
        <v>2455</v>
      </c>
      <c r="C9" s="883" t="s">
        <v>1899</v>
      </c>
      <c r="D9" s="616"/>
      <c r="E9" s="884"/>
      <c r="F9" s="611"/>
      <c r="G9" s="884"/>
      <c r="H9" s="616">
        <v>2131.1999999999998</v>
      </c>
      <c r="I9" s="981">
        <f>H9-(H9*5%)</f>
        <v>2024.6399999999999</v>
      </c>
      <c r="J9" s="487">
        <f>I9*13334</f>
        <v>26996549.759999998</v>
      </c>
    </row>
    <row r="10" spans="1:10">
      <c r="A10" s="657">
        <v>7</v>
      </c>
      <c r="B10" s="488" t="s">
        <v>2455</v>
      </c>
      <c r="C10" s="883" t="s">
        <v>2834</v>
      </c>
      <c r="D10" s="616"/>
      <c r="E10" s="884"/>
      <c r="F10" s="611"/>
      <c r="G10" s="884"/>
      <c r="H10" s="616">
        <v>2131.1999999999998</v>
      </c>
      <c r="I10" s="981">
        <f>H10-(H10*5%)</f>
        <v>2024.6399999999999</v>
      </c>
      <c r="J10" s="487"/>
    </row>
    <row r="11" spans="1:10">
      <c r="A11" s="657">
        <v>8</v>
      </c>
      <c r="B11" s="488" t="s">
        <v>2456</v>
      </c>
      <c r="C11" s="885" t="s">
        <v>2459</v>
      </c>
      <c r="D11" s="888">
        <v>7700000</v>
      </c>
      <c r="E11" s="887">
        <f t="shared" si="0"/>
        <v>385000</v>
      </c>
      <c r="F11" s="886">
        <f>D11-E11</f>
        <v>7315000</v>
      </c>
      <c r="G11" s="887">
        <f>F11*10%</f>
        <v>731500</v>
      </c>
      <c r="H11" s="886">
        <f t="shared" si="1"/>
        <v>6583500</v>
      </c>
      <c r="I11" s="886"/>
      <c r="J11" s="487">
        <f>I11*13334</f>
        <v>0</v>
      </c>
    </row>
    <row r="12" spans="1:10">
      <c r="A12" s="657">
        <v>9</v>
      </c>
      <c r="B12" s="488" t="s">
        <v>2456</v>
      </c>
      <c r="C12" s="883" t="s">
        <v>2460</v>
      </c>
      <c r="D12" s="611">
        <v>7700000</v>
      </c>
      <c r="E12" s="884">
        <f t="shared" si="0"/>
        <v>385000</v>
      </c>
      <c r="F12" s="616">
        <f t="shared" ref="F12:F17" si="2">D12-E12</f>
        <v>7315000</v>
      </c>
      <c r="G12" s="884">
        <f t="shared" ref="G12:G17" si="3">F12*10%</f>
        <v>731500</v>
      </c>
      <c r="H12" s="616">
        <f t="shared" si="1"/>
        <v>6583500</v>
      </c>
      <c r="I12" s="981">
        <v>6583500</v>
      </c>
    </row>
    <row r="13" spans="1:10">
      <c r="A13" s="657">
        <v>10</v>
      </c>
      <c r="B13" s="488" t="s">
        <v>2456</v>
      </c>
      <c r="C13" s="885" t="s">
        <v>2464</v>
      </c>
      <c r="D13" s="888">
        <v>7700000</v>
      </c>
      <c r="E13" s="887">
        <f t="shared" si="0"/>
        <v>385000</v>
      </c>
      <c r="F13" s="886">
        <f t="shared" si="2"/>
        <v>7315000</v>
      </c>
      <c r="G13" s="887">
        <f t="shared" si="3"/>
        <v>731500</v>
      </c>
      <c r="H13" s="886">
        <f t="shared" si="1"/>
        <v>6583500</v>
      </c>
      <c r="I13" s="886"/>
    </row>
    <row r="14" spans="1:10">
      <c r="A14" s="657">
        <v>11</v>
      </c>
      <c r="B14" s="488" t="s">
        <v>2457</v>
      </c>
      <c r="C14" s="885" t="s">
        <v>2465</v>
      </c>
      <c r="D14" s="888">
        <v>2550</v>
      </c>
      <c r="E14" s="887">
        <f t="shared" si="0"/>
        <v>127.5</v>
      </c>
      <c r="F14" s="886">
        <f t="shared" si="2"/>
        <v>2422.5</v>
      </c>
      <c r="G14" s="887">
        <f t="shared" si="3"/>
        <v>242.25</v>
      </c>
      <c r="H14" s="886">
        <f t="shared" si="1"/>
        <v>2180.25</v>
      </c>
      <c r="I14" s="885"/>
    </row>
    <row r="15" spans="1:10">
      <c r="A15" s="657">
        <v>12</v>
      </c>
      <c r="B15" s="488" t="s">
        <v>2457</v>
      </c>
      <c r="C15" s="883" t="s">
        <v>2460</v>
      </c>
      <c r="D15" s="611">
        <v>2550</v>
      </c>
      <c r="E15" s="884">
        <f t="shared" si="0"/>
        <v>127.5</v>
      </c>
      <c r="F15" s="616">
        <f t="shared" si="2"/>
        <v>2422.5</v>
      </c>
      <c r="G15" s="884">
        <f t="shared" si="3"/>
        <v>242.25</v>
      </c>
      <c r="H15" s="616">
        <f t="shared" si="1"/>
        <v>2180.25</v>
      </c>
      <c r="I15" s="981">
        <f>H15-(H15*5%)</f>
        <v>2071.2375000000002</v>
      </c>
      <c r="J15" s="487">
        <f>I15*13334</f>
        <v>27617880.825000003</v>
      </c>
    </row>
    <row r="16" spans="1:10">
      <c r="A16" s="657">
        <v>13</v>
      </c>
      <c r="B16" s="488" t="s">
        <v>2457</v>
      </c>
      <c r="C16" s="883" t="s">
        <v>2466</v>
      </c>
      <c r="D16" s="611">
        <v>2550</v>
      </c>
      <c r="E16" s="884">
        <f t="shared" si="0"/>
        <v>127.5</v>
      </c>
      <c r="F16" s="616">
        <f t="shared" si="2"/>
        <v>2422.5</v>
      </c>
      <c r="G16" s="884">
        <f t="shared" si="3"/>
        <v>242.25</v>
      </c>
      <c r="H16" s="616">
        <f t="shared" si="1"/>
        <v>2180.25</v>
      </c>
      <c r="I16" s="981">
        <f>H16-(H16*5%)</f>
        <v>2071.2375000000002</v>
      </c>
      <c r="J16" s="487">
        <f>I16*13334</f>
        <v>27617880.825000003</v>
      </c>
    </row>
    <row r="17" spans="1:10">
      <c r="A17" s="657">
        <v>14</v>
      </c>
      <c r="B17" s="488" t="s">
        <v>2457</v>
      </c>
      <c r="C17" s="883" t="s">
        <v>2467</v>
      </c>
      <c r="D17" s="611">
        <v>2550</v>
      </c>
      <c r="E17" s="884">
        <f t="shared" si="0"/>
        <v>127.5</v>
      </c>
      <c r="F17" s="616">
        <f t="shared" si="2"/>
        <v>2422.5</v>
      </c>
      <c r="G17" s="884">
        <f t="shared" si="3"/>
        <v>242.25</v>
      </c>
      <c r="H17" s="616">
        <f t="shared" si="1"/>
        <v>2180.25</v>
      </c>
      <c r="I17" s="981">
        <f>H17-(H17*5%)</f>
        <v>2071.2375000000002</v>
      </c>
      <c r="J17" s="487">
        <f>I17*13334</f>
        <v>27617880.825000003</v>
      </c>
    </row>
    <row r="18" spans="1:10">
      <c r="A18" s="657">
        <v>15</v>
      </c>
      <c r="B18" s="488" t="s">
        <v>2457</v>
      </c>
      <c r="C18" s="883" t="s">
        <v>755</v>
      </c>
      <c r="D18" s="611"/>
      <c r="E18" s="884"/>
      <c r="F18" s="616"/>
      <c r="G18" s="884"/>
      <c r="H18" s="616">
        <v>2180.25</v>
      </c>
      <c r="I18" s="981">
        <f>H18-(H18*5%)</f>
        <v>2071.2375000000002</v>
      </c>
      <c r="J18" s="487">
        <f>I18*13334</f>
        <v>27617880.825000003</v>
      </c>
    </row>
    <row r="19" spans="1:10">
      <c r="A19" s="657">
        <v>16</v>
      </c>
      <c r="B19" s="488" t="s">
        <v>2473</v>
      </c>
      <c r="C19" s="883" t="s">
        <v>2470</v>
      </c>
      <c r="D19" s="488"/>
      <c r="E19" s="488"/>
      <c r="F19" s="488"/>
      <c r="G19" s="488"/>
      <c r="H19" s="616">
        <v>2180.25</v>
      </c>
      <c r="I19" s="981">
        <f>H19-(H19*5%)</f>
        <v>2071.2375000000002</v>
      </c>
      <c r="J19" s="487">
        <f>I19*13334</f>
        <v>27617880.825000003</v>
      </c>
    </row>
    <row r="20" spans="1:10">
      <c r="D20" s="487"/>
    </row>
    <row r="21" spans="1:10">
      <c r="A21" s="890"/>
      <c r="B21" t="s">
        <v>2476</v>
      </c>
      <c r="D21" s="487"/>
      <c r="E21" s="487"/>
    </row>
    <row r="22" spans="1:10">
      <c r="A22" s="891"/>
      <c r="B22" t="s">
        <v>2477</v>
      </c>
      <c r="E22" s="487"/>
    </row>
    <row r="23" spans="1:10">
      <c r="E23" s="487"/>
      <c r="F23" s="133"/>
    </row>
    <row r="24" spans="1:10">
      <c r="E24" s="487"/>
    </row>
    <row r="25" spans="1:10">
      <c r="E25" s="487"/>
    </row>
    <row r="26" spans="1:10">
      <c r="E26" s="487"/>
      <c r="F26" s="133"/>
    </row>
    <row r="27" spans="1:10">
      <c r="A27" s="926" t="s">
        <v>6</v>
      </c>
      <c r="B27" s="926" t="s">
        <v>2400</v>
      </c>
      <c r="C27" s="929" t="s">
        <v>1398</v>
      </c>
      <c r="D27" s="929" t="s">
        <v>2556</v>
      </c>
      <c r="E27" s="931"/>
    </row>
    <row r="28" spans="1:10">
      <c r="A28" s="928">
        <v>1</v>
      </c>
      <c r="B28" s="927" t="s">
        <v>20</v>
      </c>
      <c r="C28" s="940"/>
      <c r="D28" s="940"/>
      <c r="E28" s="375"/>
    </row>
    <row r="29" spans="1:10">
      <c r="A29" s="928">
        <v>2</v>
      </c>
      <c r="B29" s="927" t="s">
        <v>22</v>
      </c>
      <c r="C29" s="934" t="s">
        <v>666</v>
      </c>
      <c r="D29" s="934" t="s">
        <v>1732</v>
      </c>
      <c r="E29" s="375"/>
    </row>
    <row r="30" spans="1:10">
      <c r="A30" s="936">
        <v>3</v>
      </c>
      <c r="B30" s="927" t="s">
        <v>24</v>
      </c>
      <c r="C30" s="934" t="s">
        <v>667</v>
      </c>
      <c r="D30" s="940" t="s">
        <v>1402</v>
      </c>
      <c r="E30" s="375"/>
    </row>
    <row r="31" spans="1:10">
      <c r="A31" s="936">
        <v>4</v>
      </c>
      <c r="B31" s="927" t="s">
        <v>49</v>
      </c>
      <c r="C31" s="491" t="s">
        <v>2557</v>
      </c>
      <c r="D31" s="934" t="s">
        <v>2558</v>
      </c>
      <c r="E31" s="375"/>
    </row>
    <row r="32" spans="1:10">
      <c r="A32" s="936">
        <v>5</v>
      </c>
      <c r="B32" s="927" t="s">
        <v>95</v>
      </c>
      <c r="C32" s="491" t="s">
        <v>671</v>
      </c>
      <c r="D32" s="491" t="s">
        <v>2559</v>
      </c>
      <c r="E32" s="375"/>
    </row>
    <row r="33" spans="1:5">
      <c r="A33" s="936">
        <v>6</v>
      </c>
      <c r="B33" s="934"/>
      <c r="C33" s="491" t="s">
        <v>672</v>
      </c>
      <c r="D33" s="491" t="s">
        <v>1735</v>
      </c>
      <c r="E33" s="375"/>
    </row>
    <row r="34" spans="1:5">
      <c r="A34" s="936">
        <v>7</v>
      </c>
      <c r="B34" s="934"/>
      <c r="C34" s="491" t="s">
        <v>673</v>
      </c>
      <c r="D34" s="491" t="s">
        <v>1736</v>
      </c>
      <c r="E34" s="375"/>
    </row>
    <row r="35" spans="1:5">
      <c r="A35" s="936">
        <v>8</v>
      </c>
      <c r="B35" s="934"/>
      <c r="C35" s="491" t="s">
        <v>674</v>
      </c>
      <c r="D35" s="941" t="s">
        <v>1735</v>
      </c>
      <c r="E35" s="375"/>
    </row>
    <row r="36" spans="1:5">
      <c r="A36" s="936">
        <v>9</v>
      </c>
      <c r="B36" s="934"/>
      <c r="C36" s="491" t="s">
        <v>676</v>
      </c>
      <c r="D36" s="491" t="s">
        <v>2560</v>
      </c>
      <c r="E36" s="375"/>
    </row>
    <row r="37" spans="1:5">
      <c r="A37" s="936">
        <v>10</v>
      </c>
      <c r="B37" s="934"/>
      <c r="C37" s="491" t="s">
        <v>1591</v>
      </c>
      <c r="D37" s="491" t="s">
        <v>1737</v>
      </c>
      <c r="E37" s="375"/>
    </row>
    <row r="38" spans="1:5">
      <c r="A38" s="936">
        <v>11</v>
      </c>
      <c r="B38" s="934"/>
      <c r="C38" s="491" t="s">
        <v>1896</v>
      </c>
      <c r="D38" s="491" t="s">
        <v>2560</v>
      </c>
      <c r="E38" s="375"/>
    </row>
    <row r="39" spans="1:5">
      <c r="A39" s="936">
        <v>12</v>
      </c>
      <c r="B39" s="927" t="s">
        <v>96</v>
      </c>
      <c r="C39" s="491" t="s">
        <v>680</v>
      </c>
      <c r="D39" s="491" t="s">
        <v>2560</v>
      </c>
      <c r="E39" s="375"/>
    </row>
    <row r="40" spans="1:5">
      <c r="A40" s="936">
        <v>13</v>
      </c>
      <c r="B40" s="934"/>
      <c r="C40" s="491" t="s">
        <v>2562</v>
      </c>
      <c r="D40" s="491" t="s">
        <v>2560</v>
      </c>
      <c r="E40" s="375"/>
    </row>
    <row r="41" spans="1:5">
      <c r="A41" s="936">
        <v>14</v>
      </c>
      <c r="B41" s="934"/>
      <c r="C41" s="491" t="s">
        <v>2563</v>
      </c>
      <c r="D41" s="491" t="s">
        <v>2560</v>
      </c>
      <c r="E41" s="375"/>
    </row>
    <row r="42" spans="1:5" ht="76.5">
      <c r="A42" s="936">
        <v>15</v>
      </c>
      <c r="B42" s="930" t="s">
        <v>2550</v>
      </c>
      <c r="C42" s="934" t="s">
        <v>681</v>
      </c>
      <c r="D42" s="943" t="s">
        <v>1739</v>
      </c>
      <c r="E42" s="163"/>
    </row>
    <row r="43" spans="1:5" ht="76.5">
      <c r="A43" s="936">
        <v>16</v>
      </c>
      <c r="B43" s="934"/>
      <c r="C43" s="934" t="s">
        <v>682</v>
      </c>
      <c r="D43" s="943" t="s">
        <v>1739</v>
      </c>
      <c r="E43" s="163"/>
    </row>
    <row r="44" spans="1:5" ht="76.5">
      <c r="A44" s="936">
        <v>17</v>
      </c>
      <c r="B44" s="934"/>
      <c r="C44" s="934" t="s">
        <v>683</v>
      </c>
      <c r="D44" s="943" t="s">
        <v>1739</v>
      </c>
      <c r="E44" s="163"/>
    </row>
    <row r="45" spans="1:5" ht="76.5">
      <c r="A45" s="936">
        <v>18</v>
      </c>
      <c r="B45" s="934"/>
      <c r="C45" s="934" t="s">
        <v>684</v>
      </c>
      <c r="D45" s="943" t="s">
        <v>1739</v>
      </c>
      <c r="E45" s="163"/>
    </row>
    <row r="46" spans="1:5">
      <c r="A46" s="936">
        <v>19</v>
      </c>
      <c r="B46" s="927" t="s">
        <v>121</v>
      </c>
      <c r="C46" s="937" t="s">
        <v>1740</v>
      </c>
      <c r="D46" s="491" t="s">
        <v>1741</v>
      </c>
      <c r="E46" s="163"/>
    </row>
    <row r="47" spans="1:5">
      <c r="A47" s="936">
        <v>20</v>
      </c>
      <c r="B47" s="930"/>
      <c r="C47" s="937" t="s">
        <v>1742</v>
      </c>
      <c r="D47" s="491" t="s">
        <v>2285</v>
      </c>
      <c r="E47" s="163"/>
    </row>
    <row r="48" spans="1:5">
      <c r="A48" s="936">
        <v>21</v>
      </c>
      <c r="B48" s="930"/>
      <c r="C48" s="937" t="s">
        <v>2286</v>
      </c>
      <c r="D48" s="491" t="s">
        <v>2287</v>
      </c>
      <c r="E48" s="163"/>
    </row>
    <row r="49" spans="1:5">
      <c r="A49" s="936">
        <v>22</v>
      </c>
      <c r="B49" s="930"/>
      <c r="C49" s="937" t="s">
        <v>2288</v>
      </c>
      <c r="D49" s="491" t="s">
        <v>2289</v>
      </c>
      <c r="E49" s="163"/>
    </row>
    <row r="50" spans="1:5">
      <c r="A50" s="936">
        <v>23</v>
      </c>
      <c r="B50" s="930" t="s">
        <v>2551</v>
      </c>
      <c r="C50" s="491" t="s">
        <v>696</v>
      </c>
      <c r="D50" s="940" t="s">
        <v>675</v>
      </c>
      <c r="E50" s="163"/>
    </row>
    <row r="51" spans="1:5">
      <c r="A51" s="936">
        <v>24</v>
      </c>
      <c r="B51" s="930" t="s">
        <v>2552</v>
      </c>
      <c r="C51" s="491" t="s">
        <v>2564</v>
      </c>
      <c r="D51" s="940" t="s">
        <v>675</v>
      </c>
      <c r="E51" s="163"/>
    </row>
    <row r="52" spans="1:5">
      <c r="A52" s="936">
        <v>25</v>
      </c>
      <c r="B52" s="934"/>
      <c r="C52" s="491" t="s">
        <v>2565</v>
      </c>
      <c r="D52" s="940" t="s">
        <v>675</v>
      </c>
      <c r="E52" s="163"/>
    </row>
    <row r="53" spans="1:5">
      <c r="A53" s="936">
        <v>26</v>
      </c>
      <c r="B53" s="927" t="s">
        <v>40</v>
      </c>
      <c r="C53" s="491" t="s">
        <v>748</v>
      </c>
      <c r="D53" s="934" t="s">
        <v>668</v>
      </c>
      <c r="E53" s="375"/>
    </row>
    <row r="54" spans="1:5">
      <c r="A54" s="936">
        <v>27</v>
      </c>
      <c r="B54" s="934"/>
      <c r="C54" s="491" t="s">
        <v>749</v>
      </c>
      <c r="D54" s="934" t="s">
        <v>1744</v>
      </c>
      <c r="E54" s="375"/>
    </row>
    <row r="55" spans="1:5">
      <c r="A55" s="936">
        <v>28</v>
      </c>
      <c r="B55" s="934"/>
      <c r="C55" s="491" t="s">
        <v>1899</v>
      </c>
      <c r="D55" s="934" t="s">
        <v>675</v>
      </c>
      <c r="E55" s="375"/>
    </row>
    <row r="56" spans="1:5">
      <c r="A56" s="936">
        <v>29</v>
      </c>
      <c r="B56" s="934"/>
      <c r="C56" s="491" t="s">
        <v>750</v>
      </c>
      <c r="D56" s="934" t="s">
        <v>1744</v>
      </c>
      <c r="E56" s="375"/>
    </row>
    <row r="57" spans="1:5">
      <c r="A57" s="936">
        <v>30</v>
      </c>
      <c r="B57" s="934"/>
      <c r="C57" s="491" t="s">
        <v>751</v>
      </c>
      <c r="D57" s="934" t="s">
        <v>1744</v>
      </c>
      <c r="E57" s="375"/>
    </row>
    <row r="58" spans="1:5">
      <c r="A58" s="936">
        <v>31</v>
      </c>
      <c r="B58" s="934"/>
      <c r="C58" s="491" t="s">
        <v>752</v>
      </c>
      <c r="D58" s="934" t="s">
        <v>668</v>
      </c>
      <c r="E58" s="375"/>
    </row>
    <row r="59" spans="1:5">
      <c r="A59" s="936">
        <v>32</v>
      </c>
      <c r="B59" s="934"/>
      <c r="C59" s="491" t="s">
        <v>753</v>
      </c>
      <c r="D59" s="934" t="s">
        <v>668</v>
      </c>
      <c r="E59" s="375"/>
    </row>
    <row r="60" spans="1:5">
      <c r="A60" s="936">
        <v>33</v>
      </c>
      <c r="B60" s="934"/>
      <c r="C60" s="491" t="s">
        <v>754</v>
      </c>
      <c r="D60" s="934" t="s">
        <v>668</v>
      </c>
      <c r="E60" s="375"/>
    </row>
    <row r="61" spans="1:5">
      <c r="A61" s="936">
        <v>34</v>
      </c>
      <c r="B61" s="934"/>
      <c r="C61" s="491" t="s">
        <v>754</v>
      </c>
      <c r="D61" s="934" t="s">
        <v>747</v>
      </c>
      <c r="E61" s="375"/>
    </row>
    <row r="62" spans="1:5">
      <c r="A62" s="936">
        <v>35</v>
      </c>
      <c r="B62" s="934"/>
      <c r="C62" s="491" t="s">
        <v>755</v>
      </c>
      <c r="D62" s="934" t="s">
        <v>668</v>
      </c>
      <c r="E62" s="375"/>
    </row>
    <row r="63" spans="1:5">
      <c r="A63" s="936">
        <v>36</v>
      </c>
      <c r="B63" s="934"/>
      <c r="C63" s="491" t="s">
        <v>671</v>
      </c>
      <c r="D63" s="940" t="s">
        <v>365</v>
      </c>
      <c r="E63" s="375"/>
    </row>
    <row r="64" spans="1:5">
      <c r="A64" s="936">
        <v>37</v>
      </c>
      <c r="B64" s="934"/>
      <c r="C64" s="491" t="s">
        <v>2566</v>
      </c>
      <c r="D64" s="934" t="s">
        <v>1747</v>
      </c>
      <c r="E64" s="375"/>
    </row>
    <row r="65" spans="1:5">
      <c r="A65" s="936">
        <v>38</v>
      </c>
      <c r="B65" s="927" t="s">
        <v>128</v>
      </c>
      <c r="C65" s="934" t="s">
        <v>698</v>
      </c>
      <c r="D65" s="940" t="s">
        <v>1745</v>
      </c>
      <c r="E65" s="375"/>
    </row>
    <row r="66" spans="1:5">
      <c r="A66" s="936">
        <v>39</v>
      </c>
      <c r="B66" s="934" t="s">
        <v>159</v>
      </c>
      <c r="C66" s="934" t="s">
        <v>1407</v>
      </c>
      <c r="D66" s="940" t="s">
        <v>1406</v>
      </c>
      <c r="E66" s="375"/>
    </row>
    <row r="67" spans="1:5">
      <c r="A67" s="936">
        <v>40</v>
      </c>
      <c r="B67" s="934"/>
      <c r="C67" s="934" t="s">
        <v>1409</v>
      </c>
      <c r="D67" s="940" t="s">
        <v>1408</v>
      </c>
      <c r="E67" s="375"/>
    </row>
    <row r="68" spans="1:5">
      <c r="A68" s="936">
        <v>41</v>
      </c>
      <c r="B68" s="934"/>
      <c r="C68" s="934" t="s">
        <v>710</v>
      </c>
      <c r="D68" s="940" t="s">
        <v>1405</v>
      </c>
      <c r="E68" s="375"/>
    </row>
    <row r="69" spans="1:5">
      <c r="A69" s="936">
        <v>42</v>
      </c>
      <c r="B69" s="927" t="s">
        <v>164</v>
      </c>
      <c r="C69" s="934" t="s">
        <v>698</v>
      </c>
      <c r="D69" s="934" t="s">
        <v>1745</v>
      </c>
      <c r="E69" s="375"/>
    </row>
    <row r="70" spans="1:5">
      <c r="A70" s="936">
        <v>43</v>
      </c>
      <c r="B70" s="934"/>
      <c r="C70" s="934" t="s">
        <v>700</v>
      </c>
      <c r="D70" s="934" t="s">
        <v>1746</v>
      </c>
      <c r="E70" s="375"/>
    </row>
    <row r="71" spans="1:5">
      <c r="A71" s="936">
        <v>44</v>
      </c>
      <c r="B71" s="927" t="s">
        <v>45</v>
      </c>
      <c r="C71" s="934" t="s">
        <v>701</v>
      </c>
      <c r="D71" s="934" t="s">
        <v>1747</v>
      </c>
      <c r="E71" s="375"/>
    </row>
    <row r="72" spans="1:5">
      <c r="A72" s="936">
        <v>45</v>
      </c>
      <c r="B72" s="927" t="s">
        <v>133</v>
      </c>
      <c r="C72" s="934" t="s">
        <v>703</v>
      </c>
      <c r="D72" s="940" t="s">
        <v>365</v>
      </c>
      <c r="E72" s="375"/>
    </row>
    <row r="73" spans="1:5" ht="76.5">
      <c r="A73" s="936">
        <v>46</v>
      </c>
      <c r="B73" s="857" t="s">
        <v>2553</v>
      </c>
      <c r="C73" s="934" t="s">
        <v>2082</v>
      </c>
      <c r="D73" s="942" t="s">
        <v>2081</v>
      </c>
      <c r="E73" s="375"/>
    </row>
    <row r="74" spans="1:5" ht="38.25">
      <c r="A74" s="936">
        <v>47</v>
      </c>
      <c r="B74" s="927" t="s">
        <v>430</v>
      </c>
      <c r="C74" s="491" t="s">
        <v>704</v>
      </c>
      <c r="D74" s="944" t="s">
        <v>1748</v>
      </c>
      <c r="E74" s="375"/>
    </row>
    <row r="75" spans="1:5">
      <c r="A75" s="936">
        <v>48</v>
      </c>
      <c r="B75" s="930" t="s">
        <v>2554</v>
      </c>
      <c r="C75" s="934" t="s">
        <v>1749</v>
      </c>
      <c r="D75" s="940" t="s">
        <v>675</v>
      </c>
      <c r="E75" s="375"/>
    </row>
    <row r="76" spans="1:5">
      <c r="A76" s="936">
        <v>49</v>
      </c>
      <c r="B76" s="927" t="s">
        <v>136</v>
      </c>
      <c r="C76" s="934" t="s">
        <v>734</v>
      </c>
      <c r="D76" s="940" t="s">
        <v>675</v>
      </c>
      <c r="E76" s="375"/>
    </row>
    <row r="77" spans="1:5">
      <c r="A77" s="936">
        <v>50</v>
      </c>
      <c r="B77" s="934"/>
      <c r="C77" s="934" t="s">
        <v>733</v>
      </c>
      <c r="D77" s="940" t="s">
        <v>675</v>
      </c>
      <c r="E77" s="375"/>
    </row>
    <row r="78" spans="1:5" ht="51">
      <c r="A78" s="936">
        <v>51</v>
      </c>
      <c r="B78" s="858" t="s">
        <v>764</v>
      </c>
      <c r="C78" s="934" t="s">
        <v>1752</v>
      </c>
      <c r="D78" s="942" t="s">
        <v>1751</v>
      </c>
      <c r="E78" s="165"/>
    </row>
    <row r="79" spans="1:5">
      <c r="A79" s="936">
        <v>52</v>
      </c>
      <c r="B79" s="933" t="s">
        <v>445</v>
      </c>
      <c r="C79" s="934" t="s">
        <v>710</v>
      </c>
      <c r="D79" s="491" t="s">
        <v>1753</v>
      </c>
      <c r="E79" s="932"/>
    </row>
    <row r="80" spans="1:5" ht="38.25">
      <c r="A80" s="936">
        <v>53</v>
      </c>
      <c r="B80" s="858" t="s">
        <v>1623</v>
      </c>
      <c r="C80" s="934" t="s">
        <v>1713</v>
      </c>
      <c r="D80" s="944" t="s">
        <v>1754</v>
      </c>
      <c r="E80" s="165"/>
    </row>
    <row r="81" spans="1:5" ht="63.75">
      <c r="A81" s="936">
        <v>54</v>
      </c>
      <c r="B81" s="930" t="s">
        <v>2555</v>
      </c>
      <c r="C81" s="934" t="s">
        <v>712</v>
      </c>
      <c r="D81" s="942" t="s">
        <v>1750</v>
      </c>
      <c r="E81" s="375"/>
    </row>
    <row r="82" spans="1:5">
      <c r="A82" s="936">
        <v>55</v>
      </c>
      <c r="B82" s="858" t="s">
        <v>47</v>
      </c>
      <c r="C82" s="857"/>
      <c r="D82" s="857"/>
      <c r="E82" s="165"/>
    </row>
    <row r="83" spans="1:5">
      <c r="A83" s="936">
        <v>56</v>
      </c>
      <c r="B83" s="857" t="s">
        <v>2567</v>
      </c>
      <c r="C83" s="945"/>
      <c r="D83" s="945"/>
    </row>
    <row r="84" spans="1:5">
      <c r="A84" s="936">
        <v>57</v>
      </c>
      <c r="B84" s="857" t="s">
        <v>2568</v>
      </c>
      <c r="C84" s="945"/>
      <c r="D84" s="945"/>
    </row>
  </sheetData>
  <pageMargins left="0.7" right="0.7" top="0.75" bottom="0.75" header="0.3" footer="0.3"/>
  <pageSetup paperSize="9" orientation="landscape" verticalDpi="36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3:AH104"/>
  <sheetViews>
    <sheetView showGridLines="0" topLeftCell="A16" zoomScale="85" zoomScaleNormal="85" workbookViewId="0">
      <selection activeCell="I44" sqref="I44"/>
    </sheetView>
  </sheetViews>
  <sheetFormatPr defaultRowHeight="15"/>
  <cols>
    <col min="1" max="1" width="4.140625" bestFit="1" customWidth="1"/>
    <col min="2" max="2" width="13.140625" bestFit="1" customWidth="1"/>
    <col min="3" max="3" width="11.28515625" bestFit="1" customWidth="1"/>
    <col min="4" max="4" width="14.140625" bestFit="1" customWidth="1"/>
    <col min="5" max="5" width="3.28515625" customWidth="1"/>
    <col min="6" max="6" width="4.140625" bestFit="1" customWidth="1"/>
    <col min="7" max="7" width="13.140625" bestFit="1" customWidth="1"/>
    <col min="8" max="8" width="11" bestFit="1" customWidth="1"/>
    <col min="9" max="9" width="12.28515625" bestFit="1" customWidth="1"/>
    <col min="10" max="10" width="3.28515625" customWidth="1"/>
    <col min="11" max="11" width="4.140625" bestFit="1" customWidth="1"/>
    <col min="12" max="12" width="13.140625" bestFit="1" customWidth="1"/>
    <col min="13" max="13" width="11" bestFit="1" customWidth="1"/>
    <col min="14" max="14" width="12.28515625" bestFit="1" customWidth="1"/>
    <col min="15" max="15" width="3.28515625" customWidth="1"/>
    <col min="16" max="16" width="4.140625" bestFit="1" customWidth="1"/>
    <col min="17" max="17" width="13.140625" bestFit="1" customWidth="1"/>
    <col min="18" max="18" width="11" bestFit="1" customWidth="1"/>
    <col min="19" max="19" width="9.7109375" bestFit="1" customWidth="1"/>
    <col min="20" max="20" width="3.28515625" customWidth="1"/>
    <col min="21" max="21" width="4.140625" bestFit="1" customWidth="1"/>
    <col min="22" max="22" width="13.140625" bestFit="1" customWidth="1"/>
    <col min="23" max="23" width="11" bestFit="1" customWidth="1"/>
    <col min="24" max="24" width="9.7109375" bestFit="1" customWidth="1"/>
    <col min="25" max="25" width="3.28515625" customWidth="1"/>
    <col min="26" max="26" width="4.140625" bestFit="1" customWidth="1"/>
    <col min="27" max="27" width="13.140625" bestFit="1" customWidth="1"/>
    <col min="28" max="28" width="11" bestFit="1" customWidth="1"/>
    <col min="29" max="29" width="9.7109375" bestFit="1" customWidth="1"/>
    <col min="30" max="30" width="3.28515625" customWidth="1"/>
    <col min="31" max="31" width="4.140625" bestFit="1" customWidth="1"/>
    <col min="32" max="32" width="13.140625" bestFit="1" customWidth="1"/>
    <col min="33" max="33" width="11" bestFit="1" customWidth="1"/>
    <col min="34" max="34" width="9.7109375" bestFit="1" customWidth="1"/>
  </cols>
  <sheetData>
    <row r="3" spans="1:34" ht="19.5" hidden="1" customHeight="1"/>
    <row r="4" spans="1:34">
      <c r="A4" s="657" t="s">
        <v>785</v>
      </c>
      <c r="B4" s="657" t="s">
        <v>786</v>
      </c>
      <c r="C4" s="657" t="s">
        <v>787</v>
      </c>
      <c r="D4" s="657" t="s">
        <v>788</v>
      </c>
      <c r="F4" s="657" t="s">
        <v>785</v>
      </c>
      <c r="G4" s="657" t="s">
        <v>786</v>
      </c>
      <c r="H4" s="657" t="s">
        <v>787</v>
      </c>
      <c r="I4" s="657" t="s">
        <v>788</v>
      </c>
      <c r="K4" s="657" t="s">
        <v>785</v>
      </c>
      <c r="L4" s="657" t="s">
        <v>786</v>
      </c>
      <c r="M4" s="657" t="s">
        <v>787</v>
      </c>
      <c r="N4" s="657" t="s">
        <v>788</v>
      </c>
      <c r="P4" s="657" t="s">
        <v>785</v>
      </c>
      <c r="Q4" s="657" t="s">
        <v>786</v>
      </c>
      <c r="R4" s="657" t="s">
        <v>787</v>
      </c>
      <c r="S4" s="657" t="s">
        <v>788</v>
      </c>
      <c r="U4" s="657" t="s">
        <v>785</v>
      </c>
      <c r="V4" s="657" t="s">
        <v>786</v>
      </c>
      <c r="W4" s="657" t="s">
        <v>787</v>
      </c>
      <c r="X4" s="657" t="s">
        <v>788</v>
      </c>
      <c r="Z4" s="657" t="s">
        <v>785</v>
      </c>
      <c r="AA4" s="657" t="s">
        <v>786</v>
      </c>
      <c r="AB4" s="657" t="s">
        <v>787</v>
      </c>
      <c r="AC4" s="657" t="s">
        <v>788</v>
      </c>
      <c r="AE4" s="657" t="s">
        <v>785</v>
      </c>
      <c r="AF4" s="657" t="s">
        <v>786</v>
      </c>
      <c r="AG4" s="657" t="s">
        <v>787</v>
      </c>
      <c r="AH4" s="657" t="s">
        <v>788</v>
      </c>
    </row>
    <row r="5" spans="1:34">
      <c r="A5" s="657">
        <v>1</v>
      </c>
      <c r="B5" s="448" t="s">
        <v>789</v>
      </c>
      <c r="C5" s="449" t="s">
        <v>3786</v>
      </c>
      <c r="D5" s="657" t="s">
        <v>1841</v>
      </c>
      <c r="F5" s="657">
        <v>101</v>
      </c>
      <c r="G5" s="452" t="s">
        <v>791</v>
      </c>
      <c r="H5" s="450" t="s">
        <v>4364</v>
      </c>
      <c r="I5" s="451" t="s">
        <v>908</v>
      </c>
      <c r="K5" s="657">
        <v>201</v>
      </c>
      <c r="L5" s="452" t="s">
        <v>991</v>
      </c>
      <c r="M5" s="450"/>
      <c r="N5" s="451"/>
      <c r="P5" s="657">
        <v>301</v>
      </c>
      <c r="Q5" s="448" t="s">
        <v>792</v>
      </c>
      <c r="R5" s="454"/>
      <c r="S5" s="459"/>
      <c r="U5" s="657">
        <v>401</v>
      </c>
      <c r="V5" s="448" t="s">
        <v>1190</v>
      </c>
      <c r="W5" s="657"/>
      <c r="X5" s="459"/>
      <c r="Z5" s="657">
        <v>501</v>
      </c>
      <c r="AA5" s="448" t="s">
        <v>1192</v>
      </c>
      <c r="AB5" s="657"/>
      <c r="AC5" s="657"/>
      <c r="AE5" s="657">
        <v>601</v>
      </c>
      <c r="AF5" s="448" t="s">
        <v>1441</v>
      </c>
      <c r="AG5" s="657"/>
      <c r="AH5" s="657"/>
    </row>
    <row r="6" spans="1:34">
      <c r="A6" s="657">
        <v>2</v>
      </c>
      <c r="B6" s="452" t="s">
        <v>793</v>
      </c>
      <c r="C6" s="450" t="s">
        <v>3787</v>
      </c>
      <c r="D6" s="451" t="s">
        <v>1841</v>
      </c>
      <c r="F6" s="657">
        <v>102</v>
      </c>
      <c r="G6" s="452" t="s">
        <v>795</v>
      </c>
      <c r="H6" s="450" t="s">
        <v>4365</v>
      </c>
      <c r="I6" s="657" t="s">
        <v>908</v>
      </c>
      <c r="K6" s="657">
        <v>102</v>
      </c>
      <c r="L6" s="452" t="s">
        <v>995</v>
      </c>
      <c r="M6" s="450"/>
      <c r="N6" s="451"/>
      <c r="P6" s="657">
        <v>302</v>
      </c>
      <c r="Q6" s="448" t="s">
        <v>796</v>
      </c>
      <c r="R6" s="454"/>
      <c r="S6" s="459"/>
      <c r="U6" s="657">
        <v>402</v>
      </c>
      <c r="V6" s="448" t="s">
        <v>1194</v>
      </c>
      <c r="W6" s="657"/>
      <c r="X6" s="459"/>
      <c r="Z6" s="657">
        <v>402</v>
      </c>
      <c r="AA6" s="448" t="s">
        <v>1196</v>
      </c>
      <c r="AB6" s="657"/>
      <c r="AC6" s="657"/>
      <c r="AE6" s="657">
        <v>402</v>
      </c>
      <c r="AF6" s="448" t="s">
        <v>1442</v>
      </c>
      <c r="AG6" s="657"/>
      <c r="AH6" s="657"/>
    </row>
    <row r="7" spans="1:34">
      <c r="A7" s="657">
        <v>3</v>
      </c>
      <c r="B7" s="452" t="s">
        <v>797</v>
      </c>
      <c r="C7" s="450" t="s">
        <v>3788</v>
      </c>
      <c r="D7" s="451" t="s">
        <v>1841</v>
      </c>
      <c r="F7" s="657">
        <v>103</v>
      </c>
      <c r="G7" s="452" t="s">
        <v>799</v>
      </c>
      <c r="H7" s="450" t="s">
        <v>3786</v>
      </c>
      <c r="I7" s="657" t="s">
        <v>4369</v>
      </c>
      <c r="K7" s="657">
        <v>103</v>
      </c>
      <c r="L7" s="452" t="s">
        <v>999</v>
      </c>
      <c r="M7" s="450"/>
      <c r="N7" s="451"/>
      <c r="P7" s="657">
        <v>303</v>
      </c>
      <c r="Q7" s="448" t="s">
        <v>800</v>
      </c>
      <c r="R7" s="454"/>
      <c r="S7" s="459"/>
      <c r="U7" s="657">
        <v>403</v>
      </c>
      <c r="V7" s="448" t="s">
        <v>1198</v>
      </c>
      <c r="W7" s="657"/>
      <c r="X7" s="459"/>
      <c r="Z7" s="657">
        <v>403</v>
      </c>
      <c r="AA7" s="448" t="s">
        <v>1200</v>
      </c>
      <c r="AB7" s="657"/>
      <c r="AC7" s="657"/>
      <c r="AE7" s="657">
        <v>403</v>
      </c>
      <c r="AF7" s="448" t="s">
        <v>1443</v>
      </c>
      <c r="AG7" s="657"/>
      <c r="AH7" s="657"/>
    </row>
    <row r="8" spans="1:34">
      <c r="A8" s="657">
        <v>4</v>
      </c>
      <c r="B8" s="452" t="s">
        <v>801</v>
      </c>
      <c r="C8" s="450" t="s">
        <v>3789</v>
      </c>
      <c r="D8" s="451" t="s">
        <v>1841</v>
      </c>
      <c r="F8" s="657">
        <v>104</v>
      </c>
      <c r="G8" s="452" t="s">
        <v>803</v>
      </c>
      <c r="H8" s="450" t="s">
        <v>4373</v>
      </c>
      <c r="I8" s="657" t="s">
        <v>908</v>
      </c>
      <c r="K8" s="657">
        <v>104</v>
      </c>
      <c r="L8" s="452" t="s">
        <v>1003</v>
      </c>
      <c r="M8" s="450"/>
      <c r="N8" s="451"/>
      <c r="P8" s="657">
        <v>304</v>
      </c>
      <c r="Q8" s="448" t="s">
        <v>804</v>
      </c>
      <c r="R8" s="974"/>
      <c r="S8" s="459"/>
      <c r="U8" s="657">
        <v>404</v>
      </c>
      <c r="V8" s="448" t="s">
        <v>1202</v>
      </c>
      <c r="W8" s="657"/>
      <c r="X8" s="459"/>
      <c r="Z8" s="657">
        <v>404</v>
      </c>
      <c r="AA8" s="448" t="s">
        <v>1204</v>
      </c>
      <c r="AB8" s="657"/>
      <c r="AC8" s="657"/>
      <c r="AE8" s="657">
        <v>404</v>
      </c>
      <c r="AF8" s="448" t="s">
        <v>1444</v>
      </c>
      <c r="AG8" s="657"/>
      <c r="AH8" s="657"/>
    </row>
    <row r="9" spans="1:34">
      <c r="A9" s="657">
        <v>5</v>
      </c>
      <c r="B9" s="452" t="s">
        <v>805</v>
      </c>
      <c r="C9" s="450" t="s">
        <v>3786</v>
      </c>
      <c r="D9" s="451" t="s">
        <v>3790</v>
      </c>
      <c r="F9" s="657">
        <v>105</v>
      </c>
      <c r="G9" s="452" t="s">
        <v>807</v>
      </c>
      <c r="H9" s="450" t="s">
        <v>4374</v>
      </c>
      <c r="I9" s="657" t="s">
        <v>908</v>
      </c>
      <c r="K9" s="657">
        <v>105</v>
      </c>
      <c r="L9" s="452" t="s">
        <v>1007</v>
      </c>
      <c r="M9" s="450"/>
      <c r="N9" s="451"/>
      <c r="P9" s="657">
        <v>305</v>
      </c>
      <c r="Q9" s="448" t="s">
        <v>808</v>
      </c>
      <c r="R9" s="974"/>
      <c r="S9" s="459"/>
      <c r="U9" s="657">
        <v>405</v>
      </c>
      <c r="V9" s="448" t="s">
        <v>1206</v>
      </c>
      <c r="W9" s="657"/>
      <c r="X9" s="459"/>
      <c r="Z9" s="657">
        <v>405</v>
      </c>
      <c r="AA9" s="448" t="s">
        <v>1208</v>
      </c>
      <c r="AB9" s="453"/>
      <c r="AC9" s="657"/>
      <c r="AE9" s="657">
        <v>405</v>
      </c>
      <c r="AF9" s="448" t="s">
        <v>1445</v>
      </c>
      <c r="AG9" s="453"/>
      <c r="AH9" s="657"/>
    </row>
    <row r="10" spans="1:34">
      <c r="A10" s="657">
        <v>6</v>
      </c>
      <c r="B10" s="452" t="s">
        <v>809</v>
      </c>
      <c r="C10" s="450" t="s">
        <v>3786</v>
      </c>
      <c r="D10" s="451" t="s">
        <v>908</v>
      </c>
      <c r="F10" s="657">
        <v>106</v>
      </c>
      <c r="G10" s="452" t="s">
        <v>811</v>
      </c>
      <c r="H10" s="450" t="s">
        <v>4375</v>
      </c>
      <c r="I10" s="657" t="s">
        <v>908</v>
      </c>
      <c r="K10" s="657">
        <v>106</v>
      </c>
      <c r="L10" s="452" t="s">
        <v>1011</v>
      </c>
      <c r="M10" s="450"/>
      <c r="N10" s="451"/>
      <c r="P10" s="657">
        <v>306</v>
      </c>
      <c r="Q10" s="448" t="s">
        <v>812</v>
      </c>
      <c r="R10" s="974"/>
      <c r="S10" s="459"/>
      <c r="U10" s="657">
        <v>406</v>
      </c>
      <c r="V10" s="448" t="s">
        <v>1210</v>
      </c>
      <c r="W10" s="657"/>
      <c r="X10" s="459"/>
      <c r="Z10" s="657">
        <v>406</v>
      </c>
      <c r="AA10" s="448" t="s">
        <v>1212</v>
      </c>
      <c r="AB10" s="453"/>
      <c r="AC10" s="657"/>
      <c r="AE10" s="657">
        <v>406</v>
      </c>
      <c r="AF10" s="448" t="s">
        <v>1446</v>
      </c>
      <c r="AG10" s="453"/>
      <c r="AH10" s="657"/>
    </row>
    <row r="11" spans="1:34">
      <c r="A11" s="657">
        <v>7</v>
      </c>
      <c r="B11" s="452" t="s">
        <v>813</v>
      </c>
      <c r="C11" s="450" t="s">
        <v>3787</v>
      </c>
      <c r="D11" s="451" t="s">
        <v>908</v>
      </c>
      <c r="F11" s="657">
        <v>107</v>
      </c>
      <c r="G11" s="452" t="s">
        <v>815</v>
      </c>
      <c r="H11" s="450" t="s">
        <v>4376</v>
      </c>
      <c r="I11" s="657" t="s">
        <v>908</v>
      </c>
      <c r="K11" s="657">
        <v>107</v>
      </c>
      <c r="L11" s="452" t="s">
        <v>1015</v>
      </c>
      <c r="M11" s="450"/>
      <c r="N11" s="451"/>
      <c r="P11" s="657">
        <v>307</v>
      </c>
      <c r="Q11" s="448" t="s">
        <v>816</v>
      </c>
      <c r="R11" s="455"/>
      <c r="S11" s="459"/>
      <c r="U11" s="657">
        <v>407</v>
      </c>
      <c r="V11" s="448" t="s">
        <v>1214</v>
      </c>
      <c r="W11" s="657"/>
      <c r="X11" s="459"/>
      <c r="Z11" s="657">
        <v>407</v>
      </c>
      <c r="AA11" s="448" t="s">
        <v>1216</v>
      </c>
      <c r="AB11" s="453"/>
      <c r="AC11" s="657"/>
      <c r="AE11" s="657">
        <v>407</v>
      </c>
      <c r="AF11" s="448" t="s">
        <v>1447</v>
      </c>
      <c r="AG11" s="453"/>
      <c r="AH11" s="657"/>
    </row>
    <row r="12" spans="1:34">
      <c r="A12" s="657">
        <v>8</v>
      </c>
      <c r="B12" s="452" t="s">
        <v>817</v>
      </c>
      <c r="C12" s="450" t="s">
        <v>3788</v>
      </c>
      <c r="D12" s="457" t="s">
        <v>908</v>
      </c>
      <c r="F12" s="657">
        <v>108</v>
      </c>
      <c r="G12" s="452" t="s">
        <v>819</v>
      </c>
      <c r="H12" s="450" t="s">
        <v>3791</v>
      </c>
      <c r="I12" s="657" t="s">
        <v>4017</v>
      </c>
      <c r="K12" s="657">
        <v>108</v>
      </c>
      <c r="L12" s="452" t="s">
        <v>1019</v>
      </c>
      <c r="M12" s="450"/>
      <c r="N12" s="451"/>
      <c r="P12" s="657">
        <v>308</v>
      </c>
      <c r="Q12" s="448" t="s">
        <v>820</v>
      </c>
      <c r="R12" s="455"/>
      <c r="S12" s="459"/>
      <c r="U12" s="657">
        <v>408</v>
      </c>
      <c r="V12" s="448" t="s">
        <v>1218</v>
      </c>
      <c r="W12" s="657"/>
      <c r="X12" s="459"/>
      <c r="Z12" s="657">
        <v>408</v>
      </c>
      <c r="AA12" s="448" t="s">
        <v>1220</v>
      </c>
      <c r="AB12" s="453"/>
      <c r="AC12" s="657"/>
      <c r="AE12" s="657">
        <v>408</v>
      </c>
      <c r="AF12" s="448" t="s">
        <v>1448</v>
      </c>
      <c r="AG12" s="453"/>
      <c r="AH12" s="657"/>
    </row>
    <row r="13" spans="1:34">
      <c r="A13" s="657">
        <v>9</v>
      </c>
      <c r="B13" s="452" t="s">
        <v>821</v>
      </c>
      <c r="C13" s="450" t="s">
        <v>3789</v>
      </c>
      <c r="D13" s="457" t="s">
        <v>908</v>
      </c>
      <c r="F13" s="657">
        <v>109</v>
      </c>
      <c r="G13" s="452" t="s">
        <v>823</v>
      </c>
      <c r="H13" s="450" t="s">
        <v>3792</v>
      </c>
      <c r="I13" s="657" t="s">
        <v>4018</v>
      </c>
      <c r="K13" s="657">
        <v>109</v>
      </c>
      <c r="L13" s="452" t="s">
        <v>1023</v>
      </c>
      <c r="M13" s="450"/>
      <c r="N13" s="451"/>
      <c r="P13" s="657">
        <v>309</v>
      </c>
      <c r="Q13" s="448" t="s">
        <v>824</v>
      </c>
      <c r="R13" s="455"/>
      <c r="S13" s="459"/>
      <c r="U13" s="657">
        <v>409</v>
      </c>
      <c r="V13" s="448" t="s">
        <v>1222</v>
      </c>
      <c r="W13" s="657"/>
      <c r="X13" s="459"/>
      <c r="Z13" s="657">
        <v>409</v>
      </c>
      <c r="AA13" s="448" t="s">
        <v>1224</v>
      </c>
      <c r="AB13" s="455"/>
      <c r="AC13" s="451"/>
      <c r="AE13" s="657">
        <v>409</v>
      </c>
      <c r="AF13" s="448" t="s">
        <v>1449</v>
      </c>
      <c r="AG13" s="455"/>
      <c r="AH13" s="451"/>
    </row>
    <row r="14" spans="1:34">
      <c r="A14" s="657">
        <v>10</v>
      </c>
      <c r="B14" s="452" t="s">
        <v>825</v>
      </c>
      <c r="C14" s="450" t="s">
        <v>3791</v>
      </c>
      <c r="D14" s="457" t="s">
        <v>908</v>
      </c>
      <c r="F14" s="657">
        <v>110</v>
      </c>
      <c r="G14" s="452" t="s">
        <v>827</v>
      </c>
      <c r="H14" s="450" t="s">
        <v>4495</v>
      </c>
      <c r="I14" s="657" t="s">
        <v>1841</v>
      </c>
      <c r="K14" s="657">
        <v>110</v>
      </c>
      <c r="L14" s="452" t="s">
        <v>1027</v>
      </c>
      <c r="M14" s="450"/>
      <c r="N14" s="451"/>
      <c r="P14" s="657">
        <v>310</v>
      </c>
      <c r="Q14" s="448" t="s">
        <v>828</v>
      </c>
      <c r="R14" s="455"/>
      <c r="S14" s="459"/>
      <c r="U14" s="657">
        <v>410</v>
      </c>
      <c r="V14" s="448" t="s">
        <v>1226</v>
      </c>
      <c r="W14" s="657"/>
      <c r="X14" s="459"/>
      <c r="Z14" s="657">
        <v>410</v>
      </c>
      <c r="AA14" s="448" t="s">
        <v>1228</v>
      </c>
      <c r="AB14" s="455"/>
      <c r="AC14" s="451"/>
      <c r="AE14" s="657">
        <v>410</v>
      </c>
      <c r="AF14" s="448" t="s">
        <v>1450</v>
      </c>
      <c r="AG14" s="455"/>
      <c r="AH14" s="451"/>
    </row>
    <row r="15" spans="1:34">
      <c r="A15" s="657">
        <v>11</v>
      </c>
      <c r="B15" s="452" t="s">
        <v>829</v>
      </c>
      <c r="C15" s="456" t="s">
        <v>3792</v>
      </c>
      <c r="D15" s="457" t="s">
        <v>908</v>
      </c>
      <c r="F15" s="657">
        <v>111</v>
      </c>
      <c r="G15" s="452" t="s">
        <v>831</v>
      </c>
      <c r="H15" s="450" t="s">
        <v>3787</v>
      </c>
      <c r="I15" s="657" t="s">
        <v>4019</v>
      </c>
      <c r="K15" s="657">
        <v>111</v>
      </c>
      <c r="L15" s="452" t="s">
        <v>1031</v>
      </c>
      <c r="M15" s="450"/>
      <c r="N15" s="451"/>
      <c r="P15" s="657">
        <v>311</v>
      </c>
      <c r="Q15" s="448" t="s">
        <v>832</v>
      </c>
      <c r="R15" s="455"/>
      <c r="S15" s="459"/>
      <c r="U15" s="657">
        <v>411</v>
      </c>
      <c r="V15" s="448" t="s">
        <v>1230</v>
      </c>
      <c r="W15" s="657"/>
      <c r="X15" s="459"/>
      <c r="Z15" s="657">
        <v>411</v>
      </c>
      <c r="AA15" s="448" t="s">
        <v>1232</v>
      </c>
      <c r="AB15" s="455"/>
      <c r="AC15" s="451"/>
      <c r="AE15" s="657">
        <v>411</v>
      </c>
      <c r="AF15" s="448" t="s">
        <v>1451</v>
      </c>
      <c r="AG15" s="455"/>
      <c r="AH15" s="451"/>
    </row>
    <row r="16" spans="1:34">
      <c r="A16" s="657">
        <v>12</v>
      </c>
      <c r="B16" s="452" t="s">
        <v>833</v>
      </c>
      <c r="C16" s="450" t="s">
        <v>3791</v>
      </c>
      <c r="D16" s="451" t="s">
        <v>1841</v>
      </c>
      <c r="F16" s="657">
        <v>112</v>
      </c>
      <c r="G16" s="452" t="s">
        <v>835</v>
      </c>
      <c r="H16" s="450" t="s">
        <v>3787</v>
      </c>
      <c r="I16" s="657" t="s">
        <v>4027</v>
      </c>
      <c r="K16" s="657">
        <v>112</v>
      </c>
      <c r="L16" s="452" t="s">
        <v>1035</v>
      </c>
      <c r="M16" s="450"/>
      <c r="N16" s="451"/>
      <c r="P16" s="657">
        <v>312</v>
      </c>
      <c r="Q16" s="448" t="s">
        <v>836</v>
      </c>
      <c r="R16" s="455"/>
      <c r="S16" s="459"/>
      <c r="U16" s="657">
        <v>412</v>
      </c>
      <c r="V16" s="448" t="s">
        <v>1234</v>
      </c>
      <c r="W16" s="455"/>
      <c r="X16" s="657"/>
      <c r="Z16" s="657">
        <v>412</v>
      </c>
      <c r="AA16" s="448" t="s">
        <v>1236</v>
      </c>
      <c r="AB16" s="455"/>
      <c r="AC16" s="451"/>
      <c r="AE16" s="657">
        <v>412</v>
      </c>
      <c r="AF16" s="448" t="s">
        <v>1452</v>
      </c>
      <c r="AG16" s="455"/>
      <c r="AH16" s="451"/>
    </row>
    <row r="17" spans="1:34">
      <c r="A17" s="657">
        <v>13</v>
      </c>
      <c r="B17" s="452" t="s">
        <v>837</v>
      </c>
      <c r="C17" s="450" t="s">
        <v>3792</v>
      </c>
      <c r="D17" s="451" t="s">
        <v>1841</v>
      </c>
      <c r="F17" s="657">
        <v>113</v>
      </c>
      <c r="G17" s="452" t="s">
        <v>839</v>
      </c>
      <c r="H17" s="450" t="s">
        <v>3793</v>
      </c>
      <c r="I17" s="657" t="s">
        <v>4017</v>
      </c>
      <c r="K17" s="657">
        <v>113</v>
      </c>
      <c r="L17" s="452" t="s">
        <v>1039</v>
      </c>
      <c r="M17" s="450"/>
      <c r="N17" s="451"/>
      <c r="P17" s="657">
        <v>313</v>
      </c>
      <c r="Q17" s="448" t="s">
        <v>840</v>
      </c>
      <c r="R17" s="455"/>
      <c r="S17" s="459"/>
      <c r="U17" s="657">
        <v>413</v>
      </c>
      <c r="V17" s="448" t="s">
        <v>1238</v>
      </c>
      <c r="W17" s="455"/>
      <c r="X17" s="657"/>
      <c r="Z17" s="657">
        <v>413</v>
      </c>
      <c r="AA17" s="448" t="s">
        <v>1240</v>
      </c>
      <c r="AB17" s="455"/>
      <c r="AC17" s="451"/>
      <c r="AE17" s="657">
        <v>413</v>
      </c>
      <c r="AF17" s="448" t="s">
        <v>1453</v>
      </c>
      <c r="AG17" s="455"/>
      <c r="AH17" s="451"/>
    </row>
    <row r="18" spans="1:34">
      <c r="A18" s="657">
        <v>14</v>
      </c>
      <c r="B18" s="452" t="s">
        <v>841</v>
      </c>
      <c r="C18" s="450" t="s">
        <v>3793</v>
      </c>
      <c r="D18" s="451" t="s">
        <v>1841</v>
      </c>
      <c r="F18" s="657">
        <v>114</v>
      </c>
      <c r="G18" s="452" t="s">
        <v>843</v>
      </c>
      <c r="H18" s="450" t="s">
        <v>3794</v>
      </c>
      <c r="I18" s="657" t="s">
        <v>4018</v>
      </c>
      <c r="K18" s="657">
        <v>114</v>
      </c>
      <c r="L18" s="452" t="s">
        <v>1043</v>
      </c>
      <c r="M18" s="450"/>
      <c r="N18" s="451"/>
      <c r="P18" s="657">
        <v>314</v>
      </c>
      <c r="Q18" s="448" t="s">
        <v>844</v>
      </c>
      <c r="R18" s="455"/>
      <c r="S18" s="459"/>
      <c r="U18" s="657">
        <v>414</v>
      </c>
      <c r="V18" s="448" t="s">
        <v>1242</v>
      </c>
      <c r="W18" s="455"/>
      <c r="X18" s="657"/>
      <c r="Z18" s="657">
        <v>414</v>
      </c>
      <c r="AA18" s="448" t="s">
        <v>1244</v>
      </c>
      <c r="AB18" s="455"/>
      <c r="AC18" s="451"/>
      <c r="AE18" s="657">
        <v>414</v>
      </c>
      <c r="AF18" s="448" t="s">
        <v>1454</v>
      </c>
      <c r="AG18" s="455"/>
      <c r="AH18" s="451"/>
    </row>
    <row r="19" spans="1:34">
      <c r="A19" s="657">
        <v>15</v>
      </c>
      <c r="B19" s="452" t="s">
        <v>845</v>
      </c>
      <c r="C19" s="450" t="s">
        <v>3794</v>
      </c>
      <c r="D19" s="451" t="s">
        <v>1841</v>
      </c>
      <c r="F19" s="657">
        <v>115</v>
      </c>
      <c r="G19" s="452" t="s">
        <v>847</v>
      </c>
      <c r="H19" s="450" t="s">
        <v>4562</v>
      </c>
      <c r="I19" s="657" t="s">
        <v>908</v>
      </c>
      <c r="K19" s="657">
        <v>115</v>
      </c>
      <c r="L19" s="452" t="s">
        <v>1047</v>
      </c>
      <c r="M19" s="450"/>
      <c r="N19" s="451"/>
      <c r="P19" s="657">
        <v>315</v>
      </c>
      <c r="Q19" s="448" t="s">
        <v>848</v>
      </c>
      <c r="R19" s="454"/>
      <c r="S19" s="459"/>
      <c r="U19" s="657">
        <v>415</v>
      </c>
      <c r="V19" s="448" t="s">
        <v>1246</v>
      </c>
      <c r="W19" s="450"/>
      <c r="X19" s="451"/>
      <c r="Z19" s="657">
        <v>415</v>
      </c>
      <c r="AA19" s="448" t="s">
        <v>1248</v>
      </c>
      <c r="AB19" s="450"/>
      <c r="AC19" s="451"/>
      <c r="AE19" s="657">
        <v>415</v>
      </c>
      <c r="AF19" s="448" t="s">
        <v>1455</v>
      </c>
      <c r="AG19" s="450"/>
      <c r="AH19" s="451"/>
    </row>
    <row r="20" spans="1:34">
      <c r="A20" s="657">
        <v>16</v>
      </c>
      <c r="B20" s="452" t="s">
        <v>849</v>
      </c>
      <c r="C20" s="450" t="s">
        <v>3797</v>
      </c>
      <c r="D20" s="451" t="s">
        <v>1841</v>
      </c>
      <c r="F20" s="657">
        <v>116</v>
      </c>
      <c r="G20" s="452" t="s">
        <v>851</v>
      </c>
      <c r="H20" s="450" t="s">
        <v>3788</v>
      </c>
      <c r="I20" s="451" t="s">
        <v>4019</v>
      </c>
      <c r="K20" s="657">
        <v>116</v>
      </c>
      <c r="L20" s="452" t="s">
        <v>1051</v>
      </c>
      <c r="M20" s="450"/>
      <c r="N20" s="451"/>
      <c r="P20" s="657">
        <v>316</v>
      </c>
      <c r="Q20" s="448" t="s">
        <v>852</v>
      </c>
      <c r="R20" s="974"/>
      <c r="S20" s="459"/>
      <c r="U20" s="657">
        <v>416</v>
      </c>
      <c r="V20" s="448" t="s">
        <v>1250</v>
      </c>
      <c r="W20" s="453"/>
      <c r="X20" s="451"/>
      <c r="Z20" s="657">
        <v>416</v>
      </c>
      <c r="AA20" s="448" t="s">
        <v>1252</v>
      </c>
      <c r="AB20" s="453"/>
      <c r="AC20" s="451"/>
      <c r="AE20" s="657">
        <v>416</v>
      </c>
      <c r="AF20" s="448" t="s">
        <v>1456</v>
      </c>
      <c r="AG20" s="453"/>
      <c r="AH20" s="451"/>
    </row>
    <row r="21" spans="1:34">
      <c r="A21" s="657">
        <v>17</v>
      </c>
      <c r="B21" s="452" t="s">
        <v>853</v>
      </c>
      <c r="C21" s="450" t="s">
        <v>3798</v>
      </c>
      <c r="D21" s="451" t="s">
        <v>1841</v>
      </c>
      <c r="F21" s="657">
        <v>117</v>
      </c>
      <c r="G21" s="452" t="s">
        <v>855</v>
      </c>
      <c r="H21" s="450" t="s">
        <v>3788</v>
      </c>
      <c r="I21" s="451" t="s">
        <v>4027</v>
      </c>
      <c r="K21" s="657">
        <v>117</v>
      </c>
      <c r="L21" s="452" t="s">
        <v>1055</v>
      </c>
      <c r="M21" s="450"/>
      <c r="N21" s="451"/>
      <c r="P21" s="657">
        <v>317</v>
      </c>
      <c r="Q21" s="448" t="s">
        <v>856</v>
      </c>
      <c r="R21" s="974"/>
      <c r="S21" s="459"/>
      <c r="U21" s="657">
        <v>417</v>
      </c>
      <c r="V21" s="448" t="s">
        <v>1254</v>
      </c>
      <c r="W21" s="453"/>
      <c r="X21" s="451"/>
      <c r="Z21" s="657">
        <v>417</v>
      </c>
      <c r="AA21" s="448" t="s">
        <v>1256</v>
      </c>
      <c r="AB21" s="453"/>
      <c r="AC21" s="451"/>
      <c r="AE21" s="657">
        <v>417</v>
      </c>
      <c r="AF21" s="448" t="s">
        <v>1457</v>
      </c>
      <c r="AG21" s="453"/>
      <c r="AH21" s="451"/>
    </row>
    <row r="22" spans="1:34">
      <c r="A22" s="657">
        <v>18</v>
      </c>
      <c r="B22" s="452" t="s">
        <v>857</v>
      </c>
      <c r="C22" s="450" t="s">
        <v>3799</v>
      </c>
      <c r="D22" s="451" t="s">
        <v>1841</v>
      </c>
      <c r="F22" s="657">
        <v>118</v>
      </c>
      <c r="G22" s="452" t="s">
        <v>859</v>
      </c>
      <c r="H22" s="450" t="s">
        <v>4621</v>
      </c>
      <c r="I22" s="451" t="s">
        <v>908</v>
      </c>
      <c r="K22" s="657">
        <v>118</v>
      </c>
      <c r="L22" s="452" t="s">
        <v>1059</v>
      </c>
      <c r="M22" s="450"/>
      <c r="N22" s="451"/>
      <c r="P22" s="657">
        <v>318</v>
      </c>
      <c r="Q22" s="448" t="s">
        <v>860</v>
      </c>
      <c r="R22" s="972"/>
      <c r="S22" s="459"/>
      <c r="U22" s="657">
        <v>418</v>
      </c>
      <c r="V22" s="448" t="s">
        <v>1258</v>
      </c>
      <c r="W22" s="460"/>
      <c r="X22" s="451"/>
      <c r="Z22" s="657">
        <v>418</v>
      </c>
      <c r="AA22" s="448" t="s">
        <v>1260</v>
      </c>
      <c r="AB22" s="460"/>
      <c r="AC22" s="451"/>
      <c r="AE22" s="657">
        <v>418</v>
      </c>
      <c r="AF22" s="448" t="s">
        <v>1458</v>
      </c>
      <c r="AG22" s="460"/>
      <c r="AH22" s="451"/>
    </row>
    <row r="23" spans="1:34">
      <c r="A23" s="657">
        <v>19</v>
      </c>
      <c r="B23" s="452" t="s">
        <v>861</v>
      </c>
      <c r="C23" s="450" t="s">
        <v>3800</v>
      </c>
      <c r="D23" s="451" t="s">
        <v>1841</v>
      </c>
      <c r="F23" s="657">
        <v>119</v>
      </c>
      <c r="G23" s="452" t="s">
        <v>863</v>
      </c>
      <c r="H23" s="454" t="s">
        <v>4622</v>
      </c>
      <c r="I23" s="657" t="s">
        <v>908</v>
      </c>
      <c r="K23" s="657">
        <v>119</v>
      </c>
      <c r="L23" s="452" t="s">
        <v>1063</v>
      </c>
      <c r="M23" s="450"/>
      <c r="N23" s="451"/>
      <c r="P23" s="657">
        <v>319</v>
      </c>
      <c r="Q23" s="448" t="s">
        <v>864</v>
      </c>
      <c r="R23" s="972"/>
      <c r="S23" s="459"/>
      <c r="U23" s="657">
        <v>419</v>
      </c>
      <c r="V23" s="448" t="s">
        <v>1262</v>
      </c>
      <c r="W23" s="460"/>
      <c r="X23" s="451"/>
      <c r="Z23" s="657">
        <v>419</v>
      </c>
      <c r="AA23" s="448" t="s">
        <v>1264</v>
      </c>
      <c r="AB23" s="460"/>
      <c r="AC23" s="451"/>
      <c r="AE23" s="657">
        <v>419</v>
      </c>
      <c r="AF23" s="448" t="s">
        <v>1459</v>
      </c>
      <c r="AG23" s="460"/>
      <c r="AH23" s="451"/>
    </row>
    <row r="24" spans="1:34">
      <c r="A24" s="657">
        <v>20</v>
      </c>
      <c r="B24" s="452" t="s">
        <v>865</v>
      </c>
      <c r="C24" s="450" t="s">
        <v>3801</v>
      </c>
      <c r="D24" s="451" t="s">
        <v>1841</v>
      </c>
      <c r="F24" s="657">
        <v>120</v>
      </c>
      <c r="G24" s="452" t="s">
        <v>867</v>
      </c>
      <c r="H24" s="454" t="s">
        <v>4623</v>
      </c>
      <c r="I24" s="657" t="s">
        <v>908</v>
      </c>
      <c r="K24" s="657">
        <v>120</v>
      </c>
      <c r="L24" s="452" t="s">
        <v>1067</v>
      </c>
      <c r="M24" s="450"/>
      <c r="N24" s="451"/>
      <c r="P24" s="657">
        <v>320</v>
      </c>
      <c r="Q24" s="448" t="s">
        <v>868</v>
      </c>
      <c r="R24" s="972"/>
      <c r="S24" s="459"/>
      <c r="U24" s="657">
        <v>420</v>
      </c>
      <c r="V24" s="448" t="s">
        <v>1266</v>
      </c>
      <c r="W24" s="460"/>
      <c r="X24" s="451"/>
      <c r="Z24" s="657">
        <v>420</v>
      </c>
      <c r="AA24" s="448" t="s">
        <v>1268</v>
      </c>
      <c r="AB24" s="460"/>
      <c r="AC24" s="451"/>
      <c r="AE24" s="657">
        <v>420</v>
      </c>
      <c r="AF24" s="448" t="s">
        <v>1460</v>
      </c>
      <c r="AG24" s="460"/>
      <c r="AH24" s="451"/>
    </row>
    <row r="25" spans="1:34">
      <c r="A25" s="657">
        <v>21</v>
      </c>
      <c r="B25" s="452" t="s">
        <v>869</v>
      </c>
      <c r="C25" s="450" t="s">
        <v>3802</v>
      </c>
      <c r="D25" s="451" t="s">
        <v>1841</v>
      </c>
      <c r="F25" s="657">
        <v>121</v>
      </c>
      <c r="G25" s="452" t="s">
        <v>871</v>
      </c>
      <c r="H25" s="450" t="s">
        <v>4624</v>
      </c>
      <c r="I25" s="657" t="s">
        <v>908</v>
      </c>
      <c r="K25" s="657">
        <v>121</v>
      </c>
      <c r="L25" s="452" t="s">
        <v>1071</v>
      </c>
      <c r="M25" s="450"/>
      <c r="N25" s="451"/>
      <c r="P25" s="657">
        <v>321</v>
      </c>
      <c r="Q25" s="448" t="s">
        <v>872</v>
      </c>
      <c r="R25" s="972"/>
      <c r="S25" s="459"/>
      <c r="U25" s="657">
        <v>421</v>
      </c>
      <c r="V25" s="448" t="s">
        <v>1270</v>
      </c>
      <c r="W25" s="460"/>
      <c r="X25" s="451"/>
      <c r="Z25" s="657">
        <v>421</v>
      </c>
      <c r="AA25" s="448" t="s">
        <v>1272</v>
      </c>
      <c r="AB25" s="460"/>
      <c r="AC25" s="451"/>
      <c r="AE25" s="657">
        <v>421</v>
      </c>
      <c r="AF25" s="448" t="s">
        <v>1461</v>
      </c>
      <c r="AG25" s="460"/>
      <c r="AH25" s="451"/>
    </row>
    <row r="26" spans="1:34">
      <c r="A26" s="657">
        <v>22</v>
      </c>
      <c r="B26" s="452" t="s">
        <v>873</v>
      </c>
      <c r="C26" s="450" t="s">
        <v>3803</v>
      </c>
      <c r="D26" s="657" t="s">
        <v>1841</v>
      </c>
      <c r="F26" s="657">
        <v>122</v>
      </c>
      <c r="G26" s="452" t="s">
        <v>875</v>
      </c>
      <c r="H26" s="450" t="s">
        <v>4625</v>
      </c>
      <c r="I26" s="657" t="s">
        <v>908</v>
      </c>
      <c r="K26" s="657">
        <v>122</v>
      </c>
      <c r="L26" s="452" t="s">
        <v>1075</v>
      </c>
      <c r="M26" s="450"/>
      <c r="N26" s="451"/>
      <c r="P26" s="657">
        <v>322</v>
      </c>
      <c r="Q26" s="448" t="s">
        <v>876</v>
      </c>
      <c r="R26" s="972"/>
      <c r="S26" s="459"/>
      <c r="U26" s="657">
        <v>422</v>
      </c>
      <c r="V26" s="448" t="s">
        <v>1274</v>
      </c>
      <c r="W26" s="453"/>
      <c r="X26" s="451"/>
      <c r="Z26" s="657">
        <v>422</v>
      </c>
      <c r="AA26" s="448" t="s">
        <v>1276</v>
      </c>
      <c r="AB26" s="453"/>
      <c r="AC26" s="451"/>
      <c r="AE26" s="657">
        <v>422</v>
      </c>
      <c r="AF26" s="448" t="s">
        <v>1462</v>
      </c>
      <c r="AG26" s="453"/>
      <c r="AH26" s="451"/>
    </row>
    <row r="27" spans="1:34">
      <c r="A27" s="657">
        <v>23</v>
      </c>
      <c r="B27" s="452" t="s">
        <v>877</v>
      </c>
      <c r="C27" s="450" t="s">
        <v>3804</v>
      </c>
      <c r="D27" s="657" t="s">
        <v>1841</v>
      </c>
      <c r="F27" s="657">
        <v>123</v>
      </c>
      <c r="G27" s="452" t="s">
        <v>879</v>
      </c>
      <c r="H27" s="450" t="s">
        <v>4626</v>
      </c>
      <c r="I27" s="657" t="s">
        <v>908</v>
      </c>
      <c r="K27" s="657">
        <v>123</v>
      </c>
      <c r="L27" s="452" t="s">
        <v>1079</v>
      </c>
      <c r="M27" s="450"/>
      <c r="N27" s="451"/>
      <c r="P27" s="657">
        <v>323</v>
      </c>
      <c r="Q27" s="448" t="s">
        <v>880</v>
      </c>
      <c r="R27" s="972"/>
      <c r="S27" s="459"/>
      <c r="U27" s="657">
        <v>423</v>
      </c>
      <c r="V27" s="448" t="s">
        <v>1278</v>
      </c>
      <c r="W27" s="453"/>
      <c r="X27" s="451"/>
      <c r="Z27" s="657">
        <v>423</v>
      </c>
      <c r="AA27" s="448" t="s">
        <v>1280</v>
      </c>
      <c r="AB27" s="453"/>
      <c r="AC27" s="451"/>
      <c r="AE27" s="657">
        <v>423</v>
      </c>
      <c r="AF27" s="448" t="s">
        <v>1463</v>
      </c>
      <c r="AG27" s="453"/>
      <c r="AH27" s="451"/>
    </row>
    <row r="28" spans="1:34">
      <c r="A28" s="657">
        <v>24</v>
      </c>
      <c r="B28" s="452" t="s">
        <v>881</v>
      </c>
      <c r="C28" s="450" t="s">
        <v>3805</v>
      </c>
      <c r="D28" s="657" t="s">
        <v>1841</v>
      </c>
      <c r="F28" s="657">
        <v>124</v>
      </c>
      <c r="G28" s="452" t="s">
        <v>883</v>
      </c>
      <c r="H28" s="450" t="s">
        <v>3787</v>
      </c>
      <c r="I28" s="657" t="s">
        <v>4369</v>
      </c>
      <c r="K28" s="657">
        <v>124</v>
      </c>
      <c r="L28" s="452" t="s">
        <v>1083</v>
      </c>
      <c r="M28" s="450"/>
      <c r="N28" s="451"/>
      <c r="P28" s="657">
        <v>324</v>
      </c>
      <c r="Q28" s="448" t="s">
        <v>884</v>
      </c>
      <c r="R28" s="972"/>
      <c r="S28" s="459"/>
      <c r="U28" s="657">
        <v>424</v>
      </c>
      <c r="V28" s="448" t="s">
        <v>1282</v>
      </c>
      <c r="W28" s="460"/>
      <c r="X28" s="451"/>
      <c r="Z28" s="657">
        <v>424</v>
      </c>
      <c r="AA28" s="448" t="s">
        <v>1284</v>
      </c>
      <c r="AB28" s="460"/>
      <c r="AC28" s="451"/>
      <c r="AE28" s="657">
        <v>424</v>
      </c>
      <c r="AF28" s="448" t="s">
        <v>1464</v>
      </c>
      <c r="AG28" s="460"/>
      <c r="AH28" s="451"/>
    </row>
    <row r="29" spans="1:34">
      <c r="A29" s="657">
        <v>25</v>
      </c>
      <c r="B29" s="452" t="s">
        <v>885</v>
      </c>
      <c r="C29" s="450" t="s">
        <v>3786</v>
      </c>
      <c r="D29" s="657" t="s">
        <v>3806</v>
      </c>
      <c r="F29" s="657">
        <v>125</v>
      </c>
      <c r="G29" s="452" t="s">
        <v>887</v>
      </c>
      <c r="H29" s="450" t="s">
        <v>3786</v>
      </c>
      <c r="I29" s="657" t="s">
        <v>734</v>
      </c>
      <c r="K29" s="657">
        <v>125</v>
      </c>
      <c r="L29" s="452" t="s">
        <v>1087</v>
      </c>
      <c r="M29" s="450"/>
      <c r="N29" s="451"/>
      <c r="P29" s="657">
        <v>325</v>
      </c>
      <c r="Q29" s="448" t="s">
        <v>888</v>
      </c>
      <c r="R29" s="972"/>
      <c r="S29" s="459"/>
      <c r="U29" s="657">
        <v>425</v>
      </c>
      <c r="V29" s="448" t="s">
        <v>1286</v>
      </c>
      <c r="W29" s="462"/>
      <c r="X29" s="451"/>
      <c r="Z29" s="657">
        <v>425</v>
      </c>
      <c r="AA29" s="448" t="s">
        <v>1288</v>
      </c>
      <c r="AB29" s="462"/>
      <c r="AC29" s="451"/>
      <c r="AE29" s="657">
        <v>425</v>
      </c>
      <c r="AF29" s="448" t="s">
        <v>1465</v>
      </c>
      <c r="AG29" s="462"/>
      <c r="AH29" s="451"/>
    </row>
    <row r="30" spans="1:34">
      <c r="A30" s="657">
        <v>26</v>
      </c>
      <c r="B30" s="452" t="s">
        <v>889</v>
      </c>
      <c r="C30" s="450" t="s">
        <v>3787</v>
      </c>
      <c r="D30" s="657" t="s">
        <v>3806</v>
      </c>
      <c r="F30" s="657">
        <v>126</v>
      </c>
      <c r="G30" s="452" t="s">
        <v>891</v>
      </c>
      <c r="H30" s="450" t="s">
        <v>3789</v>
      </c>
      <c r="I30" s="657" t="s">
        <v>3978</v>
      </c>
      <c r="K30" s="657">
        <v>126</v>
      </c>
      <c r="L30" s="452" t="s">
        <v>1091</v>
      </c>
      <c r="M30" s="450"/>
      <c r="N30" s="451"/>
      <c r="P30" s="657">
        <v>326</v>
      </c>
      <c r="Q30" s="448" t="s">
        <v>892</v>
      </c>
      <c r="R30" s="972"/>
      <c r="S30" s="459"/>
      <c r="U30" s="657">
        <v>426</v>
      </c>
      <c r="V30" s="448" t="s">
        <v>1290</v>
      </c>
      <c r="W30" s="453"/>
      <c r="X30" s="451"/>
      <c r="Z30" s="657">
        <v>426</v>
      </c>
      <c r="AA30" s="448" t="s">
        <v>1292</v>
      </c>
      <c r="AB30" s="453"/>
      <c r="AC30" s="451"/>
      <c r="AE30" s="657">
        <v>426</v>
      </c>
      <c r="AF30" s="448" t="s">
        <v>1466</v>
      </c>
      <c r="AG30" s="453"/>
      <c r="AH30" s="451"/>
    </row>
    <row r="31" spans="1:34">
      <c r="A31" s="657">
        <v>27</v>
      </c>
      <c r="B31" s="452" t="s">
        <v>893</v>
      </c>
      <c r="C31" s="450" t="s">
        <v>3788</v>
      </c>
      <c r="D31" s="657" t="s">
        <v>3806</v>
      </c>
      <c r="F31" s="657">
        <v>127</v>
      </c>
      <c r="G31" s="452" t="s">
        <v>895</v>
      </c>
      <c r="H31" s="450" t="s">
        <v>3787</v>
      </c>
      <c r="I31" s="451" t="s">
        <v>4686</v>
      </c>
      <c r="K31" s="657">
        <v>127</v>
      </c>
      <c r="L31" s="452" t="s">
        <v>1095</v>
      </c>
      <c r="M31" s="450"/>
      <c r="N31" s="451"/>
      <c r="P31" s="657">
        <v>327</v>
      </c>
      <c r="Q31" s="448" t="s">
        <v>896</v>
      </c>
      <c r="R31" s="972"/>
      <c r="S31" s="459"/>
      <c r="U31" s="657">
        <v>427</v>
      </c>
      <c r="V31" s="448" t="s">
        <v>1294</v>
      </c>
      <c r="W31" s="453"/>
      <c r="X31" s="451"/>
      <c r="Z31" s="657">
        <v>427</v>
      </c>
      <c r="AA31" s="448" t="s">
        <v>1296</v>
      </c>
      <c r="AB31" s="453"/>
      <c r="AC31" s="451"/>
      <c r="AE31" s="657">
        <v>427</v>
      </c>
      <c r="AF31" s="448" t="s">
        <v>1467</v>
      </c>
      <c r="AG31" s="453"/>
      <c r="AH31" s="451"/>
    </row>
    <row r="32" spans="1:34">
      <c r="A32" s="657">
        <v>28</v>
      </c>
      <c r="B32" s="452" t="s">
        <v>897</v>
      </c>
      <c r="C32" s="450" t="s">
        <v>3789</v>
      </c>
      <c r="D32" s="657" t="s">
        <v>3806</v>
      </c>
      <c r="F32" s="657">
        <v>128</v>
      </c>
      <c r="G32" s="452" t="s">
        <v>899</v>
      </c>
      <c r="H32" s="450" t="s">
        <v>3788</v>
      </c>
      <c r="I32" s="451" t="s">
        <v>4686</v>
      </c>
      <c r="K32" s="657">
        <v>128</v>
      </c>
      <c r="L32" s="452" t="s">
        <v>1099</v>
      </c>
      <c r="M32" s="450"/>
      <c r="N32" s="451"/>
      <c r="P32" s="657">
        <v>328</v>
      </c>
      <c r="Q32" s="448" t="s">
        <v>900</v>
      </c>
      <c r="R32" s="972"/>
      <c r="S32" s="459"/>
      <c r="U32" s="657">
        <v>428</v>
      </c>
      <c r="V32" s="448" t="s">
        <v>1298</v>
      </c>
      <c r="W32" s="453"/>
      <c r="X32" s="657"/>
      <c r="Z32" s="657">
        <v>428</v>
      </c>
      <c r="AA32" s="448" t="s">
        <v>1300</v>
      </c>
      <c r="AB32" s="453"/>
      <c r="AC32" s="657"/>
      <c r="AE32" s="657">
        <v>428</v>
      </c>
      <c r="AF32" s="448" t="s">
        <v>1468</v>
      </c>
      <c r="AG32" s="453"/>
      <c r="AH32" s="657"/>
    </row>
    <row r="33" spans="1:34">
      <c r="A33" s="657">
        <v>29</v>
      </c>
      <c r="B33" s="452" t="s">
        <v>901</v>
      </c>
      <c r="C33" s="450" t="s">
        <v>3786</v>
      </c>
      <c r="D33" s="657" t="s">
        <v>696</v>
      </c>
      <c r="F33" s="657">
        <v>129</v>
      </c>
      <c r="G33" s="452" t="s">
        <v>903</v>
      </c>
      <c r="H33" s="450" t="s">
        <v>3789</v>
      </c>
      <c r="I33" s="451" t="s">
        <v>4686</v>
      </c>
      <c r="K33" s="657">
        <v>129</v>
      </c>
      <c r="L33" s="452" t="s">
        <v>1103</v>
      </c>
      <c r="M33" s="450"/>
      <c r="N33" s="451"/>
      <c r="P33" s="657">
        <v>329</v>
      </c>
      <c r="Q33" s="448" t="s">
        <v>904</v>
      </c>
      <c r="R33" s="972"/>
      <c r="S33" s="459"/>
      <c r="U33" s="657">
        <v>429</v>
      </c>
      <c r="V33" s="448" t="s">
        <v>1302</v>
      </c>
      <c r="W33" s="657"/>
      <c r="X33" s="657"/>
      <c r="Z33" s="657">
        <v>429</v>
      </c>
      <c r="AA33" s="448" t="s">
        <v>1304</v>
      </c>
      <c r="AB33" s="657"/>
      <c r="AC33" s="657"/>
      <c r="AE33" s="657">
        <v>429</v>
      </c>
      <c r="AF33" s="448" t="s">
        <v>1469</v>
      </c>
      <c r="AG33" s="657"/>
      <c r="AH33" s="657"/>
    </row>
    <row r="34" spans="1:34">
      <c r="A34" s="657">
        <v>30</v>
      </c>
      <c r="B34" s="452" t="s">
        <v>905</v>
      </c>
      <c r="C34" s="450" t="s">
        <v>3786</v>
      </c>
      <c r="D34" s="657" t="s">
        <v>3812</v>
      </c>
      <c r="F34" s="657">
        <v>130</v>
      </c>
      <c r="G34" s="452" t="s">
        <v>907</v>
      </c>
      <c r="H34" s="450" t="s">
        <v>3797</v>
      </c>
      <c r="I34" s="657" t="s">
        <v>4017</v>
      </c>
      <c r="K34" s="657">
        <v>130</v>
      </c>
      <c r="L34" s="452" t="s">
        <v>1107</v>
      </c>
      <c r="M34" s="454"/>
      <c r="N34" s="657"/>
      <c r="P34" s="657">
        <v>330</v>
      </c>
      <c r="Q34" s="448" t="s">
        <v>909</v>
      </c>
      <c r="R34" s="972"/>
      <c r="S34" s="459"/>
      <c r="U34" s="657">
        <v>430</v>
      </c>
      <c r="V34" s="448" t="s">
        <v>1306</v>
      </c>
      <c r="W34" s="657"/>
      <c r="X34" s="657"/>
      <c r="Z34" s="657">
        <v>430</v>
      </c>
      <c r="AA34" s="448" t="s">
        <v>1308</v>
      </c>
      <c r="AB34" s="657"/>
      <c r="AC34" s="657"/>
      <c r="AE34" s="657">
        <v>430</v>
      </c>
      <c r="AF34" s="448" t="s">
        <v>1470</v>
      </c>
      <c r="AG34" s="657"/>
      <c r="AH34" s="657"/>
    </row>
    <row r="35" spans="1:34">
      <c r="A35" s="657">
        <v>31</v>
      </c>
      <c r="B35" s="452" t="s">
        <v>910</v>
      </c>
      <c r="C35" s="450" t="s">
        <v>3786</v>
      </c>
      <c r="D35" s="657" t="s">
        <v>3813</v>
      </c>
      <c r="F35" s="657">
        <v>131</v>
      </c>
      <c r="G35" s="452" t="s">
        <v>912</v>
      </c>
      <c r="H35" s="450" t="s">
        <v>3798</v>
      </c>
      <c r="I35" s="657" t="s">
        <v>4018</v>
      </c>
      <c r="K35" s="657">
        <v>131</v>
      </c>
      <c r="L35" s="452" t="s">
        <v>1111</v>
      </c>
      <c r="M35" s="454"/>
      <c r="N35" s="657"/>
      <c r="P35" s="657">
        <v>331</v>
      </c>
      <c r="Q35" s="448" t="s">
        <v>913</v>
      </c>
      <c r="R35" s="657"/>
      <c r="S35" s="459"/>
      <c r="U35" s="657">
        <v>431</v>
      </c>
      <c r="V35" s="448" t="s">
        <v>1310</v>
      </c>
      <c r="W35" s="657"/>
      <c r="X35" s="657"/>
      <c r="Z35" s="657">
        <v>431</v>
      </c>
      <c r="AA35" s="448" t="s">
        <v>1312</v>
      </c>
      <c r="AB35" s="657"/>
      <c r="AC35" s="657"/>
      <c r="AE35" s="657">
        <v>431</v>
      </c>
      <c r="AF35" s="448" t="s">
        <v>1471</v>
      </c>
      <c r="AG35" s="657"/>
      <c r="AH35" s="657"/>
    </row>
    <row r="36" spans="1:34">
      <c r="A36" s="657">
        <v>32</v>
      </c>
      <c r="B36" s="452" t="s">
        <v>914</v>
      </c>
      <c r="C36" s="450" t="s">
        <v>3786</v>
      </c>
      <c r="D36" s="657" t="s">
        <v>3814</v>
      </c>
      <c r="F36" s="657">
        <v>132</v>
      </c>
      <c r="G36" s="452" t="s">
        <v>916</v>
      </c>
      <c r="H36" s="450" t="s">
        <v>3789</v>
      </c>
      <c r="I36" s="657" t="s">
        <v>4019</v>
      </c>
      <c r="K36" s="657">
        <v>132</v>
      </c>
      <c r="L36" s="452" t="s">
        <v>1115</v>
      </c>
      <c r="M36" s="455"/>
      <c r="N36" s="657"/>
      <c r="P36" s="657">
        <v>332</v>
      </c>
      <c r="Q36" s="448" t="s">
        <v>917</v>
      </c>
      <c r="R36" s="657"/>
      <c r="S36" s="459"/>
      <c r="U36" s="657">
        <v>432</v>
      </c>
      <c r="V36" s="448" t="s">
        <v>1314</v>
      </c>
      <c r="W36" s="657"/>
      <c r="X36" s="657"/>
      <c r="Z36" s="657">
        <v>432</v>
      </c>
      <c r="AA36" s="448" t="s">
        <v>1316</v>
      </c>
      <c r="AB36" s="657"/>
      <c r="AC36" s="657"/>
      <c r="AE36" s="657">
        <v>432</v>
      </c>
      <c r="AF36" s="448" t="s">
        <v>1472</v>
      </c>
      <c r="AG36" s="657"/>
      <c r="AH36" s="657"/>
    </row>
    <row r="37" spans="1:34">
      <c r="A37" s="657">
        <v>33</v>
      </c>
      <c r="B37" s="452" t="s">
        <v>918</v>
      </c>
      <c r="C37" s="450" t="s">
        <v>3786</v>
      </c>
      <c r="D37" s="657" t="s">
        <v>1763</v>
      </c>
      <c r="F37" s="657">
        <v>133</v>
      </c>
      <c r="G37" s="452" t="s">
        <v>920</v>
      </c>
      <c r="H37" s="450" t="s">
        <v>4786</v>
      </c>
      <c r="I37" s="657" t="s">
        <v>908</v>
      </c>
      <c r="K37" s="657">
        <v>133</v>
      </c>
      <c r="L37" s="452" t="s">
        <v>1119</v>
      </c>
      <c r="M37" s="455"/>
      <c r="N37" s="657"/>
      <c r="P37" s="657">
        <v>333</v>
      </c>
      <c r="Q37" s="448" t="s">
        <v>921</v>
      </c>
      <c r="R37" s="657"/>
      <c r="S37" s="459"/>
      <c r="U37" s="657">
        <v>433</v>
      </c>
      <c r="V37" s="448" t="s">
        <v>1318</v>
      </c>
      <c r="W37" s="657"/>
      <c r="X37" s="657"/>
      <c r="Z37" s="657">
        <v>433</v>
      </c>
      <c r="AA37" s="448" t="s">
        <v>1320</v>
      </c>
      <c r="AB37" s="657"/>
      <c r="AC37" s="657"/>
      <c r="AE37" s="657">
        <v>433</v>
      </c>
      <c r="AF37" s="448" t="s">
        <v>1473</v>
      </c>
      <c r="AG37" s="657"/>
      <c r="AH37" s="657"/>
    </row>
    <row r="38" spans="1:34">
      <c r="A38" s="657">
        <v>34</v>
      </c>
      <c r="B38" s="452" t="s">
        <v>922</v>
      </c>
      <c r="C38" s="450" t="s">
        <v>3786</v>
      </c>
      <c r="D38" s="657" t="s">
        <v>3807</v>
      </c>
      <c r="F38" s="657">
        <v>134</v>
      </c>
      <c r="G38" s="452" t="s">
        <v>924</v>
      </c>
      <c r="H38" s="450" t="s">
        <v>4787</v>
      </c>
      <c r="I38" s="657" t="s">
        <v>908</v>
      </c>
      <c r="K38" s="657">
        <v>134</v>
      </c>
      <c r="L38" s="452" t="s">
        <v>1123</v>
      </c>
      <c r="M38" s="455"/>
      <c r="N38" s="463"/>
      <c r="P38" s="657">
        <v>334</v>
      </c>
      <c r="Q38" s="448" t="s">
        <v>925</v>
      </c>
      <c r="R38" s="657"/>
      <c r="S38" s="459"/>
      <c r="U38" s="657">
        <v>434</v>
      </c>
      <c r="V38" s="448" t="s">
        <v>1322</v>
      </c>
      <c r="W38" s="657"/>
      <c r="X38" s="657"/>
      <c r="Z38" s="657">
        <v>434</v>
      </c>
      <c r="AA38" s="448" t="s">
        <v>1324</v>
      </c>
      <c r="AB38" s="657"/>
      <c r="AC38" s="657"/>
      <c r="AE38" s="657">
        <v>434</v>
      </c>
      <c r="AF38" s="448" t="s">
        <v>1474</v>
      </c>
      <c r="AG38" s="657"/>
      <c r="AH38" s="657"/>
    </row>
    <row r="39" spans="1:34">
      <c r="A39" s="657">
        <v>35</v>
      </c>
      <c r="B39" s="452" t="s">
        <v>926</v>
      </c>
      <c r="C39" s="450" t="s">
        <v>3787</v>
      </c>
      <c r="D39" s="657" t="s">
        <v>3807</v>
      </c>
      <c r="F39" s="657">
        <v>135</v>
      </c>
      <c r="G39" s="452" t="s">
        <v>928</v>
      </c>
      <c r="H39" s="450" t="s">
        <v>4788</v>
      </c>
      <c r="I39" s="657" t="s">
        <v>908</v>
      </c>
      <c r="K39" s="657">
        <v>135</v>
      </c>
      <c r="L39" s="452" t="s">
        <v>1127</v>
      </c>
      <c r="M39" s="455"/>
      <c r="N39" s="657"/>
      <c r="P39" s="657">
        <v>335</v>
      </c>
      <c r="Q39" s="448" t="s">
        <v>929</v>
      </c>
      <c r="R39" s="657"/>
      <c r="S39" s="459"/>
      <c r="U39" s="657">
        <v>435</v>
      </c>
      <c r="V39" s="448" t="s">
        <v>1326</v>
      </c>
      <c r="W39" s="657"/>
      <c r="X39" s="657"/>
      <c r="Z39" s="657">
        <v>435</v>
      </c>
      <c r="AA39" s="448" t="s">
        <v>1328</v>
      </c>
      <c r="AB39" s="657"/>
      <c r="AC39" s="657"/>
      <c r="AE39" s="657">
        <v>435</v>
      </c>
      <c r="AF39" s="448" t="s">
        <v>1475</v>
      </c>
      <c r="AG39" s="657"/>
      <c r="AH39" s="657"/>
    </row>
    <row r="40" spans="1:34">
      <c r="A40" s="657">
        <v>36</v>
      </c>
      <c r="B40" s="452" t="s">
        <v>930</v>
      </c>
      <c r="C40" s="450" t="s">
        <v>3786</v>
      </c>
      <c r="D40" s="657" t="s">
        <v>3808</v>
      </c>
      <c r="F40" s="657">
        <v>136</v>
      </c>
      <c r="G40" s="452" t="s">
        <v>932</v>
      </c>
      <c r="H40" s="450" t="s">
        <v>4789</v>
      </c>
      <c r="I40" s="657" t="s">
        <v>908</v>
      </c>
      <c r="K40" s="657">
        <v>136</v>
      </c>
      <c r="L40" s="452" t="s">
        <v>1131</v>
      </c>
      <c r="M40" s="455"/>
      <c r="N40" s="657"/>
      <c r="P40" s="657">
        <v>336</v>
      </c>
      <c r="Q40" s="448" t="s">
        <v>933</v>
      </c>
      <c r="R40" s="657"/>
      <c r="S40" s="451"/>
      <c r="U40" s="657">
        <v>436</v>
      </c>
      <c r="V40" s="448" t="s">
        <v>1330</v>
      </c>
      <c r="W40" s="657"/>
      <c r="X40" s="657"/>
      <c r="Z40" s="657">
        <v>436</v>
      </c>
      <c r="AA40" s="448" t="s">
        <v>1332</v>
      </c>
      <c r="AB40" s="657"/>
      <c r="AC40" s="657"/>
      <c r="AE40" s="657">
        <v>436</v>
      </c>
      <c r="AF40" s="448" t="s">
        <v>1476</v>
      </c>
      <c r="AG40" s="657"/>
      <c r="AH40" s="657"/>
    </row>
    <row r="41" spans="1:34">
      <c r="A41" s="657">
        <v>37</v>
      </c>
      <c r="B41" s="452" t="s">
        <v>934</v>
      </c>
      <c r="C41" s="450" t="s">
        <v>3786</v>
      </c>
      <c r="D41" s="657" t="s">
        <v>3809</v>
      </c>
      <c r="F41" s="657">
        <v>137</v>
      </c>
      <c r="G41" s="452" t="s">
        <v>936</v>
      </c>
      <c r="H41" s="450" t="s">
        <v>4790</v>
      </c>
      <c r="I41" s="657" t="s">
        <v>908</v>
      </c>
      <c r="K41" s="657">
        <v>137</v>
      </c>
      <c r="L41" s="452" t="s">
        <v>1135</v>
      </c>
      <c r="M41" s="453"/>
      <c r="N41" s="451"/>
      <c r="P41" s="657">
        <v>337</v>
      </c>
      <c r="Q41" s="448" t="s">
        <v>937</v>
      </c>
      <c r="R41" s="657"/>
      <c r="S41" s="657"/>
      <c r="U41" s="657">
        <v>437</v>
      </c>
      <c r="V41" s="448" t="s">
        <v>1334</v>
      </c>
      <c r="W41" s="657"/>
      <c r="X41" s="657"/>
      <c r="Z41" s="657">
        <v>437</v>
      </c>
      <c r="AA41" s="448" t="s">
        <v>1336</v>
      </c>
      <c r="AB41" s="657"/>
      <c r="AC41" s="657"/>
      <c r="AE41" s="657">
        <v>437</v>
      </c>
      <c r="AF41" s="448" t="s">
        <v>1477</v>
      </c>
      <c r="AG41" s="657"/>
      <c r="AH41" s="657"/>
    </row>
    <row r="42" spans="1:34">
      <c r="A42" s="657">
        <v>38</v>
      </c>
      <c r="B42" s="452" t="s">
        <v>938</v>
      </c>
      <c r="C42" s="450" t="s">
        <v>3786</v>
      </c>
      <c r="D42" s="657" t="s">
        <v>712</v>
      </c>
      <c r="F42" s="657">
        <v>138</v>
      </c>
      <c r="G42" s="452" t="s">
        <v>940</v>
      </c>
      <c r="H42" s="450" t="s">
        <v>4791</v>
      </c>
      <c r="I42" s="657" t="s">
        <v>908</v>
      </c>
      <c r="K42" s="657">
        <v>138</v>
      </c>
      <c r="L42" s="452" t="s">
        <v>1139</v>
      </c>
      <c r="M42" s="453"/>
      <c r="N42" s="451"/>
      <c r="P42" s="657">
        <v>338</v>
      </c>
      <c r="Q42" s="448" t="s">
        <v>941</v>
      </c>
      <c r="R42" s="462"/>
      <c r="S42" s="463"/>
      <c r="U42" s="657">
        <v>438</v>
      </c>
      <c r="V42" s="448" t="s">
        <v>1338</v>
      </c>
      <c r="W42" s="657"/>
      <c r="X42" s="657"/>
      <c r="Z42" s="657">
        <v>438</v>
      </c>
      <c r="AA42" s="448" t="s">
        <v>1340</v>
      </c>
      <c r="AB42" s="657"/>
      <c r="AC42" s="657"/>
      <c r="AE42" s="657">
        <v>438</v>
      </c>
      <c r="AF42" s="448" t="s">
        <v>1478</v>
      </c>
      <c r="AG42" s="657"/>
      <c r="AH42" s="657"/>
    </row>
    <row r="43" spans="1:34">
      <c r="A43" s="657">
        <v>39</v>
      </c>
      <c r="B43" s="452" t="s">
        <v>942</v>
      </c>
      <c r="C43" s="450" t="s">
        <v>3786</v>
      </c>
      <c r="D43" s="657" t="s">
        <v>3810</v>
      </c>
      <c r="F43" s="657">
        <v>139</v>
      </c>
      <c r="G43" s="452" t="s">
        <v>944</v>
      </c>
      <c r="H43" s="450" t="s">
        <v>4792</v>
      </c>
      <c r="I43" s="657" t="s">
        <v>908</v>
      </c>
      <c r="K43" s="657">
        <v>139</v>
      </c>
      <c r="L43" s="452" t="s">
        <v>1143</v>
      </c>
      <c r="M43" s="450"/>
      <c r="N43" s="657"/>
      <c r="P43" s="657">
        <v>339</v>
      </c>
      <c r="Q43" s="448" t="s">
        <v>945</v>
      </c>
      <c r="R43" s="453"/>
      <c r="S43" s="657"/>
      <c r="U43" s="657">
        <v>439</v>
      </c>
      <c r="V43" s="448" t="s">
        <v>1342</v>
      </c>
      <c r="W43" s="657"/>
      <c r="X43" s="657"/>
      <c r="Z43" s="657">
        <v>439</v>
      </c>
      <c r="AA43" s="448" t="s">
        <v>1344</v>
      </c>
      <c r="AB43" s="657"/>
      <c r="AC43" s="657"/>
      <c r="AE43" s="657">
        <v>439</v>
      </c>
      <c r="AF43" s="448" t="s">
        <v>1479</v>
      </c>
      <c r="AG43" s="657"/>
      <c r="AH43" s="657"/>
    </row>
    <row r="44" spans="1:34">
      <c r="A44" s="657">
        <v>40</v>
      </c>
      <c r="B44" s="452" t="s">
        <v>946</v>
      </c>
      <c r="C44" s="454" t="s">
        <v>3787</v>
      </c>
      <c r="D44" s="463" t="s">
        <v>3811</v>
      </c>
      <c r="F44" s="657">
        <v>140</v>
      </c>
      <c r="G44" s="452" t="s">
        <v>948</v>
      </c>
      <c r="H44" s="450"/>
      <c r="I44" s="657"/>
      <c r="K44" s="657">
        <v>140</v>
      </c>
      <c r="L44" s="452" t="s">
        <v>1147</v>
      </c>
      <c r="M44" s="450"/>
      <c r="N44" s="657"/>
      <c r="P44" s="657">
        <v>340</v>
      </c>
      <c r="Q44" s="448" t="s">
        <v>949</v>
      </c>
      <c r="R44" s="453"/>
      <c r="S44" s="657"/>
      <c r="U44" s="657">
        <v>440</v>
      </c>
      <c r="V44" s="448" t="s">
        <v>1346</v>
      </c>
      <c r="W44" s="657"/>
      <c r="X44" s="657"/>
      <c r="Z44" s="657">
        <v>440</v>
      </c>
      <c r="AA44" s="448" t="s">
        <v>1348</v>
      </c>
      <c r="AB44" s="657"/>
      <c r="AC44" s="657"/>
      <c r="AE44" s="657">
        <v>440</v>
      </c>
      <c r="AF44" s="448" t="s">
        <v>1480</v>
      </c>
      <c r="AG44" s="657"/>
      <c r="AH44" s="657"/>
    </row>
    <row r="45" spans="1:34">
      <c r="A45" s="657">
        <v>41</v>
      </c>
      <c r="B45" s="452" t="s">
        <v>950</v>
      </c>
      <c r="C45" s="454" t="s">
        <v>3788</v>
      </c>
      <c r="D45" s="463" t="s">
        <v>3811</v>
      </c>
      <c r="F45" s="657">
        <v>141</v>
      </c>
      <c r="G45" s="452" t="s">
        <v>952</v>
      </c>
      <c r="H45" s="450"/>
      <c r="I45" s="657"/>
      <c r="K45" s="657">
        <v>141</v>
      </c>
      <c r="L45" s="452" t="s">
        <v>1151</v>
      </c>
      <c r="M45" s="450"/>
      <c r="N45" s="657"/>
      <c r="P45" s="657">
        <v>341</v>
      </c>
      <c r="Q45" s="448" t="s">
        <v>953</v>
      </c>
      <c r="R45" s="453"/>
      <c r="S45" s="657"/>
      <c r="U45" s="657">
        <v>441</v>
      </c>
      <c r="V45" s="448" t="s">
        <v>1350</v>
      </c>
      <c r="W45" s="657"/>
      <c r="X45" s="657"/>
      <c r="Z45" s="657">
        <v>441</v>
      </c>
      <c r="AA45" s="448" t="s">
        <v>1352</v>
      </c>
      <c r="AB45" s="657"/>
      <c r="AC45" s="657"/>
      <c r="AE45" s="657">
        <v>441</v>
      </c>
      <c r="AF45" s="448" t="s">
        <v>1481</v>
      </c>
      <c r="AG45" s="657"/>
      <c r="AH45" s="657"/>
    </row>
    <row r="46" spans="1:34">
      <c r="A46" s="657">
        <v>42</v>
      </c>
      <c r="B46" s="452" t="s">
        <v>954</v>
      </c>
      <c r="C46" s="454" t="s">
        <v>3789</v>
      </c>
      <c r="D46" s="463" t="s">
        <v>3811</v>
      </c>
      <c r="F46" s="657">
        <v>142</v>
      </c>
      <c r="G46" s="452" t="s">
        <v>956</v>
      </c>
      <c r="H46" s="450"/>
      <c r="I46" s="657"/>
      <c r="K46" s="657">
        <v>142</v>
      </c>
      <c r="L46" s="452" t="s">
        <v>1155</v>
      </c>
      <c r="M46" s="450"/>
      <c r="N46" s="657"/>
      <c r="P46" s="657">
        <v>342</v>
      </c>
      <c r="Q46" s="448" t="s">
        <v>957</v>
      </c>
      <c r="R46" s="453"/>
      <c r="S46" s="657"/>
      <c r="U46" s="657">
        <v>442</v>
      </c>
      <c r="V46" s="448" t="s">
        <v>1354</v>
      </c>
      <c r="W46" s="453"/>
      <c r="X46" s="657"/>
      <c r="Z46" s="657">
        <v>442</v>
      </c>
      <c r="AA46" s="448" t="s">
        <v>1356</v>
      </c>
      <c r="AB46" s="453"/>
      <c r="AC46" s="657"/>
      <c r="AE46" s="657">
        <v>442</v>
      </c>
      <c r="AF46" s="448" t="s">
        <v>1482</v>
      </c>
      <c r="AG46" s="453"/>
      <c r="AH46" s="657"/>
    </row>
    <row r="47" spans="1:34">
      <c r="A47" s="657">
        <v>43</v>
      </c>
      <c r="B47" s="452" t="s">
        <v>958</v>
      </c>
      <c r="C47" s="454" t="s">
        <v>3786</v>
      </c>
      <c r="D47" s="463" t="s">
        <v>3815</v>
      </c>
      <c r="F47" s="657">
        <v>143</v>
      </c>
      <c r="G47" s="452" t="s">
        <v>960</v>
      </c>
      <c r="H47" s="450"/>
      <c r="I47" s="657"/>
      <c r="K47" s="657">
        <v>143</v>
      </c>
      <c r="L47" s="452" t="s">
        <v>1159</v>
      </c>
      <c r="M47" s="450"/>
      <c r="N47" s="657"/>
      <c r="P47" s="657">
        <v>343</v>
      </c>
      <c r="Q47" s="448" t="s">
        <v>961</v>
      </c>
      <c r="R47" s="453"/>
      <c r="S47" s="657"/>
      <c r="U47" s="657">
        <v>443</v>
      </c>
      <c r="V47" s="448" t="s">
        <v>1358</v>
      </c>
      <c r="W47" s="657"/>
      <c r="X47" s="657"/>
      <c r="Z47" s="657">
        <v>443</v>
      </c>
      <c r="AA47" s="448" t="s">
        <v>1360</v>
      </c>
      <c r="AB47" s="657"/>
      <c r="AC47" s="657"/>
      <c r="AE47" s="657">
        <v>443</v>
      </c>
      <c r="AF47" s="448" t="s">
        <v>1483</v>
      </c>
      <c r="AG47" s="657"/>
      <c r="AH47" s="657"/>
    </row>
    <row r="48" spans="1:34">
      <c r="A48" s="657">
        <v>44</v>
      </c>
      <c r="B48" s="452" t="s">
        <v>962</v>
      </c>
      <c r="C48" s="454" t="s">
        <v>3787</v>
      </c>
      <c r="D48" s="463" t="s">
        <v>3815</v>
      </c>
      <c r="F48" s="657">
        <v>144</v>
      </c>
      <c r="G48" s="452" t="s">
        <v>964</v>
      </c>
      <c r="H48" s="450"/>
      <c r="I48" s="451"/>
      <c r="K48" s="657">
        <v>144</v>
      </c>
      <c r="L48" s="452" t="s">
        <v>1163</v>
      </c>
      <c r="M48" s="454"/>
      <c r="N48" s="451"/>
      <c r="P48" s="657">
        <v>344</v>
      </c>
      <c r="Q48" s="448" t="s">
        <v>965</v>
      </c>
      <c r="R48" s="464"/>
      <c r="S48" s="657"/>
      <c r="U48" s="657">
        <v>444</v>
      </c>
      <c r="V48" s="448" t="s">
        <v>1362</v>
      </c>
      <c r="W48" s="657"/>
      <c r="X48" s="657"/>
      <c r="Z48" s="657">
        <v>444</v>
      </c>
      <c r="AA48" s="448" t="s">
        <v>1364</v>
      </c>
      <c r="AB48" s="657"/>
      <c r="AC48" s="657"/>
      <c r="AE48" s="657">
        <v>444</v>
      </c>
      <c r="AF48" s="448" t="s">
        <v>1484</v>
      </c>
      <c r="AG48" s="657"/>
      <c r="AH48" s="657"/>
    </row>
    <row r="49" spans="1:34">
      <c r="A49" s="657">
        <v>45</v>
      </c>
      <c r="B49" s="452" t="s">
        <v>966</v>
      </c>
      <c r="C49" s="454" t="s">
        <v>3788</v>
      </c>
      <c r="D49" s="463" t="s">
        <v>3815</v>
      </c>
      <c r="F49" s="657">
        <v>145</v>
      </c>
      <c r="G49" s="452" t="s">
        <v>968</v>
      </c>
      <c r="H49" s="450"/>
      <c r="I49" s="451"/>
      <c r="K49" s="657">
        <v>145</v>
      </c>
      <c r="L49" s="452" t="s">
        <v>1167</v>
      </c>
      <c r="M49" s="454"/>
      <c r="N49" s="451"/>
      <c r="P49" s="657">
        <v>345</v>
      </c>
      <c r="Q49" s="448" t="s">
        <v>969</v>
      </c>
      <c r="R49" s="460"/>
      <c r="S49" s="657"/>
      <c r="U49" s="657">
        <v>445</v>
      </c>
      <c r="V49" s="448" t="s">
        <v>1366</v>
      </c>
      <c r="W49" s="460"/>
      <c r="X49" s="657"/>
      <c r="Z49" s="657">
        <v>445</v>
      </c>
      <c r="AA49" s="448" t="s">
        <v>1368</v>
      </c>
      <c r="AB49" s="460"/>
      <c r="AC49" s="657"/>
      <c r="AE49" s="657">
        <v>445</v>
      </c>
      <c r="AF49" s="448" t="s">
        <v>1485</v>
      </c>
      <c r="AG49" s="460"/>
      <c r="AH49" s="657"/>
    </row>
    <row r="50" spans="1:34">
      <c r="A50" s="657">
        <v>46</v>
      </c>
      <c r="B50" s="452" t="s">
        <v>970</v>
      </c>
      <c r="C50" s="454" t="s">
        <v>3789</v>
      </c>
      <c r="D50" s="463" t="s">
        <v>3815</v>
      </c>
      <c r="F50" s="657">
        <v>146</v>
      </c>
      <c r="G50" s="452" t="s">
        <v>972</v>
      </c>
      <c r="H50" s="450"/>
      <c r="I50" s="451"/>
      <c r="K50" s="657">
        <v>146</v>
      </c>
      <c r="L50" s="452" t="s">
        <v>1171</v>
      </c>
      <c r="M50" s="454"/>
      <c r="N50" s="451"/>
      <c r="P50" s="657">
        <v>346</v>
      </c>
      <c r="Q50" s="448" t="s">
        <v>973</v>
      </c>
      <c r="R50" s="449"/>
      <c r="S50" s="657"/>
      <c r="U50" s="657">
        <v>446</v>
      </c>
      <c r="V50" s="448" t="s">
        <v>1370</v>
      </c>
      <c r="W50" s="449"/>
      <c r="X50" s="657"/>
      <c r="Z50" s="657">
        <v>446</v>
      </c>
      <c r="AA50" s="448" t="s">
        <v>1372</v>
      </c>
      <c r="AB50" s="449"/>
      <c r="AC50" s="657"/>
      <c r="AE50" s="657">
        <v>446</v>
      </c>
      <c r="AF50" s="448" t="s">
        <v>1486</v>
      </c>
      <c r="AG50" s="449"/>
      <c r="AH50" s="657"/>
    </row>
    <row r="51" spans="1:34">
      <c r="A51" s="657">
        <v>47</v>
      </c>
      <c r="B51" s="452" t="s">
        <v>974</v>
      </c>
      <c r="C51" s="454" t="s">
        <v>3791</v>
      </c>
      <c r="D51" s="463" t="s">
        <v>3815</v>
      </c>
      <c r="F51" s="657">
        <v>147</v>
      </c>
      <c r="G51" s="452" t="s">
        <v>976</v>
      </c>
      <c r="H51" s="450"/>
      <c r="I51" s="451"/>
      <c r="K51" s="657">
        <v>147</v>
      </c>
      <c r="L51" s="452" t="s">
        <v>1175</v>
      </c>
      <c r="M51" s="454"/>
      <c r="N51" s="451"/>
      <c r="P51" s="657">
        <v>347</v>
      </c>
      <c r="Q51" s="448" t="s">
        <v>977</v>
      </c>
      <c r="R51" s="449"/>
      <c r="S51" s="657"/>
      <c r="U51" s="657">
        <v>447</v>
      </c>
      <c r="V51" s="448" t="s">
        <v>1374</v>
      </c>
      <c r="W51" s="449"/>
      <c r="X51" s="657"/>
      <c r="Z51" s="657">
        <v>447</v>
      </c>
      <c r="AA51" s="448" t="s">
        <v>1376</v>
      </c>
      <c r="AB51" s="449"/>
      <c r="AC51" s="657"/>
      <c r="AE51" s="657">
        <v>447</v>
      </c>
      <c r="AF51" s="448" t="s">
        <v>1487</v>
      </c>
      <c r="AG51" s="449"/>
      <c r="AH51" s="657"/>
    </row>
    <row r="52" spans="1:34">
      <c r="A52" s="657">
        <v>48</v>
      </c>
      <c r="B52" s="452" t="s">
        <v>978</v>
      </c>
      <c r="C52" s="454" t="s">
        <v>3792</v>
      </c>
      <c r="D52" s="463" t="s">
        <v>3815</v>
      </c>
      <c r="F52" s="657">
        <v>148</v>
      </c>
      <c r="G52" s="452" t="s">
        <v>980</v>
      </c>
      <c r="H52" s="450"/>
      <c r="I52" s="451"/>
      <c r="K52" s="657">
        <v>148</v>
      </c>
      <c r="L52" s="452" t="s">
        <v>1179</v>
      </c>
      <c r="M52" s="454"/>
      <c r="N52" s="451"/>
      <c r="P52" s="657">
        <v>348</v>
      </c>
      <c r="Q52" s="448" t="s">
        <v>981</v>
      </c>
      <c r="R52" s="449"/>
      <c r="S52" s="657"/>
      <c r="U52" s="657">
        <v>448</v>
      </c>
      <c r="V52" s="448" t="s">
        <v>1378</v>
      </c>
      <c r="W52" s="449"/>
      <c r="X52" s="657"/>
      <c r="Z52" s="657">
        <v>448</v>
      </c>
      <c r="AA52" s="448" t="s">
        <v>1380</v>
      </c>
      <c r="AB52" s="449"/>
      <c r="AC52" s="657"/>
      <c r="AE52" s="657">
        <v>448</v>
      </c>
      <c r="AF52" s="448" t="s">
        <v>1488</v>
      </c>
      <c r="AG52" s="449"/>
      <c r="AH52" s="657"/>
    </row>
    <row r="53" spans="1:34">
      <c r="A53" s="657">
        <v>49</v>
      </c>
      <c r="B53" s="452" t="s">
        <v>982</v>
      </c>
      <c r="C53" s="454" t="s">
        <v>3793</v>
      </c>
      <c r="D53" s="463" t="s">
        <v>3815</v>
      </c>
      <c r="F53" s="657">
        <v>149</v>
      </c>
      <c r="G53" s="452" t="s">
        <v>984</v>
      </c>
      <c r="H53" s="450"/>
      <c r="I53" s="451"/>
      <c r="K53" s="657">
        <v>149</v>
      </c>
      <c r="L53" s="452" t="s">
        <v>1183</v>
      </c>
      <c r="M53" s="454"/>
      <c r="N53" s="451"/>
      <c r="P53" s="657">
        <v>349</v>
      </c>
      <c r="Q53" s="448" t="s">
        <v>985</v>
      </c>
      <c r="R53" s="657"/>
      <c r="S53" s="459"/>
      <c r="U53" s="657">
        <v>449</v>
      </c>
      <c r="V53" s="448" t="s">
        <v>1382</v>
      </c>
      <c r="W53" s="449"/>
      <c r="X53" s="657"/>
      <c r="Z53" s="657">
        <v>449</v>
      </c>
      <c r="AA53" s="448" t="s">
        <v>1384</v>
      </c>
      <c r="AB53" s="449"/>
      <c r="AC53" s="657"/>
      <c r="AE53" s="657">
        <v>449</v>
      </c>
      <c r="AF53" s="448" t="s">
        <v>1489</v>
      </c>
      <c r="AG53" s="449"/>
      <c r="AH53" s="657"/>
    </row>
    <row r="54" spans="1:34">
      <c r="A54" s="657">
        <v>50</v>
      </c>
      <c r="B54" s="452" t="s">
        <v>986</v>
      </c>
      <c r="C54" s="454" t="s">
        <v>3794</v>
      </c>
      <c r="D54" s="463" t="s">
        <v>3815</v>
      </c>
      <c r="F54" s="657">
        <v>150</v>
      </c>
      <c r="G54" s="452" t="s">
        <v>988</v>
      </c>
      <c r="H54" s="450"/>
      <c r="I54" s="451"/>
      <c r="K54" s="657">
        <v>150</v>
      </c>
      <c r="L54" s="452" t="s">
        <v>1187</v>
      </c>
      <c r="M54" s="454"/>
      <c r="N54" s="451"/>
      <c r="P54" s="657">
        <v>350</v>
      </c>
      <c r="Q54" s="448" t="s">
        <v>989</v>
      </c>
      <c r="R54" s="657"/>
      <c r="S54" s="459"/>
      <c r="U54" s="657">
        <v>450</v>
      </c>
      <c r="V54" s="448" t="s">
        <v>1386</v>
      </c>
      <c r="W54" s="450"/>
      <c r="X54" s="657"/>
      <c r="Z54" s="657">
        <v>450</v>
      </c>
      <c r="AA54" s="448" t="s">
        <v>1388</v>
      </c>
      <c r="AB54" s="450"/>
      <c r="AC54" s="657"/>
      <c r="AE54" s="657">
        <v>450</v>
      </c>
      <c r="AF54" s="448" t="s">
        <v>1490</v>
      </c>
      <c r="AG54" s="450"/>
      <c r="AH54" s="657"/>
    </row>
    <row r="55" spans="1:34">
      <c r="A55" s="657">
        <v>51</v>
      </c>
      <c r="B55" s="452" t="s">
        <v>790</v>
      </c>
      <c r="C55" s="454" t="s">
        <v>3797</v>
      </c>
      <c r="D55" s="463" t="s">
        <v>3815</v>
      </c>
      <c r="F55" s="657">
        <v>151</v>
      </c>
      <c r="G55" s="765" t="s">
        <v>990</v>
      </c>
      <c r="H55" s="454"/>
      <c r="I55" s="459"/>
      <c r="K55" s="657">
        <v>251</v>
      </c>
      <c r="L55" s="452" t="s">
        <v>992</v>
      </c>
      <c r="M55" s="454"/>
      <c r="N55" s="451"/>
      <c r="P55" s="657">
        <v>351</v>
      </c>
      <c r="Q55" s="448" t="s">
        <v>993</v>
      </c>
      <c r="R55" s="657"/>
      <c r="S55" s="459"/>
      <c r="U55" s="657">
        <v>451</v>
      </c>
      <c r="V55" s="448" t="s">
        <v>1191</v>
      </c>
      <c r="W55" s="450"/>
      <c r="X55" s="657"/>
      <c r="Z55" s="657">
        <v>451</v>
      </c>
      <c r="AA55" s="448" t="s">
        <v>1193</v>
      </c>
      <c r="AB55" s="450"/>
      <c r="AC55" s="657"/>
      <c r="AE55" s="657">
        <v>451</v>
      </c>
      <c r="AF55" s="448" t="s">
        <v>1491</v>
      </c>
      <c r="AG55" s="450"/>
      <c r="AH55" s="657"/>
    </row>
    <row r="56" spans="1:34">
      <c r="A56" s="657">
        <v>52</v>
      </c>
      <c r="B56" s="452" t="s">
        <v>794</v>
      </c>
      <c r="C56" s="454" t="s">
        <v>3786</v>
      </c>
      <c r="D56" s="463" t="s">
        <v>3816</v>
      </c>
      <c r="F56" s="657">
        <v>152</v>
      </c>
      <c r="G56" s="765" t="s">
        <v>994</v>
      </c>
      <c r="H56" s="454"/>
      <c r="I56" s="459"/>
      <c r="K56" s="657">
        <v>252</v>
      </c>
      <c r="L56" s="452" t="s">
        <v>996</v>
      </c>
      <c r="M56" s="458"/>
      <c r="N56" s="451"/>
      <c r="P56" s="657">
        <v>352</v>
      </c>
      <c r="Q56" s="448" t="s">
        <v>997</v>
      </c>
      <c r="R56" s="657"/>
      <c r="S56" s="459"/>
      <c r="U56" s="657">
        <v>452</v>
      </c>
      <c r="V56" s="448" t="s">
        <v>1195</v>
      </c>
      <c r="W56" s="450"/>
      <c r="X56" s="657"/>
      <c r="Z56" s="657">
        <v>452</v>
      </c>
      <c r="AA56" s="448" t="s">
        <v>1197</v>
      </c>
      <c r="AB56" s="450"/>
      <c r="AC56" s="657"/>
      <c r="AE56" s="657">
        <v>452</v>
      </c>
      <c r="AF56" s="448" t="s">
        <v>1492</v>
      </c>
      <c r="AG56" s="450"/>
      <c r="AH56" s="657"/>
    </row>
    <row r="57" spans="1:34">
      <c r="A57" s="657">
        <v>53</v>
      </c>
      <c r="B57" s="452" t="s">
        <v>798</v>
      </c>
      <c r="C57" s="454" t="s">
        <v>3787</v>
      </c>
      <c r="D57" s="463" t="s">
        <v>3816</v>
      </c>
      <c r="F57" s="657">
        <v>153</v>
      </c>
      <c r="G57" s="765" t="s">
        <v>998</v>
      </c>
      <c r="H57" s="454"/>
      <c r="I57" s="459"/>
      <c r="K57" s="657">
        <v>253</v>
      </c>
      <c r="L57" s="452" t="s">
        <v>1000</v>
      </c>
      <c r="M57" s="453"/>
      <c r="N57" s="451"/>
      <c r="P57" s="657">
        <v>353</v>
      </c>
      <c r="Q57" s="448" t="s">
        <v>1001</v>
      </c>
      <c r="R57" s="450"/>
      <c r="S57" s="459"/>
      <c r="U57" s="657">
        <v>453</v>
      </c>
      <c r="V57" s="448" t="s">
        <v>1199</v>
      </c>
      <c r="W57" s="450"/>
      <c r="X57" s="657"/>
      <c r="Z57" s="657">
        <v>453</v>
      </c>
      <c r="AA57" s="448" t="s">
        <v>1201</v>
      </c>
      <c r="AB57" s="450"/>
      <c r="AC57" s="657"/>
      <c r="AE57" s="657">
        <v>453</v>
      </c>
      <c r="AF57" s="448" t="s">
        <v>1493</v>
      </c>
      <c r="AG57" s="450"/>
      <c r="AH57" s="657"/>
    </row>
    <row r="58" spans="1:34">
      <c r="A58" s="657">
        <v>54</v>
      </c>
      <c r="B58" s="452" t="s">
        <v>802</v>
      </c>
      <c r="C58" s="450" t="s">
        <v>3786</v>
      </c>
      <c r="D58" s="451" t="s">
        <v>3817</v>
      </c>
      <c r="F58" s="657">
        <v>154</v>
      </c>
      <c r="G58" s="765" t="s">
        <v>1002</v>
      </c>
      <c r="H58" s="454"/>
      <c r="I58" s="459"/>
      <c r="K58" s="657">
        <v>254</v>
      </c>
      <c r="L58" s="452" t="s">
        <v>1004</v>
      </c>
      <c r="M58" s="453"/>
      <c r="N58" s="451"/>
      <c r="P58" s="657">
        <v>354</v>
      </c>
      <c r="Q58" s="448" t="s">
        <v>1005</v>
      </c>
      <c r="R58" s="453"/>
      <c r="S58" s="459"/>
      <c r="U58" s="657">
        <v>454</v>
      </c>
      <c r="V58" s="448" t="s">
        <v>1203</v>
      </c>
      <c r="W58" s="450"/>
      <c r="X58" s="657"/>
      <c r="Z58" s="657">
        <v>454</v>
      </c>
      <c r="AA58" s="448" t="s">
        <v>1205</v>
      </c>
      <c r="AB58" s="450"/>
      <c r="AC58" s="657"/>
      <c r="AE58" s="657">
        <v>454</v>
      </c>
      <c r="AF58" s="448" t="s">
        <v>1494</v>
      </c>
      <c r="AG58" s="450"/>
      <c r="AH58" s="657"/>
    </row>
    <row r="59" spans="1:34">
      <c r="A59" s="657">
        <v>55</v>
      </c>
      <c r="B59" s="452" t="s">
        <v>806</v>
      </c>
      <c r="C59" s="461" t="s">
        <v>3786</v>
      </c>
      <c r="D59" s="657" t="s">
        <v>3818</v>
      </c>
      <c r="F59" s="657">
        <v>155</v>
      </c>
      <c r="G59" s="765" t="s">
        <v>1006</v>
      </c>
      <c r="H59" s="454"/>
      <c r="I59" s="459"/>
      <c r="K59" s="657">
        <v>255</v>
      </c>
      <c r="L59" s="452" t="s">
        <v>1008</v>
      </c>
      <c r="M59" s="454"/>
      <c r="N59" s="451"/>
      <c r="P59" s="657">
        <v>355</v>
      </c>
      <c r="Q59" s="448" t="s">
        <v>1009</v>
      </c>
      <c r="R59" s="453"/>
      <c r="S59" s="459"/>
      <c r="U59" s="657">
        <v>455</v>
      </c>
      <c r="V59" s="448" t="s">
        <v>1207</v>
      </c>
      <c r="W59" s="450"/>
      <c r="X59" s="657"/>
      <c r="Z59" s="657">
        <v>455</v>
      </c>
      <c r="AA59" s="448" t="s">
        <v>1209</v>
      </c>
      <c r="AB59" s="450"/>
      <c r="AC59" s="657"/>
      <c r="AE59" s="657">
        <v>455</v>
      </c>
      <c r="AF59" s="448" t="s">
        <v>1495</v>
      </c>
      <c r="AG59" s="450"/>
      <c r="AH59" s="657"/>
    </row>
    <row r="60" spans="1:34">
      <c r="A60" s="657">
        <v>56</v>
      </c>
      <c r="B60" s="452" t="s">
        <v>810</v>
      </c>
      <c r="C60" s="454" t="s">
        <v>3787</v>
      </c>
      <c r="D60" s="451" t="s">
        <v>3818</v>
      </c>
      <c r="F60" s="657">
        <v>156</v>
      </c>
      <c r="G60" s="765" t="s">
        <v>1010</v>
      </c>
      <c r="H60" s="454"/>
      <c r="I60" s="459"/>
      <c r="K60" s="657">
        <v>256</v>
      </c>
      <c r="L60" s="452" t="s">
        <v>1012</v>
      </c>
      <c r="M60" s="458"/>
      <c r="N60" s="451"/>
      <c r="P60" s="657">
        <v>356</v>
      </c>
      <c r="Q60" s="448" t="s">
        <v>1013</v>
      </c>
      <c r="R60" s="450"/>
      <c r="S60" s="459"/>
      <c r="U60" s="657">
        <v>456</v>
      </c>
      <c r="V60" s="448" t="s">
        <v>1211</v>
      </c>
      <c r="W60" s="450"/>
      <c r="X60" s="657"/>
      <c r="Z60" s="657">
        <v>456</v>
      </c>
      <c r="AA60" s="448" t="s">
        <v>1213</v>
      </c>
      <c r="AB60" s="450"/>
      <c r="AC60" s="657"/>
      <c r="AE60" s="657">
        <v>456</v>
      </c>
      <c r="AF60" s="448" t="s">
        <v>1496</v>
      </c>
      <c r="AG60" s="450"/>
      <c r="AH60" s="657"/>
    </row>
    <row r="61" spans="1:34">
      <c r="A61" s="657">
        <v>57</v>
      </c>
      <c r="B61" s="452" t="s">
        <v>814</v>
      </c>
      <c r="C61" s="453" t="s">
        <v>3788</v>
      </c>
      <c r="D61" s="451" t="s">
        <v>3818</v>
      </c>
      <c r="F61" s="657">
        <v>157</v>
      </c>
      <c r="G61" s="765" t="s">
        <v>1014</v>
      </c>
      <c r="H61" s="454"/>
      <c r="I61" s="459"/>
      <c r="K61" s="657">
        <v>257</v>
      </c>
      <c r="L61" s="452" t="s">
        <v>1016</v>
      </c>
      <c r="M61" s="450"/>
      <c r="N61" s="451"/>
      <c r="P61" s="657">
        <v>357</v>
      </c>
      <c r="Q61" s="448" t="s">
        <v>1017</v>
      </c>
      <c r="R61" s="455"/>
      <c r="S61" s="459"/>
      <c r="U61" s="657">
        <v>457</v>
      </c>
      <c r="V61" s="448" t="s">
        <v>1215</v>
      </c>
      <c r="W61" s="450"/>
      <c r="X61" s="657"/>
      <c r="Z61" s="657">
        <v>457</v>
      </c>
      <c r="AA61" s="448" t="s">
        <v>1217</v>
      </c>
      <c r="AB61" s="450"/>
      <c r="AC61" s="657"/>
      <c r="AE61" s="657">
        <v>457</v>
      </c>
      <c r="AF61" s="448" t="s">
        <v>1497</v>
      </c>
      <c r="AG61" s="450"/>
      <c r="AH61" s="657"/>
    </row>
    <row r="62" spans="1:34">
      <c r="A62" s="657">
        <v>58</v>
      </c>
      <c r="B62" s="452" t="s">
        <v>818</v>
      </c>
      <c r="C62" s="453" t="s">
        <v>3786</v>
      </c>
      <c r="D62" s="451" t="s">
        <v>3819</v>
      </c>
      <c r="F62" s="657">
        <v>158</v>
      </c>
      <c r="G62" s="765" t="s">
        <v>1018</v>
      </c>
      <c r="H62" s="454"/>
      <c r="I62" s="459"/>
      <c r="K62" s="657">
        <v>258</v>
      </c>
      <c r="L62" s="452" t="s">
        <v>1020</v>
      </c>
      <c r="M62" s="657"/>
      <c r="N62" s="657"/>
      <c r="P62" s="657">
        <v>358</v>
      </c>
      <c r="Q62" s="448" t="s">
        <v>1021</v>
      </c>
      <c r="R62" s="455"/>
      <c r="S62" s="657"/>
      <c r="U62" s="657">
        <v>458</v>
      </c>
      <c r="V62" s="448" t="s">
        <v>1219</v>
      </c>
      <c r="W62" s="455"/>
      <c r="X62" s="657"/>
      <c r="Z62" s="657">
        <v>458</v>
      </c>
      <c r="AA62" s="448" t="s">
        <v>1221</v>
      </c>
      <c r="AB62" s="455"/>
      <c r="AC62" s="657"/>
      <c r="AE62" s="657">
        <v>458</v>
      </c>
      <c r="AF62" s="448" t="s">
        <v>1498</v>
      </c>
      <c r="AG62" s="455"/>
      <c r="AH62" s="657"/>
    </row>
    <row r="63" spans="1:34">
      <c r="A63" s="657">
        <v>59</v>
      </c>
      <c r="B63" s="452" t="s">
        <v>822</v>
      </c>
      <c r="C63" s="453" t="s">
        <v>3786</v>
      </c>
      <c r="D63" s="451" t="s">
        <v>3820</v>
      </c>
      <c r="F63" s="657">
        <v>159</v>
      </c>
      <c r="G63" s="452" t="s">
        <v>1022</v>
      </c>
      <c r="H63" s="454"/>
      <c r="I63" s="451"/>
      <c r="K63" s="657">
        <v>259</v>
      </c>
      <c r="L63" s="452" t="s">
        <v>1024</v>
      </c>
      <c r="M63" s="880"/>
      <c r="N63" s="879"/>
      <c r="P63" s="657">
        <v>359</v>
      </c>
      <c r="Q63" s="448" t="s">
        <v>1025</v>
      </c>
      <c r="R63" s="455"/>
      <c r="S63" s="451"/>
      <c r="U63" s="657">
        <v>459</v>
      </c>
      <c r="V63" s="448" t="s">
        <v>1223</v>
      </c>
      <c r="W63" s="455"/>
      <c r="X63" s="657"/>
      <c r="Z63" s="657">
        <v>459</v>
      </c>
      <c r="AA63" s="448" t="s">
        <v>1225</v>
      </c>
      <c r="AB63" s="455"/>
      <c r="AC63" s="657"/>
      <c r="AE63" s="657">
        <v>459</v>
      </c>
      <c r="AF63" s="448" t="s">
        <v>1499</v>
      </c>
      <c r="AG63" s="455"/>
      <c r="AH63" s="657"/>
    </row>
    <row r="64" spans="1:34">
      <c r="A64" s="657">
        <v>60</v>
      </c>
      <c r="B64" s="452" t="s">
        <v>826</v>
      </c>
      <c r="C64" s="458" t="s">
        <v>3787</v>
      </c>
      <c r="D64" s="451" t="s">
        <v>3820</v>
      </c>
      <c r="F64" s="657">
        <v>160</v>
      </c>
      <c r="G64" s="452" t="s">
        <v>1026</v>
      </c>
      <c r="H64" s="454"/>
      <c r="I64" s="451"/>
      <c r="K64" s="657">
        <v>260</v>
      </c>
      <c r="L64" s="452" t="s">
        <v>1028</v>
      </c>
      <c r="M64" s="454"/>
      <c r="N64" s="451"/>
      <c r="P64" s="657">
        <v>360</v>
      </c>
      <c r="Q64" s="448" t="s">
        <v>1029</v>
      </c>
      <c r="R64" s="455"/>
      <c r="S64" s="451"/>
      <c r="U64" s="657">
        <v>460</v>
      </c>
      <c r="V64" s="448" t="s">
        <v>1227</v>
      </c>
      <c r="W64" s="455"/>
      <c r="X64" s="451"/>
      <c r="Z64" s="657">
        <v>460</v>
      </c>
      <c r="AA64" s="448" t="s">
        <v>1229</v>
      </c>
      <c r="AB64" s="455"/>
      <c r="AC64" s="451"/>
      <c r="AE64" s="657">
        <v>460</v>
      </c>
      <c r="AF64" s="448" t="s">
        <v>1500</v>
      </c>
      <c r="AG64" s="455"/>
      <c r="AH64" s="451"/>
    </row>
    <row r="65" spans="1:34">
      <c r="A65" s="657">
        <v>61</v>
      </c>
      <c r="B65" s="452" t="s">
        <v>830</v>
      </c>
      <c r="C65" s="453" t="s">
        <v>3786</v>
      </c>
      <c r="D65" s="451" t="s">
        <v>3902</v>
      </c>
      <c r="F65" s="657">
        <v>161</v>
      </c>
      <c r="G65" s="452" t="s">
        <v>1030</v>
      </c>
      <c r="H65" s="454"/>
      <c r="I65" s="451"/>
      <c r="K65" s="657">
        <v>261</v>
      </c>
      <c r="L65" s="452" t="s">
        <v>1032</v>
      </c>
      <c r="M65" s="454"/>
      <c r="N65" s="451"/>
      <c r="P65" s="657">
        <v>361</v>
      </c>
      <c r="Q65" s="448" t="s">
        <v>1033</v>
      </c>
      <c r="R65" s="455"/>
      <c r="S65" s="451"/>
      <c r="U65" s="657">
        <v>461</v>
      </c>
      <c r="V65" s="448" t="s">
        <v>1231</v>
      </c>
      <c r="W65" s="455"/>
      <c r="X65" s="451"/>
      <c r="Z65" s="657">
        <v>461</v>
      </c>
      <c r="AA65" s="448" t="s">
        <v>1233</v>
      </c>
      <c r="AB65" s="455"/>
      <c r="AC65" s="451"/>
      <c r="AE65" s="657">
        <v>461</v>
      </c>
      <c r="AF65" s="448" t="s">
        <v>1501</v>
      </c>
      <c r="AG65" s="455"/>
      <c r="AH65" s="451"/>
    </row>
    <row r="66" spans="1:34">
      <c r="A66" s="657">
        <v>62</v>
      </c>
      <c r="B66" s="452" t="s">
        <v>834</v>
      </c>
      <c r="C66" s="453" t="s">
        <v>3786</v>
      </c>
      <c r="D66" s="451" t="s">
        <v>3903</v>
      </c>
      <c r="F66" s="657">
        <v>162</v>
      </c>
      <c r="G66" s="452" t="s">
        <v>1034</v>
      </c>
      <c r="H66" s="450"/>
      <c r="I66" s="451"/>
      <c r="K66" s="657">
        <v>262</v>
      </c>
      <c r="L66" s="452" t="s">
        <v>1036</v>
      </c>
      <c r="M66" s="454"/>
      <c r="N66" s="451"/>
      <c r="P66" s="657">
        <v>362</v>
      </c>
      <c r="Q66" s="448" t="s">
        <v>1037</v>
      </c>
      <c r="R66" s="455"/>
      <c r="S66" s="451"/>
      <c r="U66" s="657">
        <v>462</v>
      </c>
      <c r="V66" s="448" t="s">
        <v>1235</v>
      </c>
      <c r="W66" s="455"/>
      <c r="X66" s="451"/>
      <c r="Z66" s="657">
        <v>462</v>
      </c>
      <c r="AA66" s="448" t="s">
        <v>1237</v>
      </c>
      <c r="AB66" s="455"/>
      <c r="AC66" s="451"/>
      <c r="AE66" s="657">
        <v>462</v>
      </c>
      <c r="AF66" s="448" t="s">
        <v>1502</v>
      </c>
      <c r="AG66" s="455"/>
      <c r="AH66" s="451"/>
    </row>
    <row r="67" spans="1:34">
      <c r="A67" s="657">
        <v>63</v>
      </c>
      <c r="B67" s="452" t="s">
        <v>838</v>
      </c>
      <c r="C67" s="453" t="s">
        <v>3791</v>
      </c>
      <c r="D67" s="451" t="s">
        <v>3811</v>
      </c>
      <c r="F67" s="657">
        <v>163</v>
      </c>
      <c r="G67" s="452" t="s">
        <v>1038</v>
      </c>
      <c r="H67" s="450"/>
      <c r="I67" s="451"/>
      <c r="K67" s="657">
        <v>263</v>
      </c>
      <c r="L67" s="452" t="s">
        <v>1040</v>
      </c>
      <c r="M67" s="450"/>
      <c r="N67" s="459"/>
      <c r="P67" s="657">
        <v>363</v>
      </c>
      <c r="Q67" s="448" t="s">
        <v>1041</v>
      </c>
      <c r="R67" s="455"/>
      <c r="S67" s="451"/>
      <c r="U67" s="657">
        <v>463</v>
      </c>
      <c r="V67" s="448" t="s">
        <v>1239</v>
      </c>
      <c r="W67" s="455"/>
      <c r="X67" s="451"/>
      <c r="Z67" s="657">
        <v>463</v>
      </c>
      <c r="AA67" s="448" t="s">
        <v>1241</v>
      </c>
      <c r="AB67" s="455"/>
      <c r="AC67" s="451"/>
      <c r="AE67" s="657">
        <v>463</v>
      </c>
      <c r="AF67" s="448" t="s">
        <v>1503</v>
      </c>
      <c r="AG67" s="455"/>
      <c r="AH67" s="451"/>
    </row>
    <row r="68" spans="1:34">
      <c r="A68" s="657">
        <v>64</v>
      </c>
      <c r="B68" s="452" t="s">
        <v>842</v>
      </c>
      <c r="C68" s="449" t="s">
        <v>3792</v>
      </c>
      <c r="D68" s="451" t="s">
        <v>3811</v>
      </c>
      <c r="F68" s="657">
        <v>164</v>
      </c>
      <c r="G68" s="452" t="s">
        <v>1042</v>
      </c>
      <c r="H68" s="450"/>
      <c r="I68" s="451"/>
      <c r="K68" s="657">
        <v>264</v>
      </c>
      <c r="L68" s="452" t="s">
        <v>1044</v>
      </c>
      <c r="M68" s="450"/>
      <c r="N68" s="459"/>
      <c r="P68" s="657">
        <v>364</v>
      </c>
      <c r="Q68" s="448" t="s">
        <v>1045</v>
      </c>
      <c r="R68" s="455"/>
      <c r="S68" s="451"/>
      <c r="U68" s="657">
        <v>464</v>
      </c>
      <c r="V68" s="448" t="s">
        <v>1243</v>
      </c>
      <c r="W68" s="455"/>
      <c r="X68" s="451"/>
      <c r="Z68" s="657">
        <v>464</v>
      </c>
      <c r="AA68" s="448" t="s">
        <v>1245</v>
      </c>
      <c r="AB68" s="455"/>
      <c r="AC68" s="451"/>
      <c r="AE68" s="657">
        <v>464</v>
      </c>
      <c r="AF68" s="448" t="s">
        <v>1504</v>
      </c>
      <c r="AG68" s="455"/>
      <c r="AH68" s="451"/>
    </row>
    <row r="69" spans="1:34">
      <c r="A69" s="657">
        <v>65</v>
      </c>
      <c r="B69" s="452" t="s">
        <v>846</v>
      </c>
      <c r="C69" s="466" t="s">
        <v>3793</v>
      </c>
      <c r="D69" s="451" t="s">
        <v>3811</v>
      </c>
      <c r="F69" s="657">
        <v>165</v>
      </c>
      <c r="G69" s="452" t="s">
        <v>1046</v>
      </c>
      <c r="H69" s="450"/>
      <c r="I69" s="451"/>
      <c r="K69" s="657">
        <v>265</v>
      </c>
      <c r="L69" s="452" t="s">
        <v>1048</v>
      </c>
      <c r="M69" s="450"/>
      <c r="N69" s="459"/>
      <c r="P69" s="657">
        <v>365</v>
      </c>
      <c r="Q69" s="448" t="s">
        <v>1049</v>
      </c>
      <c r="R69" s="455"/>
      <c r="S69" s="451"/>
      <c r="U69" s="657">
        <v>465</v>
      </c>
      <c r="V69" s="448" t="s">
        <v>1247</v>
      </c>
      <c r="W69" s="450"/>
      <c r="X69" s="451"/>
      <c r="Z69" s="657">
        <v>465</v>
      </c>
      <c r="AA69" s="448" t="s">
        <v>1249</v>
      </c>
      <c r="AB69" s="450"/>
      <c r="AC69" s="451"/>
      <c r="AE69" s="657">
        <v>465</v>
      </c>
      <c r="AF69" s="448" t="s">
        <v>1505</v>
      </c>
      <c r="AG69" s="450"/>
      <c r="AH69" s="451"/>
    </row>
    <row r="70" spans="1:34">
      <c r="A70" s="657">
        <v>66</v>
      </c>
      <c r="B70" s="452" t="s">
        <v>850</v>
      </c>
      <c r="C70" s="466" t="s">
        <v>3798</v>
      </c>
      <c r="D70" s="451" t="s">
        <v>3815</v>
      </c>
      <c r="F70" s="657">
        <v>166</v>
      </c>
      <c r="G70" s="452" t="s">
        <v>1050</v>
      </c>
      <c r="H70" s="450"/>
      <c r="I70" s="451"/>
      <c r="K70" s="657">
        <v>266</v>
      </c>
      <c r="L70" s="452" t="s">
        <v>1052</v>
      </c>
      <c r="M70" s="450"/>
      <c r="N70" s="459"/>
      <c r="P70" s="657">
        <v>366</v>
      </c>
      <c r="Q70" s="448" t="s">
        <v>1053</v>
      </c>
      <c r="R70" s="455"/>
      <c r="S70" s="451"/>
      <c r="U70" s="657">
        <v>466</v>
      </c>
      <c r="V70" s="448" t="s">
        <v>1251</v>
      </c>
      <c r="W70" s="453"/>
      <c r="X70" s="451"/>
      <c r="Z70" s="657">
        <v>466</v>
      </c>
      <c r="AA70" s="448" t="s">
        <v>1253</v>
      </c>
      <c r="AB70" s="453"/>
      <c r="AC70" s="451"/>
      <c r="AE70" s="657">
        <v>466</v>
      </c>
      <c r="AF70" s="448" t="s">
        <v>1506</v>
      </c>
      <c r="AG70" s="453"/>
      <c r="AH70" s="451"/>
    </row>
    <row r="71" spans="1:34">
      <c r="A71" s="657">
        <v>67</v>
      </c>
      <c r="B71" s="452" t="s">
        <v>854</v>
      </c>
      <c r="C71" s="450" t="s">
        <v>3973</v>
      </c>
      <c r="D71" s="451" t="s">
        <v>1841</v>
      </c>
      <c r="F71" s="657">
        <v>167</v>
      </c>
      <c r="G71" s="452" t="s">
        <v>1054</v>
      </c>
      <c r="H71" s="450"/>
      <c r="I71" s="451"/>
      <c r="K71" s="657">
        <v>267</v>
      </c>
      <c r="L71" s="452" t="s">
        <v>1056</v>
      </c>
      <c r="M71" s="450"/>
      <c r="N71" s="459"/>
      <c r="P71" s="657">
        <v>367</v>
      </c>
      <c r="Q71" s="448" t="s">
        <v>1057</v>
      </c>
      <c r="R71" s="455"/>
      <c r="S71" s="451"/>
      <c r="U71" s="657">
        <v>467</v>
      </c>
      <c r="V71" s="448" t="s">
        <v>1255</v>
      </c>
      <c r="W71" s="453"/>
      <c r="X71" s="451"/>
      <c r="Z71" s="657">
        <v>467</v>
      </c>
      <c r="AA71" s="448" t="s">
        <v>1257</v>
      </c>
      <c r="AB71" s="453"/>
      <c r="AC71" s="451"/>
      <c r="AE71" s="657">
        <v>467</v>
      </c>
      <c r="AF71" s="448" t="s">
        <v>1507</v>
      </c>
      <c r="AG71" s="453"/>
      <c r="AH71" s="451"/>
    </row>
    <row r="72" spans="1:34">
      <c r="A72" s="657">
        <v>68</v>
      </c>
      <c r="B72" s="452" t="s">
        <v>858</v>
      </c>
      <c r="C72" s="450" t="s">
        <v>1924</v>
      </c>
      <c r="D72" s="451" t="s">
        <v>3978</v>
      </c>
      <c r="F72" s="657">
        <v>168</v>
      </c>
      <c r="G72" s="452" t="s">
        <v>1058</v>
      </c>
      <c r="H72" s="450"/>
      <c r="I72" s="451"/>
      <c r="K72" s="657">
        <v>268</v>
      </c>
      <c r="L72" s="452" t="s">
        <v>1060</v>
      </c>
      <c r="M72" s="450"/>
      <c r="N72" s="459"/>
      <c r="P72" s="657">
        <v>368</v>
      </c>
      <c r="Q72" s="448" t="s">
        <v>1061</v>
      </c>
      <c r="R72" s="455"/>
      <c r="S72" s="451"/>
      <c r="U72" s="657">
        <v>468</v>
      </c>
      <c r="V72" s="448" t="s">
        <v>1259</v>
      </c>
      <c r="W72" s="460"/>
      <c r="X72" s="451"/>
      <c r="Z72" s="657">
        <v>468</v>
      </c>
      <c r="AA72" s="448" t="s">
        <v>1261</v>
      </c>
      <c r="AB72" s="460"/>
      <c r="AC72" s="451"/>
      <c r="AE72" s="657">
        <v>468</v>
      </c>
      <c r="AF72" s="448" t="s">
        <v>1508</v>
      </c>
      <c r="AG72" s="460"/>
      <c r="AH72" s="451"/>
    </row>
    <row r="73" spans="1:34">
      <c r="A73" s="657">
        <v>69</v>
      </c>
      <c r="B73" s="452" t="s">
        <v>862</v>
      </c>
      <c r="C73" s="450" t="s">
        <v>3786</v>
      </c>
      <c r="D73" s="451" t="s">
        <v>3995</v>
      </c>
      <c r="F73" s="657">
        <v>169</v>
      </c>
      <c r="G73" s="452" t="s">
        <v>1062</v>
      </c>
      <c r="H73" s="450"/>
      <c r="I73" s="451"/>
      <c r="K73" s="657">
        <v>269</v>
      </c>
      <c r="L73" s="452" t="s">
        <v>1064</v>
      </c>
      <c r="M73" s="450"/>
      <c r="N73" s="459"/>
      <c r="P73" s="657">
        <v>369</v>
      </c>
      <c r="Q73" s="448" t="s">
        <v>1065</v>
      </c>
      <c r="R73" s="455"/>
      <c r="S73" s="451"/>
      <c r="U73" s="657">
        <v>469</v>
      </c>
      <c r="V73" s="448" t="s">
        <v>1263</v>
      </c>
      <c r="W73" s="460"/>
      <c r="X73" s="451"/>
      <c r="Z73" s="657">
        <v>469</v>
      </c>
      <c r="AA73" s="448" t="s">
        <v>1265</v>
      </c>
      <c r="AB73" s="460"/>
      <c r="AC73" s="451"/>
      <c r="AE73" s="657">
        <v>469</v>
      </c>
      <c r="AF73" s="448" t="s">
        <v>1509</v>
      </c>
      <c r="AG73" s="460"/>
      <c r="AH73" s="451"/>
    </row>
    <row r="74" spans="1:34">
      <c r="A74" s="657">
        <v>70</v>
      </c>
      <c r="B74" s="452" t="s">
        <v>866</v>
      </c>
      <c r="C74" s="455" t="s">
        <v>3786</v>
      </c>
      <c r="D74" s="451" t="s">
        <v>3996</v>
      </c>
      <c r="F74" s="657">
        <v>170</v>
      </c>
      <c r="G74" s="452" t="s">
        <v>1066</v>
      </c>
      <c r="H74" s="450"/>
      <c r="I74" s="451"/>
      <c r="K74" s="657">
        <v>270</v>
      </c>
      <c r="L74" s="452" t="s">
        <v>1068</v>
      </c>
      <c r="M74" s="450"/>
      <c r="N74" s="459"/>
      <c r="P74" s="657">
        <v>370</v>
      </c>
      <c r="Q74" s="448" t="s">
        <v>1069</v>
      </c>
      <c r="R74" s="455"/>
      <c r="S74" s="451"/>
      <c r="U74" s="657">
        <v>470</v>
      </c>
      <c r="V74" s="448" t="s">
        <v>1267</v>
      </c>
      <c r="W74" s="458"/>
      <c r="X74" s="451"/>
      <c r="Z74" s="657">
        <v>470</v>
      </c>
      <c r="AA74" s="448" t="s">
        <v>1269</v>
      </c>
      <c r="AB74" s="458"/>
      <c r="AC74" s="451"/>
      <c r="AE74" s="657">
        <v>470</v>
      </c>
      <c r="AF74" s="448" t="s">
        <v>1510</v>
      </c>
      <c r="AG74" s="458"/>
      <c r="AH74" s="451"/>
    </row>
    <row r="75" spans="1:34">
      <c r="A75" s="657">
        <v>71</v>
      </c>
      <c r="B75" s="452" t="s">
        <v>870</v>
      </c>
      <c r="C75" s="455" t="s">
        <v>3787</v>
      </c>
      <c r="D75" s="451" t="s">
        <v>3995</v>
      </c>
      <c r="F75" s="657">
        <v>171</v>
      </c>
      <c r="G75" s="452" t="s">
        <v>1070</v>
      </c>
      <c r="H75" s="454"/>
      <c r="I75" s="657"/>
      <c r="K75" s="657">
        <v>271</v>
      </c>
      <c r="L75" s="765" t="s">
        <v>1072</v>
      </c>
      <c r="M75" s="455"/>
      <c r="N75" s="459"/>
      <c r="P75" s="657">
        <v>371</v>
      </c>
      <c r="Q75" s="448" t="s">
        <v>1073</v>
      </c>
      <c r="R75" s="453"/>
      <c r="S75" s="451"/>
      <c r="U75" s="657">
        <v>471</v>
      </c>
      <c r="V75" s="448" t="s">
        <v>1271</v>
      </c>
      <c r="W75" s="453"/>
      <c r="X75" s="451"/>
      <c r="Z75" s="657">
        <v>471</v>
      </c>
      <c r="AA75" s="448" t="s">
        <v>1273</v>
      </c>
      <c r="AB75" s="453"/>
      <c r="AC75" s="451"/>
      <c r="AE75" s="657">
        <v>471</v>
      </c>
      <c r="AF75" s="448" t="s">
        <v>1511</v>
      </c>
      <c r="AG75" s="453"/>
      <c r="AH75" s="451"/>
    </row>
    <row r="76" spans="1:34">
      <c r="A76" s="657">
        <v>72</v>
      </c>
      <c r="B76" s="452" t="s">
        <v>874</v>
      </c>
      <c r="C76" s="455" t="s">
        <v>3788</v>
      </c>
      <c r="D76" s="451" t="s">
        <v>3995</v>
      </c>
      <c r="F76" s="657">
        <v>172</v>
      </c>
      <c r="G76" s="452" t="s">
        <v>1074</v>
      </c>
      <c r="H76" s="454"/>
      <c r="I76" s="657"/>
      <c r="K76" s="657">
        <v>272</v>
      </c>
      <c r="L76" s="452" t="s">
        <v>1076</v>
      </c>
      <c r="M76" s="455"/>
      <c r="N76" s="459"/>
      <c r="P76" s="657">
        <v>372</v>
      </c>
      <c r="Q76" s="448" t="s">
        <v>1077</v>
      </c>
      <c r="R76" s="453"/>
      <c r="S76" s="451"/>
      <c r="U76" s="657">
        <v>472</v>
      </c>
      <c r="V76" s="448" t="s">
        <v>1275</v>
      </c>
      <c r="W76" s="453"/>
      <c r="X76" s="451"/>
      <c r="Z76" s="657">
        <v>472</v>
      </c>
      <c r="AA76" s="448" t="s">
        <v>1277</v>
      </c>
      <c r="AB76" s="453"/>
      <c r="AC76" s="451"/>
      <c r="AE76" s="657">
        <v>472</v>
      </c>
      <c r="AF76" s="448" t="s">
        <v>1512</v>
      </c>
      <c r="AG76" s="453"/>
      <c r="AH76" s="451"/>
    </row>
    <row r="77" spans="1:34">
      <c r="A77" s="657">
        <v>73</v>
      </c>
      <c r="B77" s="452" t="s">
        <v>878</v>
      </c>
      <c r="C77" s="455" t="s">
        <v>3789</v>
      </c>
      <c r="D77" s="451" t="s">
        <v>3995</v>
      </c>
      <c r="F77" s="657">
        <v>173</v>
      </c>
      <c r="G77" s="452" t="s">
        <v>1078</v>
      </c>
      <c r="H77" s="450"/>
      <c r="I77" s="657"/>
      <c r="K77" s="657">
        <v>273</v>
      </c>
      <c r="L77" s="452" t="s">
        <v>1080</v>
      </c>
      <c r="M77" s="455"/>
      <c r="N77" s="459"/>
      <c r="P77" s="657">
        <v>373</v>
      </c>
      <c r="Q77" s="448" t="s">
        <v>1081</v>
      </c>
      <c r="R77" s="453"/>
      <c r="S77" s="451"/>
      <c r="U77" s="657">
        <v>473</v>
      </c>
      <c r="V77" s="448" t="s">
        <v>1279</v>
      </c>
      <c r="W77" s="453"/>
      <c r="X77" s="451"/>
      <c r="Z77" s="657">
        <v>473</v>
      </c>
      <c r="AA77" s="448" t="s">
        <v>1281</v>
      </c>
      <c r="AB77" s="453"/>
      <c r="AC77" s="451"/>
      <c r="AE77" s="657">
        <v>473</v>
      </c>
      <c r="AF77" s="448" t="s">
        <v>1513</v>
      </c>
      <c r="AG77" s="453"/>
      <c r="AH77" s="451"/>
    </row>
    <row r="78" spans="1:34">
      <c r="A78" s="657">
        <v>74</v>
      </c>
      <c r="B78" s="452" t="s">
        <v>882</v>
      </c>
      <c r="C78" s="455" t="s">
        <v>3786</v>
      </c>
      <c r="D78" s="451" t="s">
        <v>3997</v>
      </c>
      <c r="F78" s="657">
        <v>174</v>
      </c>
      <c r="G78" s="452" t="s">
        <v>1082</v>
      </c>
      <c r="H78" s="450"/>
      <c r="I78" s="657"/>
      <c r="K78" s="657">
        <v>274</v>
      </c>
      <c r="L78" s="765" t="s">
        <v>1084</v>
      </c>
      <c r="M78" s="454"/>
      <c r="N78" s="463"/>
      <c r="P78" s="657">
        <v>374</v>
      </c>
      <c r="Q78" s="448" t="s">
        <v>1085</v>
      </c>
      <c r="R78" s="460"/>
      <c r="S78" s="451"/>
      <c r="U78" s="657">
        <v>474</v>
      </c>
      <c r="V78" s="448" t="s">
        <v>1283</v>
      </c>
      <c r="W78" s="460"/>
      <c r="X78" s="451"/>
      <c r="Z78" s="657">
        <v>474</v>
      </c>
      <c r="AA78" s="448" t="s">
        <v>1285</v>
      </c>
      <c r="AB78" s="460"/>
      <c r="AC78" s="451"/>
      <c r="AE78" s="657">
        <v>474</v>
      </c>
      <c r="AF78" s="448" t="s">
        <v>1514</v>
      </c>
      <c r="AG78" s="460"/>
      <c r="AH78" s="451"/>
    </row>
    <row r="79" spans="1:34">
      <c r="A79" s="657">
        <v>75</v>
      </c>
      <c r="B79" s="452" t="s">
        <v>886</v>
      </c>
      <c r="C79" s="455" t="s">
        <v>3786</v>
      </c>
      <c r="D79" s="451" t="s">
        <v>4017</v>
      </c>
      <c r="F79" s="657">
        <v>175</v>
      </c>
      <c r="G79" s="1335" t="s">
        <v>1086</v>
      </c>
      <c r="H79" s="1336"/>
      <c r="I79" s="1337"/>
      <c r="K79" s="657">
        <v>275</v>
      </c>
      <c r="L79" s="765" t="s">
        <v>1088</v>
      </c>
      <c r="M79" s="454"/>
      <c r="N79" s="463"/>
      <c r="P79" s="657">
        <v>375</v>
      </c>
      <c r="Q79" s="448" t="s">
        <v>1089</v>
      </c>
      <c r="R79" s="462"/>
      <c r="S79" s="459"/>
      <c r="U79" s="657">
        <v>475</v>
      </c>
      <c r="V79" s="448" t="s">
        <v>1287</v>
      </c>
      <c r="W79" s="462"/>
      <c r="X79" s="451"/>
      <c r="Z79" s="657">
        <v>475</v>
      </c>
      <c r="AA79" s="448" t="s">
        <v>1289</v>
      </c>
      <c r="AB79" s="462"/>
      <c r="AC79" s="451"/>
      <c r="AE79" s="657">
        <v>475</v>
      </c>
      <c r="AF79" s="448" t="s">
        <v>1515</v>
      </c>
      <c r="AG79" s="462"/>
      <c r="AH79" s="451"/>
    </row>
    <row r="80" spans="1:34">
      <c r="A80" s="657">
        <v>76</v>
      </c>
      <c r="B80" s="452" t="s">
        <v>890</v>
      </c>
      <c r="C80" s="455" t="s">
        <v>3786</v>
      </c>
      <c r="D80" s="451" t="s">
        <v>4018</v>
      </c>
      <c r="F80" s="657">
        <v>176</v>
      </c>
      <c r="G80" s="452" t="s">
        <v>1090</v>
      </c>
      <c r="H80" s="450"/>
      <c r="I80" s="657"/>
      <c r="K80" s="657">
        <v>276</v>
      </c>
      <c r="L80" s="765" t="s">
        <v>1092</v>
      </c>
      <c r="M80" s="454"/>
      <c r="N80" s="459"/>
      <c r="P80" s="657">
        <v>376</v>
      </c>
      <c r="Q80" s="448" t="s">
        <v>1093</v>
      </c>
      <c r="R80" s="462"/>
      <c r="S80" s="459"/>
      <c r="U80" s="657">
        <v>476</v>
      </c>
      <c r="V80" s="448" t="s">
        <v>1291</v>
      </c>
      <c r="W80" s="453"/>
      <c r="X80" s="451"/>
      <c r="Z80" s="657">
        <v>476</v>
      </c>
      <c r="AA80" s="448" t="s">
        <v>1293</v>
      </c>
      <c r="AB80" s="453"/>
      <c r="AC80" s="451"/>
      <c r="AE80" s="657">
        <v>476</v>
      </c>
      <c r="AF80" s="448" t="s">
        <v>1516</v>
      </c>
      <c r="AG80" s="453"/>
      <c r="AH80" s="451"/>
    </row>
    <row r="81" spans="1:34">
      <c r="A81" s="657">
        <v>77</v>
      </c>
      <c r="B81" s="452" t="s">
        <v>894</v>
      </c>
      <c r="C81" s="455" t="s">
        <v>3786</v>
      </c>
      <c r="D81" s="451" t="s">
        <v>4019</v>
      </c>
      <c r="F81" s="657">
        <v>177</v>
      </c>
      <c r="G81" s="452" t="s">
        <v>1094</v>
      </c>
      <c r="H81" s="450"/>
      <c r="I81" s="657"/>
      <c r="K81" s="657">
        <v>277</v>
      </c>
      <c r="L81" s="765" t="s">
        <v>1096</v>
      </c>
      <c r="M81" s="454"/>
      <c r="N81" s="459"/>
      <c r="P81" s="657">
        <v>377</v>
      </c>
      <c r="Q81" s="448" t="s">
        <v>1097</v>
      </c>
      <c r="R81" s="462"/>
      <c r="S81" s="459"/>
      <c r="U81" s="657">
        <v>477</v>
      </c>
      <c r="V81" s="448" t="s">
        <v>1295</v>
      </c>
      <c r="W81" s="453"/>
      <c r="X81" s="657"/>
      <c r="Z81" s="657">
        <v>477</v>
      </c>
      <c r="AA81" s="448" t="s">
        <v>1297</v>
      </c>
      <c r="AB81" s="453"/>
      <c r="AC81" s="657"/>
      <c r="AE81" s="657">
        <v>477</v>
      </c>
      <c r="AF81" s="448" t="s">
        <v>1517</v>
      </c>
      <c r="AG81" s="453"/>
      <c r="AH81" s="657"/>
    </row>
    <row r="82" spans="1:34">
      <c r="A82" s="657">
        <v>78</v>
      </c>
      <c r="B82" s="452" t="s">
        <v>898</v>
      </c>
      <c r="C82" s="455" t="s">
        <v>3786</v>
      </c>
      <c r="D82" s="451" t="s">
        <v>4027</v>
      </c>
      <c r="F82" s="657">
        <v>178</v>
      </c>
      <c r="G82" s="452" t="s">
        <v>1098</v>
      </c>
      <c r="H82" s="450"/>
      <c r="I82" s="451"/>
      <c r="K82" s="657">
        <v>278</v>
      </c>
      <c r="L82" s="765" t="s">
        <v>1100</v>
      </c>
      <c r="M82" s="454"/>
      <c r="N82" s="459"/>
      <c r="P82" s="657">
        <v>378</v>
      </c>
      <c r="Q82" s="448" t="s">
        <v>1101</v>
      </c>
      <c r="R82" s="453"/>
      <c r="S82" s="463"/>
      <c r="U82" s="657">
        <v>478</v>
      </c>
      <c r="V82" s="448" t="s">
        <v>1299</v>
      </c>
      <c r="W82" s="453"/>
      <c r="X82" s="451"/>
      <c r="Z82" s="657">
        <v>478</v>
      </c>
      <c r="AA82" s="448" t="s">
        <v>1301</v>
      </c>
      <c r="AB82" s="453"/>
      <c r="AC82" s="657"/>
      <c r="AE82" s="657">
        <v>478</v>
      </c>
      <c r="AF82" s="448" t="s">
        <v>1518</v>
      </c>
      <c r="AG82" s="453"/>
      <c r="AH82" s="657"/>
    </row>
    <row r="83" spans="1:34">
      <c r="A83" s="657">
        <v>79</v>
      </c>
      <c r="B83" s="452" t="s">
        <v>902</v>
      </c>
      <c r="C83" s="455" t="s">
        <v>3786</v>
      </c>
      <c r="D83" s="451" t="s">
        <v>4031</v>
      </c>
      <c r="F83" s="657">
        <v>179</v>
      </c>
      <c r="G83" s="452" t="s">
        <v>1102</v>
      </c>
      <c r="H83" s="450"/>
      <c r="I83" s="451"/>
      <c r="K83" s="657">
        <v>279</v>
      </c>
      <c r="L83" s="765" t="s">
        <v>1104</v>
      </c>
      <c r="M83" s="454"/>
      <c r="N83" s="459"/>
      <c r="P83" s="657">
        <v>379</v>
      </c>
      <c r="Q83" s="448" t="s">
        <v>1105</v>
      </c>
      <c r="R83" s="453"/>
      <c r="S83" s="463"/>
      <c r="U83" s="657">
        <v>479</v>
      </c>
      <c r="V83" s="448" t="s">
        <v>1303</v>
      </c>
      <c r="W83" s="657"/>
      <c r="X83" s="657"/>
      <c r="Z83" s="657">
        <v>479</v>
      </c>
      <c r="AA83" s="448" t="s">
        <v>1305</v>
      </c>
      <c r="AB83" s="657"/>
      <c r="AC83" s="657"/>
      <c r="AE83" s="657">
        <v>479</v>
      </c>
      <c r="AF83" s="448" t="s">
        <v>1519</v>
      </c>
      <c r="AG83" s="657"/>
      <c r="AH83" s="657"/>
    </row>
    <row r="84" spans="1:34">
      <c r="A84" s="657">
        <v>80</v>
      </c>
      <c r="B84" s="452" t="s">
        <v>906</v>
      </c>
      <c r="C84" s="455" t="s">
        <v>3786</v>
      </c>
      <c r="D84" s="451" t="s">
        <v>4099</v>
      </c>
      <c r="F84" s="657">
        <v>180</v>
      </c>
      <c r="G84" s="452" t="s">
        <v>1106</v>
      </c>
      <c r="H84" s="450"/>
      <c r="I84" s="451"/>
      <c r="K84" s="657">
        <v>280</v>
      </c>
      <c r="L84" s="765" t="s">
        <v>1108</v>
      </c>
      <c r="M84" s="454"/>
      <c r="N84" s="463"/>
      <c r="P84" s="657">
        <v>380</v>
      </c>
      <c r="Q84" s="448" t="s">
        <v>1109</v>
      </c>
      <c r="R84" s="657"/>
      <c r="S84" s="463"/>
      <c r="U84" s="657">
        <v>480</v>
      </c>
      <c r="V84" s="448" t="s">
        <v>1307</v>
      </c>
      <c r="W84" s="657"/>
      <c r="X84" s="657"/>
      <c r="Z84" s="657">
        <v>480</v>
      </c>
      <c r="AA84" s="448" t="s">
        <v>1309</v>
      </c>
      <c r="AB84" s="657"/>
      <c r="AC84" s="657"/>
      <c r="AE84" s="657">
        <v>480</v>
      </c>
      <c r="AF84" s="448" t="s">
        <v>1520</v>
      </c>
      <c r="AG84" s="657"/>
      <c r="AH84" s="657"/>
    </row>
    <row r="85" spans="1:34">
      <c r="A85" s="657">
        <v>81</v>
      </c>
      <c r="B85" s="452" t="s">
        <v>911</v>
      </c>
      <c r="C85" s="455" t="s">
        <v>3793</v>
      </c>
      <c r="D85" s="451" t="s">
        <v>908</v>
      </c>
      <c r="F85" s="657">
        <v>181</v>
      </c>
      <c r="G85" s="452" t="s">
        <v>1110</v>
      </c>
      <c r="H85" s="450"/>
      <c r="I85" s="657"/>
      <c r="K85" s="657">
        <v>281</v>
      </c>
      <c r="L85" s="765" t="s">
        <v>1112</v>
      </c>
      <c r="M85" s="454"/>
      <c r="N85" s="463"/>
      <c r="P85" s="657">
        <v>381</v>
      </c>
      <c r="Q85" s="448" t="s">
        <v>1113</v>
      </c>
      <c r="R85" s="657"/>
      <c r="S85" s="463"/>
      <c r="U85" s="657">
        <v>481</v>
      </c>
      <c r="V85" s="448" t="s">
        <v>1311</v>
      </c>
      <c r="W85" s="657"/>
      <c r="X85" s="657"/>
      <c r="Z85" s="657">
        <v>481</v>
      </c>
      <c r="AA85" s="448" t="s">
        <v>1313</v>
      </c>
      <c r="AB85" s="657"/>
      <c r="AC85" s="657"/>
      <c r="AE85" s="657">
        <v>481</v>
      </c>
      <c r="AF85" s="448" t="s">
        <v>1521</v>
      </c>
      <c r="AG85" s="657"/>
      <c r="AH85" s="657"/>
    </row>
    <row r="86" spans="1:34">
      <c r="A86" s="657">
        <v>82</v>
      </c>
      <c r="B86" s="452" t="s">
        <v>915</v>
      </c>
      <c r="C86" s="455" t="s">
        <v>3794</v>
      </c>
      <c r="D86" s="451" t="s">
        <v>908</v>
      </c>
      <c r="F86" s="657">
        <v>182</v>
      </c>
      <c r="G86" s="452" t="s">
        <v>1114</v>
      </c>
      <c r="H86" s="450"/>
      <c r="I86" s="657"/>
      <c r="K86" s="657">
        <v>282</v>
      </c>
      <c r="L86" s="765" t="s">
        <v>1116</v>
      </c>
      <c r="M86" s="454"/>
      <c r="N86" s="463"/>
      <c r="P86" s="657">
        <v>382</v>
      </c>
      <c r="Q86" s="448" t="s">
        <v>1117</v>
      </c>
      <c r="R86" s="657"/>
      <c r="S86" s="451"/>
      <c r="U86" s="657">
        <v>482</v>
      </c>
      <c r="V86" s="448" t="s">
        <v>1315</v>
      </c>
      <c r="W86" s="657"/>
      <c r="X86" s="451"/>
      <c r="Z86" s="657">
        <v>482</v>
      </c>
      <c r="AA86" s="448" t="s">
        <v>1317</v>
      </c>
      <c r="AB86" s="657"/>
      <c r="AC86" s="451"/>
      <c r="AE86" s="657">
        <v>482</v>
      </c>
      <c r="AF86" s="448" t="s">
        <v>1522</v>
      </c>
      <c r="AG86" s="657"/>
      <c r="AH86" s="451"/>
    </row>
    <row r="87" spans="1:34">
      <c r="A87" s="657">
        <v>83</v>
      </c>
      <c r="B87" s="452" t="s">
        <v>919</v>
      </c>
      <c r="C87" s="455" t="s">
        <v>3797</v>
      </c>
      <c r="D87" s="451" t="s">
        <v>908</v>
      </c>
      <c r="F87" s="657">
        <v>183</v>
      </c>
      <c r="G87" s="452" t="s">
        <v>1118</v>
      </c>
      <c r="H87" s="450"/>
      <c r="I87" s="657"/>
      <c r="K87" s="657">
        <v>283</v>
      </c>
      <c r="L87" s="765" t="s">
        <v>1120</v>
      </c>
      <c r="M87" s="454"/>
      <c r="N87" s="463"/>
      <c r="P87" s="657">
        <v>383</v>
      </c>
      <c r="Q87" s="448" t="s">
        <v>1121</v>
      </c>
      <c r="R87" s="657"/>
      <c r="S87" s="459"/>
      <c r="U87" s="657">
        <v>483</v>
      </c>
      <c r="V87" s="448" t="s">
        <v>1319</v>
      </c>
      <c r="W87" s="657"/>
      <c r="X87" s="451"/>
      <c r="Z87" s="657">
        <v>483</v>
      </c>
      <c r="AA87" s="448" t="s">
        <v>1321</v>
      </c>
      <c r="AB87" s="657"/>
      <c r="AC87" s="451"/>
      <c r="AE87" s="657">
        <v>483</v>
      </c>
      <c r="AF87" s="448" t="s">
        <v>1523</v>
      </c>
      <c r="AG87" s="657"/>
      <c r="AH87" s="451"/>
    </row>
    <row r="88" spans="1:34">
      <c r="A88" s="657">
        <v>84</v>
      </c>
      <c r="B88" s="452" t="s">
        <v>923</v>
      </c>
      <c r="C88" s="455" t="s">
        <v>3798</v>
      </c>
      <c r="D88" s="451" t="s">
        <v>908</v>
      </c>
      <c r="F88" s="657">
        <v>184</v>
      </c>
      <c r="G88" s="452" t="s">
        <v>1122</v>
      </c>
      <c r="H88" s="450"/>
      <c r="I88" s="657"/>
      <c r="K88" s="657">
        <v>284</v>
      </c>
      <c r="L88" s="765" t="s">
        <v>1124</v>
      </c>
      <c r="M88" s="454"/>
      <c r="N88" s="463"/>
      <c r="P88" s="657">
        <v>384</v>
      </c>
      <c r="Q88" s="448" t="s">
        <v>1125</v>
      </c>
      <c r="R88" s="657"/>
      <c r="S88" s="459"/>
      <c r="U88" s="657">
        <v>484</v>
      </c>
      <c r="V88" s="448" t="s">
        <v>1323</v>
      </c>
      <c r="W88" s="657"/>
      <c r="X88" s="451"/>
      <c r="Z88" s="657">
        <v>484</v>
      </c>
      <c r="AA88" s="448" t="s">
        <v>1325</v>
      </c>
      <c r="AB88" s="657"/>
      <c r="AC88" s="451"/>
      <c r="AE88" s="657">
        <v>484</v>
      </c>
      <c r="AF88" s="448" t="s">
        <v>1524</v>
      </c>
      <c r="AG88" s="657"/>
      <c r="AH88" s="451"/>
    </row>
    <row r="89" spans="1:34">
      <c r="A89" s="657">
        <v>85</v>
      </c>
      <c r="B89" s="452" t="s">
        <v>927</v>
      </c>
      <c r="C89" s="455" t="s">
        <v>3799</v>
      </c>
      <c r="D89" s="451" t="s">
        <v>908</v>
      </c>
      <c r="F89" s="657">
        <v>185</v>
      </c>
      <c r="G89" s="452" t="s">
        <v>1126</v>
      </c>
      <c r="H89" s="450"/>
      <c r="I89" s="657"/>
      <c r="K89" s="657">
        <v>285</v>
      </c>
      <c r="L89" s="765" t="s">
        <v>1128</v>
      </c>
      <c r="M89" s="454"/>
      <c r="N89" s="463"/>
      <c r="P89" s="657">
        <v>385</v>
      </c>
      <c r="Q89" s="448" t="s">
        <v>1129</v>
      </c>
      <c r="R89" s="657"/>
      <c r="S89" s="459"/>
      <c r="U89" s="657">
        <v>485</v>
      </c>
      <c r="V89" s="448" t="s">
        <v>1327</v>
      </c>
      <c r="W89" s="657"/>
      <c r="X89" s="451"/>
      <c r="Z89" s="657">
        <v>485</v>
      </c>
      <c r="AA89" s="448" t="s">
        <v>1329</v>
      </c>
      <c r="AB89" s="657"/>
      <c r="AC89" s="451"/>
      <c r="AE89" s="657">
        <v>485</v>
      </c>
      <c r="AF89" s="448" t="s">
        <v>1525</v>
      </c>
      <c r="AG89" s="657"/>
      <c r="AH89" s="451"/>
    </row>
    <row r="90" spans="1:34">
      <c r="A90" s="657">
        <v>86</v>
      </c>
      <c r="B90" s="452" t="s">
        <v>931</v>
      </c>
      <c r="C90" s="455" t="s">
        <v>3800</v>
      </c>
      <c r="D90" s="451" t="s">
        <v>908</v>
      </c>
      <c r="F90" s="657">
        <v>186</v>
      </c>
      <c r="G90" s="452" t="s">
        <v>1130</v>
      </c>
      <c r="H90" s="450"/>
      <c r="I90" s="451"/>
      <c r="K90" s="657">
        <v>286</v>
      </c>
      <c r="L90" s="765" t="s">
        <v>1132</v>
      </c>
      <c r="M90" s="454"/>
      <c r="N90" s="463"/>
      <c r="P90" s="657">
        <v>386</v>
      </c>
      <c r="Q90" s="448" t="s">
        <v>1133</v>
      </c>
      <c r="R90" s="657"/>
      <c r="S90" s="463"/>
      <c r="U90" s="657">
        <v>486</v>
      </c>
      <c r="V90" s="448" t="s">
        <v>1331</v>
      </c>
      <c r="W90" s="657"/>
      <c r="X90" s="451"/>
      <c r="Z90" s="657">
        <v>486</v>
      </c>
      <c r="AA90" s="448" t="s">
        <v>1333</v>
      </c>
      <c r="AB90" s="657"/>
      <c r="AC90" s="451"/>
      <c r="AE90" s="657">
        <v>486</v>
      </c>
      <c r="AF90" s="448" t="s">
        <v>1526</v>
      </c>
      <c r="AG90" s="657"/>
      <c r="AH90" s="451"/>
    </row>
    <row r="91" spans="1:34">
      <c r="A91" s="657">
        <v>87</v>
      </c>
      <c r="B91" s="452" t="s">
        <v>935</v>
      </c>
      <c r="C91" s="455" t="s">
        <v>3787</v>
      </c>
      <c r="D91" s="451" t="s">
        <v>3813</v>
      </c>
      <c r="F91" s="657">
        <v>187</v>
      </c>
      <c r="G91" s="452" t="s">
        <v>1134</v>
      </c>
      <c r="H91" s="450"/>
      <c r="I91" s="451"/>
      <c r="K91" s="657">
        <v>287</v>
      </c>
      <c r="L91" s="765" t="s">
        <v>1136</v>
      </c>
      <c r="M91" s="463"/>
      <c r="N91" s="463"/>
      <c r="P91" s="657">
        <v>387</v>
      </c>
      <c r="Q91" s="448" t="s">
        <v>1137</v>
      </c>
      <c r="R91" s="657"/>
      <c r="S91" s="657"/>
      <c r="U91" s="657">
        <v>487</v>
      </c>
      <c r="V91" s="448" t="s">
        <v>1335</v>
      </c>
      <c r="W91" s="657"/>
      <c r="X91" s="657"/>
      <c r="Z91" s="657">
        <v>487</v>
      </c>
      <c r="AA91" s="448" t="s">
        <v>1337</v>
      </c>
      <c r="AB91" s="657"/>
      <c r="AC91" s="657"/>
      <c r="AE91" s="657">
        <v>487</v>
      </c>
      <c r="AF91" s="448" t="s">
        <v>1527</v>
      </c>
      <c r="AG91" s="657"/>
      <c r="AH91" s="657"/>
    </row>
    <row r="92" spans="1:34">
      <c r="A92" s="657">
        <v>88</v>
      </c>
      <c r="B92" s="452" t="s">
        <v>939</v>
      </c>
      <c r="C92" s="455" t="s">
        <v>3788</v>
      </c>
      <c r="D92" s="451" t="s">
        <v>3813</v>
      </c>
      <c r="F92" s="657">
        <v>188</v>
      </c>
      <c r="G92" s="452" t="s">
        <v>1138</v>
      </c>
      <c r="H92" s="450"/>
      <c r="I92" s="451"/>
      <c r="K92" s="657">
        <v>288</v>
      </c>
      <c r="L92" s="765" t="s">
        <v>1140</v>
      </c>
      <c r="M92" s="463"/>
      <c r="N92" s="463"/>
      <c r="P92" s="657">
        <v>388</v>
      </c>
      <c r="Q92" s="448" t="s">
        <v>1141</v>
      </c>
      <c r="R92" s="462"/>
      <c r="S92" s="657"/>
      <c r="U92" s="657">
        <v>488</v>
      </c>
      <c r="V92" s="448" t="s">
        <v>1339</v>
      </c>
      <c r="W92" s="462"/>
      <c r="X92" s="657"/>
      <c r="Z92" s="657">
        <v>488</v>
      </c>
      <c r="AA92" s="448" t="s">
        <v>1341</v>
      </c>
      <c r="AB92" s="462"/>
      <c r="AC92" s="657"/>
      <c r="AE92" s="657">
        <v>488</v>
      </c>
      <c r="AF92" s="448" t="s">
        <v>1528</v>
      </c>
      <c r="AG92" s="462"/>
      <c r="AH92" s="657"/>
    </row>
    <row r="93" spans="1:34">
      <c r="A93" s="657">
        <v>89</v>
      </c>
      <c r="B93" s="452" t="s">
        <v>943</v>
      </c>
      <c r="C93" s="455" t="s">
        <v>3789</v>
      </c>
      <c r="D93" s="451" t="s">
        <v>3813</v>
      </c>
      <c r="F93" s="657">
        <v>189</v>
      </c>
      <c r="G93" s="452" t="s">
        <v>1142</v>
      </c>
      <c r="H93" s="450"/>
      <c r="I93" s="451"/>
      <c r="K93" s="657">
        <v>289</v>
      </c>
      <c r="L93" s="765" t="s">
        <v>1144</v>
      </c>
      <c r="M93" s="463"/>
      <c r="N93" s="463"/>
      <c r="P93" s="657">
        <v>389</v>
      </c>
      <c r="Q93" s="448" t="s">
        <v>1145</v>
      </c>
      <c r="R93" s="453"/>
      <c r="S93" s="459"/>
      <c r="U93" s="657">
        <v>489</v>
      </c>
      <c r="V93" s="448" t="s">
        <v>1343</v>
      </c>
      <c r="W93" s="453"/>
      <c r="X93" s="657"/>
      <c r="Z93" s="657">
        <v>489</v>
      </c>
      <c r="AA93" s="448" t="s">
        <v>1345</v>
      </c>
      <c r="AB93" s="453"/>
      <c r="AC93" s="657"/>
      <c r="AE93" s="657">
        <v>489</v>
      </c>
      <c r="AF93" s="448" t="s">
        <v>1529</v>
      </c>
      <c r="AG93" s="453"/>
      <c r="AH93" s="657"/>
    </row>
    <row r="94" spans="1:34">
      <c r="A94" s="657">
        <v>90</v>
      </c>
      <c r="B94" s="452" t="s">
        <v>947</v>
      </c>
      <c r="C94" s="449" t="s">
        <v>3786</v>
      </c>
      <c r="D94" s="451" t="s">
        <v>4151</v>
      </c>
      <c r="F94" s="657">
        <v>190</v>
      </c>
      <c r="G94" s="452" t="s">
        <v>1146</v>
      </c>
      <c r="H94" s="450"/>
      <c r="I94" s="451"/>
      <c r="K94" s="657">
        <v>290</v>
      </c>
      <c r="L94" s="765" t="s">
        <v>1148</v>
      </c>
      <c r="M94" s="454"/>
      <c r="N94" s="463"/>
      <c r="P94" s="657">
        <v>390</v>
      </c>
      <c r="Q94" s="448" t="s">
        <v>1149</v>
      </c>
      <c r="R94" s="453"/>
      <c r="S94" s="459"/>
      <c r="U94" s="657">
        <v>490</v>
      </c>
      <c r="V94" s="448" t="s">
        <v>1347</v>
      </c>
      <c r="W94" s="453"/>
      <c r="X94" s="657"/>
      <c r="Z94" s="657">
        <v>490</v>
      </c>
      <c r="AA94" s="448" t="s">
        <v>1349</v>
      </c>
      <c r="AB94" s="453"/>
      <c r="AC94" s="657"/>
      <c r="AE94" s="657">
        <v>490</v>
      </c>
      <c r="AF94" s="448" t="s">
        <v>1530</v>
      </c>
      <c r="AG94" s="453"/>
      <c r="AH94" s="657"/>
    </row>
    <row r="95" spans="1:34">
      <c r="A95" s="657">
        <v>91</v>
      </c>
      <c r="B95" s="452" t="s">
        <v>951</v>
      </c>
      <c r="C95" s="449" t="s">
        <v>3787</v>
      </c>
      <c r="D95" s="451" t="s">
        <v>3978</v>
      </c>
      <c r="F95" s="657">
        <v>191</v>
      </c>
      <c r="G95" s="452" t="s">
        <v>1150</v>
      </c>
      <c r="H95" s="450"/>
      <c r="I95" s="451"/>
      <c r="K95" s="657">
        <v>291</v>
      </c>
      <c r="L95" s="765" t="s">
        <v>1152</v>
      </c>
      <c r="M95" s="454"/>
      <c r="N95" s="463"/>
      <c r="P95" s="657">
        <v>391</v>
      </c>
      <c r="Q95" s="448" t="s">
        <v>1153</v>
      </c>
      <c r="R95" s="453"/>
      <c r="S95" s="459"/>
      <c r="U95" s="657">
        <v>491</v>
      </c>
      <c r="V95" s="448" t="s">
        <v>1351</v>
      </c>
      <c r="W95" s="453"/>
      <c r="X95" s="657"/>
      <c r="Z95" s="657">
        <v>491</v>
      </c>
      <c r="AA95" s="448" t="s">
        <v>1353</v>
      </c>
      <c r="AB95" s="453"/>
      <c r="AC95" s="657"/>
      <c r="AE95" s="657">
        <v>491</v>
      </c>
      <c r="AF95" s="448" t="s">
        <v>1531</v>
      </c>
      <c r="AG95" s="453"/>
      <c r="AH95" s="657"/>
    </row>
    <row r="96" spans="1:34">
      <c r="A96" s="657">
        <v>92</v>
      </c>
      <c r="B96" s="452" t="s">
        <v>955</v>
      </c>
      <c r="C96" s="449" t="s">
        <v>3802</v>
      </c>
      <c r="D96" s="451" t="s">
        <v>908</v>
      </c>
      <c r="F96" s="657">
        <v>192</v>
      </c>
      <c r="G96" s="452" t="s">
        <v>1154</v>
      </c>
      <c r="H96" s="450"/>
      <c r="I96" s="451"/>
      <c r="K96" s="657">
        <v>292</v>
      </c>
      <c r="L96" s="765" t="s">
        <v>1156</v>
      </c>
      <c r="M96" s="454"/>
      <c r="N96" s="459"/>
      <c r="P96" s="657">
        <v>392</v>
      </c>
      <c r="Q96" s="448" t="s">
        <v>1157</v>
      </c>
      <c r="R96" s="453"/>
      <c r="S96" s="459"/>
      <c r="U96" s="657">
        <v>492</v>
      </c>
      <c r="V96" s="448" t="s">
        <v>1355</v>
      </c>
      <c r="W96" s="453"/>
      <c r="X96" s="657"/>
      <c r="Z96" s="657">
        <v>492</v>
      </c>
      <c r="AA96" s="448" t="s">
        <v>1357</v>
      </c>
      <c r="AB96" s="453"/>
      <c r="AC96" s="657"/>
      <c r="AE96" s="657">
        <v>492</v>
      </c>
      <c r="AF96" s="448" t="s">
        <v>1532</v>
      </c>
      <c r="AG96" s="453"/>
      <c r="AH96" s="657"/>
    </row>
    <row r="97" spans="1:34">
      <c r="A97" s="657">
        <v>93</v>
      </c>
      <c r="B97" s="452" t="s">
        <v>959</v>
      </c>
      <c r="C97" s="449" t="s">
        <v>3803</v>
      </c>
      <c r="D97" s="451" t="s">
        <v>908</v>
      </c>
      <c r="F97" s="657">
        <v>193</v>
      </c>
      <c r="G97" s="452" t="s">
        <v>1158</v>
      </c>
      <c r="H97" s="450"/>
      <c r="I97" s="451"/>
      <c r="K97" s="657">
        <v>293</v>
      </c>
      <c r="L97" s="765" t="s">
        <v>1160</v>
      </c>
      <c r="M97" s="454"/>
      <c r="N97" s="459"/>
      <c r="P97" s="657">
        <v>393</v>
      </c>
      <c r="Q97" s="448" t="s">
        <v>1161</v>
      </c>
      <c r="R97" s="453"/>
      <c r="S97" s="459"/>
      <c r="U97" s="657">
        <v>493</v>
      </c>
      <c r="V97" s="448" t="s">
        <v>1359</v>
      </c>
      <c r="W97" s="453"/>
      <c r="X97" s="657"/>
      <c r="Z97" s="657">
        <v>493</v>
      </c>
      <c r="AA97" s="448" t="s">
        <v>1361</v>
      </c>
      <c r="AB97" s="453"/>
      <c r="AC97" s="657"/>
      <c r="AE97" s="657">
        <v>493</v>
      </c>
      <c r="AF97" s="448" t="s">
        <v>1533</v>
      </c>
      <c r="AG97" s="453"/>
      <c r="AH97" s="657"/>
    </row>
    <row r="98" spans="1:34">
      <c r="A98" s="657">
        <v>94</v>
      </c>
      <c r="B98" s="452" t="s">
        <v>963</v>
      </c>
      <c r="C98" s="454" t="s">
        <v>3804</v>
      </c>
      <c r="D98" s="451" t="s">
        <v>908</v>
      </c>
      <c r="F98" s="657">
        <v>194</v>
      </c>
      <c r="G98" s="452" t="s">
        <v>1162</v>
      </c>
      <c r="H98" s="450"/>
      <c r="I98" s="451"/>
      <c r="K98" s="657">
        <v>294</v>
      </c>
      <c r="L98" s="765" t="s">
        <v>1164</v>
      </c>
      <c r="M98" s="454"/>
      <c r="N98" s="459"/>
      <c r="P98" s="657">
        <v>394</v>
      </c>
      <c r="Q98" s="448" t="s">
        <v>1165</v>
      </c>
      <c r="R98" s="464"/>
      <c r="S98" s="459"/>
      <c r="U98" s="657">
        <v>494</v>
      </c>
      <c r="V98" s="448" t="s">
        <v>1363</v>
      </c>
      <c r="W98" s="464"/>
      <c r="X98" s="657"/>
      <c r="Z98" s="657">
        <v>494</v>
      </c>
      <c r="AA98" s="448" t="s">
        <v>1365</v>
      </c>
      <c r="AB98" s="464"/>
      <c r="AC98" s="657"/>
      <c r="AE98" s="657">
        <v>494</v>
      </c>
      <c r="AF98" s="448" t="s">
        <v>1534</v>
      </c>
      <c r="AG98" s="464"/>
      <c r="AH98" s="657"/>
    </row>
    <row r="99" spans="1:34">
      <c r="A99" s="657">
        <v>95</v>
      </c>
      <c r="B99" s="452" t="s">
        <v>967</v>
      </c>
      <c r="C99" s="454" t="s">
        <v>3805</v>
      </c>
      <c r="D99" s="451" t="s">
        <v>908</v>
      </c>
      <c r="F99" s="657">
        <v>195</v>
      </c>
      <c r="G99" s="452" t="s">
        <v>1166</v>
      </c>
      <c r="H99" s="450"/>
      <c r="I99" s="451"/>
      <c r="K99" s="657">
        <v>295</v>
      </c>
      <c r="L99" s="765" t="s">
        <v>1168</v>
      </c>
      <c r="M99" s="454"/>
      <c r="N99" s="459"/>
      <c r="P99" s="657">
        <v>395</v>
      </c>
      <c r="Q99" s="448" t="s">
        <v>1169</v>
      </c>
      <c r="R99" s="464"/>
      <c r="S99" s="459"/>
      <c r="U99" s="657">
        <v>495</v>
      </c>
      <c r="V99" s="448" t="s">
        <v>1367</v>
      </c>
      <c r="W99" s="460"/>
      <c r="X99" s="657"/>
      <c r="Z99" s="657">
        <v>495</v>
      </c>
      <c r="AA99" s="448" t="s">
        <v>1369</v>
      </c>
      <c r="AB99" s="460"/>
      <c r="AC99" s="657"/>
      <c r="AE99" s="657">
        <v>495</v>
      </c>
      <c r="AF99" s="448" t="s">
        <v>1535</v>
      </c>
      <c r="AG99" s="460"/>
      <c r="AH99" s="657"/>
    </row>
    <row r="100" spans="1:34">
      <c r="A100" s="657">
        <v>96</v>
      </c>
      <c r="B100" s="452" t="s">
        <v>971</v>
      </c>
      <c r="C100" s="454" t="s">
        <v>3973</v>
      </c>
      <c r="D100" s="451" t="s">
        <v>908</v>
      </c>
      <c r="F100" s="657">
        <v>196</v>
      </c>
      <c r="G100" s="452" t="s">
        <v>1170</v>
      </c>
      <c r="H100" s="450"/>
      <c r="I100" s="451"/>
      <c r="K100" s="657">
        <v>296</v>
      </c>
      <c r="L100" s="765" t="s">
        <v>1172</v>
      </c>
      <c r="M100" s="972"/>
      <c r="N100" s="459"/>
      <c r="P100" s="657">
        <v>396</v>
      </c>
      <c r="Q100" s="448" t="s">
        <v>1173</v>
      </c>
      <c r="R100" s="449"/>
      <c r="S100" s="459"/>
      <c r="U100" s="657">
        <v>496</v>
      </c>
      <c r="V100" s="448" t="s">
        <v>1371</v>
      </c>
      <c r="W100" s="449"/>
      <c r="X100" s="657"/>
      <c r="Z100" s="657">
        <v>496</v>
      </c>
      <c r="AA100" s="448" t="s">
        <v>1373</v>
      </c>
      <c r="AB100" s="449"/>
      <c r="AC100" s="657"/>
      <c r="AE100" s="657">
        <v>496</v>
      </c>
      <c r="AF100" s="448" t="s">
        <v>1536</v>
      </c>
      <c r="AG100" s="449"/>
      <c r="AH100" s="657"/>
    </row>
    <row r="101" spans="1:34">
      <c r="A101" s="657">
        <v>97</v>
      </c>
      <c r="B101" s="452" t="s">
        <v>975</v>
      </c>
      <c r="C101" s="454" t="s">
        <v>4316</v>
      </c>
      <c r="D101" s="451" t="s">
        <v>908</v>
      </c>
      <c r="F101" s="657">
        <v>197</v>
      </c>
      <c r="G101" s="452" t="s">
        <v>1174</v>
      </c>
      <c r="H101" s="450"/>
      <c r="I101" s="451"/>
      <c r="K101" s="657">
        <v>297</v>
      </c>
      <c r="L101" s="765" t="s">
        <v>1176</v>
      </c>
      <c r="M101" s="972"/>
      <c r="N101" s="459"/>
      <c r="P101" s="657">
        <v>397</v>
      </c>
      <c r="Q101" s="448" t="s">
        <v>1177</v>
      </c>
      <c r="R101" s="460"/>
      <c r="S101" s="459"/>
      <c r="U101" s="657">
        <v>497</v>
      </c>
      <c r="V101" s="448" t="s">
        <v>1375</v>
      </c>
      <c r="W101" s="460"/>
      <c r="X101" s="657"/>
      <c r="Z101" s="657">
        <v>497</v>
      </c>
      <c r="AA101" s="448" t="s">
        <v>1377</v>
      </c>
      <c r="AB101" s="460"/>
      <c r="AC101" s="657"/>
      <c r="AE101" s="657">
        <v>497</v>
      </c>
      <c r="AF101" s="448" t="s">
        <v>1537</v>
      </c>
      <c r="AG101" s="460"/>
      <c r="AH101" s="657"/>
    </row>
    <row r="102" spans="1:34">
      <c r="A102" s="657">
        <v>98</v>
      </c>
      <c r="B102" s="452" t="s">
        <v>979</v>
      </c>
      <c r="C102" s="454" t="s">
        <v>3788</v>
      </c>
      <c r="D102" s="451" t="s">
        <v>4017</v>
      </c>
      <c r="F102" s="657">
        <v>198</v>
      </c>
      <c r="G102" s="452" t="s">
        <v>1178</v>
      </c>
      <c r="H102" s="450"/>
      <c r="I102" s="451"/>
      <c r="K102" s="657">
        <v>298</v>
      </c>
      <c r="L102" s="765" t="s">
        <v>1180</v>
      </c>
      <c r="M102" s="972"/>
      <c r="N102" s="459"/>
      <c r="P102" s="657">
        <v>398</v>
      </c>
      <c r="Q102" s="448" t="s">
        <v>1181</v>
      </c>
      <c r="R102" s="449"/>
      <c r="S102" s="459"/>
      <c r="U102" s="657">
        <v>498</v>
      </c>
      <c r="V102" s="448" t="s">
        <v>1379</v>
      </c>
      <c r="W102" s="449"/>
      <c r="X102" s="657"/>
      <c r="Z102" s="657">
        <v>498</v>
      </c>
      <c r="AA102" s="448" t="s">
        <v>1381</v>
      </c>
      <c r="AB102" s="449"/>
      <c r="AC102" s="657"/>
      <c r="AE102" s="657">
        <v>498</v>
      </c>
      <c r="AF102" s="448" t="s">
        <v>1538</v>
      </c>
      <c r="AG102" s="449"/>
      <c r="AH102" s="657"/>
    </row>
    <row r="103" spans="1:34">
      <c r="A103" s="657">
        <v>99</v>
      </c>
      <c r="B103" s="452" t="s">
        <v>983</v>
      </c>
      <c r="C103" s="450" t="s">
        <v>3789</v>
      </c>
      <c r="D103" s="451" t="s">
        <v>4017</v>
      </c>
      <c r="F103" s="657">
        <v>199</v>
      </c>
      <c r="G103" s="452" t="s">
        <v>1182</v>
      </c>
      <c r="H103" s="450"/>
      <c r="I103" s="451"/>
      <c r="K103" s="657">
        <v>299</v>
      </c>
      <c r="L103" s="765" t="s">
        <v>1184</v>
      </c>
      <c r="M103" s="454"/>
      <c r="N103" s="459"/>
      <c r="P103" s="657">
        <v>399</v>
      </c>
      <c r="Q103" s="448" t="s">
        <v>1185</v>
      </c>
      <c r="R103" s="657"/>
      <c r="S103" s="657"/>
      <c r="U103" s="657">
        <v>499</v>
      </c>
      <c r="V103" s="448" t="s">
        <v>1383</v>
      </c>
      <c r="W103" s="657"/>
      <c r="X103" s="657"/>
      <c r="Z103" s="657">
        <v>499</v>
      </c>
      <c r="AA103" s="448" t="s">
        <v>1385</v>
      </c>
      <c r="AB103" s="657"/>
      <c r="AC103" s="657"/>
      <c r="AE103" s="657">
        <v>499</v>
      </c>
      <c r="AF103" s="448" t="s">
        <v>1539</v>
      </c>
      <c r="AG103" s="657"/>
      <c r="AH103" s="657"/>
    </row>
    <row r="104" spans="1:34">
      <c r="A104" s="657">
        <v>100</v>
      </c>
      <c r="B104" s="452" t="s">
        <v>987</v>
      </c>
      <c r="C104" s="450" t="s">
        <v>3788</v>
      </c>
      <c r="D104" s="451" t="s">
        <v>3978</v>
      </c>
      <c r="F104" s="657">
        <v>200</v>
      </c>
      <c r="G104" s="452" t="s">
        <v>1186</v>
      </c>
      <c r="H104" s="450"/>
      <c r="I104" s="451"/>
      <c r="K104" s="657">
        <v>300</v>
      </c>
      <c r="L104" s="765" t="s">
        <v>1188</v>
      </c>
      <c r="M104" s="974"/>
      <c r="N104" s="459"/>
      <c r="P104" s="657">
        <v>400</v>
      </c>
      <c r="Q104" s="448" t="s">
        <v>1189</v>
      </c>
      <c r="R104" s="657"/>
      <c r="S104" s="657"/>
      <c r="U104" s="657">
        <v>500</v>
      </c>
      <c r="V104" s="448" t="s">
        <v>1387</v>
      </c>
      <c r="W104" s="657"/>
      <c r="X104" s="657"/>
      <c r="Z104" s="657">
        <v>500</v>
      </c>
      <c r="AA104" s="448" t="s">
        <v>1389</v>
      </c>
      <c r="AB104" s="657"/>
      <c r="AC104" s="657"/>
      <c r="AE104" s="657">
        <v>500</v>
      </c>
      <c r="AF104" s="448" t="s">
        <v>1540</v>
      </c>
      <c r="AG104" s="657"/>
      <c r="AH104" s="65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50"/>
  </sheetPr>
  <dimension ref="B1:S756"/>
  <sheetViews>
    <sheetView showGridLines="0" view="pageBreakPreview" zoomScale="85" zoomScaleNormal="85" zoomScaleSheetLayoutView="85" workbookViewId="0">
      <pane xSplit="6" ySplit="5" topLeftCell="G419" activePane="bottomRight" state="frozen"/>
      <selection pane="topRight" activeCell="E1" sqref="E1"/>
      <selection pane="bottomLeft" activeCell="A6" sqref="A6"/>
      <selection pane="bottomRight" activeCell="O427" sqref="O427"/>
    </sheetView>
  </sheetViews>
  <sheetFormatPr defaultRowHeight="12.75"/>
  <cols>
    <col min="1" max="1" width="1.5703125" style="3" customWidth="1"/>
    <col min="2" max="2" width="5" style="1" bestFit="1" customWidth="1"/>
    <col min="3" max="4" width="5.28515625" style="4" hidden="1" customWidth="1"/>
    <col min="5" max="5" width="5.28515625" style="4" customWidth="1"/>
    <col min="6" max="6" width="37.5703125" style="3" bestFit="1" customWidth="1"/>
    <col min="7" max="7" width="8" style="4" bestFit="1" customWidth="1"/>
    <col min="8" max="8" width="5.5703125" style="4" customWidth="1"/>
    <col min="9" max="9" width="23" style="2" customWidth="1"/>
    <col min="10" max="10" width="22.7109375" style="2" customWidth="1"/>
    <col min="11" max="15" width="20.7109375" style="5" customWidth="1"/>
    <col min="16" max="16" width="4.42578125" style="3" customWidth="1"/>
    <col min="17" max="17" width="33.140625" style="3" bestFit="1" customWidth="1"/>
    <col min="18" max="18" width="9.140625" style="3"/>
    <col min="19" max="19" width="15" style="3" bestFit="1" customWidth="1"/>
    <col min="20" max="16384" width="9.140625" style="3"/>
  </cols>
  <sheetData>
    <row r="1" spans="2:17" ht="15.75">
      <c r="C1" s="15"/>
      <c r="D1" s="15"/>
      <c r="E1" s="15" t="s">
        <v>2991</v>
      </c>
    </row>
    <row r="2" spans="2:17">
      <c r="B2" s="14"/>
      <c r="C2" s="14"/>
      <c r="D2" s="14"/>
      <c r="E2" s="14"/>
    </row>
    <row r="3" spans="2:17" s="7" customFormat="1" ht="15" customHeight="1">
      <c r="B3" s="1759" t="s">
        <v>198</v>
      </c>
      <c r="C3" s="1760" t="s">
        <v>200</v>
      </c>
      <c r="D3" s="1760"/>
      <c r="E3" s="1759" t="s">
        <v>6</v>
      </c>
      <c r="F3" s="1758" t="s">
        <v>3</v>
      </c>
      <c r="G3" s="1761" t="s">
        <v>141</v>
      </c>
      <c r="H3" s="1758" t="s">
        <v>4</v>
      </c>
      <c r="I3" s="1758"/>
      <c r="J3" s="1758"/>
      <c r="K3" s="1758"/>
      <c r="L3" s="1758"/>
      <c r="M3" s="1758"/>
      <c r="N3" s="1758"/>
      <c r="O3" s="1758"/>
    </row>
    <row r="4" spans="2:17" s="7" customFormat="1" ht="15" customHeight="1">
      <c r="B4" s="1759"/>
      <c r="C4" s="1764" t="s">
        <v>196</v>
      </c>
      <c r="D4" s="1764" t="s">
        <v>197</v>
      </c>
      <c r="E4" s="1759"/>
      <c r="F4" s="1758"/>
      <c r="G4" s="1762"/>
      <c r="H4" s="1766" t="s">
        <v>15</v>
      </c>
      <c r="I4" s="1766" t="s">
        <v>51</v>
      </c>
      <c r="J4" s="1766" t="s">
        <v>12</v>
      </c>
      <c r="K4" s="1768" t="s">
        <v>11</v>
      </c>
      <c r="L4" s="1768" t="s">
        <v>53</v>
      </c>
      <c r="M4" s="1768" t="s">
        <v>1</v>
      </c>
      <c r="N4" s="1770" t="s">
        <v>50</v>
      </c>
      <c r="O4" s="1770"/>
    </row>
    <row r="5" spans="2:17" s="7" customFormat="1">
      <c r="B5" s="1759"/>
      <c r="C5" s="1765"/>
      <c r="D5" s="1765"/>
      <c r="E5" s="1759"/>
      <c r="F5" s="1758"/>
      <c r="G5" s="1763"/>
      <c r="H5" s="1767"/>
      <c r="I5" s="1767"/>
      <c r="J5" s="1767"/>
      <c r="K5" s="1769"/>
      <c r="L5" s="1769"/>
      <c r="M5" s="1769"/>
      <c r="N5" s="129" t="s">
        <v>54</v>
      </c>
      <c r="O5" s="129" t="s">
        <v>55</v>
      </c>
      <c r="Q5" s="168" t="s">
        <v>235</v>
      </c>
    </row>
    <row r="6" spans="2:17" s="7" customFormat="1" ht="14.1" customHeight="1">
      <c r="B6" s="337" t="s">
        <v>194</v>
      </c>
      <c r="C6" s="151">
        <f>MATCH(B6,Master_Data!B152:B864,0)</f>
        <v>15</v>
      </c>
      <c r="D6" s="151">
        <v>5</v>
      </c>
      <c r="E6" s="20">
        <v>1</v>
      </c>
      <c r="F6" s="75" t="str">
        <f>INDEX(Master_Data!$C$152:$L$864,D6,2)</f>
        <v>BANDARA WASIOR PAPUA BARAT, PT</v>
      </c>
      <c r="G6" s="20" t="str">
        <f>INDEX(Master_Data!$C$152:$L$864,D6,3)</f>
        <v>I</v>
      </c>
      <c r="H6" s="20">
        <f>INDEX(Master_Data!$C$152:$L$864,D6,1)</f>
        <v>18</v>
      </c>
      <c r="I6" s="20" t="str">
        <f>INDEX(Master_Data!$C$152:$L$864,D6,4)</f>
        <v>Layanan Akses Internet 1 Mbps pada Bandara Wasior Papua Barat</v>
      </c>
      <c r="J6" s="20" t="str">
        <f>INDEX(Master_Data!$C$152:$L$864,D6,5)</f>
        <v>27 Mar-27 Apr</v>
      </c>
      <c r="K6" s="708" t="str">
        <f>INDEX(Master_Data!$C$152:$L$864,D6,6)</f>
        <v>17-001/BKU-004/III/248</v>
      </c>
      <c r="L6" s="139" t="str">
        <f>INDEX(Master_Data!$C$152:$L$864,D6,7)</f>
        <v>020.019-17.53122142</v>
      </c>
      <c r="M6" s="139">
        <f>INDEX(Master_Data!$C$152:$L$864,D6,8)</f>
        <v>0</v>
      </c>
      <c r="N6" s="74"/>
      <c r="O6" s="143" t="e">
        <f>L6+M6</f>
        <v>#VALUE!</v>
      </c>
      <c r="Q6" s="169" t="str">
        <f>CONCATENATE(F6,$B$6)</f>
        <v>BANDARA WASIOR PAPUA BARAT, PTJAN</v>
      </c>
    </row>
    <row r="7" spans="2:17" s="61" customFormat="1" ht="14.1" customHeight="1">
      <c r="B7" s="338"/>
      <c r="C7" s="268">
        <f>MATCH($B$6,INDEX(Master_Data!$B$152:$B$864,D6+1,1):'Master_Data'!$B$864,0)</f>
        <v>10</v>
      </c>
      <c r="D7" s="268">
        <f>D6+C7</f>
        <v>15</v>
      </c>
      <c r="E7" s="54">
        <v>2</v>
      </c>
      <c r="F7" s="22" t="str">
        <f>INDEX(Master_Data!$C$152:$L$864,D7,2)</f>
        <v>BUKIT MAKMUR MANDIRI UTAMA, PT</v>
      </c>
      <c r="G7" s="24" t="str">
        <f>INDEX(Master_Data!$C$152:$L$864,D7,3)</f>
        <v>V</v>
      </c>
      <c r="H7" s="24">
        <f>INDEX(Master_Data!$C$152:$L$864,D7,1)</f>
        <v>30</v>
      </c>
      <c r="I7" s="24">
        <f>INDEX(Master_Data!$C$152:$L$864,D7,4)</f>
        <v>0</v>
      </c>
      <c r="J7" s="24">
        <f>INDEX(Master_Data!$C$152:$L$864,D7,5)</f>
        <v>0</v>
      </c>
      <c r="K7" s="137" t="str">
        <f>INDEX(Master_Data!$C$152:$L$864,D7,6)</f>
        <v>17-001/BKU-004/I/172</v>
      </c>
      <c r="L7" s="140" t="str">
        <f>INDEX(Master_Data!$C$152:$L$864,D7,7)</f>
        <v>010.001-17.53957909</v>
      </c>
      <c r="M7" s="140">
        <f>INDEX(Master_Data!$C$152:$L$864,D7,8)</f>
        <v>0</v>
      </c>
      <c r="N7" s="149"/>
      <c r="O7" s="144" t="e">
        <f t="shared" ref="O7:O64" si="0">L7+M7</f>
        <v>#VALUE!</v>
      </c>
      <c r="Q7" s="169" t="str">
        <f t="shared" ref="Q7:Q37" si="1">CONCATENATE(F7,$B$6)</f>
        <v>BUKIT MAKMUR MANDIRI UTAMA, PTJAN</v>
      </c>
    </row>
    <row r="8" spans="2:17" s="61" customFormat="1" ht="14.1" customHeight="1">
      <c r="B8" s="338"/>
      <c r="C8" s="268">
        <f>MATCH($B$6,INDEX(Master_Data!$B$152:$B$864,D7+1,1):'Master_Data'!$B$864,0)</f>
        <v>1</v>
      </c>
      <c r="D8" s="268">
        <f t="shared" ref="D8:D64" si="2">D7+C8</f>
        <v>16</v>
      </c>
      <c r="E8" s="24">
        <v>3</v>
      </c>
      <c r="F8" s="22" t="str">
        <f>INDEX(Master_Data!$C$152:$L$864,D8,2)</f>
        <v>BUKIT MAKMUR MANDIRI UTAMA, PT</v>
      </c>
      <c r="G8" s="24" t="str">
        <f>INDEX(Master_Data!$C$152:$L$864,D8,3)</f>
        <v>HMS</v>
      </c>
      <c r="H8" s="24">
        <f>INDEX(Master_Data!$C$152:$L$864,D8,1)</f>
        <v>30</v>
      </c>
      <c r="I8" s="24">
        <f>INDEX(Master_Data!$C$152:$L$864,D8,4)</f>
        <v>0</v>
      </c>
      <c r="J8" s="24">
        <f>INDEX(Master_Data!$C$152:$L$864,D8,5)</f>
        <v>0</v>
      </c>
      <c r="K8" s="137" t="str">
        <f>INDEX(Master_Data!$C$152:$L$864,D8,6)</f>
        <v>17-002/BKU-004/I/172</v>
      </c>
      <c r="L8" s="140" t="str">
        <f>INDEX(Master_Data!$C$152:$L$864,D8,7)</f>
        <v>010.001-17.53957907</v>
      </c>
      <c r="M8" s="140">
        <f>INDEX(Master_Data!$C$152:$L$864,D8,8)</f>
        <v>0</v>
      </c>
      <c r="N8" s="149"/>
      <c r="O8" s="144" t="e">
        <f t="shared" si="0"/>
        <v>#VALUE!</v>
      </c>
      <c r="Q8" s="169" t="str">
        <f t="shared" si="1"/>
        <v>BUKIT MAKMUR MANDIRI UTAMA, PTJAN</v>
      </c>
    </row>
    <row r="9" spans="2:17" s="61" customFormat="1" ht="14.1" customHeight="1">
      <c r="B9" s="338"/>
      <c r="C9" s="268">
        <f>MATCH($B$6,INDEX(Master_Data!$B$152:$B$864,D8+1,1):'Master_Data'!$B$864,0)</f>
        <v>19</v>
      </c>
      <c r="D9" s="268">
        <f t="shared" si="2"/>
        <v>35</v>
      </c>
      <c r="E9" s="54">
        <v>4</v>
      </c>
      <c r="F9" s="22" t="str">
        <f>INDEX(Master_Data!$C$152:$L$864,D9,2)</f>
        <v>CAKRAWALA SEJAHTERA, PT</v>
      </c>
      <c r="G9" s="24" t="str">
        <f>INDEX(Master_Data!$C$152:$L$864,D9,3)</f>
        <v>V</v>
      </c>
      <c r="H9" s="24">
        <f>INDEX(Master_Data!$C$152:$L$864,D9,1)</f>
        <v>18</v>
      </c>
      <c r="I9" s="24">
        <f>INDEX(Master_Data!$C$152:$L$864,D9,4)</f>
        <v>0</v>
      </c>
      <c r="J9" s="24">
        <f>INDEX(Master_Data!$C$152:$L$864,D9,5)</f>
        <v>0</v>
      </c>
      <c r="K9" s="137" t="str">
        <f>INDEX(Master_Data!$C$152:$L$864,D9,6)</f>
        <v>17-001/BKU-004/I/198</v>
      </c>
      <c r="L9" s="140" t="str">
        <f>INDEX(Master_Data!$C$152:$L$864,D9,7)</f>
        <v>010.001-17.53957817</v>
      </c>
      <c r="M9" s="140">
        <f>INDEX(Master_Data!$C$152:$L$864,D9,8)</f>
        <v>0</v>
      </c>
      <c r="N9" s="149"/>
      <c r="O9" s="144" t="e">
        <f t="shared" si="0"/>
        <v>#VALUE!</v>
      </c>
      <c r="Q9" s="169" t="str">
        <f t="shared" si="1"/>
        <v>CAKRAWALA SEJAHTERA, PTJAN</v>
      </c>
    </row>
    <row r="10" spans="2:17" s="61" customFormat="1" ht="14.1" customHeight="1">
      <c r="B10" s="338"/>
      <c r="C10" s="268">
        <f>MATCH($B$6,INDEX(Master_Data!$B$152:$B$864,D9+1,1):'Master_Data'!$B$864,0)</f>
        <v>1</v>
      </c>
      <c r="D10" s="268">
        <f t="shared" si="2"/>
        <v>36</v>
      </c>
      <c r="E10" s="24">
        <v>5</v>
      </c>
      <c r="F10" s="22" t="str">
        <f>INDEX(Master_Data!$C$152:$L$864,D10,2)</f>
        <v>CAKRAWALA SEJAHTERA, PT</v>
      </c>
      <c r="G10" s="24" t="str">
        <f>INDEX(Master_Data!$C$152:$L$864,D10,3)</f>
        <v>V</v>
      </c>
      <c r="H10" s="24">
        <f>INDEX(Master_Data!$C$152:$L$864,D10,1)</f>
        <v>9</v>
      </c>
      <c r="I10" s="24">
        <f>INDEX(Master_Data!$C$152:$L$864,D10,4)</f>
        <v>0</v>
      </c>
      <c r="J10" s="24">
        <f>INDEX(Master_Data!$C$152:$L$864,D10,5)</f>
        <v>0</v>
      </c>
      <c r="K10" s="137" t="str">
        <f>INDEX(Master_Data!$C$152:$L$864,D10,6)</f>
        <v>17-002/BKU-004/I/198</v>
      </c>
      <c r="L10" s="140" t="str">
        <f>INDEX(Master_Data!$C$152:$L$864,D10,7)</f>
        <v>010.001-17.53957828</v>
      </c>
      <c r="M10" s="140">
        <f>INDEX(Master_Data!$C$152:$L$864,D10,8)</f>
        <v>0</v>
      </c>
      <c r="N10" s="149"/>
      <c r="O10" s="144" t="e">
        <f t="shared" si="0"/>
        <v>#VALUE!</v>
      </c>
      <c r="Q10" s="169" t="str">
        <f t="shared" si="1"/>
        <v>CAKRAWALA SEJAHTERA, PTJAN</v>
      </c>
    </row>
    <row r="11" spans="2:17" s="61" customFormat="1" ht="14.1" customHeight="1">
      <c r="B11" s="338"/>
      <c r="C11" s="268">
        <f>MATCH($B$6,INDEX(Master_Data!$B$152:$B$864,D10+1,1):'Master_Data'!$B$864,0)</f>
        <v>9</v>
      </c>
      <c r="D11" s="268">
        <f t="shared" si="2"/>
        <v>45</v>
      </c>
      <c r="E11" s="54">
        <v>6</v>
      </c>
      <c r="F11" s="22" t="str">
        <f>INDEX(Master_Data!$C$152:$L$864,D11,2)</f>
        <v>CIPTA INFORMATIKA CEMERLANG, PT</v>
      </c>
      <c r="G11" s="24" t="str">
        <f>INDEX(Master_Data!$C$152:$L$864,D11,3)</f>
        <v>P</v>
      </c>
      <c r="H11" s="24">
        <f>INDEX(Master_Data!$C$152:$L$864,D11,1)</f>
        <v>9</v>
      </c>
      <c r="I11" s="24">
        <f>INDEX(Master_Data!$C$152:$L$864,D11,4)</f>
        <v>0</v>
      </c>
      <c r="J11" s="24">
        <f>INDEX(Master_Data!$C$152:$L$864,D11,5)</f>
        <v>0</v>
      </c>
      <c r="K11" s="137" t="str">
        <f>INDEX(Master_Data!$C$152:$L$864,D11,6)</f>
        <v>17-001/BKU-004/I/097</v>
      </c>
      <c r="L11" s="140" t="str">
        <f>INDEX(Master_Data!$C$152:$L$864,D11,7)</f>
        <v>010.001-17.53957811</v>
      </c>
      <c r="M11" s="140">
        <f>INDEX(Master_Data!$C$152:$L$864,D11,8)</f>
        <v>0</v>
      </c>
      <c r="N11" s="149"/>
      <c r="O11" s="144" t="e">
        <f t="shared" si="0"/>
        <v>#VALUE!</v>
      </c>
      <c r="Q11" s="169" t="str">
        <f t="shared" si="1"/>
        <v>CIPTA INFORMATIKA CEMERLANG, PTJAN</v>
      </c>
    </row>
    <row r="12" spans="2:17" s="61" customFormat="1" ht="14.1" customHeight="1">
      <c r="B12" s="338"/>
      <c r="C12" s="268">
        <f>MATCH($B$6,INDEX(Master_Data!$B$152:$B$864,D11+1,1):'Master_Data'!$B$864,0)</f>
        <v>14</v>
      </c>
      <c r="D12" s="268">
        <f t="shared" si="2"/>
        <v>59</v>
      </c>
      <c r="E12" s="24">
        <v>7</v>
      </c>
      <c r="F12" s="22" t="str">
        <f>INDEX(Master_Data!$C$152:$L$864,D12,2)</f>
        <v>ELGA YASA MEDIA, PT</v>
      </c>
      <c r="G12" s="24" t="str">
        <f>INDEX(Master_Data!$C$152:$L$864,D12,3)</f>
        <v>W</v>
      </c>
      <c r="H12" s="24">
        <f>INDEX(Master_Data!$C$152:$L$864,D12,1)</f>
        <v>9</v>
      </c>
      <c r="I12" s="24">
        <f>INDEX(Master_Data!$C$152:$L$864,D12,4)</f>
        <v>0</v>
      </c>
      <c r="J12" s="24">
        <f>INDEX(Master_Data!$C$152:$L$864,D12,5)</f>
        <v>0</v>
      </c>
      <c r="K12" s="137" t="str">
        <f>INDEX(Master_Data!$C$152:$L$864,D12,6)</f>
        <v>17-001/BKU-004/I/007</v>
      </c>
      <c r="L12" s="140" t="str">
        <f>INDEX(Master_Data!$C$152:$L$864,D12,7)</f>
        <v>010.001-17.53957815</v>
      </c>
      <c r="M12" s="140">
        <f>INDEX(Master_Data!$C$152:$L$864,D12,8)</f>
        <v>0</v>
      </c>
      <c r="N12" s="149"/>
      <c r="O12" s="144" t="e">
        <f t="shared" si="0"/>
        <v>#VALUE!</v>
      </c>
      <c r="Q12" s="169" t="str">
        <f t="shared" si="1"/>
        <v>ELGA YASA MEDIA, PTJAN</v>
      </c>
    </row>
    <row r="13" spans="2:17" s="61" customFormat="1" ht="14.1" customHeight="1">
      <c r="B13" s="338"/>
      <c r="C13" s="268">
        <f>MATCH($B$6,INDEX(Master_Data!$B$152:$B$864,D12+1,1):'Master_Data'!$B$864,0)</f>
        <v>7</v>
      </c>
      <c r="D13" s="268">
        <f t="shared" si="2"/>
        <v>66</v>
      </c>
      <c r="E13" s="54">
        <v>8</v>
      </c>
      <c r="F13" s="22" t="str">
        <f>INDEX(Master_Data!$C$152:$L$864,D13,2)</f>
        <v>EXPANS PETROGAS INTRANUSA, PT</v>
      </c>
      <c r="G13" s="24" t="str">
        <f>INDEX(Master_Data!$C$152:$L$864,D13,3)</f>
        <v>W</v>
      </c>
      <c r="H13" s="24">
        <f>INDEX(Master_Data!$C$152:$L$864,D13,1)</f>
        <v>9</v>
      </c>
      <c r="I13" s="24">
        <f>INDEX(Master_Data!$C$152:$L$864,D13,4)</f>
        <v>0</v>
      </c>
      <c r="J13" s="24">
        <f>INDEX(Master_Data!$C$152:$L$864,D13,5)</f>
        <v>0</v>
      </c>
      <c r="K13" s="137" t="str">
        <f>INDEX(Master_Data!$C$152:$L$864,D13,6)</f>
        <v>17-001/BKU-004/I/189</v>
      </c>
      <c r="L13" s="140" t="str">
        <f>INDEX(Master_Data!$C$152:$L$864,D13,7)</f>
        <v>010.001-17.53957812</v>
      </c>
      <c r="M13" s="140">
        <f>INDEX(Master_Data!$C$152:$L$864,D13,8)</f>
        <v>0</v>
      </c>
      <c r="N13" s="149"/>
      <c r="O13" s="144" t="e">
        <f t="shared" si="0"/>
        <v>#VALUE!</v>
      </c>
      <c r="Q13" s="169" t="str">
        <f t="shared" si="1"/>
        <v>EXPANS PETROGAS INTRANUSA, PTJAN</v>
      </c>
    </row>
    <row r="14" spans="2:17" s="61" customFormat="1" ht="14.1" customHeight="1">
      <c r="B14" s="338"/>
      <c r="C14" s="268">
        <f>MATCH($B$6,INDEX(Master_Data!$B$152:$B$864,D13+1,1):'Master_Data'!$B$864,0)</f>
        <v>1</v>
      </c>
      <c r="D14" s="268">
        <f t="shared" si="2"/>
        <v>67</v>
      </c>
      <c r="E14" s="24">
        <v>9</v>
      </c>
      <c r="F14" s="22" t="str">
        <f>INDEX(Master_Data!$C$152:$L$864,D14,2)</f>
        <v>EXPANS PETROGAS INTRANUSA, PT</v>
      </c>
      <c r="G14" s="24" t="str">
        <f>INDEX(Master_Data!$C$152:$L$864,D14,3)</f>
        <v>I</v>
      </c>
      <c r="H14" s="24">
        <f>INDEX(Master_Data!$C$152:$L$864,D14,1)</f>
        <v>9</v>
      </c>
      <c r="I14" s="24">
        <f>INDEX(Master_Data!$C$152:$L$864,D14,4)</f>
        <v>0</v>
      </c>
      <c r="J14" s="24">
        <f>INDEX(Master_Data!$C$152:$L$864,D14,5)</f>
        <v>0</v>
      </c>
      <c r="K14" s="137" t="str">
        <f>INDEX(Master_Data!$C$152:$L$864,D14,6)</f>
        <v>17-002/BKU-004/I/189</v>
      </c>
      <c r="L14" s="140" t="str">
        <f>INDEX(Master_Data!$C$152:$L$864,D14,7)</f>
        <v>010.001-17.53957813</v>
      </c>
      <c r="M14" s="140">
        <f>INDEX(Master_Data!$C$152:$L$864,D14,8)</f>
        <v>0</v>
      </c>
      <c r="N14" s="149"/>
      <c r="O14" s="144" t="e">
        <f t="shared" si="0"/>
        <v>#VALUE!</v>
      </c>
      <c r="Q14" s="169" t="str">
        <f t="shared" si="1"/>
        <v>EXPANS PETROGAS INTRANUSA, PTJAN</v>
      </c>
    </row>
    <row r="15" spans="2:17" s="61" customFormat="1" ht="14.1" customHeight="1">
      <c r="B15" s="338"/>
      <c r="C15" s="268">
        <f>MATCH($B$6,INDEX(Master_Data!$B$152:$B$864,D14+1,1):'Master_Data'!$B$864,0)</f>
        <v>7</v>
      </c>
      <c r="D15" s="268">
        <f t="shared" si="2"/>
        <v>74</v>
      </c>
      <c r="E15" s="54">
        <v>10</v>
      </c>
      <c r="F15" s="22" t="str">
        <f>INDEX(Master_Data!$C$152:$L$864,D15,2)</f>
        <v>HARMONI PANCA UTAMA, PT</v>
      </c>
      <c r="G15" s="24" t="str">
        <f>INDEX(Master_Data!$C$152:$L$864,D15,3)</f>
        <v>M</v>
      </c>
      <c r="H15" s="24">
        <f>INDEX(Master_Data!$C$152:$L$864,D15,1)</f>
        <v>9</v>
      </c>
      <c r="I15" s="24">
        <f>INDEX(Master_Data!$C$152:$L$864,D15,4)</f>
        <v>0</v>
      </c>
      <c r="J15" s="24">
        <f>INDEX(Master_Data!$C$152:$L$864,D15,5)</f>
        <v>0</v>
      </c>
      <c r="K15" s="137" t="str">
        <f>INDEX(Master_Data!$C$152:$L$864,D15,6)</f>
        <v>17-001/BKU-004/I/159</v>
      </c>
      <c r="L15" s="140" t="str">
        <f>INDEX(Master_Data!$C$152:$L$864,D15,7)</f>
        <v>010.001-17.53957818</v>
      </c>
      <c r="M15" s="140">
        <f>INDEX(Master_Data!$C$152:$L$864,D15,8)</f>
        <v>0</v>
      </c>
      <c r="N15" s="149"/>
      <c r="O15" s="144" t="e">
        <f t="shared" si="0"/>
        <v>#VALUE!</v>
      </c>
      <c r="Q15" s="169" t="str">
        <f t="shared" si="1"/>
        <v>HARMONI PANCA UTAMA, PTJAN</v>
      </c>
    </row>
    <row r="16" spans="2:17" s="61" customFormat="1" ht="14.1" customHeight="1">
      <c r="B16" s="338"/>
      <c r="C16" s="268">
        <f>MATCH($B$6,INDEX(Master_Data!$B$152:$B$864,D15+1,1):'Master_Data'!$B$864,0)</f>
        <v>1</v>
      </c>
      <c r="D16" s="268">
        <f t="shared" si="2"/>
        <v>75</v>
      </c>
      <c r="E16" s="24">
        <v>11</v>
      </c>
      <c r="F16" s="22" t="str">
        <f>INDEX(Master_Data!$C$152:$L$864,D16,2)</f>
        <v>HARMONI PANCA UTAMA, PT</v>
      </c>
      <c r="G16" s="24" t="str">
        <f>INDEX(Master_Data!$C$152:$L$864,D16,3)</f>
        <v>M</v>
      </c>
      <c r="H16" s="24">
        <f>INDEX(Master_Data!$C$152:$L$864,D16,1)</f>
        <v>9</v>
      </c>
      <c r="I16" s="24">
        <f>INDEX(Master_Data!$C$152:$L$864,D16,4)</f>
        <v>0</v>
      </c>
      <c r="J16" s="24">
        <f>INDEX(Master_Data!$C$152:$L$864,D16,5)</f>
        <v>0</v>
      </c>
      <c r="K16" s="137" t="str">
        <f>INDEX(Master_Data!$C$152:$L$864,D16,6)</f>
        <v>17-002/BKU-004/I/159</v>
      </c>
      <c r="L16" s="140" t="str">
        <f>INDEX(Master_Data!$C$152:$L$864,D16,7)</f>
        <v>010.001-17.53957819</v>
      </c>
      <c r="M16" s="140">
        <f>INDEX(Master_Data!$C$152:$L$864,D16,8)</f>
        <v>0</v>
      </c>
      <c r="N16" s="149"/>
      <c r="O16" s="144" t="e">
        <f t="shared" si="0"/>
        <v>#VALUE!</v>
      </c>
      <c r="Q16" s="169" t="str">
        <f t="shared" si="1"/>
        <v>HARMONI PANCA UTAMA, PTJAN</v>
      </c>
    </row>
    <row r="17" spans="2:19" s="61" customFormat="1" ht="14.1" customHeight="1">
      <c r="B17" s="338"/>
      <c r="C17" s="268">
        <f>MATCH($B$6,INDEX(Master_Data!$B$152:$B$864,D16+1,1):'Master_Data'!$B$864,0)</f>
        <v>1</v>
      </c>
      <c r="D17" s="268">
        <f t="shared" si="2"/>
        <v>76</v>
      </c>
      <c r="E17" s="54">
        <v>12</v>
      </c>
      <c r="F17" s="22" t="str">
        <f>INDEX(Master_Data!$C$152:$L$864,D17,2)</f>
        <v>HARMONI PANCA UTAMA, PT</v>
      </c>
      <c r="G17" s="24" t="str">
        <f>INDEX(Master_Data!$C$152:$L$864,D17,3)</f>
        <v>M</v>
      </c>
      <c r="H17" s="24">
        <f>INDEX(Master_Data!$C$152:$L$864,D17,1)</f>
        <v>9</v>
      </c>
      <c r="I17" s="24">
        <f>INDEX(Master_Data!$C$152:$L$864,D17,4)</f>
        <v>0</v>
      </c>
      <c r="J17" s="24">
        <f>INDEX(Master_Data!$C$152:$L$864,D17,5)</f>
        <v>0</v>
      </c>
      <c r="K17" s="137" t="str">
        <f>INDEX(Master_Data!$C$152:$L$864,D17,6)</f>
        <v>17-003/BKU-004/I/159</v>
      </c>
      <c r="L17" s="140" t="str">
        <f>INDEX(Master_Data!$C$152:$L$864,D17,7)</f>
        <v>010.001-17.53957820</v>
      </c>
      <c r="M17" s="140">
        <f>INDEX(Master_Data!$C$152:$L$864,D17,8)</f>
        <v>0</v>
      </c>
      <c r="N17" s="149"/>
      <c r="O17" s="144" t="e">
        <f t="shared" si="0"/>
        <v>#VALUE!</v>
      </c>
      <c r="Q17" s="169" t="str">
        <f t="shared" si="1"/>
        <v>HARMONI PANCA UTAMA, PTJAN</v>
      </c>
    </row>
    <row r="18" spans="2:19" s="61" customFormat="1" ht="14.1" customHeight="1">
      <c r="B18" s="338"/>
      <c r="C18" s="268">
        <f>MATCH($B$6,INDEX(Master_Data!$B$152:$B$864,D17+1,1):'Master_Data'!$B$864,0)</f>
        <v>1</v>
      </c>
      <c r="D18" s="268">
        <f t="shared" si="2"/>
        <v>77</v>
      </c>
      <c r="E18" s="24">
        <v>13</v>
      </c>
      <c r="F18" s="22" t="str">
        <f>INDEX(Master_Data!$C$152:$L$864,D18,2)</f>
        <v>HARMONI PANCA UTAMA, PT</v>
      </c>
      <c r="G18" s="24" t="str">
        <f>INDEX(Master_Data!$C$152:$L$864,D18,3)</f>
        <v>M</v>
      </c>
      <c r="H18" s="24">
        <f>INDEX(Master_Data!$C$152:$L$864,D18,1)</f>
        <v>9</v>
      </c>
      <c r="I18" s="24">
        <f>INDEX(Master_Data!$C$152:$L$864,D18,4)</f>
        <v>0</v>
      </c>
      <c r="J18" s="24">
        <f>INDEX(Master_Data!$C$152:$L$864,D18,5)</f>
        <v>0</v>
      </c>
      <c r="K18" s="137" t="str">
        <f>INDEX(Master_Data!$C$152:$L$864,D18,6)</f>
        <v>17-004/BKU-004/I/159</v>
      </c>
      <c r="L18" s="140" t="str">
        <f>INDEX(Master_Data!$C$152:$L$864,D18,7)</f>
        <v>010.001-17.53957821</v>
      </c>
      <c r="M18" s="140">
        <f>INDEX(Master_Data!$C$152:$L$864,D18,8)</f>
        <v>0</v>
      </c>
      <c r="N18" s="149"/>
      <c r="O18" s="144" t="e">
        <f t="shared" si="0"/>
        <v>#VALUE!</v>
      </c>
      <c r="Q18" s="169" t="str">
        <f t="shared" si="1"/>
        <v>HARMONI PANCA UTAMA, PTJAN</v>
      </c>
    </row>
    <row r="19" spans="2:19" s="61" customFormat="1" ht="14.1" customHeight="1">
      <c r="B19" s="242"/>
      <c r="C19" s="268">
        <f>MATCH($B$6,INDEX(Master_Data!$B$152:$B$864,D18+1,1):'Master_Data'!$B$864,0)</f>
        <v>1</v>
      </c>
      <c r="D19" s="268">
        <f t="shared" si="2"/>
        <v>78</v>
      </c>
      <c r="E19" s="54">
        <v>14</v>
      </c>
      <c r="F19" s="22" t="str">
        <f>INDEX(Master_Data!$C$152:$L$864,D19,2)</f>
        <v>HARMONI PANCA UTAMA, PT</v>
      </c>
      <c r="G19" s="24" t="str">
        <f>INDEX(Master_Data!$C$152:$L$864,D19,3)</f>
        <v>V</v>
      </c>
      <c r="H19" s="24">
        <f>INDEX(Master_Data!$C$152:$L$864,D19,1)</f>
        <v>9</v>
      </c>
      <c r="I19" s="24">
        <f>INDEX(Master_Data!$C$152:$L$864,D19,4)</f>
        <v>0</v>
      </c>
      <c r="J19" s="24">
        <f>INDEX(Master_Data!$C$152:$L$864,D19,5)</f>
        <v>0</v>
      </c>
      <c r="K19" s="137" t="str">
        <f>INDEX(Master_Data!$C$152:$L$864,D19,6)</f>
        <v>17-005/BKU-004/I/159</v>
      </c>
      <c r="L19" s="140" t="str">
        <f>INDEX(Master_Data!$C$152:$L$864,D19,7)</f>
        <v>010.001-17.53957822</v>
      </c>
      <c r="M19" s="140">
        <f>INDEX(Master_Data!$C$152:$L$864,D19,8)</f>
        <v>0</v>
      </c>
      <c r="N19" s="149"/>
      <c r="O19" s="144" t="e">
        <f t="shared" si="0"/>
        <v>#VALUE!</v>
      </c>
      <c r="Q19" s="169" t="str">
        <f t="shared" si="1"/>
        <v>HARMONI PANCA UTAMA, PTJAN</v>
      </c>
    </row>
    <row r="20" spans="2:19" s="61" customFormat="1" ht="14.1" customHeight="1">
      <c r="B20" s="242"/>
      <c r="C20" s="268">
        <f>MATCH($B$6,INDEX(Master_Data!$B$152:$B$864,D19+1,1):'Master_Data'!$B$864,0)</f>
        <v>1</v>
      </c>
      <c r="D20" s="268">
        <f t="shared" si="2"/>
        <v>79</v>
      </c>
      <c r="E20" s="24">
        <v>15</v>
      </c>
      <c r="F20" s="22" t="str">
        <f>INDEX(Master_Data!$C$152:$L$864,D20,2)</f>
        <v>HARMONI PANCA UTAMA, PT</v>
      </c>
      <c r="G20" s="24" t="str">
        <f>INDEX(Master_Data!$C$152:$L$864,D20,3)</f>
        <v>V</v>
      </c>
      <c r="H20" s="24">
        <f>INDEX(Master_Data!$C$152:$L$864,D20,1)</f>
        <v>9</v>
      </c>
      <c r="I20" s="24">
        <f>INDEX(Master_Data!$C$152:$L$864,D20,4)</f>
        <v>0</v>
      </c>
      <c r="J20" s="24">
        <f>INDEX(Master_Data!$C$152:$L$864,D20,5)</f>
        <v>0</v>
      </c>
      <c r="K20" s="137" t="str">
        <f>INDEX(Master_Data!$C$152:$L$864,D20,6)</f>
        <v>17-006/BKU-004/I/159</v>
      </c>
      <c r="L20" s="140" t="str">
        <f>INDEX(Master_Data!$C$152:$L$864,D20,7)</f>
        <v>010.001-17.53957823</v>
      </c>
      <c r="M20" s="140">
        <f>INDEX(Master_Data!$C$152:$L$864,D20,8)</f>
        <v>0</v>
      </c>
      <c r="N20" s="149"/>
      <c r="O20" s="144" t="e">
        <f t="shared" si="0"/>
        <v>#VALUE!</v>
      </c>
      <c r="Q20" s="169" t="str">
        <f t="shared" si="1"/>
        <v>HARMONI PANCA UTAMA, PTJAN</v>
      </c>
    </row>
    <row r="21" spans="2:19" s="61" customFormat="1" ht="14.1" customHeight="1">
      <c r="B21" s="242"/>
      <c r="C21" s="268">
        <f>MATCH($B$6,INDEX(Master_Data!$B$152:$B$864,D20+1,1):'Master_Data'!$B$864,0)</f>
        <v>1</v>
      </c>
      <c r="D21" s="268">
        <f t="shared" si="2"/>
        <v>80</v>
      </c>
      <c r="E21" s="54">
        <v>16</v>
      </c>
      <c r="F21" s="22" t="str">
        <f>INDEX(Master_Data!$C$152:$L$864,D21,2)</f>
        <v>HARMONI PANCA UTAMA, PT</v>
      </c>
      <c r="G21" s="24" t="str">
        <f>INDEX(Master_Data!$C$152:$L$864,D21,3)</f>
        <v>O</v>
      </c>
      <c r="H21" s="24">
        <f>INDEX(Master_Data!$C$152:$L$864,D21,1)</f>
        <v>9</v>
      </c>
      <c r="I21" s="24">
        <f>INDEX(Master_Data!$C$152:$L$864,D21,4)</f>
        <v>0</v>
      </c>
      <c r="J21" s="24">
        <f>INDEX(Master_Data!$C$152:$L$864,D21,5)</f>
        <v>0</v>
      </c>
      <c r="K21" s="137" t="str">
        <f>INDEX(Master_Data!$C$152:$L$864,D21,6)</f>
        <v>17-007/BKU-004/I/159</v>
      </c>
      <c r="L21" s="140" t="str">
        <f>INDEX(Master_Data!$C$152:$L$864,D21,7)</f>
        <v>010.001-17.53957845</v>
      </c>
      <c r="M21" s="140">
        <f>INDEX(Master_Data!$C$152:$L$864,D21,8)</f>
        <v>0</v>
      </c>
      <c r="N21" s="149"/>
      <c r="O21" s="144" t="e">
        <f t="shared" si="0"/>
        <v>#VALUE!</v>
      </c>
      <c r="Q21" s="169" t="str">
        <f t="shared" si="1"/>
        <v>HARMONI PANCA UTAMA, PTJAN</v>
      </c>
    </row>
    <row r="22" spans="2:19" s="61" customFormat="1" ht="14.1" customHeight="1">
      <c r="B22" s="242"/>
      <c r="C22" s="268">
        <f>MATCH($B$6,INDEX(Master_Data!$B$152:$B$864,D21+1,1):'Master_Data'!$B$864,0)</f>
        <v>1</v>
      </c>
      <c r="D22" s="268">
        <f t="shared" si="2"/>
        <v>81</v>
      </c>
      <c r="E22" s="24">
        <v>17</v>
      </c>
      <c r="F22" s="22" t="str">
        <f>INDEX(Master_Data!$C$152:$L$864,D22,2)</f>
        <v>HARMONI PANCA UTAMA, PT</v>
      </c>
      <c r="G22" s="24" t="str">
        <f>INDEX(Master_Data!$C$152:$L$864,D22,3)</f>
        <v>L</v>
      </c>
      <c r="H22" s="24">
        <f>INDEX(Master_Data!$C$152:$L$864,D22,1)</f>
        <v>9</v>
      </c>
      <c r="I22" s="24">
        <f>INDEX(Master_Data!$C$152:$L$864,D22,4)</f>
        <v>0</v>
      </c>
      <c r="J22" s="24">
        <f>INDEX(Master_Data!$C$152:$L$864,D22,5)</f>
        <v>0</v>
      </c>
      <c r="K22" s="137" t="str">
        <f>INDEX(Master_Data!$C$152:$L$864,D22,6)</f>
        <v>17-008/BKU-004/I/159</v>
      </c>
      <c r="L22" s="140" t="str">
        <f>INDEX(Master_Data!$C$152:$L$864,D22,7)</f>
        <v>-</v>
      </c>
      <c r="M22" s="140">
        <f>INDEX(Master_Data!$C$152:$L$864,D22,8)</f>
        <v>0</v>
      </c>
      <c r="N22" s="149"/>
      <c r="O22" s="144" t="e">
        <f t="shared" si="0"/>
        <v>#VALUE!</v>
      </c>
      <c r="Q22" s="169" t="str">
        <f t="shared" si="1"/>
        <v>HARMONI PANCA UTAMA, PTJAN</v>
      </c>
    </row>
    <row r="23" spans="2:19" s="61" customFormat="1" ht="14.1" customHeight="1">
      <c r="B23" s="242"/>
      <c r="C23" s="268">
        <f>MATCH($B$6,INDEX(Master_Data!$B$152:$B$864,D22+1,1):'Master_Data'!$B$864,0)</f>
        <v>86</v>
      </c>
      <c r="D23" s="268">
        <f t="shared" si="2"/>
        <v>167</v>
      </c>
      <c r="E23" s="54">
        <v>18</v>
      </c>
      <c r="F23" s="22" t="str">
        <f>INDEX(Master_Data!$C$152:$L$864,D23,2)</f>
        <v>HASTA PANCA MANDIRI UTAMA, PT</v>
      </c>
      <c r="G23" s="24" t="str">
        <f>INDEX(Master_Data!$C$152:$L$864,D23,3)</f>
        <v>M</v>
      </c>
      <c r="H23" s="24">
        <f>INDEX(Master_Data!$C$152:$L$864,D23,1)</f>
        <v>9</v>
      </c>
      <c r="I23" s="24">
        <f>INDEX(Master_Data!$C$152:$L$864,D23,4)</f>
        <v>0</v>
      </c>
      <c r="J23" s="24">
        <f>INDEX(Master_Data!$C$152:$L$864,D23,5)</f>
        <v>0</v>
      </c>
      <c r="K23" s="137" t="str">
        <f>INDEX(Master_Data!$C$152:$L$864,D23,6)</f>
        <v>17-001/BKU-004/I/179</v>
      </c>
      <c r="L23" s="140" t="str">
        <f>INDEX(Master_Data!$C$152:$L$864,D23,7)</f>
        <v>010.001-17.53957824</v>
      </c>
      <c r="M23" s="140">
        <f>INDEX(Master_Data!$C$152:$L$864,D23,8)</f>
        <v>0</v>
      </c>
      <c r="N23" s="149"/>
      <c r="O23" s="144" t="e">
        <f t="shared" si="0"/>
        <v>#VALUE!</v>
      </c>
      <c r="Q23" s="169" t="str">
        <f t="shared" si="1"/>
        <v>HASTA PANCA MANDIRI UTAMA, PTJAN</v>
      </c>
    </row>
    <row r="24" spans="2:19" s="61" customFormat="1" ht="14.1" customHeight="1">
      <c r="B24" s="242"/>
      <c r="C24" s="268">
        <f>MATCH($B$6,INDEX(Master_Data!$B$152:$B$864,D23+1,1):'Master_Data'!$B$864,0)</f>
        <v>1</v>
      </c>
      <c r="D24" s="268">
        <f t="shared" si="2"/>
        <v>168</v>
      </c>
      <c r="E24" s="24">
        <v>19</v>
      </c>
      <c r="F24" s="22" t="str">
        <f>INDEX(Master_Data!$C$152:$L$864,D24,2)</f>
        <v>HASTA PANCA MANDIRI UTAMA, PT</v>
      </c>
      <c r="G24" s="24" t="str">
        <f>INDEX(Master_Data!$C$152:$L$864,D24,3)</f>
        <v>V</v>
      </c>
      <c r="H24" s="24">
        <f>INDEX(Master_Data!$C$152:$L$864,D24,1)</f>
        <v>9</v>
      </c>
      <c r="I24" s="24">
        <f>INDEX(Master_Data!$C$152:$L$864,D24,4)</f>
        <v>0</v>
      </c>
      <c r="J24" s="24">
        <f>INDEX(Master_Data!$C$152:$L$864,D24,5)</f>
        <v>0</v>
      </c>
      <c r="K24" s="137" t="str">
        <f>INDEX(Master_Data!$C$152:$L$864,D24,6)</f>
        <v>17-002/BKU-004/I/179</v>
      </c>
      <c r="L24" s="140" t="str">
        <f>INDEX(Master_Data!$C$152:$L$864,D24,7)</f>
        <v>010.001-17.53957825</v>
      </c>
      <c r="M24" s="140">
        <f>INDEX(Master_Data!$C$152:$L$864,D24,8)</f>
        <v>0</v>
      </c>
      <c r="N24" s="149"/>
      <c r="O24" s="144" t="e">
        <f t="shared" si="0"/>
        <v>#VALUE!</v>
      </c>
      <c r="Q24" s="169" t="str">
        <f t="shared" si="1"/>
        <v>HASTA PANCA MANDIRI UTAMA, PTJAN</v>
      </c>
    </row>
    <row r="25" spans="2:19" s="61" customFormat="1" ht="14.1" customHeight="1">
      <c r="B25" s="242"/>
      <c r="C25" s="268">
        <f>MATCH($B$6,INDEX(Master_Data!$B$152:$B$864,D24+1,1):'Master_Data'!$B$864,0)</f>
        <v>1</v>
      </c>
      <c r="D25" s="268">
        <f t="shared" si="2"/>
        <v>169</v>
      </c>
      <c r="E25" s="54">
        <v>20</v>
      </c>
      <c r="F25" s="22" t="str">
        <f>INDEX(Master_Data!$C$152:$L$864,D25,2)</f>
        <v>HASTA PANCA MANDIRI UTAMA, PT</v>
      </c>
      <c r="G25" s="24" t="str">
        <f>INDEX(Master_Data!$C$152:$L$864,D25,3)</f>
        <v>V</v>
      </c>
      <c r="H25" s="24">
        <f>INDEX(Master_Data!$C$152:$L$864,D25,1)</f>
        <v>9</v>
      </c>
      <c r="I25" s="24">
        <f>INDEX(Master_Data!$C$152:$L$864,D25,4)</f>
        <v>0</v>
      </c>
      <c r="J25" s="24">
        <f>INDEX(Master_Data!$C$152:$L$864,D25,5)</f>
        <v>0</v>
      </c>
      <c r="K25" s="137" t="str">
        <f>INDEX(Master_Data!$C$152:$L$864,D25,6)</f>
        <v>17-003/BKU-004/I/179</v>
      </c>
      <c r="L25" s="140" t="str">
        <f>INDEX(Master_Data!$C$152:$L$864,D25,7)</f>
        <v>010.001-17.53957826</v>
      </c>
      <c r="M25" s="140">
        <f>INDEX(Master_Data!$C$152:$L$864,D25,8)</f>
        <v>0</v>
      </c>
      <c r="N25" s="149"/>
      <c r="O25" s="144" t="e">
        <f t="shared" si="0"/>
        <v>#VALUE!</v>
      </c>
      <c r="Q25" s="169" t="str">
        <f t="shared" si="1"/>
        <v>HASTA PANCA MANDIRI UTAMA, PTJAN</v>
      </c>
    </row>
    <row r="26" spans="2:19" s="61" customFormat="1" ht="14.1" customHeight="1">
      <c r="B26" s="242"/>
      <c r="C26" s="268">
        <f>MATCH($B$6,INDEX(Master_Data!$B$152:$B$864,D25+1,1):'Master_Data'!$B$864,0)</f>
        <v>1</v>
      </c>
      <c r="D26" s="268">
        <f t="shared" si="2"/>
        <v>170</v>
      </c>
      <c r="E26" s="24">
        <v>21</v>
      </c>
      <c r="F26" s="22" t="str">
        <f>INDEX(Master_Data!$C$152:$L$864,D26,2)</f>
        <v>HASTA PANCA MANDIRI UTAMA, PT</v>
      </c>
      <c r="G26" s="24" t="str">
        <f>INDEX(Master_Data!$C$152:$L$864,D26,3)</f>
        <v>V</v>
      </c>
      <c r="H26" s="24">
        <f>INDEX(Master_Data!$C$152:$L$864,D26,1)</f>
        <v>9</v>
      </c>
      <c r="I26" s="24">
        <f>INDEX(Master_Data!$C$152:$L$864,D26,4)</f>
        <v>0</v>
      </c>
      <c r="J26" s="24">
        <f>INDEX(Master_Data!$C$152:$L$864,D26,5)</f>
        <v>0</v>
      </c>
      <c r="K26" s="137" t="str">
        <f>INDEX(Master_Data!$C$152:$L$864,D26,6)</f>
        <v>17-004/BKU-004/I/179</v>
      </c>
      <c r="L26" s="140" t="str">
        <f>INDEX(Master_Data!$C$152:$L$864,D26,7)</f>
        <v>010.001-17.53957827</v>
      </c>
      <c r="M26" s="140">
        <f>INDEX(Master_Data!$C$152:$L$864,D26,8)</f>
        <v>0</v>
      </c>
      <c r="N26" s="149"/>
      <c r="O26" s="144" t="e">
        <f t="shared" si="0"/>
        <v>#VALUE!</v>
      </c>
      <c r="Q26" s="169" t="str">
        <f t="shared" si="1"/>
        <v>HASTA PANCA MANDIRI UTAMA, PTJAN</v>
      </c>
    </row>
    <row r="27" spans="2:19" s="61" customFormat="1" ht="14.1" customHeight="1">
      <c r="B27" s="242"/>
      <c r="C27" s="268">
        <f>MATCH($B$6,INDEX(Master_Data!$B$152:$B$864,D26+1,1):'Master_Data'!$B$864,0)</f>
        <v>38</v>
      </c>
      <c r="D27" s="268">
        <f t="shared" si="2"/>
        <v>208</v>
      </c>
      <c r="E27" s="54">
        <v>22</v>
      </c>
      <c r="F27" s="22" t="str">
        <f>INDEX(Master_Data!$C$152:$L$864,D27,2)</f>
        <v>HUTAN KETAPANG INDUSTRI, PT</v>
      </c>
      <c r="G27" s="24" t="str">
        <f>INDEX(Master_Data!$C$152:$L$864,D27,3)</f>
        <v>V</v>
      </c>
      <c r="H27" s="24">
        <f>INDEX(Master_Data!$C$152:$L$864,D27,1)</f>
        <v>9</v>
      </c>
      <c r="I27" s="24">
        <f>INDEX(Master_Data!$C$152:$L$864,D27,4)</f>
        <v>0</v>
      </c>
      <c r="J27" s="24">
        <f>INDEX(Master_Data!$C$152:$L$864,D27,5)</f>
        <v>0</v>
      </c>
      <c r="K27" s="137" t="str">
        <f>INDEX(Master_Data!$C$152:$L$864,D27,6)</f>
        <v>17-001/BKU-004/I/204</v>
      </c>
      <c r="L27" s="140" t="str">
        <f>INDEX(Master_Data!$C$152:$L$864,D27,7)</f>
        <v>010.001-17.53957829</v>
      </c>
      <c r="M27" s="140">
        <f>INDEX(Master_Data!$C$152:$L$864,D27,8)</f>
        <v>0</v>
      </c>
      <c r="N27" s="149"/>
      <c r="O27" s="144" t="e">
        <f t="shared" si="0"/>
        <v>#VALUE!</v>
      </c>
      <c r="Q27" s="169" t="str">
        <f t="shared" si="1"/>
        <v>HUTAN KETAPANG INDUSTRI, PTJAN</v>
      </c>
    </row>
    <row r="28" spans="2:19" s="61" customFormat="1" ht="14.1" customHeight="1">
      <c r="B28" s="242"/>
      <c r="C28" s="268">
        <f>MATCH($B$6,INDEX(Master_Data!$B$152:$B$864,D27+1,1):'Master_Data'!$B$864,0)</f>
        <v>1</v>
      </c>
      <c r="D28" s="268">
        <f t="shared" si="2"/>
        <v>209</v>
      </c>
      <c r="E28" s="24">
        <v>23</v>
      </c>
      <c r="F28" s="22" t="str">
        <f>INDEX(Master_Data!$C$152:$L$864,D28,2)</f>
        <v>HUTAN KETAPANG INDUSTRI, PT</v>
      </c>
      <c r="G28" s="24" t="str">
        <f>INDEX(Master_Data!$C$152:$L$864,D28,3)</f>
        <v>V</v>
      </c>
      <c r="H28" s="24">
        <f>INDEX(Master_Data!$C$152:$L$864,D28,1)</f>
        <v>9</v>
      </c>
      <c r="I28" s="24">
        <f>INDEX(Master_Data!$C$152:$L$864,D28,4)</f>
        <v>0</v>
      </c>
      <c r="J28" s="24">
        <f>INDEX(Master_Data!$C$152:$L$864,D28,5)</f>
        <v>0</v>
      </c>
      <c r="K28" s="137" t="str">
        <f>INDEX(Master_Data!$C$152:$L$864,D28,6)</f>
        <v>17-002/BKU-004/I/204</v>
      </c>
      <c r="L28" s="140" t="str">
        <f>INDEX(Master_Data!$C$152:$L$864,D28,7)</f>
        <v>010.001-17.53957830</v>
      </c>
      <c r="M28" s="140">
        <f>INDEX(Master_Data!$C$152:$L$864,D28,8)</f>
        <v>0</v>
      </c>
      <c r="N28" s="149"/>
      <c r="O28" s="144" t="e">
        <f t="shared" si="0"/>
        <v>#VALUE!</v>
      </c>
      <c r="Q28" s="169" t="str">
        <f t="shared" si="1"/>
        <v>HUTAN KETAPANG INDUSTRI, PTJAN</v>
      </c>
    </row>
    <row r="29" spans="2:19" s="61" customFormat="1" ht="14.1" customHeight="1">
      <c r="B29" s="242"/>
      <c r="C29" s="268">
        <f>MATCH($B$6,INDEX(Master_Data!$B$152:$B$864,D28+1,1):'Master_Data'!$B$864,0)</f>
        <v>1</v>
      </c>
      <c r="D29" s="268">
        <f t="shared" si="2"/>
        <v>210</v>
      </c>
      <c r="E29" s="54">
        <v>24</v>
      </c>
      <c r="F29" s="22" t="str">
        <f>INDEX(Master_Data!$C$152:$L$864,D29,2)</f>
        <v>HUTAN KETAPANG INDUSTRI, PT</v>
      </c>
      <c r="G29" s="24" t="str">
        <f>INDEX(Master_Data!$C$152:$L$864,D29,3)</f>
        <v>V</v>
      </c>
      <c r="H29" s="24">
        <f>INDEX(Master_Data!$C$152:$L$864,D29,1)</f>
        <v>9</v>
      </c>
      <c r="I29" s="24">
        <f>INDEX(Master_Data!$C$152:$L$864,D29,4)</f>
        <v>0</v>
      </c>
      <c r="J29" s="24">
        <f>INDEX(Master_Data!$C$152:$L$864,D29,5)</f>
        <v>0</v>
      </c>
      <c r="K29" s="137" t="str">
        <f>INDEX(Master_Data!$C$152:$L$864,D29,6)</f>
        <v>17-003/BKU-004/I/204</v>
      </c>
      <c r="L29" s="140" t="str">
        <f>INDEX(Master_Data!$C$152:$L$864,D29,7)</f>
        <v>010.001-17.53957831</v>
      </c>
      <c r="M29" s="140">
        <f>INDEX(Master_Data!$C$152:$L$864,D29,8)</f>
        <v>0</v>
      </c>
      <c r="N29" s="149"/>
      <c r="O29" s="144" t="e">
        <f t="shared" si="0"/>
        <v>#VALUE!</v>
      </c>
      <c r="Q29" s="169" t="str">
        <f t="shared" si="1"/>
        <v>HUTAN KETAPANG INDUSTRI, PTJAN</v>
      </c>
    </row>
    <row r="30" spans="2:19" s="61" customFormat="1" ht="14.1" customHeight="1">
      <c r="B30" s="242"/>
      <c r="C30" s="268">
        <f>MATCH($B$6,INDEX(Master_Data!$B$152:$B$864,D29+1,1):'Master_Data'!$B$864,0)</f>
        <v>1</v>
      </c>
      <c r="D30" s="268">
        <f t="shared" si="2"/>
        <v>211</v>
      </c>
      <c r="E30" s="24">
        <v>25</v>
      </c>
      <c r="F30" s="22" t="str">
        <f>INDEX(Master_Data!$C$152:$L$864,D30,2)</f>
        <v>HUTAN KETAPANG INDUSTRI, PT</v>
      </c>
      <c r="G30" s="24" t="str">
        <f>INDEX(Master_Data!$C$152:$L$864,D30,3)</f>
        <v>V</v>
      </c>
      <c r="H30" s="24">
        <f>INDEX(Master_Data!$C$152:$L$864,D30,1)</f>
        <v>9</v>
      </c>
      <c r="I30" s="24">
        <f>INDEX(Master_Data!$C$152:$L$864,D30,4)</f>
        <v>0</v>
      </c>
      <c r="J30" s="24">
        <f>INDEX(Master_Data!$C$152:$L$864,D30,5)</f>
        <v>0</v>
      </c>
      <c r="K30" s="137" t="str">
        <f>INDEX(Master_Data!$C$152:$L$864,D30,6)</f>
        <v>17-004/BKU-004/I/204</v>
      </c>
      <c r="L30" s="140" t="str">
        <f>INDEX(Master_Data!$C$152:$L$864,D30,7)</f>
        <v>010.001-17.53957832</v>
      </c>
      <c r="M30" s="140">
        <f>INDEX(Master_Data!$C$152:$L$864,D30,8)</f>
        <v>0</v>
      </c>
      <c r="N30" s="149"/>
      <c r="O30" s="144" t="e">
        <f t="shared" si="0"/>
        <v>#VALUE!</v>
      </c>
      <c r="Q30" s="169" t="str">
        <f t="shared" si="1"/>
        <v>HUTAN KETAPANG INDUSTRI, PTJAN</v>
      </c>
    </row>
    <row r="31" spans="2:19" s="61" customFormat="1" ht="14.1" customHeight="1">
      <c r="B31" s="242"/>
      <c r="C31" s="268">
        <f>MATCH($B$6,INDEX(Master_Data!$B$152:$B$864,D30+1,1):'Master_Data'!$B$864,0)</f>
        <v>50</v>
      </c>
      <c r="D31" s="268">
        <f t="shared" si="2"/>
        <v>261</v>
      </c>
      <c r="E31" s="54">
        <v>26</v>
      </c>
      <c r="F31" s="22" t="str">
        <f>INDEX(Master_Data!$C$152:$L$864,D31,2)</f>
        <v>KALIMANTAN PRIMA PERSADA, PT</v>
      </c>
      <c r="G31" s="24" t="str">
        <f>INDEX(Master_Data!$C$152:$L$864,D31,3)</f>
        <v>W</v>
      </c>
      <c r="H31" s="24">
        <f>INDEX(Master_Data!$C$152:$L$864,D31,1)</f>
        <v>9</v>
      </c>
      <c r="I31" s="24">
        <f>INDEX(Master_Data!$C$152:$L$864,D31,4)</f>
        <v>0</v>
      </c>
      <c r="J31" s="24">
        <f>INDEX(Master_Data!$C$152:$L$864,D31,5)</f>
        <v>0</v>
      </c>
      <c r="K31" s="137" t="str">
        <f>INDEX(Master_Data!$C$152:$L$864,D31,6)</f>
        <v>17-001/BKU-004/I/208</v>
      </c>
      <c r="L31" s="140" t="str">
        <f>INDEX(Master_Data!$C$152:$L$864,D31,7)</f>
        <v>010.001-17.53957841</v>
      </c>
      <c r="M31" s="140">
        <f>INDEX(Master_Data!$C$152:$L$864,D31,8)</f>
        <v>0</v>
      </c>
      <c r="N31" s="149"/>
      <c r="O31" s="144" t="e">
        <f t="shared" si="0"/>
        <v>#VALUE!</v>
      </c>
      <c r="Q31" s="169" t="str">
        <f t="shared" si="1"/>
        <v>KALIMANTAN PRIMA PERSADA, PTJAN</v>
      </c>
    </row>
    <row r="32" spans="2:19" s="61" customFormat="1" ht="14.1" customHeight="1">
      <c r="B32" s="242"/>
      <c r="C32" s="268">
        <f>MATCH($B$6,INDEX(Master_Data!$B$152:$B$864,D31+1,1):'Master_Data'!$B$864,0)</f>
        <v>22</v>
      </c>
      <c r="D32" s="268">
        <f t="shared" si="2"/>
        <v>283</v>
      </c>
      <c r="E32" s="24">
        <v>27</v>
      </c>
      <c r="F32" s="22" t="str">
        <f>INDEX(Master_Data!$C$152:$L$864,D32,2)</f>
        <v>KUSUMA MENTARI MAKMUR, PT</v>
      </c>
      <c r="G32" s="24" t="str">
        <f>INDEX(Master_Data!$C$152:$L$864,D32,3)</f>
        <v>V</v>
      </c>
      <c r="H32" s="24">
        <f>INDEX(Master_Data!$C$152:$L$864,D32,1)</f>
        <v>9</v>
      </c>
      <c r="I32" s="24">
        <f>INDEX(Master_Data!$C$152:$L$864,D32,4)</f>
        <v>0</v>
      </c>
      <c r="J32" s="24">
        <f>INDEX(Master_Data!$C$152:$L$864,D32,5)</f>
        <v>0</v>
      </c>
      <c r="K32" s="137" t="str">
        <f>INDEX(Master_Data!$C$152:$L$864,D32,6)</f>
        <v>17-001/BKU-004/I/224</v>
      </c>
      <c r="L32" s="140" t="str">
        <f>INDEX(Master_Data!$C$152:$L$864,D32,7)</f>
        <v>010.001-17.53957833</v>
      </c>
      <c r="M32" s="140">
        <f>INDEX(Master_Data!$C$152:$L$864,D32,8)</f>
        <v>0</v>
      </c>
      <c r="N32" s="149"/>
      <c r="O32" s="144" t="e">
        <f t="shared" si="0"/>
        <v>#VALUE!</v>
      </c>
      <c r="Q32" s="169" t="str">
        <f t="shared" si="1"/>
        <v>KUSUMA MENTARI MAKMUR, PTJAN</v>
      </c>
      <c r="S32" s="203"/>
    </row>
    <row r="33" spans="2:17" s="61" customFormat="1" ht="14.1" customHeight="1">
      <c r="B33" s="242"/>
      <c r="C33" s="268">
        <f>MATCH($B$6,INDEX(Master_Data!$B$152:$B$864,D32+1,1):'Master_Data'!$B$864,0)</f>
        <v>14</v>
      </c>
      <c r="D33" s="268">
        <f t="shared" si="2"/>
        <v>297</v>
      </c>
      <c r="E33" s="54">
        <v>28</v>
      </c>
      <c r="F33" s="22" t="str">
        <f>INDEX(Master_Data!$C$152:$L$864,D33,2)</f>
        <v>LANANG AGRO BERSATU, PT</v>
      </c>
      <c r="G33" s="24" t="str">
        <f>INDEX(Master_Data!$C$152:$L$864,D33,3)</f>
        <v>V</v>
      </c>
      <c r="H33" s="24">
        <f>INDEX(Master_Data!$C$152:$L$864,D33,1)</f>
        <v>9</v>
      </c>
      <c r="I33" s="24">
        <f>INDEX(Master_Data!$C$152:$L$864,D33,4)</f>
        <v>0</v>
      </c>
      <c r="J33" s="24">
        <f>INDEX(Master_Data!$C$152:$L$864,D33,5)</f>
        <v>0</v>
      </c>
      <c r="K33" s="137" t="str">
        <f>INDEX(Master_Data!$C$152:$L$864,D33,6)</f>
        <v>17-001/BKU-004/I/210</v>
      </c>
      <c r="L33" s="140" t="str">
        <f>INDEX(Master_Data!$C$152:$L$864,D33,7)</f>
        <v>010.001-17.53957834</v>
      </c>
      <c r="M33" s="140">
        <f>INDEX(Master_Data!$C$152:$L$864,D33,8)</f>
        <v>0</v>
      </c>
      <c r="N33" s="149"/>
      <c r="O33" s="144" t="e">
        <f t="shared" si="0"/>
        <v>#VALUE!</v>
      </c>
      <c r="Q33" s="169" t="str">
        <f t="shared" si="1"/>
        <v>LANANG AGRO BERSATU, PTJAN</v>
      </c>
    </row>
    <row r="34" spans="2:17" s="61" customFormat="1" ht="14.1" customHeight="1">
      <c r="B34" s="242"/>
      <c r="C34" s="268">
        <f>MATCH($B$6,INDEX(Master_Data!$B$152:$B$864,D33+1,1):'Master_Data'!$B$864,0)</f>
        <v>1</v>
      </c>
      <c r="D34" s="268">
        <f t="shared" si="2"/>
        <v>298</v>
      </c>
      <c r="E34" s="24">
        <v>29</v>
      </c>
      <c r="F34" s="22" t="str">
        <f>INDEX(Master_Data!$C$152:$L$864,D34,2)</f>
        <v>LANANG AGRO BERSATU, PT</v>
      </c>
      <c r="G34" s="24" t="str">
        <f>INDEX(Master_Data!$C$152:$L$864,D34,3)</f>
        <v>V</v>
      </c>
      <c r="H34" s="24">
        <f>INDEX(Master_Data!$C$152:$L$864,D34,1)</f>
        <v>9</v>
      </c>
      <c r="I34" s="24">
        <f>INDEX(Master_Data!$C$152:$L$864,D34,4)</f>
        <v>0</v>
      </c>
      <c r="J34" s="24">
        <f>INDEX(Master_Data!$C$152:$L$864,D34,5)</f>
        <v>0</v>
      </c>
      <c r="K34" s="137" t="str">
        <f>INDEX(Master_Data!$C$152:$L$864,D34,6)</f>
        <v>17-002/BKU-004/I/210</v>
      </c>
      <c r="L34" s="140" t="str">
        <f>INDEX(Master_Data!$C$152:$L$864,D34,7)</f>
        <v>010.001-17.53957835</v>
      </c>
      <c r="M34" s="140">
        <f>INDEX(Master_Data!$C$152:$L$864,D34,8)</f>
        <v>0</v>
      </c>
      <c r="N34" s="149"/>
      <c r="O34" s="144" t="e">
        <f t="shared" si="0"/>
        <v>#VALUE!</v>
      </c>
      <c r="Q34" s="169" t="str">
        <f t="shared" si="1"/>
        <v>LANANG AGRO BERSATU, PTJAN</v>
      </c>
    </row>
    <row r="35" spans="2:17" s="61" customFormat="1" ht="14.1" customHeight="1">
      <c r="B35" s="242"/>
      <c r="C35" s="268">
        <f>MATCH($B$6,INDEX(Master_Data!$B$152:$B$864,D34+1,1):'Master_Data'!$B$864,0)</f>
        <v>23</v>
      </c>
      <c r="D35" s="268">
        <f t="shared" si="2"/>
        <v>321</v>
      </c>
      <c r="E35" s="54">
        <v>30</v>
      </c>
      <c r="F35" s="22" t="str">
        <f>INDEX(Master_Data!$C$152:$L$864,D35,2)</f>
        <v>MADHANI TALATAH NUSANTARA, PT</v>
      </c>
      <c r="G35" s="24" t="str">
        <f>INDEX(Master_Data!$C$152:$L$864,D35,3)</f>
        <v>V</v>
      </c>
      <c r="H35" s="24">
        <f>INDEX(Master_Data!$C$152:$L$864,D35,1)</f>
        <v>12</v>
      </c>
      <c r="I35" s="24">
        <f>INDEX(Master_Data!$C$152:$L$864,D35,4)</f>
        <v>0</v>
      </c>
      <c r="J35" s="24">
        <f>INDEX(Master_Data!$C$152:$L$864,D35,5)</f>
        <v>0</v>
      </c>
      <c r="K35" s="137" t="str">
        <f>INDEX(Master_Data!$C$152:$L$864,D35,6)</f>
        <v>17-001/BKU-004/I/057</v>
      </c>
      <c r="L35" s="140" t="str">
        <f>INDEX(Master_Data!$C$152:$L$864,D35,7)</f>
        <v>010.001-17.53957848</v>
      </c>
      <c r="M35" s="140">
        <f>INDEX(Master_Data!$C$152:$L$864,D35,8)</f>
        <v>0</v>
      </c>
      <c r="N35" s="149"/>
      <c r="O35" s="144" t="e">
        <f t="shared" si="0"/>
        <v>#VALUE!</v>
      </c>
      <c r="Q35" s="169" t="str">
        <f t="shared" si="1"/>
        <v>MADHANI TALATAH NUSANTARA, PTJAN</v>
      </c>
    </row>
    <row r="36" spans="2:17" s="61" customFormat="1" ht="14.1" customHeight="1">
      <c r="B36" s="242"/>
      <c r="C36" s="268">
        <f>MATCH($B$6,INDEX(Master_Data!$B$152:$B$864,D35+1,1):'Master_Data'!$B$864,0)</f>
        <v>1</v>
      </c>
      <c r="D36" s="268">
        <f t="shared" si="2"/>
        <v>322</v>
      </c>
      <c r="E36" s="24">
        <v>31</v>
      </c>
      <c r="F36" s="22" t="str">
        <f>INDEX(Master_Data!$C$152:$L$864,D36,2)</f>
        <v>MADHANI TALATAH NUSANTARA, PT</v>
      </c>
      <c r="G36" s="24" t="str">
        <f>INDEX(Master_Data!$C$152:$L$864,D36,3)</f>
        <v>V</v>
      </c>
      <c r="H36" s="24">
        <f>INDEX(Master_Data!$C$152:$L$864,D36,1)</f>
        <v>12</v>
      </c>
      <c r="I36" s="24">
        <f>INDEX(Master_Data!$C$152:$L$864,D36,4)</f>
        <v>0</v>
      </c>
      <c r="J36" s="24">
        <f>INDEX(Master_Data!$C$152:$L$864,D36,5)</f>
        <v>0</v>
      </c>
      <c r="K36" s="137" t="str">
        <f>INDEX(Master_Data!$C$152:$L$864,D36,6)</f>
        <v>17-002/BKU-004/I/057</v>
      </c>
      <c r="L36" s="140" t="str">
        <f>INDEX(Master_Data!$C$152:$L$864,D36,7)</f>
        <v>010.001-17.53957849</v>
      </c>
      <c r="M36" s="140">
        <f>INDEX(Master_Data!$C$152:$L$864,D36,8)</f>
        <v>0</v>
      </c>
      <c r="N36" s="149"/>
      <c r="O36" s="144" t="e">
        <f t="shared" si="0"/>
        <v>#VALUE!</v>
      </c>
      <c r="Q36" s="169" t="str">
        <f t="shared" si="1"/>
        <v>MADHANI TALATAH NUSANTARA, PTJAN</v>
      </c>
    </row>
    <row r="37" spans="2:17" s="61" customFormat="1" ht="14.1" customHeight="1">
      <c r="B37" s="242"/>
      <c r="C37" s="268">
        <f>MATCH($B$6,INDEX(Master_Data!$B$152:$B$864,D36+1,1):'Master_Data'!$B$864,0)</f>
        <v>1</v>
      </c>
      <c r="D37" s="268">
        <f t="shared" si="2"/>
        <v>323</v>
      </c>
      <c r="E37" s="54">
        <v>32</v>
      </c>
      <c r="F37" s="22" t="str">
        <f>INDEX(Master_Data!$C$152:$L$864,D37,2)</f>
        <v>MADHANI TALATAH NUSANTARA, PT</v>
      </c>
      <c r="G37" s="24" t="str">
        <f>INDEX(Master_Data!$C$152:$L$864,D37,3)</f>
        <v>V</v>
      </c>
      <c r="H37" s="24">
        <f>INDEX(Master_Data!$C$152:$L$864,D37,1)</f>
        <v>12</v>
      </c>
      <c r="I37" s="24">
        <f>INDEX(Master_Data!$C$152:$L$864,D37,4)</f>
        <v>0</v>
      </c>
      <c r="J37" s="24">
        <f>INDEX(Master_Data!$C$152:$L$864,D37,5)</f>
        <v>0</v>
      </c>
      <c r="K37" s="137" t="str">
        <f>INDEX(Master_Data!$C$152:$L$864,D37,6)</f>
        <v>17-003/BKU-004/I/057</v>
      </c>
      <c r="L37" s="140" t="str">
        <f>INDEX(Master_Data!$C$152:$L$864,D37,7)</f>
        <v>010.001-17.53957850</v>
      </c>
      <c r="M37" s="140">
        <f>INDEX(Master_Data!$C$152:$L$864,D37,8)</f>
        <v>0</v>
      </c>
      <c r="N37" s="149"/>
      <c r="O37" s="144" t="e">
        <f t="shared" si="0"/>
        <v>#VALUE!</v>
      </c>
      <c r="Q37" s="169" t="str">
        <f t="shared" si="1"/>
        <v>MADHANI TALATAH NUSANTARA, PTJAN</v>
      </c>
    </row>
    <row r="38" spans="2:17" s="61" customFormat="1" ht="14.1" customHeight="1">
      <c r="B38" s="242"/>
      <c r="C38" s="268">
        <f>MATCH($B$6,INDEX(Master_Data!$B$152:$B$864,D37+1,1):'Master_Data'!$B$864,0)</f>
        <v>1</v>
      </c>
      <c r="D38" s="268">
        <f t="shared" si="2"/>
        <v>324</v>
      </c>
      <c r="E38" s="24">
        <v>33</v>
      </c>
      <c r="F38" s="22" t="str">
        <f>INDEX(Master_Data!$C$152:$L$864,D38,2)</f>
        <v>MADHANI TALATAH NUSANTARA, PT</v>
      </c>
      <c r="G38" s="24" t="str">
        <f>INDEX(Master_Data!$C$152:$L$864,D38,3)</f>
        <v>W</v>
      </c>
      <c r="H38" s="24">
        <f>INDEX(Master_Data!$C$152:$L$864,D38,1)</f>
        <v>12</v>
      </c>
      <c r="I38" s="24">
        <f>INDEX(Master_Data!$C$152:$L$864,D38,4)</f>
        <v>0</v>
      </c>
      <c r="J38" s="24">
        <f>INDEX(Master_Data!$C$152:$L$864,D38,5)</f>
        <v>0</v>
      </c>
      <c r="K38" s="137" t="str">
        <f>INDEX(Master_Data!$C$152:$L$864,D38,6)</f>
        <v>17-004/BKU-004/I/057</v>
      </c>
      <c r="L38" s="140" t="str">
        <f>INDEX(Master_Data!$C$152:$L$864,D38,7)</f>
        <v>010.001-17.53957851</v>
      </c>
      <c r="M38" s="140">
        <f>INDEX(Master_Data!$C$152:$L$864,D38,8)</f>
        <v>0</v>
      </c>
      <c r="N38" s="149"/>
      <c r="O38" s="144" t="e">
        <f t="shared" si="0"/>
        <v>#VALUE!</v>
      </c>
      <c r="Q38" s="169" t="str">
        <f t="shared" ref="Q38:Q64" si="3">CONCATENATE(F38,$B$6)</f>
        <v>MADHANI TALATAH NUSANTARA, PTJAN</v>
      </c>
    </row>
    <row r="39" spans="2:17" s="61" customFormat="1" ht="14.1" customHeight="1">
      <c r="B39" s="242"/>
      <c r="C39" s="268">
        <f>MATCH($B$6,INDEX(Master_Data!$B$152:$B$864,D38+1,1):'Master_Data'!$B$864,0)</f>
        <v>1</v>
      </c>
      <c r="D39" s="268">
        <f t="shared" si="2"/>
        <v>325</v>
      </c>
      <c r="E39" s="54">
        <v>34</v>
      </c>
      <c r="F39" s="22" t="str">
        <f>INDEX(Master_Data!$C$152:$L$864,D39,2)</f>
        <v>MADHANI TALATAH NUSANTARA, PT</v>
      </c>
      <c r="G39" s="24" t="str">
        <f>INDEX(Master_Data!$C$152:$L$864,D39,3)</f>
        <v>W</v>
      </c>
      <c r="H39" s="24">
        <f>INDEX(Master_Data!$C$152:$L$864,D39,1)</f>
        <v>12</v>
      </c>
      <c r="I39" s="24">
        <f>INDEX(Master_Data!$C$152:$L$864,D39,4)</f>
        <v>0</v>
      </c>
      <c r="J39" s="24">
        <f>INDEX(Master_Data!$C$152:$L$864,D39,5)</f>
        <v>0</v>
      </c>
      <c r="K39" s="137" t="str">
        <f>INDEX(Master_Data!$C$152:$L$864,D39,6)</f>
        <v>17-005/BKU-004/I/057</v>
      </c>
      <c r="L39" s="140" t="str">
        <f>INDEX(Master_Data!$C$152:$L$864,D39,7)</f>
        <v>010.001-17.53957852</v>
      </c>
      <c r="M39" s="140">
        <f>INDEX(Master_Data!$C$152:$L$864,D39,8)</f>
        <v>0</v>
      </c>
      <c r="N39" s="149"/>
      <c r="O39" s="144" t="e">
        <f t="shared" si="0"/>
        <v>#VALUE!</v>
      </c>
      <c r="Q39" s="169" t="str">
        <f t="shared" si="3"/>
        <v>MADHANI TALATAH NUSANTARA, PTJAN</v>
      </c>
    </row>
    <row r="40" spans="2:17" s="61" customFormat="1" ht="14.1" customHeight="1">
      <c r="B40" s="242"/>
      <c r="C40" s="268">
        <f>MATCH($B$6,INDEX(Master_Data!$B$152:$B$864,D39+1,1):'Master_Data'!$B$864,0)</f>
        <v>1</v>
      </c>
      <c r="D40" s="268">
        <f t="shared" si="2"/>
        <v>326</v>
      </c>
      <c r="E40" s="24">
        <v>35</v>
      </c>
      <c r="F40" s="22" t="str">
        <f>INDEX(Master_Data!$C$152:$L$864,D40,2)</f>
        <v>MADHANI TALATAH NUSANTARA, PT</v>
      </c>
      <c r="G40" s="24" t="str">
        <f>INDEX(Master_Data!$C$152:$L$864,D40,3)</f>
        <v>W</v>
      </c>
      <c r="H40" s="24">
        <f>INDEX(Master_Data!$C$152:$L$864,D40,1)</f>
        <v>12</v>
      </c>
      <c r="I40" s="24">
        <f>INDEX(Master_Data!$C$152:$L$864,D40,4)</f>
        <v>0</v>
      </c>
      <c r="J40" s="24">
        <f>INDEX(Master_Data!$C$152:$L$864,D40,5)</f>
        <v>0</v>
      </c>
      <c r="K40" s="137" t="str">
        <f>INDEX(Master_Data!$C$152:$L$864,D40,6)</f>
        <v>17-006/BKU-004/I/057</v>
      </c>
      <c r="L40" s="140" t="str">
        <f>INDEX(Master_Data!$C$152:$L$864,D40,7)</f>
        <v>010.001-17.53957856</v>
      </c>
      <c r="M40" s="140">
        <f>INDEX(Master_Data!$C$152:$L$864,D40,8)</f>
        <v>0</v>
      </c>
      <c r="N40" s="149"/>
      <c r="O40" s="144" t="e">
        <f t="shared" si="0"/>
        <v>#VALUE!</v>
      </c>
      <c r="Q40" s="169" t="str">
        <f t="shared" si="3"/>
        <v>MADHANI TALATAH NUSANTARA, PTJAN</v>
      </c>
    </row>
    <row r="41" spans="2:17" s="61" customFormat="1" ht="14.1" customHeight="1">
      <c r="B41" s="242"/>
      <c r="C41" s="268">
        <f>MATCH($B$6,INDEX(Master_Data!$B$152:$B$864,D40+1,1):'Master_Data'!$B$864,0)</f>
        <v>1</v>
      </c>
      <c r="D41" s="268">
        <f t="shared" si="2"/>
        <v>327</v>
      </c>
      <c r="E41" s="54">
        <v>36</v>
      </c>
      <c r="F41" s="22" t="str">
        <f>INDEX(Master_Data!$C$152:$L$864,D41,2)</f>
        <v>MADHANI TALATAH NUSANTARA, PT</v>
      </c>
      <c r="G41" s="24" t="str">
        <f>INDEX(Master_Data!$C$152:$L$864,D41,3)</f>
        <v>W</v>
      </c>
      <c r="H41" s="24">
        <f>INDEX(Master_Data!$C$152:$L$864,D41,1)</f>
        <v>12</v>
      </c>
      <c r="I41" s="24">
        <f>INDEX(Master_Data!$C$152:$L$864,D41,4)</f>
        <v>0</v>
      </c>
      <c r="J41" s="24">
        <f>INDEX(Master_Data!$C$152:$L$864,D41,5)</f>
        <v>0</v>
      </c>
      <c r="K41" s="137" t="str">
        <f>INDEX(Master_Data!$C$152:$L$864,D41,6)</f>
        <v>17-007/BKU-004/I/057</v>
      </c>
      <c r="L41" s="140" t="str">
        <f>INDEX(Master_Data!$C$152:$L$864,D41,7)</f>
        <v>010.001-17.53957853</v>
      </c>
      <c r="M41" s="140">
        <f>INDEX(Master_Data!$C$152:$L$864,D41,8)</f>
        <v>0</v>
      </c>
      <c r="N41" s="149"/>
      <c r="O41" s="144" t="e">
        <f t="shared" si="0"/>
        <v>#VALUE!</v>
      </c>
      <c r="Q41" s="169" t="str">
        <f t="shared" si="3"/>
        <v>MADHANI TALATAH NUSANTARA, PTJAN</v>
      </c>
    </row>
    <row r="42" spans="2:17" s="61" customFormat="1" ht="14.1" customHeight="1">
      <c r="B42" s="242"/>
      <c r="C42" s="268">
        <f>MATCH($B$6,INDEX(Master_Data!$B$152:$B$864,D41+1,1):'Master_Data'!$B$864,0)</f>
        <v>1</v>
      </c>
      <c r="D42" s="268">
        <f t="shared" si="2"/>
        <v>328</v>
      </c>
      <c r="E42" s="24">
        <v>37</v>
      </c>
      <c r="F42" s="22" t="str">
        <f>INDEX(Master_Data!$C$152:$L$864,D42,2)</f>
        <v>MADHANI TALATAH NUSANTARA, PT</v>
      </c>
      <c r="G42" s="24" t="str">
        <f>INDEX(Master_Data!$C$152:$L$864,D42,3)</f>
        <v>W, G</v>
      </c>
      <c r="H42" s="24">
        <f>INDEX(Master_Data!$C$152:$L$864,D42,1)</f>
        <v>12</v>
      </c>
      <c r="I42" s="24">
        <f>INDEX(Master_Data!$C$152:$L$864,D42,4)</f>
        <v>0</v>
      </c>
      <c r="J42" s="24">
        <f>INDEX(Master_Data!$C$152:$L$864,D42,5)</f>
        <v>0</v>
      </c>
      <c r="K42" s="137" t="str">
        <f>INDEX(Master_Data!$C$152:$L$864,D42,6)</f>
        <v>17-008/BKU-004/I/057</v>
      </c>
      <c r="L42" s="140" t="str">
        <f>INDEX(Master_Data!$C$152:$L$864,D42,7)</f>
        <v>010.001-17.53957857</v>
      </c>
      <c r="M42" s="140">
        <f>INDEX(Master_Data!$C$152:$L$864,D42,8)</f>
        <v>0</v>
      </c>
      <c r="N42" s="149"/>
      <c r="O42" s="144" t="e">
        <f t="shared" si="0"/>
        <v>#VALUE!</v>
      </c>
      <c r="Q42" s="169" t="str">
        <f t="shared" si="3"/>
        <v>MADHANI TALATAH NUSANTARA, PTJAN</v>
      </c>
    </row>
    <row r="43" spans="2:17" s="61" customFormat="1" ht="14.1" customHeight="1">
      <c r="B43" s="242"/>
      <c r="C43" s="268">
        <f>MATCH($B$6,INDEX(Master_Data!$B$152:$B$864,D42+1,1):'Master_Data'!$B$864,0)</f>
        <v>1</v>
      </c>
      <c r="D43" s="268">
        <f t="shared" si="2"/>
        <v>329</v>
      </c>
      <c r="E43" s="54">
        <v>38</v>
      </c>
      <c r="F43" s="22" t="str">
        <f>INDEX(Master_Data!$C$152:$L$864,D43,2)</f>
        <v>MADHANI TALATAH NUSANTARA, PT</v>
      </c>
      <c r="G43" s="24" t="str">
        <f>INDEX(Master_Data!$C$152:$L$864,D43,3)</f>
        <v>I</v>
      </c>
      <c r="H43" s="24">
        <f>INDEX(Master_Data!$C$152:$L$864,D43,1)</f>
        <v>12</v>
      </c>
      <c r="I43" s="24">
        <f>INDEX(Master_Data!$C$152:$L$864,D43,4)</f>
        <v>0</v>
      </c>
      <c r="J43" s="24">
        <f>INDEX(Master_Data!$C$152:$L$864,D43,5)</f>
        <v>0</v>
      </c>
      <c r="K43" s="137" t="str">
        <f>INDEX(Master_Data!$C$152:$L$864,D43,6)</f>
        <v>17-009/BKU-004/I/057</v>
      </c>
      <c r="L43" s="140" t="str">
        <f>INDEX(Master_Data!$C$152:$L$864,D43,7)</f>
        <v>010.001-17.53957854</v>
      </c>
      <c r="M43" s="140">
        <f>INDEX(Master_Data!$C$152:$L$864,D43,8)</f>
        <v>0</v>
      </c>
      <c r="N43" s="149"/>
      <c r="O43" s="144" t="e">
        <f t="shared" si="0"/>
        <v>#VALUE!</v>
      </c>
      <c r="Q43" s="169" t="str">
        <f t="shared" si="3"/>
        <v>MADHANI TALATAH NUSANTARA, PTJAN</v>
      </c>
    </row>
    <row r="44" spans="2:17" s="61" customFormat="1" ht="14.1" customHeight="1">
      <c r="B44" s="242"/>
      <c r="C44" s="268">
        <f>MATCH($B$6,INDEX(Master_Data!$B$152:$B$864,D43+1,1):'Master_Data'!$B$864,0)</f>
        <v>1</v>
      </c>
      <c r="D44" s="268">
        <f t="shared" si="2"/>
        <v>330</v>
      </c>
      <c r="E44" s="24">
        <v>39</v>
      </c>
      <c r="F44" s="22" t="str">
        <f>INDEX(Master_Data!$C$152:$L$864,D44,2)</f>
        <v>MADHANI TALATAH NUSANTARA, PT</v>
      </c>
      <c r="G44" s="24" t="str">
        <f>INDEX(Master_Data!$C$152:$L$864,D44,3)</f>
        <v>L</v>
      </c>
      <c r="H44" s="24">
        <f>INDEX(Master_Data!$C$152:$L$864,D44,1)</f>
        <v>12</v>
      </c>
      <c r="I44" s="24">
        <f>INDEX(Master_Data!$C$152:$L$864,D44,4)</f>
        <v>0</v>
      </c>
      <c r="J44" s="24">
        <f>INDEX(Master_Data!$C$152:$L$864,D44,5)</f>
        <v>0</v>
      </c>
      <c r="K44" s="137" t="str">
        <f>INDEX(Master_Data!$C$152:$L$864,D44,6)</f>
        <v>17-010/BKU-004/I/057</v>
      </c>
      <c r="L44" s="140" t="str">
        <f>INDEX(Master_Data!$C$152:$L$864,D44,7)</f>
        <v>-</v>
      </c>
      <c r="M44" s="140">
        <f>INDEX(Master_Data!$C$152:$L$864,D44,8)</f>
        <v>0</v>
      </c>
      <c r="N44" s="149"/>
      <c r="O44" s="144" t="e">
        <f t="shared" si="0"/>
        <v>#VALUE!</v>
      </c>
      <c r="Q44" s="169" t="str">
        <f t="shared" si="3"/>
        <v>MADHANI TALATAH NUSANTARA, PTJAN</v>
      </c>
    </row>
    <row r="45" spans="2:17" s="61" customFormat="1" ht="14.1" customHeight="1">
      <c r="B45" s="242"/>
      <c r="C45" s="268">
        <f>MATCH($B$6,INDEX(Master_Data!$B$152:$B$864,D44+1,1):'Master_Data'!$B$864,0)</f>
        <v>1</v>
      </c>
      <c r="D45" s="268">
        <f t="shared" si="2"/>
        <v>331</v>
      </c>
      <c r="E45" s="54">
        <v>40</v>
      </c>
      <c r="F45" s="22" t="str">
        <f>INDEX(Master_Data!$C$152:$L$864,D45,2)</f>
        <v>MADHANI TALATAH NUSANTARA, PT</v>
      </c>
      <c r="G45" s="24" t="str">
        <f>INDEX(Master_Data!$C$152:$L$864,D45,3)</f>
        <v>O</v>
      </c>
      <c r="H45" s="24">
        <f>INDEX(Master_Data!$C$152:$L$864,D45,1)</f>
        <v>12</v>
      </c>
      <c r="I45" s="24">
        <f>INDEX(Master_Data!$C$152:$L$864,D45,4)</f>
        <v>0</v>
      </c>
      <c r="J45" s="24">
        <f>INDEX(Master_Data!$C$152:$L$864,D45,5)</f>
        <v>0</v>
      </c>
      <c r="K45" s="137" t="str">
        <f>INDEX(Master_Data!$C$152:$L$864,D45,6)</f>
        <v>17-011/BKU-004/I/057</v>
      </c>
      <c r="L45" s="140" t="str">
        <f>INDEX(Master_Data!$C$152:$L$864,D45,7)</f>
        <v>010.001-17.53957855</v>
      </c>
      <c r="M45" s="140">
        <f>INDEX(Master_Data!$C$152:$L$864,D45,8)</f>
        <v>0</v>
      </c>
      <c r="N45" s="149"/>
      <c r="O45" s="144" t="e">
        <f t="shared" si="0"/>
        <v>#VALUE!</v>
      </c>
      <c r="Q45" s="169" t="str">
        <f t="shared" si="3"/>
        <v>MADHANI TALATAH NUSANTARA, PTJAN</v>
      </c>
    </row>
    <row r="46" spans="2:17" s="61" customFormat="1" ht="14.1" customHeight="1">
      <c r="B46" s="242"/>
      <c r="C46" s="268">
        <f>MATCH($B$6,INDEX(Master_Data!$B$152:$B$864,D45+1,1):'Master_Data'!$B$864,0)</f>
        <v>1</v>
      </c>
      <c r="D46" s="268">
        <f t="shared" si="2"/>
        <v>332</v>
      </c>
      <c r="E46" s="24">
        <v>41</v>
      </c>
      <c r="F46" s="22" t="str">
        <f>INDEX(Master_Data!$C$152:$L$864,D46,2)</f>
        <v>MADHANI TALATAH NUSANTARA, PT</v>
      </c>
      <c r="G46" s="24" t="str">
        <f>INDEX(Master_Data!$C$152:$L$864,D46,3)</f>
        <v>L</v>
      </c>
      <c r="H46" s="24">
        <f>INDEX(Master_Data!$C$152:$L$864,D46,1)</f>
        <v>12</v>
      </c>
      <c r="I46" s="24">
        <f>INDEX(Master_Data!$C$152:$L$864,D46,4)</f>
        <v>0</v>
      </c>
      <c r="J46" s="24">
        <f>INDEX(Master_Data!$C$152:$L$864,D46,5)</f>
        <v>0</v>
      </c>
      <c r="K46" s="137" t="str">
        <f>INDEX(Master_Data!$C$152:$L$864,D46,6)</f>
        <v>17-012/BKU-004/I/057</v>
      </c>
      <c r="L46" s="140" t="str">
        <f>INDEX(Master_Data!$C$152:$L$864,D46,7)</f>
        <v>-</v>
      </c>
      <c r="M46" s="140">
        <f>INDEX(Master_Data!$C$152:$L$864,D46,8)</f>
        <v>0</v>
      </c>
      <c r="N46" s="149"/>
      <c r="O46" s="144" t="e">
        <f t="shared" si="0"/>
        <v>#VALUE!</v>
      </c>
      <c r="Q46" s="169" t="str">
        <f t="shared" si="3"/>
        <v>MADHANI TALATAH NUSANTARA, PTJAN</v>
      </c>
    </row>
    <row r="47" spans="2:17" s="61" customFormat="1" ht="14.1" customHeight="1">
      <c r="B47" s="242"/>
      <c r="C47" s="268">
        <f>MATCH($B$6,INDEX(Master_Data!$B$152:$B$864,D46+1,1):'Master_Data'!$B$864,0)</f>
        <v>108</v>
      </c>
      <c r="D47" s="268">
        <f t="shared" si="2"/>
        <v>440</v>
      </c>
      <c r="E47" s="54">
        <v>42</v>
      </c>
      <c r="F47" s="22" t="str">
        <f>INDEX(Master_Data!$C$152:$L$864,D47,2)</f>
        <v>MANDALA KARYA PRIMA, PT</v>
      </c>
      <c r="G47" s="24" t="str">
        <f>INDEX(Master_Data!$C$152:$L$864,D47,3)</f>
        <v>W, I</v>
      </c>
      <c r="H47" s="24">
        <f>INDEX(Master_Data!$C$152:$L$864,D47,1)</f>
        <v>9</v>
      </c>
      <c r="I47" s="24">
        <f>INDEX(Master_Data!$C$152:$L$864,D47,4)</f>
        <v>0</v>
      </c>
      <c r="J47" s="24">
        <f>INDEX(Master_Data!$C$152:$L$864,D47,5)</f>
        <v>0</v>
      </c>
      <c r="K47" s="137" t="str">
        <f>INDEX(Master_Data!$C$152:$L$864,D47,6)</f>
        <v>17-001/BKU-004/I/214</v>
      </c>
      <c r="L47" s="140" t="str">
        <f>INDEX(Master_Data!$C$152:$L$864,D47,7)</f>
        <v>010.001-17.53957836</v>
      </c>
      <c r="M47" s="140">
        <f>INDEX(Master_Data!$C$152:$L$864,D47,8)</f>
        <v>0</v>
      </c>
      <c r="N47" s="149"/>
      <c r="O47" s="144" t="e">
        <f t="shared" si="0"/>
        <v>#VALUE!</v>
      </c>
      <c r="Q47" s="169" t="str">
        <f t="shared" si="3"/>
        <v>MANDALA KARYA PRIMA, PTJAN</v>
      </c>
    </row>
    <row r="48" spans="2:17" s="61" customFormat="1" ht="14.1" customHeight="1">
      <c r="B48" s="242"/>
      <c r="C48" s="268">
        <f>MATCH($B$6,INDEX(Master_Data!$B$152:$B$864,D47+1,1):'Master_Data'!$B$864,0)</f>
        <v>12</v>
      </c>
      <c r="D48" s="268">
        <f t="shared" si="2"/>
        <v>452</v>
      </c>
      <c r="E48" s="24">
        <v>43</v>
      </c>
      <c r="F48" s="22" t="str">
        <f>INDEX(Master_Data!$C$152:$L$864,D48,2)</f>
        <v>MANDIRI HERINDO ADIPERKASA, PT</v>
      </c>
      <c r="G48" s="24" t="str">
        <f>INDEX(Master_Data!$C$152:$L$864,D48,3)</f>
        <v>W</v>
      </c>
      <c r="H48" s="24">
        <f>INDEX(Master_Data!$C$152:$L$864,D48,1)</f>
        <v>31</v>
      </c>
      <c r="I48" s="24">
        <f>INDEX(Master_Data!$C$152:$L$864,D48,4)</f>
        <v>0</v>
      </c>
      <c r="J48" s="24">
        <f>INDEX(Master_Data!$C$152:$L$864,D48,5)</f>
        <v>0</v>
      </c>
      <c r="K48" s="137" t="str">
        <f>INDEX(Master_Data!$C$152:$L$864,D48,6)</f>
        <v>17-001/BKU-004/I/211</v>
      </c>
      <c r="L48" s="140" t="str">
        <f>INDEX(Master_Data!$C$152:$L$864,D48,7)</f>
        <v>010.001-17.53957861</v>
      </c>
      <c r="M48" s="140">
        <f>INDEX(Master_Data!$C$152:$L$864,D48,8)</f>
        <v>0</v>
      </c>
      <c r="N48" s="149"/>
      <c r="O48" s="144" t="e">
        <f t="shared" si="0"/>
        <v>#VALUE!</v>
      </c>
      <c r="Q48" s="169" t="str">
        <f t="shared" si="3"/>
        <v>MANDIRI HERINDO ADIPERKASA, PTJAN</v>
      </c>
    </row>
    <row r="49" spans="2:17" s="61" customFormat="1" ht="14.1" customHeight="1">
      <c r="B49" s="242"/>
      <c r="C49" s="268">
        <f>MATCH($B$6,INDEX(Master_Data!$B$152:$B$864,D48+1,1):'Master_Data'!$B$864,0)</f>
        <v>1</v>
      </c>
      <c r="D49" s="268">
        <f t="shared" si="2"/>
        <v>453</v>
      </c>
      <c r="E49" s="54">
        <v>44</v>
      </c>
      <c r="F49" s="22" t="str">
        <f>INDEX(Master_Data!$C$152:$L$864,D49,2)</f>
        <v>MANDIRI HERINDO ADIPERKASA, PT</v>
      </c>
      <c r="G49" s="24" t="str">
        <f>INDEX(Master_Data!$C$152:$L$864,D49,3)</f>
        <v>I</v>
      </c>
      <c r="H49" s="24">
        <f>INDEX(Master_Data!$C$152:$L$864,D49,1)</f>
        <v>31</v>
      </c>
      <c r="I49" s="24">
        <f>INDEX(Master_Data!$C$152:$L$864,D49,4)</f>
        <v>0</v>
      </c>
      <c r="J49" s="24">
        <f>INDEX(Master_Data!$C$152:$L$864,D49,5)</f>
        <v>0</v>
      </c>
      <c r="K49" s="137" t="str">
        <f>INDEX(Master_Data!$C$152:$L$864,D49,6)</f>
        <v>17-002/BKU-004/I/211</v>
      </c>
      <c r="L49" s="140" t="str">
        <f>INDEX(Master_Data!$C$152:$L$864,D49,7)</f>
        <v>010.001-17.53957862</v>
      </c>
      <c r="M49" s="140">
        <f>INDEX(Master_Data!$C$152:$L$864,D49,8)</f>
        <v>0</v>
      </c>
      <c r="N49" s="149"/>
      <c r="O49" s="144" t="e">
        <f t="shared" si="0"/>
        <v>#VALUE!</v>
      </c>
      <c r="Q49" s="169" t="str">
        <f t="shared" si="3"/>
        <v>MANDIRI HERINDO ADIPERKASA, PTJAN</v>
      </c>
    </row>
    <row r="50" spans="2:17" s="61" customFormat="1" ht="14.1" customHeight="1">
      <c r="B50" s="242"/>
      <c r="C50" s="268">
        <f>MATCH($B$6,INDEX(Master_Data!$B$152:$B$864,D49+1,1):'Master_Data'!$B$864,0)</f>
        <v>1</v>
      </c>
      <c r="D50" s="268">
        <f t="shared" si="2"/>
        <v>454</v>
      </c>
      <c r="E50" s="24">
        <v>45</v>
      </c>
      <c r="F50" s="22" t="str">
        <f>INDEX(Master_Data!$C$152:$L$864,D50,2)</f>
        <v>MANDIRI HERINDO ADIPERKASA, PT</v>
      </c>
      <c r="G50" s="24" t="str">
        <f>INDEX(Master_Data!$C$152:$L$864,D50,3)</f>
        <v>M</v>
      </c>
      <c r="H50" s="24">
        <f>INDEX(Master_Data!$C$152:$L$864,D50,1)</f>
        <v>31</v>
      </c>
      <c r="I50" s="24">
        <f>INDEX(Master_Data!$C$152:$L$864,D50,4)</f>
        <v>0</v>
      </c>
      <c r="J50" s="24">
        <f>INDEX(Master_Data!$C$152:$L$864,D50,5)</f>
        <v>0</v>
      </c>
      <c r="K50" s="137" t="str">
        <f>INDEX(Master_Data!$C$152:$L$864,D50,6)</f>
        <v>17-003/BKU-004/I/211</v>
      </c>
      <c r="L50" s="140" t="str">
        <f>INDEX(Master_Data!$C$152:$L$864,D50,7)</f>
        <v>010.001-17.53957863</v>
      </c>
      <c r="M50" s="140">
        <f>INDEX(Master_Data!$C$152:$L$864,D50,8)</f>
        <v>0</v>
      </c>
      <c r="N50" s="149"/>
      <c r="O50" s="144" t="e">
        <f t="shared" si="0"/>
        <v>#VALUE!</v>
      </c>
      <c r="Q50" s="169" t="str">
        <f t="shared" si="3"/>
        <v>MANDIRI HERINDO ADIPERKASA, PTJAN</v>
      </c>
    </row>
    <row r="51" spans="2:17" s="61" customFormat="1" ht="14.1" customHeight="1">
      <c r="B51" s="242"/>
      <c r="C51" s="268">
        <f>MATCH($B$6,INDEX(Master_Data!$B$152:$B$864,D50+1,1):'Master_Data'!$B$864,0)</f>
        <v>36</v>
      </c>
      <c r="D51" s="268">
        <f t="shared" si="2"/>
        <v>490</v>
      </c>
      <c r="E51" s="54">
        <v>46</v>
      </c>
      <c r="F51" s="22" t="str">
        <f>INDEX(Master_Data!$C$152:$L$864,D51,2)</f>
        <v>MANDIRI INTI PERKASA, PT</v>
      </c>
      <c r="G51" s="24" t="str">
        <f>INDEX(Master_Data!$C$152:$L$864,D51,3)</f>
        <v>W, I</v>
      </c>
      <c r="H51" s="24">
        <f>INDEX(Master_Data!$C$152:$L$864,D51,1)</f>
        <v>9</v>
      </c>
      <c r="I51" s="24">
        <f>INDEX(Master_Data!$C$152:$L$864,D51,4)</f>
        <v>0</v>
      </c>
      <c r="J51" s="24">
        <f>INDEX(Master_Data!$C$152:$L$864,D51,5)</f>
        <v>0</v>
      </c>
      <c r="K51" s="137" t="str">
        <f>INDEX(Master_Data!$C$152:$L$864,D51,6)</f>
        <v>17-001/BKU-004/I/196</v>
      </c>
      <c r="L51" s="140" t="str">
        <f>INDEX(Master_Data!$C$152:$L$864,D51,7)</f>
        <v>010.001-17.53957837</v>
      </c>
      <c r="M51" s="140">
        <f>INDEX(Master_Data!$C$152:$L$864,D51,8)</f>
        <v>0</v>
      </c>
      <c r="N51" s="149"/>
      <c r="O51" s="144" t="e">
        <f t="shared" si="0"/>
        <v>#VALUE!</v>
      </c>
      <c r="Q51" s="169" t="str">
        <f t="shared" si="3"/>
        <v>MANDIRI INTI PERKASA, PTJAN</v>
      </c>
    </row>
    <row r="52" spans="2:17" s="61" customFormat="1" ht="14.1" customHeight="1">
      <c r="B52" s="242"/>
      <c r="C52" s="268">
        <f>MATCH($B$6,INDEX(Master_Data!$B$152:$B$864,D51+1,1):'Master_Data'!$B$864,0)</f>
        <v>1</v>
      </c>
      <c r="D52" s="268">
        <f t="shared" si="2"/>
        <v>491</v>
      </c>
      <c r="E52" s="24">
        <v>47</v>
      </c>
      <c r="F52" s="22" t="str">
        <f>INDEX(Master_Data!$C$152:$L$864,D52,2)</f>
        <v>MANDIRI INTI PERKASA, PT</v>
      </c>
      <c r="G52" s="24" t="str">
        <f>INDEX(Master_Data!$C$152:$L$864,D52,3)</f>
        <v>I</v>
      </c>
      <c r="H52" s="24">
        <f>INDEX(Master_Data!$C$152:$L$864,D52,1)</f>
        <v>9</v>
      </c>
      <c r="I52" s="24">
        <f>INDEX(Master_Data!$C$152:$L$864,D52,4)</f>
        <v>0</v>
      </c>
      <c r="J52" s="24">
        <f>INDEX(Master_Data!$C$152:$L$864,D52,5)</f>
        <v>0</v>
      </c>
      <c r="K52" s="137" t="str">
        <f>INDEX(Master_Data!$C$152:$L$864,D52,6)</f>
        <v>17-002/BKU-004/I/196</v>
      </c>
      <c r="L52" s="140" t="str">
        <f>INDEX(Master_Data!$C$152:$L$864,D52,7)</f>
        <v>010.001-17.53957838</v>
      </c>
      <c r="M52" s="140">
        <f>INDEX(Master_Data!$C$152:$L$864,D52,8)</f>
        <v>0</v>
      </c>
      <c r="N52" s="149"/>
      <c r="O52" s="144" t="e">
        <f t="shared" si="0"/>
        <v>#VALUE!</v>
      </c>
      <c r="Q52" s="169" t="str">
        <f t="shared" si="3"/>
        <v>MANDIRI INTI PERKASA, PTJAN</v>
      </c>
    </row>
    <row r="53" spans="2:17" s="61" customFormat="1" ht="14.1" customHeight="1">
      <c r="B53" s="242"/>
      <c r="C53" s="268">
        <f>MATCH($B$6,INDEX(Master_Data!$B$152:$B$864,D52+1,1):'Master_Data'!$B$864,0)</f>
        <v>23</v>
      </c>
      <c r="D53" s="268">
        <f t="shared" si="2"/>
        <v>514</v>
      </c>
      <c r="E53" s="54">
        <v>48</v>
      </c>
      <c r="F53" s="22" t="str">
        <f>INDEX(Master_Data!$C$152:$L$864,D53,2)</f>
        <v>MEDCO PAPUA INDUSTRI LESTARI, PT</v>
      </c>
      <c r="G53" s="24" t="str">
        <f>INDEX(Master_Data!$C$152:$L$864,D53,3)</f>
        <v>V</v>
      </c>
      <c r="H53" s="24">
        <f>INDEX(Master_Data!$C$152:$L$864,D53,1)</f>
        <v>9</v>
      </c>
      <c r="I53" s="24">
        <f>INDEX(Master_Data!$C$152:$L$864,D53,4)</f>
        <v>0</v>
      </c>
      <c r="J53" s="24">
        <f>INDEX(Master_Data!$C$152:$L$864,D53,5)</f>
        <v>0</v>
      </c>
      <c r="K53" s="137" t="str">
        <f>INDEX(Master_Data!$C$152:$L$864,D53,6)</f>
        <v>17-001/BKU-004/I/145</v>
      </c>
      <c r="L53" s="140" t="str">
        <f>INDEX(Master_Data!$C$152:$L$864,D53,7)</f>
        <v>010.001-17.53957839</v>
      </c>
      <c r="M53" s="140">
        <f>INDEX(Master_Data!$C$152:$L$864,D53,8)</f>
        <v>0</v>
      </c>
      <c r="N53" s="149"/>
      <c r="O53" s="144" t="e">
        <f t="shared" si="0"/>
        <v>#VALUE!</v>
      </c>
      <c r="Q53" s="169" t="str">
        <f t="shared" si="3"/>
        <v>MEDCO PAPUA INDUSTRI LESTARI, PTJAN</v>
      </c>
    </row>
    <row r="54" spans="2:17" s="61" customFormat="1" ht="14.1" customHeight="1">
      <c r="B54" s="242"/>
      <c r="C54" s="268">
        <f>MATCH($B$6,INDEX(Master_Data!$B$152:$B$864,D53+1,1):'Master_Data'!$B$864,0)</f>
        <v>12</v>
      </c>
      <c r="D54" s="268">
        <f t="shared" si="2"/>
        <v>526</v>
      </c>
      <c r="E54" s="24">
        <v>49</v>
      </c>
      <c r="F54" s="22" t="str">
        <f>INDEX(Master_Data!$C$152:$L$864,D54,2)</f>
        <v>METALINDO BUMI RAYA, PT</v>
      </c>
      <c r="G54" s="24" t="str">
        <f>INDEX(Master_Data!$C$152:$L$864,D54,3)</f>
        <v>I</v>
      </c>
      <c r="H54" s="24">
        <f>INDEX(Master_Data!$C$152:$L$864,D54,1)</f>
        <v>9</v>
      </c>
      <c r="I54" s="24">
        <f>INDEX(Master_Data!$C$152:$L$864,D54,4)</f>
        <v>0</v>
      </c>
      <c r="J54" s="24">
        <f>INDEX(Master_Data!$C$152:$L$864,D54,5)</f>
        <v>0</v>
      </c>
      <c r="K54" s="137" t="str">
        <f>INDEX(Master_Data!$C$152:$L$864,D54,6)</f>
        <v>17-001/BKU-004/I/220</v>
      </c>
      <c r="L54" s="140" t="str">
        <f>INDEX(Master_Data!$C$152:$L$864,D54,7)</f>
        <v>010.001-17.53957814</v>
      </c>
      <c r="M54" s="140">
        <f>INDEX(Master_Data!$C$152:$L$864,D54,8)</f>
        <v>0</v>
      </c>
      <c r="N54" s="149"/>
      <c r="O54" s="144" t="e">
        <f t="shared" si="0"/>
        <v>#VALUE!</v>
      </c>
      <c r="Q54" s="169" t="str">
        <f t="shared" si="3"/>
        <v>METALINDO BUMI RAYA, PTJAN</v>
      </c>
    </row>
    <row r="55" spans="2:17" s="61" customFormat="1" ht="14.1" customHeight="1">
      <c r="B55" s="242"/>
      <c r="C55" s="268">
        <f>MATCH($B$6,INDEX(Master_Data!$B$152:$B$864,D54+1,1):'Master_Data'!$B$864,0)</f>
        <v>31</v>
      </c>
      <c r="D55" s="268">
        <f t="shared" si="2"/>
        <v>557</v>
      </c>
      <c r="E55" s="54">
        <v>50</v>
      </c>
      <c r="F55" s="22" t="str">
        <f>INDEX(Master_Data!$C$152:$L$864,D55,2)</f>
        <v>PEMBANGUNAN PERUMAHAN (PERSERO), PT</v>
      </c>
      <c r="G55" s="24" t="str">
        <f>INDEX(Master_Data!$C$152:$L$864,D55,3)</f>
        <v>I</v>
      </c>
      <c r="H55" s="24">
        <f>INDEX(Master_Data!$C$152:$L$864,D55,1)</f>
        <v>10</v>
      </c>
      <c r="I55" s="24">
        <f>INDEX(Master_Data!$C$152:$L$864,D55,4)</f>
        <v>0</v>
      </c>
      <c r="J55" s="24">
        <f>INDEX(Master_Data!$C$152:$L$864,D55,5)</f>
        <v>0</v>
      </c>
      <c r="K55" s="137" t="str">
        <f>INDEX(Master_Data!$C$152:$L$864,D55,6)</f>
        <v>17-001/BKU-004/I/226</v>
      </c>
      <c r="L55" s="140" t="str">
        <f>INDEX(Master_Data!$C$152:$L$864,D55,7)</f>
        <v>030.001-17.53957816</v>
      </c>
      <c r="M55" s="140">
        <f>INDEX(Master_Data!$C$152:$L$864,D55,8)</f>
        <v>0</v>
      </c>
      <c r="N55" s="149"/>
      <c r="O55" s="144" t="e">
        <f t="shared" si="0"/>
        <v>#VALUE!</v>
      </c>
      <c r="Q55" s="169" t="str">
        <f t="shared" si="3"/>
        <v>PEMBANGUNAN PERUMAHAN (PERSERO), PTJAN</v>
      </c>
    </row>
    <row r="56" spans="2:17" s="61" customFormat="1" ht="14.1" customHeight="1">
      <c r="B56" s="242"/>
      <c r="C56" s="268">
        <f>MATCH($B$6,INDEX(Master_Data!$B$152:$B$864,D55+1,1):'Master_Data'!$B$864,0)</f>
        <v>31</v>
      </c>
      <c r="D56" s="268">
        <f t="shared" si="2"/>
        <v>588</v>
      </c>
      <c r="E56" s="24">
        <v>51</v>
      </c>
      <c r="F56" s="22" t="str">
        <f>INDEX(Master_Data!$C$152:$L$864,D56,2)</f>
        <v>PERTIWI AGRO SEJAHTERA, PT</v>
      </c>
      <c r="G56" s="24" t="str">
        <f>INDEX(Master_Data!$C$152:$L$864,D56,3)</f>
        <v>V</v>
      </c>
      <c r="H56" s="24">
        <f>INDEX(Master_Data!$C$152:$L$864,D56,1)</f>
        <v>9</v>
      </c>
      <c r="I56" s="24">
        <f>INDEX(Master_Data!$C$152:$L$864,D56,4)</f>
        <v>0</v>
      </c>
      <c r="J56" s="24">
        <f>INDEX(Master_Data!$C$152:$L$864,D56,5)</f>
        <v>0</v>
      </c>
      <c r="K56" s="137" t="str">
        <f>INDEX(Master_Data!$C$152:$L$864,D56,6)</f>
        <v>17-001/BKU-004/I/207</v>
      </c>
      <c r="L56" s="140" t="str">
        <f>INDEX(Master_Data!$C$152:$L$864,D56,7)</f>
        <v>010.001-17.53957840</v>
      </c>
      <c r="M56" s="140">
        <f>INDEX(Master_Data!$C$152:$L$864,D56,8)</f>
        <v>0</v>
      </c>
      <c r="N56" s="149"/>
      <c r="O56" s="144" t="e">
        <f t="shared" si="0"/>
        <v>#VALUE!</v>
      </c>
      <c r="Q56" s="169" t="str">
        <f t="shared" si="3"/>
        <v>PERTIWI AGRO SEJAHTERA, PTJAN</v>
      </c>
    </row>
    <row r="57" spans="2:17" s="61" customFormat="1" ht="14.1" customHeight="1">
      <c r="B57" s="242"/>
      <c r="C57" s="268">
        <f>MATCH($B$6,INDEX(Master_Data!$B$152:$B$864,D56+1,1):'Master_Data'!$B$864,0)</f>
        <v>12</v>
      </c>
      <c r="D57" s="268">
        <f t="shared" si="2"/>
        <v>600</v>
      </c>
      <c r="E57" s="54">
        <v>52</v>
      </c>
      <c r="F57" s="22" t="str">
        <f>INDEX(Master_Data!$C$152:$L$864,D57,2)</f>
        <v>PERTIWI LENGGARA AGROMAS, PT</v>
      </c>
      <c r="G57" s="24" t="str">
        <f>INDEX(Master_Data!$C$152:$L$864,D57,3)</f>
        <v>L</v>
      </c>
      <c r="H57" s="24">
        <f>INDEX(Master_Data!$C$152:$L$864,D57,1)</f>
        <v>16</v>
      </c>
      <c r="I57" s="24">
        <f>INDEX(Master_Data!$C$152:$L$864,D57,4)</f>
        <v>0</v>
      </c>
      <c r="J57" s="24">
        <f>INDEX(Master_Data!$C$152:$L$864,D57,5)</f>
        <v>0</v>
      </c>
      <c r="K57" s="137" t="str">
        <f>INDEX(Master_Data!$C$152:$L$864,D57,6)</f>
        <v>17-001/BKU-004/I/230</v>
      </c>
      <c r="L57" s="140" t="str">
        <f>INDEX(Master_Data!$C$152:$L$864,D57,7)</f>
        <v>-</v>
      </c>
      <c r="M57" s="140">
        <f>INDEX(Master_Data!$C$152:$L$864,D57,8)</f>
        <v>0</v>
      </c>
      <c r="N57" s="149"/>
      <c r="O57" s="144" t="e">
        <f t="shared" si="0"/>
        <v>#VALUE!</v>
      </c>
      <c r="Q57" s="169" t="str">
        <f t="shared" si="3"/>
        <v>PERTIWI LENGGARA AGROMAS, PTJAN</v>
      </c>
    </row>
    <row r="58" spans="2:17" s="61" customFormat="1" ht="14.1" customHeight="1">
      <c r="B58" s="242"/>
      <c r="C58" s="268">
        <f>MATCH($B$6,INDEX(Master_Data!$B$152:$B$864,D57+1,1):'Master_Data'!$B$864,0)</f>
        <v>2</v>
      </c>
      <c r="D58" s="268">
        <f t="shared" si="2"/>
        <v>602</v>
      </c>
      <c r="E58" s="24">
        <v>53</v>
      </c>
      <c r="F58" s="22" t="str">
        <f>INDEX(Master_Data!$C$152:$L$864,D58,2)</f>
        <v>PETROSEA, PT</v>
      </c>
      <c r="G58" s="24" t="str">
        <f>INDEX(Master_Data!$C$152:$L$864,D58,3)</f>
        <v>V</v>
      </c>
      <c r="H58" s="24">
        <f>INDEX(Master_Data!$C$152:$L$864,D58,1)</f>
        <v>13</v>
      </c>
      <c r="I58" s="24">
        <f>INDEX(Master_Data!$C$152:$L$864,D58,4)</f>
        <v>0</v>
      </c>
      <c r="J58" s="24">
        <f>INDEX(Master_Data!$C$152:$L$864,D58,5)</f>
        <v>0</v>
      </c>
      <c r="K58" s="137" t="str">
        <f>INDEX(Master_Data!$C$152:$L$864,D58,6)</f>
        <v>17-001/BKU-004/I/009</v>
      </c>
      <c r="L58" s="140" t="str">
        <f>INDEX(Master_Data!$C$152:$L$864,D58,7)</f>
        <v>010.001-17.53957858</v>
      </c>
      <c r="M58" s="140">
        <f>INDEX(Master_Data!$C$152:$L$864,D58,8)</f>
        <v>0</v>
      </c>
      <c r="N58" s="149"/>
      <c r="O58" s="144" t="e">
        <f t="shared" si="0"/>
        <v>#VALUE!</v>
      </c>
      <c r="Q58" s="169" t="str">
        <f t="shared" si="3"/>
        <v>PETROSEA, PTJAN</v>
      </c>
    </row>
    <row r="59" spans="2:17" s="61" customFormat="1" ht="14.1" customHeight="1">
      <c r="B59" s="242"/>
      <c r="C59" s="268">
        <f>MATCH($B$6,INDEX(Master_Data!$B$152:$B$864,D58+1,1):'Master_Data'!$B$864,0)</f>
        <v>1</v>
      </c>
      <c r="D59" s="268">
        <f t="shared" si="2"/>
        <v>603</v>
      </c>
      <c r="E59" s="54">
        <v>54</v>
      </c>
      <c r="F59" s="22" t="str">
        <f>INDEX(Master_Data!$C$152:$L$864,D59,2)</f>
        <v>PETROSEA, PT</v>
      </c>
      <c r="G59" s="24" t="str">
        <f>INDEX(Master_Data!$C$152:$L$864,D59,3)</f>
        <v>V</v>
      </c>
      <c r="H59" s="24">
        <f>INDEX(Master_Data!$C$152:$L$864,D59,1)</f>
        <v>13</v>
      </c>
      <c r="I59" s="24">
        <f>INDEX(Master_Data!$C$152:$L$864,D59,4)</f>
        <v>0</v>
      </c>
      <c r="J59" s="24">
        <f>INDEX(Master_Data!$C$152:$L$864,D59,5)</f>
        <v>0</v>
      </c>
      <c r="K59" s="137" t="str">
        <f>INDEX(Master_Data!$C$152:$L$864,D59,6)</f>
        <v>17-002/BKU-004/I/009</v>
      </c>
      <c r="L59" s="140" t="str">
        <f>INDEX(Master_Data!$C$152:$L$864,D59,7)</f>
        <v>010.001-17.53957859</v>
      </c>
      <c r="M59" s="140">
        <f>INDEX(Master_Data!$C$152:$L$864,D59,8)</f>
        <v>0</v>
      </c>
      <c r="N59" s="149"/>
      <c r="O59" s="144" t="e">
        <f t="shared" si="0"/>
        <v>#VALUE!</v>
      </c>
      <c r="Q59" s="169" t="str">
        <f t="shared" si="3"/>
        <v>PETROSEA, PTJAN</v>
      </c>
    </row>
    <row r="60" spans="2:17" s="61" customFormat="1" ht="14.1" customHeight="1">
      <c r="B60" s="242"/>
      <c r="C60" s="268">
        <f>MATCH($B$6,INDEX(Master_Data!$B$152:$B$864,D59+1,1):'Master_Data'!$B$864,0)</f>
        <v>1</v>
      </c>
      <c r="D60" s="268">
        <f t="shared" si="2"/>
        <v>604</v>
      </c>
      <c r="E60" s="24">
        <v>55</v>
      </c>
      <c r="F60" s="22" t="str">
        <f>INDEX(Master_Data!$C$152:$L$864,D60,2)</f>
        <v>PETROSEA, PT</v>
      </c>
      <c r="G60" s="24" t="str">
        <f>INDEX(Master_Data!$C$152:$L$864,D60,3)</f>
        <v>V</v>
      </c>
      <c r="H60" s="24">
        <f>INDEX(Master_Data!$C$152:$L$864,D60,1)</f>
        <v>13</v>
      </c>
      <c r="I60" s="24">
        <f>INDEX(Master_Data!$C$152:$L$864,D60,4)</f>
        <v>0</v>
      </c>
      <c r="J60" s="24">
        <f>INDEX(Master_Data!$C$152:$L$864,D60,5)</f>
        <v>0</v>
      </c>
      <c r="K60" s="137" t="str">
        <f>INDEX(Master_Data!$C$152:$L$864,D60,6)</f>
        <v>17-003/BKU-004/I/009</v>
      </c>
      <c r="L60" s="140" t="str">
        <f>INDEX(Master_Data!$C$152:$L$864,D60,7)</f>
        <v>010.001-17.53957860</v>
      </c>
      <c r="M60" s="140">
        <f>INDEX(Master_Data!$C$152:$L$864,D60,8)</f>
        <v>0</v>
      </c>
      <c r="N60" s="149"/>
      <c r="O60" s="144" t="e">
        <f t="shared" si="0"/>
        <v>#VALUE!</v>
      </c>
      <c r="Q60" s="169" t="str">
        <f t="shared" si="3"/>
        <v>PETROSEA, PTJAN</v>
      </c>
    </row>
    <row r="61" spans="2:17" s="61" customFormat="1" ht="14.1" customHeight="1">
      <c r="B61" s="242"/>
      <c r="C61" s="268">
        <f>MATCH($B$6,INDEX(Master_Data!$B$152:$B$864,D60+1,1):'Master_Data'!$B$864,0)</f>
        <v>43</v>
      </c>
      <c r="D61" s="268">
        <f t="shared" si="2"/>
        <v>647</v>
      </c>
      <c r="E61" s="54">
        <v>56</v>
      </c>
      <c r="F61" s="22" t="str">
        <f>INDEX(Master_Data!$C$152:$L$864,D61,2)</f>
        <v>PUNCAK KEEMASAN LUMBUNG DUNIA, PT</v>
      </c>
      <c r="G61" s="24" t="str">
        <f>INDEX(Master_Data!$C$152:$L$864,D61,3)</f>
        <v>I</v>
      </c>
      <c r="H61" s="24">
        <f>INDEX(Master_Data!$C$152:$L$864,D61,1)</f>
        <v>9</v>
      </c>
      <c r="I61" s="24">
        <f>INDEX(Master_Data!$C$152:$L$864,D61,4)</f>
        <v>0</v>
      </c>
      <c r="J61" s="24">
        <f>INDEX(Master_Data!$C$152:$L$864,D61,5)</f>
        <v>0</v>
      </c>
      <c r="K61" s="137" t="str">
        <f>INDEX(Master_Data!$C$152:$L$864,D61,6)</f>
        <v>17-001/BKU-004/I/225</v>
      </c>
      <c r="L61" s="140" t="str">
        <f>INDEX(Master_Data!$C$152:$L$864,D61,7)</f>
        <v>010.001-17.53957843</v>
      </c>
      <c r="M61" s="140">
        <f>INDEX(Master_Data!$C$152:$L$864,D61,8)</f>
        <v>0</v>
      </c>
      <c r="N61" s="149"/>
      <c r="O61" s="144" t="e">
        <f t="shared" si="0"/>
        <v>#VALUE!</v>
      </c>
      <c r="Q61" s="169" t="str">
        <f t="shared" si="3"/>
        <v>PUNCAK KEEMASAN LUMBUNG DUNIA, PTJAN</v>
      </c>
    </row>
    <row r="62" spans="2:17" s="61" customFormat="1" ht="14.1" customHeight="1">
      <c r="B62" s="242"/>
      <c r="C62" s="268">
        <f>MATCH($B$6,INDEX(Master_Data!$B$152:$B$864,D61+1,1):'Master_Data'!$B$864,0)</f>
        <v>9</v>
      </c>
      <c r="D62" s="268">
        <f t="shared" si="2"/>
        <v>656</v>
      </c>
      <c r="E62" s="24">
        <v>57</v>
      </c>
      <c r="F62" s="22" t="str">
        <f>INDEX(Master_Data!$C$152:$L$864,D62,2)</f>
        <v>RIUNG MITRA LESTARI, PT</v>
      </c>
      <c r="G62" s="24" t="str">
        <f>INDEX(Master_Data!$C$152:$L$864,D62,3)</f>
        <v>M</v>
      </c>
      <c r="H62" s="24">
        <f>INDEX(Master_Data!$C$152:$L$864,D62,1)</f>
        <v>9</v>
      </c>
      <c r="I62" s="24">
        <f>INDEX(Master_Data!$C$152:$L$864,D62,4)</f>
        <v>0</v>
      </c>
      <c r="J62" s="24">
        <f>INDEX(Master_Data!$C$152:$L$864,D62,5)</f>
        <v>0</v>
      </c>
      <c r="K62" s="137" t="str">
        <f>INDEX(Master_Data!$C$152:$L$864,D62,6)</f>
        <v>17-001/BKU-004/I/149</v>
      </c>
      <c r="L62" s="140" t="str">
        <f>INDEX(Master_Data!$C$152:$L$864,D62,7)</f>
        <v>010.001-17.53957842</v>
      </c>
      <c r="M62" s="140">
        <f>INDEX(Master_Data!$C$152:$L$864,D62,8)</f>
        <v>0</v>
      </c>
      <c r="N62" s="149"/>
      <c r="O62" s="144" t="e">
        <f t="shared" si="0"/>
        <v>#VALUE!</v>
      </c>
      <c r="Q62" s="169" t="str">
        <f t="shared" si="3"/>
        <v>RIUNG MITRA LESTARI, PTJAN</v>
      </c>
    </row>
    <row r="63" spans="2:17" s="61" customFormat="1" ht="14.1" customHeight="1">
      <c r="B63" s="242"/>
      <c r="C63" s="268">
        <f>MATCH($B$6,INDEX(Master_Data!$B$152:$B$864,D62+1,1):'Master_Data'!$B$864,0)</f>
        <v>12</v>
      </c>
      <c r="D63" s="268">
        <f t="shared" si="2"/>
        <v>668</v>
      </c>
      <c r="E63" s="54">
        <v>58</v>
      </c>
      <c r="F63" s="22" t="str">
        <f>INDEX(Master_Data!$C$152:$L$864,D63,2)</f>
        <v>ROKA LANE ASIA, PT</v>
      </c>
      <c r="G63" s="24" t="str">
        <f>INDEX(Master_Data!$C$152:$L$864,D63,3)</f>
        <v>O</v>
      </c>
      <c r="H63" s="24">
        <f>INDEX(Master_Data!$C$152:$L$864,D63,1)</f>
        <v>12</v>
      </c>
      <c r="I63" s="24">
        <f>INDEX(Master_Data!$C$152:$L$864,D63,4)</f>
        <v>0</v>
      </c>
      <c r="J63" s="24">
        <f>INDEX(Master_Data!$C$152:$L$864,D63,5)</f>
        <v>0</v>
      </c>
      <c r="K63" s="137" t="str">
        <f>INDEX(Master_Data!$C$152:$L$864,D63,6)</f>
        <v>17-001/BKU-004/I/239</v>
      </c>
      <c r="L63" s="140" t="str">
        <f>INDEX(Master_Data!$C$152:$L$864,D63,7)</f>
        <v>010.001-17.53957846</v>
      </c>
      <c r="M63" s="140">
        <f>INDEX(Master_Data!$C$152:$L$864,D63,8)</f>
        <v>0</v>
      </c>
      <c r="N63" s="149"/>
      <c r="O63" s="144" t="e">
        <f t="shared" si="0"/>
        <v>#VALUE!</v>
      </c>
      <c r="Q63" s="169" t="str">
        <f t="shared" si="3"/>
        <v>ROKA LANE ASIA, PTJAN</v>
      </c>
    </row>
    <row r="64" spans="2:17" s="61" customFormat="1" ht="14.1" customHeight="1">
      <c r="B64" s="242"/>
      <c r="C64" s="268">
        <f>MATCH($B$6,INDEX(Master_Data!$B$152:$B$864,D63+1,1):'Master_Data'!$B$864,0)</f>
        <v>18</v>
      </c>
      <c r="D64" s="268">
        <f t="shared" si="2"/>
        <v>686</v>
      </c>
      <c r="E64" s="24">
        <v>59</v>
      </c>
      <c r="F64" s="22" t="str">
        <f>INDEX(Master_Data!$C$152:$L$864,D64,2)</f>
        <v>TEBAR TANDAN TENERA, PT</v>
      </c>
      <c r="G64" s="24" t="str">
        <f>INDEX(Master_Data!$C$152:$L$864,D64,3)</f>
        <v>V</v>
      </c>
      <c r="H64" s="24">
        <f>INDEX(Master_Data!$C$152:$L$864,D64,1)</f>
        <v>9</v>
      </c>
      <c r="I64" s="24">
        <f>INDEX(Master_Data!$C$152:$L$864,D64,4)</f>
        <v>0</v>
      </c>
      <c r="J64" s="24">
        <f>INDEX(Master_Data!$C$152:$L$864,D64,5)</f>
        <v>0</v>
      </c>
      <c r="K64" s="137" t="str">
        <f>INDEX(Master_Data!$C$152:$L$864,D64,6)</f>
        <v>17-001/BKU-004/I/227</v>
      </c>
      <c r="L64" s="140" t="str">
        <f>INDEX(Master_Data!$C$152:$L$864,D64,7)</f>
        <v>010.001-17.53957844</v>
      </c>
      <c r="M64" s="140">
        <f>INDEX(Master_Data!$C$152:$L$864,D64,8)</f>
        <v>0</v>
      </c>
      <c r="N64" s="149"/>
      <c r="O64" s="144" t="e">
        <f t="shared" si="0"/>
        <v>#VALUE!</v>
      </c>
      <c r="Q64" s="169" t="str">
        <f t="shared" si="3"/>
        <v>TEBAR TANDAN TENERA, PTJAN</v>
      </c>
    </row>
    <row r="65" spans="2:17" ht="20.25" customHeight="1">
      <c r="B65" s="1758" t="s">
        <v>7</v>
      </c>
      <c r="C65" s="1758"/>
      <c r="D65" s="1758"/>
      <c r="E65" s="1758"/>
      <c r="F65" s="1758"/>
      <c r="G65" s="1758"/>
      <c r="H65" s="1758"/>
      <c r="I65" s="1758"/>
      <c r="J65" s="1758"/>
      <c r="K65" s="12">
        <f>SUM(K6:K64)</f>
        <v>0</v>
      </c>
      <c r="L65" s="13">
        <f>SUM(L6:L64)</f>
        <v>0</v>
      </c>
      <c r="M65" s="13">
        <f>SUM(M6:M64)</f>
        <v>0</v>
      </c>
      <c r="N65" s="12">
        <f>SUM(N6:N64)</f>
        <v>0</v>
      </c>
      <c r="O65" s="13" t="e">
        <f>SUM(O6:O64)</f>
        <v>#VALUE!</v>
      </c>
    </row>
    <row r="67" spans="2:17" s="7" customFormat="1" ht="15" customHeight="1">
      <c r="B67" s="1759" t="s">
        <v>198</v>
      </c>
      <c r="C67" s="1760" t="s">
        <v>200</v>
      </c>
      <c r="D67" s="1760"/>
      <c r="E67" s="1759" t="s">
        <v>6</v>
      </c>
      <c r="F67" s="1758" t="s">
        <v>3</v>
      </c>
      <c r="G67" s="1761" t="s">
        <v>141</v>
      </c>
      <c r="H67" s="1758" t="s">
        <v>379</v>
      </c>
      <c r="I67" s="1758"/>
      <c r="J67" s="1758"/>
      <c r="K67" s="1758"/>
      <c r="L67" s="1758"/>
      <c r="M67" s="1758"/>
      <c r="N67" s="1758"/>
      <c r="O67" s="1758"/>
    </row>
    <row r="68" spans="2:17" s="7" customFormat="1" ht="15" customHeight="1">
      <c r="B68" s="1759"/>
      <c r="C68" s="1764" t="s">
        <v>196</v>
      </c>
      <c r="D68" s="1764" t="s">
        <v>197</v>
      </c>
      <c r="E68" s="1759"/>
      <c r="F68" s="1758"/>
      <c r="G68" s="1762"/>
      <c r="H68" s="1766" t="s">
        <v>15</v>
      </c>
      <c r="I68" s="1766" t="s">
        <v>51</v>
      </c>
      <c r="J68" s="1766" t="s">
        <v>12</v>
      </c>
      <c r="K68" s="1768" t="s">
        <v>11</v>
      </c>
      <c r="L68" s="1768" t="s">
        <v>53</v>
      </c>
      <c r="M68" s="1768" t="s">
        <v>1</v>
      </c>
      <c r="N68" s="1770" t="s">
        <v>50</v>
      </c>
      <c r="O68" s="1770"/>
    </row>
    <row r="69" spans="2:17" s="7" customFormat="1">
      <c r="B69" s="1759"/>
      <c r="C69" s="1765"/>
      <c r="D69" s="1765"/>
      <c r="E69" s="1759"/>
      <c r="F69" s="1758"/>
      <c r="G69" s="1763"/>
      <c r="H69" s="1767"/>
      <c r="I69" s="1767"/>
      <c r="J69" s="1767"/>
      <c r="K69" s="1769"/>
      <c r="L69" s="1769"/>
      <c r="M69" s="1769"/>
      <c r="N69" s="267" t="s">
        <v>54</v>
      </c>
      <c r="O69" s="267" t="s">
        <v>55</v>
      </c>
      <c r="Q69" s="168" t="s">
        <v>235</v>
      </c>
    </row>
    <row r="70" spans="2:17" s="7" customFormat="1" ht="14.1" customHeight="1">
      <c r="B70" s="337" t="s">
        <v>195</v>
      </c>
      <c r="C70" s="151">
        <f>MATCH(B70,Master_Data!$B$152:$B$864,0)</f>
        <v>17</v>
      </c>
      <c r="D70" s="151">
        <v>7</v>
      </c>
      <c r="E70" s="20">
        <v>1</v>
      </c>
      <c r="F70" s="75" t="str">
        <f>INDEX(Master_Data!$C$152:$L$864,D70,2)</f>
        <v>BANDARA WASIOR PAPUA BARAT, PT</v>
      </c>
      <c r="G70" s="20" t="str">
        <f>INDEX(Master_Data!$C$152:$L$864,D70,3)</f>
        <v>I</v>
      </c>
      <c r="H70" s="20">
        <f>INDEX(Master_Data!$C$152:$L$864,D70,1)</f>
        <v>18</v>
      </c>
      <c r="I70" s="20" t="str">
        <f>INDEX(Master_Data!$C$152:$L$864,D70,4)</f>
        <v>Layanan Akses Internet 1 Mbps pada Bandara Wasior Papua Barat</v>
      </c>
      <c r="J70" s="20" t="str">
        <f>INDEX(Master_Data!$C$152:$L$864,D70,5)</f>
        <v>27 Mei-27 Juni</v>
      </c>
      <c r="K70" s="708" t="str">
        <f>INDEX(Master_Data!$C$152:$L$864,D70,6)</f>
        <v>17-003/BKU-004/V/248</v>
      </c>
      <c r="L70" s="139" t="str">
        <f>INDEX(Master_Data!$C$152:$L$864,D70,7)</f>
        <v>020.019-17.53122144</v>
      </c>
      <c r="M70" s="139">
        <f>INDEX(Master_Data!$C$152:$L$864,D70,8)</f>
        <v>0</v>
      </c>
      <c r="N70" s="74"/>
      <c r="O70" s="272" t="e">
        <f>L70+M70</f>
        <v>#VALUE!</v>
      </c>
      <c r="Q70" s="169" t="str">
        <f>CONCATENATE(F70,$B$70)</f>
        <v>BANDARA WASIOR PAPUA BARAT, PTFEB</v>
      </c>
    </row>
    <row r="71" spans="2:17" s="61" customFormat="1" ht="14.1" customHeight="1">
      <c r="B71" s="338"/>
      <c r="C71" s="268">
        <f>MATCH($B$70,INDEX(Master_Data!$B$152:$B$864,D70+1,1):'Master_Data'!$B$864,0)</f>
        <v>10</v>
      </c>
      <c r="D71" s="268">
        <f>D70+C71</f>
        <v>17</v>
      </c>
      <c r="E71" s="54">
        <v>2</v>
      </c>
      <c r="F71" s="22" t="str">
        <f>INDEX(Master_Data!$C$152:$L$864,D71,2)</f>
        <v>BUKIT MAKMUR MANDIRI UTAMA, PT</v>
      </c>
      <c r="G71" s="24" t="str">
        <f>INDEX(Master_Data!$C$152:$L$864,D71,3)</f>
        <v>HMS</v>
      </c>
      <c r="H71" s="24">
        <f>INDEX(Master_Data!$C$152:$L$864,D71,1)</f>
        <v>28</v>
      </c>
      <c r="I71" s="24">
        <f>INDEX(Master_Data!$C$152:$L$864,D71,4)</f>
        <v>0</v>
      </c>
      <c r="J71" s="24">
        <f>INDEX(Master_Data!$C$152:$L$864,D71,5)</f>
        <v>0</v>
      </c>
      <c r="K71" s="137" t="str">
        <f>INDEX(Master_Data!$C$152:$L$864,D71,6)</f>
        <v>17-003/BKU-004/II/172</v>
      </c>
      <c r="L71" s="140" t="str">
        <f>INDEX(Master_Data!$C$152:$L$864,D71,7)</f>
        <v>010.001-17.53957924</v>
      </c>
      <c r="M71" s="140">
        <f>INDEX(Master_Data!$C$152:$L$864,D71,8)</f>
        <v>0</v>
      </c>
      <c r="N71" s="149"/>
      <c r="O71" s="245" t="e">
        <f t="shared" ref="O71:O119" si="4">L71+M71</f>
        <v>#VALUE!</v>
      </c>
      <c r="Q71" s="169" t="str">
        <f>CONCATENATE(F71,$B$70)</f>
        <v>BUKIT MAKMUR MANDIRI UTAMA, PTFEB</v>
      </c>
    </row>
    <row r="72" spans="2:17" s="61" customFormat="1" ht="14.1" customHeight="1">
      <c r="B72" s="338"/>
      <c r="C72" s="268">
        <f>MATCH($B$70,INDEX(Master_Data!$B$152:$B$864,D71+1,1):'Master_Data'!$B$864,0)</f>
        <v>1</v>
      </c>
      <c r="D72" s="268">
        <f t="shared" ref="D72:D119" si="5">D71+C72</f>
        <v>18</v>
      </c>
      <c r="E72" s="24">
        <v>3</v>
      </c>
      <c r="F72" s="22" t="str">
        <f>INDEX(Master_Data!$C$152:$L$864,D72,2)</f>
        <v>BUKIT MAKMUR MANDIRI UTAMA, PT</v>
      </c>
      <c r="G72" s="24" t="str">
        <f>INDEX(Master_Data!$C$152:$L$864,D72,3)</f>
        <v>V</v>
      </c>
      <c r="H72" s="24">
        <f>INDEX(Master_Data!$C$152:$L$864,D72,1)</f>
        <v>28</v>
      </c>
      <c r="I72" s="24">
        <f>INDEX(Master_Data!$C$152:$L$864,D72,4)</f>
        <v>0</v>
      </c>
      <c r="J72" s="24">
        <f>INDEX(Master_Data!$C$152:$L$864,D72,5)</f>
        <v>0</v>
      </c>
      <c r="K72" s="137" t="str">
        <f>INDEX(Master_Data!$C$152:$L$864,D72,6)</f>
        <v>17-004/BKU-004/II/172</v>
      </c>
      <c r="L72" s="140" t="str">
        <f>INDEX(Master_Data!$C$152:$L$864,D72,7)</f>
        <v>010.001-17.53957925</v>
      </c>
      <c r="M72" s="140">
        <f>INDEX(Master_Data!$C$152:$L$864,D72,8)</f>
        <v>0</v>
      </c>
      <c r="N72" s="149"/>
      <c r="O72" s="245" t="e">
        <f t="shared" si="4"/>
        <v>#VALUE!</v>
      </c>
      <c r="Q72" s="169" t="str">
        <f t="shared" ref="Q72:Q119" si="6">CONCATENATE(F72,$B$70)</f>
        <v>BUKIT MAKMUR MANDIRI UTAMA, PTFEB</v>
      </c>
    </row>
    <row r="73" spans="2:17" s="61" customFormat="1" ht="14.1" customHeight="1">
      <c r="B73" s="338"/>
      <c r="C73" s="268">
        <f>MATCH($B$70,INDEX(Master_Data!$B$152:$B$864,D72+1,1):'Master_Data'!$B$864,0)</f>
        <v>19</v>
      </c>
      <c r="D73" s="268">
        <f t="shared" si="5"/>
        <v>37</v>
      </c>
      <c r="E73" s="54">
        <v>4</v>
      </c>
      <c r="F73" s="22" t="str">
        <f>INDEX(Master_Data!$C$152:$L$864,D73,2)</f>
        <v>CAKRAWALA SEJAHTERA, PT</v>
      </c>
      <c r="G73" s="24" t="str">
        <f>INDEX(Master_Data!$C$152:$L$864,D73,3)</f>
        <v>V</v>
      </c>
      <c r="H73" s="24">
        <f>INDEX(Master_Data!$C$152:$L$864,D73,1)</f>
        <v>1</v>
      </c>
      <c r="I73" s="24">
        <f>INDEX(Master_Data!$C$152:$L$864,D73,4)</f>
        <v>0</v>
      </c>
      <c r="J73" s="24">
        <f>INDEX(Master_Data!$C$152:$L$864,D73,5)</f>
        <v>0</v>
      </c>
      <c r="K73" s="137" t="str">
        <f>INDEX(Master_Data!$C$152:$L$864,D73,6)</f>
        <v>17-003/BKU-004/II/198</v>
      </c>
      <c r="L73" s="140" t="str">
        <f>INDEX(Master_Data!$C$152:$L$864,D73,7)</f>
        <v>010.001-17.53957864</v>
      </c>
      <c r="M73" s="140">
        <f>INDEX(Master_Data!$C$152:$L$864,D73,8)</f>
        <v>0</v>
      </c>
      <c r="N73" s="149"/>
      <c r="O73" s="245" t="e">
        <f t="shared" si="4"/>
        <v>#VALUE!</v>
      </c>
      <c r="Q73" s="169" t="str">
        <f t="shared" si="6"/>
        <v>CAKRAWALA SEJAHTERA, PTFEB</v>
      </c>
    </row>
    <row r="74" spans="2:17" s="61" customFormat="1" ht="14.1" customHeight="1">
      <c r="B74" s="338"/>
      <c r="C74" s="268">
        <f>MATCH($B$70,INDEX(Master_Data!$B$152:$B$864,D73+1,1):'Master_Data'!$B$864,0)</f>
        <v>6</v>
      </c>
      <c r="D74" s="268">
        <f t="shared" si="5"/>
        <v>43</v>
      </c>
      <c r="E74" s="24">
        <v>5</v>
      </c>
      <c r="F74" s="22" t="str">
        <f>INDEX(Master_Data!$C$152:$L$864,D74,2)</f>
        <v>CENTRALINK, PT</v>
      </c>
      <c r="G74" s="24" t="str">
        <f>INDEX(Master_Data!$C$152:$L$864,D74,3)</f>
        <v>L</v>
      </c>
      <c r="H74" s="24">
        <f>INDEX(Master_Data!$C$152:$L$864,D74,1)</f>
        <v>16</v>
      </c>
      <c r="I74" s="24">
        <f>INDEX(Master_Data!$C$152:$L$864,D74,4)</f>
        <v>0</v>
      </c>
      <c r="J74" s="24">
        <f>INDEX(Master_Data!$C$152:$L$864,D74,5)</f>
        <v>0</v>
      </c>
      <c r="K74" s="137" t="str">
        <f>INDEX(Master_Data!$C$152:$L$864,D74,6)</f>
        <v>17-001/BKU-004/II/244</v>
      </c>
      <c r="L74" s="140" t="str">
        <f>INDEX(Master_Data!$C$152:$L$864,D74,7)</f>
        <v>010.001-17.53957917</v>
      </c>
      <c r="M74" s="140">
        <f>INDEX(Master_Data!$C$152:$L$864,D74,8)</f>
        <v>0</v>
      </c>
      <c r="N74" s="149"/>
      <c r="O74" s="245" t="e">
        <f t="shared" si="4"/>
        <v>#VALUE!</v>
      </c>
      <c r="Q74" s="169" t="str">
        <f t="shared" si="6"/>
        <v>CENTRALINK, PTFEB</v>
      </c>
    </row>
    <row r="75" spans="2:17" s="61" customFormat="1" ht="14.1" customHeight="1">
      <c r="B75" s="338"/>
      <c r="C75" s="268">
        <f>MATCH($B$70,INDEX(Master_Data!$B$152:$B$864,D74+1,1):'Master_Data'!$B$864,0)</f>
        <v>3</v>
      </c>
      <c r="D75" s="268">
        <f t="shared" si="5"/>
        <v>46</v>
      </c>
      <c r="E75" s="54">
        <v>6</v>
      </c>
      <c r="F75" s="22" t="str">
        <f>INDEX(Master_Data!$C$152:$L$864,D75,2)</f>
        <v>CIPTA INFORMATIKA CEMERLANG, PT</v>
      </c>
      <c r="G75" s="24" t="str">
        <f>INDEX(Master_Data!$C$152:$L$864,D75,3)</f>
        <v>P</v>
      </c>
      <c r="H75" s="24">
        <f>INDEX(Master_Data!$C$152:$L$864,D75,1)</f>
        <v>1</v>
      </c>
      <c r="I75" s="24">
        <f>INDEX(Master_Data!$C$152:$L$864,D75,4)</f>
        <v>0</v>
      </c>
      <c r="J75" s="24">
        <f>INDEX(Master_Data!$C$152:$L$864,D75,5)</f>
        <v>0</v>
      </c>
      <c r="K75" s="137" t="str">
        <f>INDEX(Master_Data!$C$152:$L$864,D75,6)</f>
        <v>17-002/BKU-004/II/097</v>
      </c>
      <c r="L75" s="140" t="str">
        <f>INDEX(Master_Data!$C$152:$L$864,D75,7)</f>
        <v>010.001-17.53957865</v>
      </c>
      <c r="M75" s="140">
        <f>INDEX(Master_Data!$C$152:$L$864,D75,8)</f>
        <v>0</v>
      </c>
      <c r="N75" s="149"/>
      <c r="O75" s="245" t="e">
        <f t="shared" si="4"/>
        <v>#VALUE!</v>
      </c>
      <c r="Q75" s="169" t="str">
        <f t="shared" si="6"/>
        <v>CIPTA INFORMATIKA CEMERLANG, PTFEB</v>
      </c>
    </row>
    <row r="76" spans="2:17" s="61" customFormat="1" ht="14.1" customHeight="1">
      <c r="B76" s="338"/>
      <c r="C76" s="268">
        <f>MATCH($B$70,INDEX(Master_Data!$B$152:$B$864,D75+1,1):'Master_Data'!$B$864,0)</f>
        <v>14</v>
      </c>
      <c r="D76" s="268">
        <f t="shared" si="5"/>
        <v>60</v>
      </c>
      <c r="E76" s="24">
        <v>7</v>
      </c>
      <c r="F76" s="22" t="str">
        <f>INDEX(Master_Data!$C$152:$L$864,D76,2)</f>
        <v>ELGA YASA MEDIA, PT</v>
      </c>
      <c r="G76" s="24" t="str">
        <f>INDEX(Master_Data!$C$152:$L$864,D76,3)</f>
        <v>W</v>
      </c>
      <c r="H76" s="24">
        <f>INDEX(Master_Data!$C$152:$L$864,D76,1)</f>
        <v>1</v>
      </c>
      <c r="I76" s="24">
        <f>INDEX(Master_Data!$C$152:$L$864,D76,4)</f>
        <v>0</v>
      </c>
      <c r="J76" s="24">
        <f>INDEX(Master_Data!$C$152:$L$864,D76,5)</f>
        <v>0</v>
      </c>
      <c r="K76" s="137" t="str">
        <f>INDEX(Master_Data!$C$152:$L$864,D76,6)</f>
        <v>17-002/BKU-004/II/007</v>
      </c>
      <c r="L76" s="140" t="str">
        <f>INDEX(Master_Data!$C$152:$L$864,D76,7)</f>
        <v>010.001-17.53957886</v>
      </c>
      <c r="M76" s="140">
        <f>INDEX(Master_Data!$C$152:$L$864,D76,8)</f>
        <v>0</v>
      </c>
      <c r="N76" s="149"/>
      <c r="O76" s="245" t="e">
        <f t="shared" si="4"/>
        <v>#VALUE!</v>
      </c>
      <c r="Q76" s="169" t="str">
        <f t="shared" si="6"/>
        <v>ELGA YASA MEDIA, PTFEB</v>
      </c>
    </row>
    <row r="77" spans="2:17" s="61" customFormat="1" ht="14.1" customHeight="1">
      <c r="B77" s="338"/>
      <c r="C77" s="268">
        <f>MATCH($B$70,INDEX(Master_Data!$B$152:$B$864,D76+1,1):'Master_Data'!$B$864,0)</f>
        <v>1</v>
      </c>
      <c r="D77" s="268">
        <f t="shared" si="5"/>
        <v>61</v>
      </c>
      <c r="E77" s="54">
        <v>8</v>
      </c>
      <c r="F77" s="22" t="str">
        <f>INDEX(Master_Data!$C$152:$L$864,D77,2)</f>
        <v>ELGA YASA MEDIA, PT</v>
      </c>
      <c r="G77" s="24" t="str">
        <f>INDEX(Master_Data!$C$152:$L$864,D77,3)</f>
        <v>L</v>
      </c>
      <c r="H77" s="24">
        <f>INDEX(Master_Data!$C$152:$L$864,D77,1)</f>
        <v>1</v>
      </c>
      <c r="I77" s="24">
        <f>INDEX(Master_Data!$C$152:$L$864,D77,4)</f>
        <v>0</v>
      </c>
      <c r="J77" s="24">
        <f>INDEX(Master_Data!$C$152:$L$864,D77,5)</f>
        <v>0</v>
      </c>
      <c r="K77" s="137" t="str">
        <f>INDEX(Master_Data!$C$152:$L$864,D77,6)</f>
        <v>17-003/BKU-004/II/007</v>
      </c>
      <c r="L77" s="140" t="str">
        <f>INDEX(Master_Data!$C$152:$L$864,D77,7)</f>
        <v>-</v>
      </c>
      <c r="M77" s="140">
        <f>INDEX(Master_Data!$C$152:$L$864,D77,8)</f>
        <v>0</v>
      </c>
      <c r="N77" s="149"/>
      <c r="O77" s="245" t="e">
        <f t="shared" si="4"/>
        <v>#VALUE!</v>
      </c>
      <c r="Q77" s="169" t="str">
        <f t="shared" si="6"/>
        <v>ELGA YASA MEDIA, PTFEB</v>
      </c>
    </row>
    <row r="78" spans="2:17" s="61" customFormat="1" ht="14.1" customHeight="1">
      <c r="B78" s="338"/>
      <c r="C78" s="268">
        <f>MATCH($B$70,INDEX(Master_Data!$B$152:$B$864,D77+1,1):'Master_Data'!$B$864,0)</f>
        <v>7</v>
      </c>
      <c r="D78" s="268">
        <f t="shared" si="5"/>
        <v>68</v>
      </c>
      <c r="E78" s="24">
        <v>9</v>
      </c>
      <c r="F78" s="22" t="str">
        <f>INDEX(Master_Data!$C$152:$L$864,D78,2)</f>
        <v>EXPANS PETROGAS INTRANUSA, PT</v>
      </c>
      <c r="G78" s="24" t="str">
        <f>INDEX(Master_Data!$C$152:$L$864,D78,3)</f>
        <v>W</v>
      </c>
      <c r="H78" s="24">
        <f>INDEX(Master_Data!$C$152:$L$864,D78,1)</f>
        <v>1</v>
      </c>
      <c r="I78" s="24">
        <f>INDEX(Master_Data!$C$152:$L$864,D78,4)</f>
        <v>0</v>
      </c>
      <c r="J78" s="24">
        <f>INDEX(Master_Data!$C$152:$L$864,D78,5)</f>
        <v>0</v>
      </c>
      <c r="K78" s="137" t="str">
        <f>INDEX(Master_Data!$C$152:$L$864,D78,6)</f>
        <v>17-003/BKU-004/II/189</v>
      </c>
      <c r="L78" s="140" t="str">
        <f>INDEX(Master_Data!$C$152:$L$864,D78,7)</f>
        <v>010.001-17.53957869</v>
      </c>
      <c r="M78" s="140">
        <f>INDEX(Master_Data!$C$152:$L$864,D78,8)</f>
        <v>0</v>
      </c>
      <c r="N78" s="149"/>
      <c r="O78" s="245" t="e">
        <f t="shared" si="4"/>
        <v>#VALUE!</v>
      </c>
      <c r="Q78" s="169" t="str">
        <f t="shared" si="6"/>
        <v>EXPANS PETROGAS INTRANUSA, PTFEB</v>
      </c>
    </row>
    <row r="79" spans="2:17" s="61" customFormat="1" ht="14.1" customHeight="1">
      <c r="B79" s="338"/>
      <c r="C79" s="268">
        <f>MATCH($B$70,INDEX(Master_Data!$B$152:$B$864,D78+1,1):'Master_Data'!$B$864,0)</f>
        <v>1</v>
      </c>
      <c r="D79" s="268">
        <f t="shared" si="5"/>
        <v>69</v>
      </c>
      <c r="E79" s="54">
        <v>10</v>
      </c>
      <c r="F79" s="22" t="str">
        <f>INDEX(Master_Data!$C$152:$L$864,D79,2)</f>
        <v>EXPANS PETROGAS INTRANUSA, PT</v>
      </c>
      <c r="G79" s="24" t="str">
        <f>INDEX(Master_Data!$C$152:$L$864,D79,3)</f>
        <v>I</v>
      </c>
      <c r="H79" s="24">
        <f>INDEX(Master_Data!$C$152:$L$864,D79,1)</f>
        <v>1</v>
      </c>
      <c r="I79" s="24">
        <f>INDEX(Master_Data!$C$152:$L$864,D79,4)</f>
        <v>0</v>
      </c>
      <c r="J79" s="24">
        <f>INDEX(Master_Data!$C$152:$L$864,D79,5)</f>
        <v>0</v>
      </c>
      <c r="K79" s="137" t="str">
        <f>INDEX(Master_Data!$C$152:$L$864,D79,6)</f>
        <v>17-004/BKU-004/II/189</v>
      </c>
      <c r="L79" s="140" t="str">
        <f>INDEX(Master_Data!$C$152:$L$864,D79,7)</f>
        <v>010.001-17.53957870</v>
      </c>
      <c r="M79" s="140">
        <f>INDEX(Master_Data!$C$152:$L$864,D79,8)</f>
        <v>0</v>
      </c>
      <c r="N79" s="149"/>
      <c r="O79" s="245" t="e">
        <f t="shared" si="4"/>
        <v>#VALUE!</v>
      </c>
      <c r="Q79" s="169" t="str">
        <f t="shared" si="6"/>
        <v>EXPANS PETROGAS INTRANUSA, PTFEB</v>
      </c>
    </row>
    <row r="80" spans="2:17" s="61" customFormat="1" ht="14.1" customHeight="1">
      <c r="B80" s="338"/>
      <c r="C80" s="268">
        <f>MATCH($B$70,INDEX(Master_Data!$B$152:$B$864,D79+1,1):'Master_Data'!$B$864,0)</f>
        <v>13</v>
      </c>
      <c r="D80" s="268">
        <f t="shared" si="5"/>
        <v>82</v>
      </c>
      <c r="E80" s="24">
        <v>11</v>
      </c>
      <c r="F80" s="22" t="str">
        <f>INDEX(Master_Data!$C$152:$L$864,D80,2)</f>
        <v>HARMONI PANCA UTAMA, PT</v>
      </c>
      <c r="G80" s="24" t="str">
        <f>INDEX(Master_Data!$C$152:$L$864,D80,3)</f>
        <v>M</v>
      </c>
      <c r="H80" s="24">
        <f>INDEX(Master_Data!$C$152:$L$864,D80,1)</f>
        <v>1</v>
      </c>
      <c r="I80" s="24">
        <f>INDEX(Master_Data!$C$152:$L$864,D80,4)</f>
        <v>0</v>
      </c>
      <c r="J80" s="24">
        <f>INDEX(Master_Data!$C$152:$L$864,D80,5)</f>
        <v>0</v>
      </c>
      <c r="K80" s="137" t="str">
        <f>INDEX(Master_Data!$C$152:$L$864,D80,6)</f>
        <v>17-009/BKU-004/II/159</v>
      </c>
      <c r="L80" s="140" t="str">
        <f>INDEX(Master_Data!$C$152:$L$864,D80,7)</f>
        <v>010.001-17.53957891</v>
      </c>
      <c r="M80" s="140">
        <f>INDEX(Master_Data!$C$152:$L$864,D80,8)</f>
        <v>0</v>
      </c>
      <c r="N80" s="149"/>
      <c r="O80" s="245" t="e">
        <f t="shared" si="4"/>
        <v>#VALUE!</v>
      </c>
      <c r="Q80" s="169" t="str">
        <f t="shared" si="6"/>
        <v>HARMONI PANCA UTAMA, PTFEB</v>
      </c>
    </row>
    <row r="81" spans="2:17" s="61" customFormat="1" ht="14.1" customHeight="1">
      <c r="B81" s="338"/>
      <c r="C81" s="268">
        <f>MATCH($B$70,INDEX(Master_Data!$B$152:$B$864,D80+1,1):'Master_Data'!$B$864,0)</f>
        <v>1</v>
      </c>
      <c r="D81" s="268">
        <f t="shared" si="5"/>
        <v>83</v>
      </c>
      <c r="E81" s="54">
        <v>12</v>
      </c>
      <c r="F81" s="22" t="str">
        <f>INDEX(Master_Data!$C$152:$L$864,D81,2)</f>
        <v>HARMONI PANCA UTAMA, PT</v>
      </c>
      <c r="G81" s="24" t="str">
        <f>INDEX(Master_Data!$C$152:$L$864,D81,3)</f>
        <v>M</v>
      </c>
      <c r="H81" s="24">
        <f>INDEX(Master_Data!$C$152:$L$864,D81,1)</f>
        <v>1</v>
      </c>
      <c r="I81" s="24">
        <f>INDEX(Master_Data!$C$152:$L$864,D81,4)</f>
        <v>0</v>
      </c>
      <c r="J81" s="24">
        <f>INDEX(Master_Data!$C$152:$L$864,D81,5)</f>
        <v>0</v>
      </c>
      <c r="K81" s="137" t="str">
        <f>INDEX(Master_Data!$C$152:$L$864,D81,6)</f>
        <v>17-010/BKU-004/II/159</v>
      </c>
      <c r="L81" s="140" t="str">
        <f>INDEX(Master_Data!$C$152:$L$864,D81,7)</f>
        <v>010.001-17.53957892</v>
      </c>
      <c r="M81" s="140">
        <f>INDEX(Master_Data!$C$152:$L$864,D81,8)</f>
        <v>0</v>
      </c>
      <c r="N81" s="149"/>
      <c r="O81" s="245" t="e">
        <f t="shared" si="4"/>
        <v>#VALUE!</v>
      </c>
      <c r="Q81" s="169" t="str">
        <f t="shared" si="6"/>
        <v>HARMONI PANCA UTAMA, PTFEB</v>
      </c>
    </row>
    <row r="82" spans="2:17" s="61" customFormat="1" ht="14.1" customHeight="1">
      <c r="B82" s="338"/>
      <c r="C82" s="268">
        <f>MATCH($B$70,INDEX(Master_Data!$B$152:$B$864,D81+1,1):'Master_Data'!$B$864,0)</f>
        <v>1</v>
      </c>
      <c r="D82" s="268">
        <f t="shared" si="5"/>
        <v>84</v>
      </c>
      <c r="E82" s="24">
        <v>13</v>
      </c>
      <c r="F82" s="22" t="str">
        <f>INDEX(Master_Data!$C$152:$L$864,D82,2)</f>
        <v>HARMONI PANCA UTAMA, PT</v>
      </c>
      <c r="G82" s="24" t="str">
        <f>INDEX(Master_Data!$C$152:$L$864,D82,3)</f>
        <v>M</v>
      </c>
      <c r="H82" s="24">
        <f>INDEX(Master_Data!$C$152:$L$864,D82,1)</f>
        <v>1</v>
      </c>
      <c r="I82" s="24">
        <f>INDEX(Master_Data!$C$152:$L$864,D82,4)</f>
        <v>0</v>
      </c>
      <c r="J82" s="24">
        <f>INDEX(Master_Data!$C$152:$L$864,D82,5)</f>
        <v>0</v>
      </c>
      <c r="K82" s="137" t="str">
        <f>INDEX(Master_Data!$C$152:$L$864,D82,6)</f>
        <v>17-011/BKU-004/II/159</v>
      </c>
      <c r="L82" s="140" t="str">
        <f>INDEX(Master_Data!$C$152:$L$864,D82,7)</f>
        <v>010.001-17.53957893</v>
      </c>
      <c r="M82" s="140">
        <f>INDEX(Master_Data!$C$152:$L$864,D82,8)</f>
        <v>0</v>
      </c>
      <c r="N82" s="149"/>
      <c r="O82" s="245" t="e">
        <f t="shared" si="4"/>
        <v>#VALUE!</v>
      </c>
      <c r="Q82" s="169" t="str">
        <f t="shared" si="6"/>
        <v>HARMONI PANCA UTAMA, PTFEB</v>
      </c>
    </row>
    <row r="83" spans="2:17" s="61" customFormat="1" ht="14.1" customHeight="1">
      <c r="B83" s="242"/>
      <c r="C83" s="268">
        <f>MATCH($B$70,INDEX(Master_Data!$B$152:$B$864,D82+1,1):'Master_Data'!$B$864,0)</f>
        <v>1</v>
      </c>
      <c r="D83" s="268">
        <f t="shared" si="5"/>
        <v>85</v>
      </c>
      <c r="E83" s="54">
        <v>14</v>
      </c>
      <c r="F83" s="22" t="str">
        <f>INDEX(Master_Data!$C$152:$L$864,D83,2)</f>
        <v>HARMONI PANCA UTAMA, PT</v>
      </c>
      <c r="G83" s="24" t="str">
        <f>INDEX(Master_Data!$C$152:$L$864,D83,3)</f>
        <v>M</v>
      </c>
      <c r="H83" s="24">
        <f>INDEX(Master_Data!$C$152:$L$864,D83,1)</f>
        <v>1</v>
      </c>
      <c r="I83" s="24">
        <f>INDEX(Master_Data!$C$152:$L$864,D83,4)</f>
        <v>0</v>
      </c>
      <c r="J83" s="24">
        <f>INDEX(Master_Data!$C$152:$L$864,D83,5)</f>
        <v>0</v>
      </c>
      <c r="K83" s="137" t="str">
        <f>INDEX(Master_Data!$C$152:$L$864,D83,6)</f>
        <v>17-012/BKU-004/II/159</v>
      </c>
      <c r="L83" s="140" t="str">
        <f>INDEX(Master_Data!$C$152:$L$864,D83,7)</f>
        <v>010.001-17.53957894</v>
      </c>
      <c r="M83" s="140">
        <f>INDEX(Master_Data!$C$152:$L$864,D83,8)</f>
        <v>0</v>
      </c>
      <c r="N83" s="149"/>
      <c r="O83" s="245" t="e">
        <f t="shared" si="4"/>
        <v>#VALUE!</v>
      </c>
      <c r="Q83" s="169" t="str">
        <f t="shared" si="6"/>
        <v>HARMONI PANCA UTAMA, PTFEB</v>
      </c>
    </row>
    <row r="84" spans="2:17" s="61" customFormat="1" ht="14.1" customHeight="1">
      <c r="B84" s="242"/>
      <c r="C84" s="268">
        <f>MATCH($B$70,INDEX(Master_Data!$B$152:$B$864,D83+1,1):'Master_Data'!$B$864,0)</f>
        <v>2</v>
      </c>
      <c r="D84" s="268">
        <f t="shared" si="5"/>
        <v>87</v>
      </c>
      <c r="E84" s="24">
        <v>15</v>
      </c>
      <c r="F84" s="22" t="str">
        <f>INDEX(Master_Data!$C$152:$L$864,D84,2)</f>
        <v>HARMONI PANCA UTAMA, PT</v>
      </c>
      <c r="G84" s="24" t="str">
        <f>INDEX(Master_Data!$C$152:$L$864,D84,3)</f>
        <v>V</v>
      </c>
      <c r="H84" s="24">
        <f>INDEX(Master_Data!$C$152:$L$864,D84,1)</f>
        <v>1</v>
      </c>
      <c r="I84" s="24">
        <f>INDEX(Master_Data!$C$152:$L$864,D84,4)</f>
        <v>0</v>
      </c>
      <c r="J84" s="24">
        <f>INDEX(Master_Data!$C$152:$L$864,D84,5)</f>
        <v>0</v>
      </c>
      <c r="K84" s="137" t="str">
        <f>INDEX(Master_Data!$C$152:$L$864,D84,6)</f>
        <v>17-014/BKU-004/II/159</v>
      </c>
      <c r="L84" s="140" t="str">
        <f>INDEX(Master_Data!$C$152:$L$864,D84,7)</f>
        <v>010.001-17.53957896</v>
      </c>
      <c r="M84" s="140">
        <f>INDEX(Master_Data!$C$152:$L$864,D84,8)</f>
        <v>0</v>
      </c>
      <c r="N84" s="149"/>
      <c r="O84" s="245" t="e">
        <f t="shared" si="4"/>
        <v>#VALUE!</v>
      </c>
      <c r="Q84" s="169" t="str">
        <f t="shared" si="6"/>
        <v>HARMONI PANCA UTAMA, PTFEB</v>
      </c>
    </row>
    <row r="85" spans="2:17" s="61" customFormat="1" ht="14.1" customHeight="1">
      <c r="B85" s="242"/>
      <c r="C85" s="268">
        <f>MATCH($B$70,INDEX(Master_Data!$B$152:$B$864,D84+1,1):'Master_Data'!$B$864,0)</f>
        <v>1</v>
      </c>
      <c r="D85" s="268">
        <f t="shared" si="5"/>
        <v>88</v>
      </c>
      <c r="E85" s="54">
        <v>16</v>
      </c>
      <c r="F85" s="22" t="str">
        <f>INDEX(Master_Data!$C$152:$L$864,D85,2)</f>
        <v>HARMONI PANCA UTAMA, PT</v>
      </c>
      <c r="G85" s="24" t="str">
        <f>INDEX(Master_Data!$C$152:$L$864,D85,3)</f>
        <v>V</v>
      </c>
      <c r="H85" s="24">
        <f>INDEX(Master_Data!$C$152:$L$864,D85,1)</f>
        <v>1</v>
      </c>
      <c r="I85" s="24">
        <f>INDEX(Master_Data!$C$152:$L$864,D85,4)</f>
        <v>0</v>
      </c>
      <c r="J85" s="24">
        <f>INDEX(Master_Data!$C$152:$L$864,D85,5)</f>
        <v>0</v>
      </c>
      <c r="K85" s="137" t="str">
        <f>INDEX(Master_Data!$C$152:$L$864,D85,6)</f>
        <v>17-015/BKU-004/II/159</v>
      </c>
      <c r="L85" s="140" t="str">
        <f>INDEX(Master_Data!$C$152:$L$864,D85,7)</f>
        <v>010.001-17.53957897</v>
      </c>
      <c r="M85" s="140">
        <f>INDEX(Master_Data!$C$152:$L$864,D85,8)</f>
        <v>0</v>
      </c>
      <c r="N85" s="149"/>
      <c r="O85" s="245" t="e">
        <f t="shared" si="4"/>
        <v>#VALUE!</v>
      </c>
      <c r="Q85" s="169" t="str">
        <f t="shared" si="6"/>
        <v>HARMONI PANCA UTAMA, PTFEB</v>
      </c>
    </row>
    <row r="86" spans="2:17" s="61" customFormat="1" ht="14.1" customHeight="1">
      <c r="B86" s="242"/>
      <c r="C86" s="268">
        <f>MATCH($B$70,INDEX(Master_Data!$B$152:$B$864,D85+1,1):'Master_Data'!$B$864,0)</f>
        <v>83</v>
      </c>
      <c r="D86" s="268">
        <f t="shared" si="5"/>
        <v>171</v>
      </c>
      <c r="E86" s="24">
        <v>17</v>
      </c>
      <c r="F86" s="22" t="str">
        <f>INDEX(Master_Data!$C$152:$L$864,D86,2)</f>
        <v>HASTA PANCA MANDIRI UTAMA, PT</v>
      </c>
      <c r="G86" s="24" t="str">
        <f>INDEX(Master_Data!$C$152:$L$864,D86,3)</f>
        <v>M</v>
      </c>
      <c r="H86" s="24">
        <f>INDEX(Master_Data!$C$152:$L$864,D86,1)</f>
        <v>1</v>
      </c>
      <c r="I86" s="24">
        <f>INDEX(Master_Data!$C$152:$L$864,D86,4)</f>
        <v>0</v>
      </c>
      <c r="J86" s="24">
        <f>INDEX(Master_Data!$C$152:$L$864,D86,5)</f>
        <v>0</v>
      </c>
      <c r="K86" s="137" t="str">
        <f>INDEX(Master_Data!$C$152:$L$864,D86,6)</f>
        <v>17-005/BKU-004/II/179</v>
      </c>
      <c r="L86" s="140" t="str">
        <f>INDEX(Master_Data!$C$152:$L$864,D86,7)</f>
        <v>010.001-17.53957887</v>
      </c>
      <c r="M86" s="140">
        <f>INDEX(Master_Data!$C$152:$L$864,D86,8)</f>
        <v>0</v>
      </c>
      <c r="N86" s="149"/>
      <c r="O86" s="245" t="e">
        <f t="shared" si="4"/>
        <v>#VALUE!</v>
      </c>
      <c r="Q86" s="169" t="str">
        <f t="shared" si="6"/>
        <v>HASTA PANCA MANDIRI UTAMA, PTFEB</v>
      </c>
    </row>
    <row r="87" spans="2:17" s="61" customFormat="1" ht="14.1" customHeight="1">
      <c r="B87" s="242"/>
      <c r="C87" s="268">
        <f>MATCH($B$70,INDEX(Master_Data!$B$152:$B$864,D86+1,1):'Master_Data'!$B$864,0)</f>
        <v>1</v>
      </c>
      <c r="D87" s="268">
        <f t="shared" si="5"/>
        <v>172</v>
      </c>
      <c r="E87" s="54">
        <v>18</v>
      </c>
      <c r="F87" s="22" t="str">
        <f>INDEX(Master_Data!$C$152:$L$864,D87,2)</f>
        <v>HASTA PANCA MANDIRI UTAMA, PT</v>
      </c>
      <c r="G87" s="24" t="str">
        <f>INDEX(Master_Data!$C$152:$L$864,D87,3)</f>
        <v>V</v>
      </c>
      <c r="H87" s="24">
        <f>INDEX(Master_Data!$C$152:$L$864,D87,1)</f>
        <v>1</v>
      </c>
      <c r="I87" s="24">
        <f>INDEX(Master_Data!$C$152:$L$864,D87,4)</f>
        <v>0</v>
      </c>
      <c r="J87" s="24">
        <f>INDEX(Master_Data!$C$152:$L$864,D87,5)</f>
        <v>0</v>
      </c>
      <c r="K87" s="137" t="str">
        <f>INDEX(Master_Data!$C$152:$L$864,D87,6)</f>
        <v>17-006/BKU-004/II/179</v>
      </c>
      <c r="L87" s="140" t="str">
        <f>INDEX(Master_Data!$C$152:$L$864,D87,7)</f>
        <v>010.001-17.53957888</v>
      </c>
      <c r="M87" s="140">
        <f>INDEX(Master_Data!$C$152:$L$864,D87,8)</f>
        <v>0</v>
      </c>
      <c r="N87" s="149"/>
      <c r="O87" s="245" t="e">
        <f t="shared" si="4"/>
        <v>#VALUE!</v>
      </c>
      <c r="Q87" s="169" t="str">
        <f t="shared" si="6"/>
        <v>HASTA PANCA MANDIRI UTAMA, PTFEB</v>
      </c>
    </row>
    <row r="88" spans="2:17" s="61" customFormat="1" ht="14.1" customHeight="1">
      <c r="B88" s="242"/>
      <c r="C88" s="268">
        <f>MATCH($B$70,INDEX(Master_Data!$B$152:$B$864,D87+1,1):'Master_Data'!$B$864,0)</f>
        <v>1</v>
      </c>
      <c r="D88" s="268">
        <f t="shared" si="5"/>
        <v>173</v>
      </c>
      <c r="E88" s="24">
        <v>19</v>
      </c>
      <c r="F88" s="22" t="str">
        <f>INDEX(Master_Data!$C$152:$L$864,D88,2)</f>
        <v>HASTA PANCA MANDIRI UTAMA, PT</v>
      </c>
      <c r="G88" s="24" t="str">
        <f>INDEX(Master_Data!$C$152:$L$864,D88,3)</f>
        <v>V</v>
      </c>
      <c r="H88" s="24">
        <f>INDEX(Master_Data!$C$152:$L$864,D88,1)</f>
        <v>1</v>
      </c>
      <c r="I88" s="24">
        <f>INDEX(Master_Data!$C$152:$L$864,D88,4)</f>
        <v>0</v>
      </c>
      <c r="J88" s="24">
        <f>INDEX(Master_Data!$C$152:$L$864,D88,5)</f>
        <v>0</v>
      </c>
      <c r="K88" s="137" t="str">
        <f>INDEX(Master_Data!$C$152:$L$864,D88,6)</f>
        <v>17-007/BKU-004/II/179</v>
      </c>
      <c r="L88" s="140" t="str">
        <f>INDEX(Master_Data!$C$152:$L$864,D88,7)</f>
        <v>010.001-17.53957889</v>
      </c>
      <c r="M88" s="140">
        <f>INDEX(Master_Data!$C$152:$L$864,D88,8)</f>
        <v>0</v>
      </c>
      <c r="N88" s="149"/>
      <c r="O88" s="245" t="e">
        <f t="shared" si="4"/>
        <v>#VALUE!</v>
      </c>
      <c r="Q88" s="169" t="str">
        <f t="shared" si="6"/>
        <v>HASTA PANCA MANDIRI UTAMA, PTFEB</v>
      </c>
    </row>
    <row r="89" spans="2:17" s="61" customFormat="1" ht="14.1" customHeight="1">
      <c r="B89" s="242"/>
      <c r="C89" s="268">
        <f>MATCH($B$70,INDEX(Master_Data!$B$152:$B$864,D88+1,1):'Master_Data'!$B$864,0)</f>
        <v>1</v>
      </c>
      <c r="D89" s="268">
        <f t="shared" si="5"/>
        <v>174</v>
      </c>
      <c r="E89" s="54">
        <v>20</v>
      </c>
      <c r="F89" s="22" t="str">
        <f>INDEX(Master_Data!$C$152:$L$864,D89,2)</f>
        <v>HASTA PANCA MANDIRI UTAMA, PT</v>
      </c>
      <c r="G89" s="24" t="str">
        <f>INDEX(Master_Data!$C$152:$L$864,D89,3)</f>
        <v>V</v>
      </c>
      <c r="H89" s="24">
        <f>INDEX(Master_Data!$C$152:$L$864,D89,1)</f>
        <v>1</v>
      </c>
      <c r="I89" s="24">
        <f>INDEX(Master_Data!$C$152:$L$864,D89,4)</f>
        <v>0</v>
      </c>
      <c r="J89" s="24">
        <f>INDEX(Master_Data!$C$152:$L$864,D89,5)</f>
        <v>0</v>
      </c>
      <c r="K89" s="137" t="str">
        <f>INDEX(Master_Data!$C$152:$L$864,D89,6)</f>
        <v>17-008/BKU-004/II/179</v>
      </c>
      <c r="L89" s="140" t="str">
        <f>INDEX(Master_Data!$C$152:$L$864,D89,7)</f>
        <v>010.001-17.53957890</v>
      </c>
      <c r="M89" s="140">
        <f>INDEX(Master_Data!$C$152:$L$864,D89,8)</f>
        <v>0</v>
      </c>
      <c r="N89" s="149"/>
      <c r="O89" s="245" t="e">
        <f t="shared" si="4"/>
        <v>#VALUE!</v>
      </c>
      <c r="Q89" s="169" t="str">
        <f t="shared" si="6"/>
        <v>HASTA PANCA MANDIRI UTAMA, PTFEB</v>
      </c>
    </row>
    <row r="90" spans="2:17" s="61" customFormat="1" ht="14.1" customHeight="1">
      <c r="B90" s="242"/>
      <c r="C90" s="268">
        <f>MATCH($B$70,INDEX(Master_Data!$B$152:$B$864,D89+1,1):'Master_Data'!$B$864,0)</f>
        <v>38</v>
      </c>
      <c r="D90" s="268">
        <f t="shared" si="5"/>
        <v>212</v>
      </c>
      <c r="E90" s="24">
        <v>21</v>
      </c>
      <c r="F90" s="22" t="str">
        <f>INDEX(Master_Data!$C$152:$L$864,D90,2)</f>
        <v>HUTAN KETAPANG INDUSTRI, PT</v>
      </c>
      <c r="G90" s="24" t="str">
        <f>INDEX(Master_Data!$C$152:$L$864,D90,3)</f>
        <v>V</v>
      </c>
      <c r="H90" s="24">
        <f>INDEX(Master_Data!$C$152:$L$864,D90,1)</f>
        <v>1</v>
      </c>
      <c r="I90" s="24">
        <f>INDEX(Master_Data!$C$152:$L$864,D90,4)</f>
        <v>0</v>
      </c>
      <c r="J90" s="24">
        <f>INDEX(Master_Data!$C$152:$L$864,D90,5)</f>
        <v>0</v>
      </c>
      <c r="K90" s="137" t="str">
        <f>INDEX(Master_Data!$C$152:$L$864,D90,6)</f>
        <v>17-005/BKU-004/II/204</v>
      </c>
      <c r="L90" s="140" t="str">
        <f>INDEX(Master_Data!$C$152:$L$864,D90,7)</f>
        <v>010.001-17.53957898</v>
      </c>
      <c r="M90" s="140">
        <f>INDEX(Master_Data!$C$152:$L$864,D90,8)</f>
        <v>0</v>
      </c>
      <c r="N90" s="149"/>
      <c r="O90" s="245" t="e">
        <f t="shared" si="4"/>
        <v>#VALUE!</v>
      </c>
      <c r="Q90" s="169" t="str">
        <f t="shared" si="6"/>
        <v>HUTAN KETAPANG INDUSTRI, PTFEB</v>
      </c>
    </row>
    <row r="91" spans="2:17" s="61" customFormat="1" ht="14.1" customHeight="1">
      <c r="B91" s="242"/>
      <c r="C91" s="268">
        <f>MATCH($B$70,INDEX(Master_Data!$B$152:$B$864,D90+1,1):'Master_Data'!$B$864,0)</f>
        <v>1</v>
      </c>
      <c r="D91" s="268">
        <f t="shared" si="5"/>
        <v>213</v>
      </c>
      <c r="E91" s="54">
        <v>22</v>
      </c>
      <c r="F91" s="22" t="str">
        <f>INDEX(Master_Data!$C$152:$L$864,D91,2)</f>
        <v>HUTAN KETAPANG INDUSTRI, PT</v>
      </c>
      <c r="G91" s="24" t="str">
        <f>INDEX(Master_Data!$C$152:$L$864,D91,3)</f>
        <v>V</v>
      </c>
      <c r="H91" s="24">
        <f>INDEX(Master_Data!$C$152:$L$864,D91,1)</f>
        <v>1</v>
      </c>
      <c r="I91" s="24">
        <f>INDEX(Master_Data!$C$152:$L$864,D91,4)</f>
        <v>0</v>
      </c>
      <c r="J91" s="24">
        <f>INDEX(Master_Data!$C$152:$L$864,D91,5)</f>
        <v>0</v>
      </c>
      <c r="K91" s="137" t="str">
        <f>INDEX(Master_Data!$C$152:$L$864,D91,6)</f>
        <v>17-006/BKU-004/II/204</v>
      </c>
      <c r="L91" s="140" t="str">
        <f>INDEX(Master_Data!$C$152:$L$864,D91,7)</f>
        <v>010.001-17.53957899</v>
      </c>
      <c r="M91" s="140">
        <f>INDEX(Master_Data!$C$152:$L$864,D91,8)</f>
        <v>0</v>
      </c>
      <c r="N91" s="149"/>
      <c r="O91" s="245" t="e">
        <f t="shared" si="4"/>
        <v>#VALUE!</v>
      </c>
      <c r="Q91" s="169" t="str">
        <f t="shared" si="6"/>
        <v>HUTAN KETAPANG INDUSTRI, PTFEB</v>
      </c>
    </row>
    <row r="92" spans="2:17" s="61" customFormat="1" ht="14.1" customHeight="1">
      <c r="B92" s="242"/>
      <c r="C92" s="268">
        <f>MATCH($B$70,INDEX(Master_Data!$B$152:$B$864,D91+1,1):'Master_Data'!$B$864,0)</f>
        <v>1</v>
      </c>
      <c r="D92" s="268">
        <f t="shared" si="5"/>
        <v>214</v>
      </c>
      <c r="E92" s="24">
        <v>23</v>
      </c>
      <c r="F92" s="22" t="str">
        <f>INDEX(Master_Data!$C$152:$L$864,D92,2)</f>
        <v>HUTAN KETAPANG INDUSTRI, PT</v>
      </c>
      <c r="G92" s="24" t="str">
        <f>INDEX(Master_Data!$C$152:$L$864,D92,3)</f>
        <v>V</v>
      </c>
      <c r="H92" s="24">
        <f>INDEX(Master_Data!$C$152:$L$864,D92,1)</f>
        <v>1</v>
      </c>
      <c r="I92" s="24">
        <f>INDEX(Master_Data!$C$152:$L$864,D92,4)</f>
        <v>0</v>
      </c>
      <c r="J92" s="24">
        <f>INDEX(Master_Data!$C$152:$L$864,D92,5)</f>
        <v>0</v>
      </c>
      <c r="K92" s="137" t="str">
        <f>INDEX(Master_Data!$C$152:$L$864,D92,6)</f>
        <v>17-007/BKU-004/II/204</v>
      </c>
      <c r="L92" s="140" t="str">
        <f>INDEX(Master_Data!$C$152:$L$864,D92,7)</f>
        <v>010.001-17.53957900</v>
      </c>
      <c r="M92" s="140">
        <f>INDEX(Master_Data!$C$152:$L$864,D92,8)</f>
        <v>0</v>
      </c>
      <c r="N92" s="149"/>
      <c r="O92" s="245" t="e">
        <f t="shared" si="4"/>
        <v>#VALUE!</v>
      </c>
      <c r="Q92" s="169" t="str">
        <f t="shared" si="6"/>
        <v>HUTAN KETAPANG INDUSTRI, PTFEB</v>
      </c>
    </row>
    <row r="93" spans="2:17" s="61" customFormat="1" ht="14.1" customHeight="1">
      <c r="B93" s="242"/>
      <c r="C93" s="268">
        <f>MATCH($B$70,INDEX(Master_Data!$B$152:$B$864,D92+1,1):'Master_Data'!$B$864,0)</f>
        <v>1</v>
      </c>
      <c r="D93" s="268">
        <f t="shared" si="5"/>
        <v>215</v>
      </c>
      <c r="E93" s="54">
        <v>24</v>
      </c>
      <c r="F93" s="22" t="str">
        <f>INDEX(Master_Data!$C$152:$L$864,D93,2)</f>
        <v>HUTAN KETAPANG INDUSTRI, PT</v>
      </c>
      <c r="G93" s="24" t="str">
        <f>INDEX(Master_Data!$C$152:$L$864,D93,3)</f>
        <v>V</v>
      </c>
      <c r="H93" s="24">
        <f>INDEX(Master_Data!$C$152:$L$864,D93,1)</f>
        <v>1</v>
      </c>
      <c r="I93" s="24">
        <f>INDEX(Master_Data!$C$152:$L$864,D93,4)</f>
        <v>0</v>
      </c>
      <c r="J93" s="24">
        <f>INDEX(Master_Data!$C$152:$L$864,D93,5)</f>
        <v>0</v>
      </c>
      <c r="K93" s="137" t="str">
        <f>INDEX(Master_Data!$C$152:$L$864,D93,6)</f>
        <v>17-008/BKU-004/II/204</v>
      </c>
      <c r="L93" s="140" t="str">
        <f>INDEX(Master_Data!$C$152:$L$864,D93,7)</f>
        <v>010.001-17.53957901</v>
      </c>
      <c r="M93" s="140">
        <f>INDEX(Master_Data!$C$152:$L$864,D93,8)</f>
        <v>0</v>
      </c>
      <c r="N93" s="149"/>
      <c r="O93" s="245" t="e">
        <f t="shared" si="4"/>
        <v>#VALUE!</v>
      </c>
      <c r="Q93" s="169" t="str">
        <f t="shared" si="6"/>
        <v>HUTAN KETAPANG INDUSTRI, PTFEB</v>
      </c>
    </row>
    <row r="94" spans="2:17" s="61" customFormat="1" ht="14.1" customHeight="1">
      <c r="B94" s="242"/>
      <c r="C94" s="268">
        <f>MATCH($B$70,INDEX(Master_Data!$B$152:$B$864,D93+1,1):'Master_Data'!$B$864,0)</f>
        <v>47</v>
      </c>
      <c r="D94" s="268">
        <f t="shared" si="5"/>
        <v>262</v>
      </c>
      <c r="E94" s="24">
        <v>25</v>
      </c>
      <c r="F94" s="22" t="str">
        <f>INDEX(Master_Data!$C$152:$L$864,D94,2)</f>
        <v>KALIMANTAN PRIMA PERSADA, PT</v>
      </c>
      <c r="G94" s="24" t="str">
        <f>INDEX(Master_Data!$C$152:$L$864,D94,3)</f>
        <v>O</v>
      </c>
      <c r="H94" s="24">
        <f>INDEX(Master_Data!$C$152:$L$864,D94,1)</f>
        <v>6</v>
      </c>
      <c r="I94" s="24">
        <f>INDEX(Master_Data!$C$152:$L$864,D94,4)</f>
        <v>0</v>
      </c>
      <c r="J94" s="24">
        <f>INDEX(Master_Data!$C$152:$L$864,D94,5)</f>
        <v>0</v>
      </c>
      <c r="K94" s="137" t="str">
        <f>INDEX(Master_Data!$C$152:$L$864,D94,6)</f>
        <v>17-002/BKU-004/II/208</v>
      </c>
      <c r="L94" s="140" t="str">
        <f>INDEX(Master_Data!$C$152:$L$864,D94,7)</f>
        <v>010.001-17.53957911</v>
      </c>
      <c r="M94" s="140">
        <f>INDEX(Master_Data!$C$152:$L$864,D94,8)</f>
        <v>0</v>
      </c>
      <c r="N94" s="149"/>
      <c r="O94" s="245" t="e">
        <f t="shared" si="4"/>
        <v>#VALUE!</v>
      </c>
      <c r="Q94" s="169" t="str">
        <f t="shared" si="6"/>
        <v>KALIMANTAN PRIMA PERSADA, PTFEB</v>
      </c>
    </row>
    <row r="95" spans="2:17" s="61" customFormat="1" ht="14.1" customHeight="1">
      <c r="B95" s="242"/>
      <c r="C95" s="268">
        <f>MATCH($B$70,INDEX(Master_Data!$B$152:$B$864,D94+1,1):'Master_Data'!$B$864,0)</f>
        <v>1</v>
      </c>
      <c r="D95" s="268">
        <f t="shared" si="5"/>
        <v>263</v>
      </c>
      <c r="E95" s="54">
        <v>26</v>
      </c>
      <c r="F95" s="22" t="str">
        <f>INDEX(Master_Data!$C$152:$L$864,D95,2)</f>
        <v>KALIMANTAN PRIMA PERSADA, PT</v>
      </c>
      <c r="G95" s="24" t="str">
        <f>INDEX(Master_Data!$C$152:$L$864,D95,3)</f>
        <v>W</v>
      </c>
      <c r="H95" s="24">
        <f>INDEX(Master_Data!$C$152:$L$864,D95,1)</f>
        <v>6</v>
      </c>
      <c r="I95" s="24">
        <f>INDEX(Master_Data!$C$152:$L$864,D95,4)</f>
        <v>0</v>
      </c>
      <c r="J95" s="24">
        <f>INDEX(Master_Data!$C$152:$L$864,D95,5)</f>
        <v>0</v>
      </c>
      <c r="K95" s="137" t="str">
        <f>INDEX(Master_Data!$C$152:$L$864,D95,6)</f>
        <v>17-003/BKU-004/II/208</v>
      </c>
      <c r="L95" s="140" t="str">
        <f>INDEX(Master_Data!$C$152:$L$864,D95,7)</f>
        <v>010.001-17.53957912</v>
      </c>
      <c r="M95" s="140">
        <f>INDEX(Master_Data!$C$152:$L$864,D95,8)</f>
        <v>0</v>
      </c>
      <c r="N95" s="149"/>
      <c r="O95" s="245" t="e">
        <f t="shared" si="4"/>
        <v>#VALUE!</v>
      </c>
      <c r="Q95" s="169" t="str">
        <f t="shared" si="6"/>
        <v>KALIMANTAN PRIMA PERSADA, PTFEB</v>
      </c>
    </row>
    <row r="96" spans="2:17" s="61" customFormat="1" ht="14.1" customHeight="1">
      <c r="B96" s="242"/>
      <c r="C96" s="268">
        <f>MATCH($B$70,INDEX(Master_Data!$B$152:$B$864,D95+1,1):'Master_Data'!$B$864,0)</f>
        <v>21</v>
      </c>
      <c r="D96" s="268">
        <f t="shared" si="5"/>
        <v>284</v>
      </c>
      <c r="E96" s="24">
        <v>27</v>
      </c>
      <c r="F96" s="22" t="str">
        <f>INDEX(Master_Data!$C$152:$L$864,D96,2)</f>
        <v>KUSUMA MENTARI MAKMUR, PT</v>
      </c>
      <c r="G96" s="24" t="str">
        <f>INDEX(Master_Data!$C$152:$L$864,D96,3)</f>
        <v>V</v>
      </c>
      <c r="H96" s="24">
        <f>INDEX(Master_Data!$C$152:$L$864,D96,1)</f>
        <v>1</v>
      </c>
      <c r="I96" s="24">
        <f>INDEX(Master_Data!$C$152:$L$864,D96,4)</f>
        <v>0</v>
      </c>
      <c r="J96" s="24">
        <f>INDEX(Master_Data!$C$152:$L$864,D96,5)</f>
        <v>0</v>
      </c>
      <c r="K96" s="137" t="str">
        <f>INDEX(Master_Data!$C$152:$L$864,D96,6)</f>
        <v>17-002/BKU-004/II/224</v>
      </c>
      <c r="L96" s="140" t="str">
        <f>INDEX(Master_Data!$C$152:$L$864,D96,7)</f>
        <v>010.001-17.53957902</v>
      </c>
      <c r="M96" s="140">
        <f>INDEX(Master_Data!$C$152:$L$864,D96,8)</f>
        <v>0</v>
      </c>
      <c r="N96" s="149"/>
      <c r="O96" s="245" t="e">
        <f t="shared" si="4"/>
        <v>#VALUE!</v>
      </c>
      <c r="Q96" s="169" t="str">
        <f t="shared" si="6"/>
        <v>KUSUMA MENTARI MAKMUR, PTFEB</v>
      </c>
    </row>
    <row r="97" spans="2:17" s="61" customFormat="1" ht="14.1" customHeight="1">
      <c r="B97" s="242"/>
      <c r="C97" s="268">
        <f>MATCH($B$70,INDEX(Master_Data!$B$152:$B$864,D96+1,1):'Master_Data'!$B$864,0)</f>
        <v>15</v>
      </c>
      <c r="D97" s="268">
        <f t="shared" si="5"/>
        <v>299</v>
      </c>
      <c r="E97" s="54">
        <v>28</v>
      </c>
      <c r="F97" s="22" t="str">
        <f>INDEX(Master_Data!$C$152:$L$864,D97,2)</f>
        <v>LANANG AGRO BERSATU, PT</v>
      </c>
      <c r="G97" s="24" t="str">
        <f>INDEX(Master_Data!$C$152:$L$864,D97,3)</f>
        <v>V</v>
      </c>
      <c r="H97" s="24">
        <f>INDEX(Master_Data!$C$152:$L$864,D97,1)</f>
        <v>1</v>
      </c>
      <c r="I97" s="24">
        <f>INDEX(Master_Data!$C$152:$L$864,D97,4)</f>
        <v>0</v>
      </c>
      <c r="J97" s="24">
        <f>INDEX(Master_Data!$C$152:$L$864,D97,5)</f>
        <v>0</v>
      </c>
      <c r="K97" s="137" t="str">
        <f>INDEX(Master_Data!$C$152:$L$864,D97,6)</f>
        <v>17-003/BKU-004/II/210</v>
      </c>
      <c r="L97" s="140" t="str">
        <f>INDEX(Master_Data!$C$152:$L$864,D97,7)</f>
        <v>010.001-17.53957903</v>
      </c>
      <c r="M97" s="140">
        <f>INDEX(Master_Data!$C$152:$L$864,D97,8)</f>
        <v>0</v>
      </c>
      <c r="N97" s="149"/>
      <c r="O97" s="245" t="e">
        <f t="shared" si="4"/>
        <v>#VALUE!</v>
      </c>
      <c r="Q97" s="169" t="str">
        <f t="shared" si="6"/>
        <v>LANANG AGRO BERSATU, PTFEB</v>
      </c>
    </row>
    <row r="98" spans="2:17" s="61" customFormat="1" ht="14.1" customHeight="1">
      <c r="B98" s="242"/>
      <c r="C98" s="268">
        <f>MATCH($B$70,INDEX(Master_Data!$B$152:$B$864,D97+1,1):'Master_Data'!$B$864,0)</f>
        <v>1</v>
      </c>
      <c r="D98" s="268">
        <f t="shared" si="5"/>
        <v>300</v>
      </c>
      <c r="E98" s="24">
        <v>29</v>
      </c>
      <c r="F98" s="22" t="str">
        <f>INDEX(Master_Data!$C$152:$L$864,D98,2)</f>
        <v>LANANG AGRO BERSATU, PT</v>
      </c>
      <c r="G98" s="24" t="str">
        <f>INDEX(Master_Data!$C$152:$L$864,D98,3)</f>
        <v>V</v>
      </c>
      <c r="H98" s="24">
        <f>INDEX(Master_Data!$C$152:$L$864,D98,1)</f>
        <v>1</v>
      </c>
      <c r="I98" s="24">
        <f>INDEX(Master_Data!$C$152:$L$864,D98,4)</f>
        <v>0</v>
      </c>
      <c r="J98" s="24">
        <f>INDEX(Master_Data!$C$152:$L$864,D98,5)</f>
        <v>0</v>
      </c>
      <c r="K98" s="137" t="str">
        <f>INDEX(Master_Data!$C$152:$L$864,D98,6)</f>
        <v>17-004/BKU-004/II/210</v>
      </c>
      <c r="L98" s="140" t="str">
        <f>INDEX(Master_Data!$C$152:$L$864,D98,7)</f>
        <v>010.001-17.53957904</v>
      </c>
      <c r="M98" s="140">
        <f>INDEX(Master_Data!$C$152:$L$864,D98,8)</f>
        <v>0</v>
      </c>
      <c r="N98" s="149"/>
      <c r="O98" s="245" t="e">
        <f t="shared" si="4"/>
        <v>#VALUE!</v>
      </c>
      <c r="Q98" s="169" t="str">
        <f t="shared" si="6"/>
        <v>LANANG AGRO BERSATU, PTFEB</v>
      </c>
    </row>
    <row r="99" spans="2:17" s="61" customFormat="1" ht="14.1" customHeight="1">
      <c r="B99" s="242"/>
      <c r="C99" s="268">
        <f>MATCH($B$70,INDEX(Master_Data!$B$152:$B$864,D98+1,1):'Master_Data'!$B$864,0)</f>
        <v>33</v>
      </c>
      <c r="D99" s="268">
        <f t="shared" si="5"/>
        <v>333</v>
      </c>
      <c r="E99" s="54">
        <v>30</v>
      </c>
      <c r="F99" s="22" t="str">
        <f>INDEX(Master_Data!$C$152:$L$864,D99,2)</f>
        <v>MADHANI TALATAH NUSANTARA, PT</v>
      </c>
      <c r="G99" s="24" t="str">
        <f>INDEX(Master_Data!$C$152:$L$864,D99,3)</f>
        <v>V</v>
      </c>
      <c r="H99" s="24">
        <f>INDEX(Master_Data!$C$152:$L$864,D99,1)</f>
        <v>1</v>
      </c>
      <c r="I99" s="24">
        <f>INDEX(Master_Data!$C$152:$L$864,D99,4)</f>
        <v>0</v>
      </c>
      <c r="J99" s="24">
        <f>INDEX(Master_Data!$C$152:$L$864,D99,5)</f>
        <v>0</v>
      </c>
      <c r="K99" s="137" t="str">
        <f>INDEX(Master_Data!$C$152:$L$864,D99,6)</f>
        <v>17-013/BKU-004/II/057</v>
      </c>
      <c r="L99" s="140" t="str">
        <f>INDEX(Master_Data!$C$152:$L$864,D99,7)</f>
        <v>010.001-17.53957876</v>
      </c>
      <c r="M99" s="140">
        <f>INDEX(Master_Data!$C$152:$L$864,D99,8)</f>
        <v>0</v>
      </c>
      <c r="N99" s="149"/>
      <c r="O99" s="245" t="e">
        <f t="shared" si="4"/>
        <v>#VALUE!</v>
      </c>
      <c r="Q99" s="169" t="str">
        <f t="shared" si="6"/>
        <v>MADHANI TALATAH NUSANTARA, PTFEB</v>
      </c>
    </row>
    <row r="100" spans="2:17" s="61" customFormat="1" ht="14.1" customHeight="1">
      <c r="B100" s="242"/>
      <c r="C100" s="268">
        <f>MATCH($B$70,INDEX(Master_Data!$B$152:$B$864,D99+1,1):'Master_Data'!$B$864,0)</f>
        <v>1</v>
      </c>
      <c r="D100" s="268">
        <f t="shared" si="5"/>
        <v>334</v>
      </c>
      <c r="E100" s="24">
        <v>31</v>
      </c>
      <c r="F100" s="22" t="str">
        <f>INDEX(Master_Data!$C$152:$L$864,D100,2)</f>
        <v>MADHANI TALATAH NUSANTARA, PT</v>
      </c>
      <c r="G100" s="24" t="str">
        <f>INDEX(Master_Data!$C$152:$L$864,D100,3)</f>
        <v>V</v>
      </c>
      <c r="H100" s="24">
        <f>INDEX(Master_Data!$C$152:$L$864,D100,1)</f>
        <v>1</v>
      </c>
      <c r="I100" s="24">
        <f>INDEX(Master_Data!$C$152:$L$864,D100,4)</f>
        <v>0</v>
      </c>
      <c r="J100" s="24">
        <f>INDEX(Master_Data!$C$152:$L$864,D100,5)</f>
        <v>0</v>
      </c>
      <c r="K100" s="137" t="str">
        <f>INDEX(Master_Data!$C$152:$L$864,D100,6)</f>
        <v>17-014/BKU-004/II/057</v>
      </c>
      <c r="L100" s="140" t="str">
        <f>INDEX(Master_Data!$C$152:$L$864,D100,7)</f>
        <v>010.001-17.53957877</v>
      </c>
      <c r="M100" s="140">
        <f>INDEX(Master_Data!$C$152:$L$864,D100,8)</f>
        <v>0</v>
      </c>
      <c r="N100" s="149"/>
      <c r="O100" s="245" t="e">
        <f t="shared" si="4"/>
        <v>#VALUE!</v>
      </c>
      <c r="Q100" s="169" t="str">
        <f t="shared" si="6"/>
        <v>MADHANI TALATAH NUSANTARA, PTFEB</v>
      </c>
    </row>
    <row r="101" spans="2:17" s="61" customFormat="1" ht="14.1" customHeight="1">
      <c r="B101" s="242"/>
      <c r="C101" s="268">
        <f>MATCH($B$70,INDEX(Master_Data!$B$152:$B$864,D100+1,1):'Master_Data'!$B$864,0)</f>
        <v>1</v>
      </c>
      <c r="D101" s="268">
        <f t="shared" si="5"/>
        <v>335</v>
      </c>
      <c r="E101" s="54">
        <v>32</v>
      </c>
      <c r="F101" s="22" t="str">
        <f>INDEX(Master_Data!$C$152:$L$864,D101,2)</f>
        <v>MADHANI TALATAH NUSANTARA, PT</v>
      </c>
      <c r="G101" s="24" t="str">
        <f>INDEX(Master_Data!$C$152:$L$864,D101,3)</f>
        <v>V</v>
      </c>
      <c r="H101" s="24">
        <f>INDEX(Master_Data!$C$152:$L$864,D101,1)</f>
        <v>1</v>
      </c>
      <c r="I101" s="24">
        <f>INDEX(Master_Data!$C$152:$L$864,D101,4)</f>
        <v>0</v>
      </c>
      <c r="J101" s="24">
        <f>INDEX(Master_Data!$C$152:$L$864,D101,5)</f>
        <v>0</v>
      </c>
      <c r="K101" s="137" t="str">
        <f>INDEX(Master_Data!$C$152:$L$864,D101,6)</f>
        <v>17-015/BKU-004/II/057</v>
      </c>
      <c r="L101" s="140" t="str">
        <f>INDEX(Master_Data!$C$152:$L$864,D101,7)</f>
        <v>010.001-17.53957878</v>
      </c>
      <c r="M101" s="140">
        <f>INDEX(Master_Data!$C$152:$L$864,D101,8)</f>
        <v>0</v>
      </c>
      <c r="N101" s="149"/>
      <c r="O101" s="245" t="e">
        <f t="shared" si="4"/>
        <v>#VALUE!</v>
      </c>
      <c r="Q101" s="169" t="str">
        <f t="shared" si="6"/>
        <v>MADHANI TALATAH NUSANTARA, PTFEB</v>
      </c>
    </row>
    <row r="102" spans="2:17" s="61" customFormat="1" ht="14.1" customHeight="1">
      <c r="B102" s="242"/>
      <c r="C102" s="268">
        <f>MATCH($B$70,INDEX(Master_Data!$B$152:$B$864,D101+1,1):'Master_Data'!$B$864,0)</f>
        <v>1</v>
      </c>
      <c r="D102" s="268">
        <f t="shared" si="5"/>
        <v>336</v>
      </c>
      <c r="E102" s="24">
        <v>33</v>
      </c>
      <c r="F102" s="22" t="str">
        <f>INDEX(Master_Data!$C$152:$L$864,D102,2)</f>
        <v>MADHANI TALATAH NUSANTARA, PT</v>
      </c>
      <c r="G102" s="24" t="str">
        <f>INDEX(Master_Data!$C$152:$L$864,D102,3)</f>
        <v>W</v>
      </c>
      <c r="H102" s="24">
        <f>INDEX(Master_Data!$C$152:$L$864,D102,1)</f>
        <v>1</v>
      </c>
      <c r="I102" s="24">
        <f>INDEX(Master_Data!$C$152:$L$864,D102,4)</f>
        <v>0</v>
      </c>
      <c r="J102" s="24">
        <f>INDEX(Master_Data!$C$152:$L$864,D102,5)</f>
        <v>0</v>
      </c>
      <c r="K102" s="137" t="str">
        <f>INDEX(Master_Data!$C$152:$L$864,D102,6)</f>
        <v>17-016/BKU-004/II/057</v>
      </c>
      <c r="L102" s="140" t="str">
        <f>INDEX(Master_Data!$C$152:$L$864,D102,7)</f>
        <v>010.001-17.53957879</v>
      </c>
      <c r="M102" s="140">
        <f>INDEX(Master_Data!$C$152:$L$864,D102,8)</f>
        <v>0</v>
      </c>
      <c r="N102" s="149"/>
      <c r="O102" s="245" t="e">
        <f t="shared" si="4"/>
        <v>#VALUE!</v>
      </c>
      <c r="Q102" s="169" t="str">
        <f t="shared" si="6"/>
        <v>MADHANI TALATAH NUSANTARA, PTFEB</v>
      </c>
    </row>
    <row r="103" spans="2:17" s="61" customFormat="1" ht="14.1" customHeight="1">
      <c r="B103" s="242"/>
      <c r="C103" s="268">
        <f>MATCH($B$70,INDEX(Master_Data!$B$152:$B$864,D102+1,1):'Master_Data'!$B$864,0)</f>
        <v>1</v>
      </c>
      <c r="D103" s="268">
        <f t="shared" si="5"/>
        <v>337</v>
      </c>
      <c r="E103" s="54">
        <v>34</v>
      </c>
      <c r="F103" s="22" t="str">
        <f>INDEX(Master_Data!$C$152:$L$864,D103,2)</f>
        <v>MADHANI TALATAH NUSANTARA, PT</v>
      </c>
      <c r="G103" s="24" t="str">
        <f>INDEX(Master_Data!$C$152:$L$864,D103,3)</f>
        <v>W</v>
      </c>
      <c r="H103" s="24">
        <f>INDEX(Master_Data!$C$152:$L$864,D103,1)</f>
        <v>1</v>
      </c>
      <c r="I103" s="24">
        <f>INDEX(Master_Data!$C$152:$L$864,D103,4)</f>
        <v>0</v>
      </c>
      <c r="J103" s="24">
        <f>INDEX(Master_Data!$C$152:$L$864,D103,5)</f>
        <v>0</v>
      </c>
      <c r="K103" s="137" t="str">
        <f>INDEX(Master_Data!$C$152:$L$864,D103,6)</f>
        <v>17-017/BKU-004/II/057</v>
      </c>
      <c r="L103" s="140" t="str">
        <f>INDEX(Master_Data!$C$152:$L$864,D103,7)</f>
        <v>010.001-17.53957880</v>
      </c>
      <c r="M103" s="140">
        <f>INDEX(Master_Data!$C$152:$L$864,D103,8)</f>
        <v>0</v>
      </c>
      <c r="N103" s="149"/>
      <c r="O103" s="245" t="e">
        <f t="shared" si="4"/>
        <v>#VALUE!</v>
      </c>
      <c r="Q103" s="169" t="str">
        <f t="shared" si="6"/>
        <v>MADHANI TALATAH NUSANTARA, PTFEB</v>
      </c>
    </row>
    <row r="104" spans="2:17" s="61" customFormat="1" ht="14.1" customHeight="1">
      <c r="B104" s="242"/>
      <c r="C104" s="268">
        <f>MATCH($B$70,INDEX(Master_Data!$B$152:$B$864,D103+1,1):'Master_Data'!$B$864,0)</f>
        <v>1</v>
      </c>
      <c r="D104" s="268">
        <f t="shared" si="5"/>
        <v>338</v>
      </c>
      <c r="E104" s="24">
        <v>35</v>
      </c>
      <c r="F104" s="22" t="str">
        <f>INDEX(Master_Data!$C$152:$L$864,D104,2)</f>
        <v>MADHANI TALATAH NUSANTARA, PT</v>
      </c>
      <c r="G104" s="24" t="str">
        <f>INDEX(Master_Data!$C$152:$L$864,D104,3)</f>
        <v>W</v>
      </c>
      <c r="H104" s="24">
        <f>INDEX(Master_Data!$C$152:$L$864,D104,1)</f>
        <v>1</v>
      </c>
      <c r="I104" s="24">
        <f>INDEX(Master_Data!$C$152:$L$864,D104,4)</f>
        <v>0</v>
      </c>
      <c r="J104" s="24">
        <f>INDEX(Master_Data!$C$152:$L$864,D104,5)</f>
        <v>0</v>
      </c>
      <c r="K104" s="137" t="str">
        <f>INDEX(Master_Data!$C$152:$L$864,D104,6)</f>
        <v>17-018/BKU-004/II/057</v>
      </c>
      <c r="L104" s="140" t="str">
        <f>INDEX(Master_Data!$C$152:$L$864,D104,7)</f>
        <v>010.001-17.53957881</v>
      </c>
      <c r="M104" s="140">
        <f>INDEX(Master_Data!$C$152:$L$864,D104,8)</f>
        <v>0</v>
      </c>
      <c r="N104" s="149"/>
      <c r="O104" s="245" t="e">
        <f t="shared" si="4"/>
        <v>#VALUE!</v>
      </c>
      <c r="Q104" s="169" t="str">
        <f t="shared" si="6"/>
        <v>MADHANI TALATAH NUSANTARA, PTFEB</v>
      </c>
    </row>
    <row r="105" spans="2:17" s="61" customFormat="1" ht="14.1" customHeight="1">
      <c r="B105" s="242"/>
      <c r="C105" s="268">
        <f>MATCH($B$70,INDEX(Master_Data!$B$152:$B$864,D104+1,1):'Master_Data'!$B$864,0)</f>
        <v>1</v>
      </c>
      <c r="D105" s="268">
        <f t="shared" si="5"/>
        <v>339</v>
      </c>
      <c r="E105" s="54">
        <v>36</v>
      </c>
      <c r="F105" s="22" t="str">
        <f>INDEX(Master_Data!$C$152:$L$864,D105,2)</f>
        <v>MADHANI TALATAH NUSANTARA, PT</v>
      </c>
      <c r="G105" s="24" t="str">
        <f>INDEX(Master_Data!$C$152:$L$864,D105,3)</f>
        <v>W</v>
      </c>
      <c r="H105" s="24">
        <f>INDEX(Master_Data!$C$152:$L$864,D105,1)</f>
        <v>1</v>
      </c>
      <c r="I105" s="24">
        <f>INDEX(Master_Data!$C$152:$L$864,D105,4)</f>
        <v>0</v>
      </c>
      <c r="J105" s="24">
        <f>INDEX(Master_Data!$C$152:$L$864,D105,5)</f>
        <v>0</v>
      </c>
      <c r="K105" s="137" t="str">
        <f>INDEX(Master_Data!$C$152:$L$864,D105,6)</f>
        <v>17-019/BKU-004/II/057</v>
      </c>
      <c r="L105" s="140" t="str">
        <f>INDEX(Master_Data!$C$152:$L$864,D105,7)</f>
        <v>010.001-17.53957882</v>
      </c>
      <c r="M105" s="140">
        <f>INDEX(Master_Data!$C$152:$L$864,D105,8)</f>
        <v>0</v>
      </c>
      <c r="N105" s="149"/>
      <c r="O105" s="245" t="e">
        <f t="shared" si="4"/>
        <v>#VALUE!</v>
      </c>
      <c r="Q105" s="169" t="str">
        <f t="shared" si="6"/>
        <v>MADHANI TALATAH NUSANTARA, PTFEB</v>
      </c>
    </row>
    <row r="106" spans="2:17" s="61" customFormat="1" ht="14.1" customHeight="1">
      <c r="B106" s="242"/>
      <c r="C106" s="268">
        <f>MATCH($B$70,INDEX(Master_Data!$B$152:$B$864,D105+1,1):'Master_Data'!$B$864,0)</f>
        <v>1</v>
      </c>
      <c r="D106" s="268">
        <f t="shared" si="5"/>
        <v>340</v>
      </c>
      <c r="E106" s="24">
        <v>37</v>
      </c>
      <c r="F106" s="22" t="str">
        <f>INDEX(Master_Data!$C$152:$L$864,D106,2)</f>
        <v>MADHANI TALATAH NUSANTARA, PT</v>
      </c>
      <c r="G106" s="24" t="str">
        <f>INDEX(Master_Data!$C$152:$L$864,D106,3)</f>
        <v>W, G</v>
      </c>
      <c r="H106" s="24">
        <f>INDEX(Master_Data!$C$152:$L$864,D106,1)</f>
        <v>1</v>
      </c>
      <c r="I106" s="24">
        <f>INDEX(Master_Data!$C$152:$L$864,D106,4)</f>
        <v>0</v>
      </c>
      <c r="J106" s="24">
        <f>INDEX(Master_Data!$C$152:$L$864,D106,5)</f>
        <v>0</v>
      </c>
      <c r="K106" s="137" t="str">
        <f>INDEX(Master_Data!$C$152:$L$864,D106,6)</f>
        <v>17-020/BKU-004/II/057</v>
      </c>
      <c r="L106" s="140" t="str">
        <f>INDEX(Master_Data!$C$152:$L$864,D106,7)</f>
        <v>010.001-17.53957883</v>
      </c>
      <c r="M106" s="140">
        <f>INDEX(Master_Data!$C$152:$L$864,D106,8)</f>
        <v>0</v>
      </c>
      <c r="N106" s="149"/>
      <c r="O106" s="245" t="e">
        <f t="shared" si="4"/>
        <v>#VALUE!</v>
      </c>
      <c r="Q106" s="169" t="str">
        <f t="shared" si="6"/>
        <v>MADHANI TALATAH NUSANTARA, PTFEB</v>
      </c>
    </row>
    <row r="107" spans="2:17" s="61" customFormat="1" ht="14.1" customHeight="1">
      <c r="B107" s="242"/>
      <c r="C107" s="268">
        <f>MATCH($B$70,INDEX(Master_Data!$B$152:$B$864,D106+1,1):'Master_Data'!$B$864,0)</f>
        <v>1</v>
      </c>
      <c r="D107" s="268">
        <f t="shared" si="5"/>
        <v>341</v>
      </c>
      <c r="E107" s="54">
        <v>38</v>
      </c>
      <c r="F107" s="22" t="str">
        <f>INDEX(Master_Data!$C$152:$L$864,D107,2)</f>
        <v>MADHANI TALATAH NUSANTARA, PT</v>
      </c>
      <c r="G107" s="24" t="str">
        <f>INDEX(Master_Data!$C$152:$L$864,D107,3)</f>
        <v>I</v>
      </c>
      <c r="H107" s="24">
        <f>INDEX(Master_Data!$C$152:$L$864,D107,1)</f>
        <v>1</v>
      </c>
      <c r="I107" s="24">
        <f>INDEX(Master_Data!$C$152:$L$864,D107,4)</f>
        <v>0</v>
      </c>
      <c r="J107" s="24">
        <f>INDEX(Master_Data!$C$152:$L$864,D107,5)</f>
        <v>0</v>
      </c>
      <c r="K107" s="137" t="str">
        <f>INDEX(Master_Data!$C$152:$L$864,D107,6)</f>
        <v>17-021/BKU-004/II/057</v>
      </c>
      <c r="L107" s="140" t="str">
        <f>INDEX(Master_Data!$C$152:$L$864,D107,7)</f>
        <v>010.001-17.53957884</v>
      </c>
      <c r="M107" s="140">
        <f>INDEX(Master_Data!$C$152:$L$864,D107,8)</f>
        <v>0</v>
      </c>
      <c r="N107" s="149"/>
      <c r="O107" s="245" t="e">
        <f t="shared" si="4"/>
        <v>#VALUE!</v>
      </c>
      <c r="Q107" s="169" t="str">
        <f t="shared" si="6"/>
        <v>MADHANI TALATAH NUSANTARA, PTFEB</v>
      </c>
    </row>
    <row r="108" spans="2:17" s="61" customFormat="1" ht="14.1" customHeight="1">
      <c r="B108" s="242"/>
      <c r="C108" s="268">
        <f>MATCH($B$70,INDEX(Master_Data!$B$152:$B$864,D107+1,1):'Master_Data'!$B$864,0)</f>
        <v>1</v>
      </c>
      <c r="D108" s="268">
        <f t="shared" si="5"/>
        <v>342</v>
      </c>
      <c r="E108" s="24">
        <v>39</v>
      </c>
      <c r="F108" s="22" t="str">
        <f>INDEX(Master_Data!$C$152:$L$864,D108,2)</f>
        <v>MADHANI TALATAH NUSANTARA, PT</v>
      </c>
      <c r="G108" s="24" t="str">
        <f>INDEX(Master_Data!$C$152:$L$864,D108,3)</f>
        <v>PGDN</v>
      </c>
      <c r="H108" s="24">
        <f>INDEX(Master_Data!$C$152:$L$864,D108,1)</f>
        <v>1</v>
      </c>
      <c r="I108" s="24">
        <f>INDEX(Master_Data!$C$152:$L$864,D108,4)</f>
        <v>0</v>
      </c>
      <c r="J108" s="24">
        <f>INDEX(Master_Data!$C$152:$L$864,D108,5)</f>
        <v>0</v>
      </c>
      <c r="K108" s="137" t="str">
        <f>INDEX(Master_Data!$C$152:$L$864,D108,6)</f>
        <v>17-022/BKU-004/II/057</v>
      </c>
      <c r="L108" s="140" t="str">
        <f>INDEX(Master_Data!$C$152:$L$864,D108,7)</f>
        <v>010.001-17.53957885</v>
      </c>
      <c r="M108" s="140">
        <f>INDEX(Master_Data!$C$152:$L$864,D108,8)</f>
        <v>0</v>
      </c>
      <c r="N108" s="149"/>
      <c r="O108" s="245" t="e">
        <f t="shared" si="4"/>
        <v>#VALUE!</v>
      </c>
      <c r="Q108" s="169" t="str">
        <f t="shared" si="6"/>
        <v>MADHANI TALATAH NUSANTARA, PTFEB</v>
      </c>
    </row>
    <row r="109" spans="2:17" s="61" customFormat="1" ht="14.1" customHeight="1">
      <c r="B109" s="242"/>
      <c r="C109" s="268">
        <f>MATCH($B$70,INDEX(Master_Data!$B$152:$B$864,D108+1,1):'Master_Data'!$B$864,0)</f>
        <v>99</v>
      </c>
      <c r="D109" s="268">
        <f t="shared" si="5"/>
        <v>441</v>
      </c>
      <c r="E109" s="54">
        <v>40</v>
      </c>
      <c r="F109" s="22" t="str">
        <f>INDEX(Master_Data!$C$152:$L$864,D109,2)</f>
        <v>MANDALA KARYA PRIMA, PT</v>
      </c>
      <c r="G109" s="24" t="str">
        <f>INDEX(Master_Data!$C$152:$L$864,D109,3)</f>
        <v>W, I</v>
      </c>
      <c r="H109" s="24">
        <f>INDEX(Master_Data!$C$152:$L$864,D109,1)</f>
        <v>1</v>
      </c>
      <c r="I109" s="24">
        <f>INDEX(Master_Data!$C$152:$L$864,D109,4)</f>
        <v>0</v>
      </c>
      <c r="J109" s="24">
        <f>INDEX(Master_Data!$C$152:$L$864,D109,5)</f>
        <v>0</v>
      </c>
      <c r="K109" s="137" t="str">
        <f>INDEX(Master_Data!$C$152:$L$864,D109,6)</f>
        <v>17-002/BKU-004/II/214</v>
      </c>
      <c r="L109" s="140" t="str">
        <f>INDEX(Master_Data!$C$152:$L$864,D109,7)</f>
        <v>010.001-17.53957871</v>
      </c>
      <c r="M109" s="140">
        <f>INDEX(Master_Data!$C$152:$L$864,D109,8)</f>
        <v>0</v>
      </c>
      <c r="N109" s="149"/>
      <c r="O109" s="245" t="e">
        <f t="shared" si="4"/>
        <v>#VALUE!</v>
      </c>
      <c r="Q109" s="169" t="str">
        <f t="shared" si="6"/>
        <v>MANDALA KARYA PRIMA, PTFEB</v>
      </c>
    </row>
    <row r="110" spans="2:17" s="61" customFormat="1" ht="14.1" customHeight="1">
      <c r="B110" s="242"/>
      <c r="C110" s="268">
        <f>MATCH($B$70,INDEX(Master_Data!$B$152:$B$864,D109+1,1):'Master_Data'!$B$864,0)</f>
        <v>14</v>
      </c>
      <c r="D110" s="268">
        <f t="shared" si="5"/>
        <v>455</v>
      </c>
      <c r="E110" s="24">
        <v>41</v>
      </c>
      <c r="F110" s="22" t="str">
        <f>INDEX(Master_Data!$C$152:$L$864,D110,2)</f>
        <v>MANDIRI HERINDO ADIPERKASA, PT</v>
      </c>
      <c r="G110" s="24" t="str">
        <f>INDEX(Master_Data!$C$152:$L$864,D110,3)</f>
        <v>W</v>
      </c>
      <c r="H110" s="24">
        <f>INDEX(Master_Data!$C$152:$L$864,D110,1)</f>
        <v>28</v>
      </c>
      <c r="I110" s="24">
        <f>INDEX(Master_Data!$C$152:$L$864,D110,4)</f>
        <v>0</v>
      </c>
      <c r="J110" s="24">
        <f>INDEX(Master_Data!$C$152:$L$864,D110,5)</f>
        <v>0</v>
      </c>
      <c r="K110" s="137" t="str">
        <f>INDEX(Master_Data!$C$152:$L$864,D110,6)</f>
        <v>17-004/BKU-004/II/211</v>
      </c>
      <c r="L110" s="140" t="str">
        <f>INDEX(Master_Data!$C$152:$L$864,D110,7)</f>
        <v>010.001-17.53957921</v>
      </c>
      <c r="M110" s="140">
        <f>INDEX(Master_Data!$C$152:$L$864,D110,8)</f>
        <v>0</v>
      </c>
      <c r="N110" s="149"/>
      <c r="O110" s="245" t="e">
        <f t="shared" si="4"/>
        <v>#VALUE!</v>
      </c>
      <c r="Q110" s="169" t="str">
        <f t="shared" si="6"/>
        <v>MANDIRI HERINDO ADIPERKASA, PTFEB</v>
      </c>
    </row>
    <row r="111" spans="2:17" s="61" customFormat="1" ht="14.1" customHeight="1">
      <c r="B111" s="242"/>
      <c r="C111" s="268">
        <f>MATCH($B$70,INDEX(Master_Data!$B$152:$B$864,D110+1,1):'Master_Data'!$B$864,0)</f>
        <v>1</v>
      </c>
      <c r="D111" s="268">
        <f t="shared" si="5"/>
        <v>456</v>
      </c>
      <c r="E111" s="54">
        <v>42</v>
      </c>
      <c r="F111" s="22" t="str">
        <f>INDEX(Master_Data!$C$152:$L$864,D111,2)</f>
        <v>MANDIRI HERINDO ADIPERKASA, PT</v>
      </c>
      <c r="G111" s="24" t="str">
        <f>INDEX(Master_Data!$C$152:$L$864,D111,3)</f>
        <v>I</v>
      </c>
      <c r="H111" s="24">
        <f>INDEX(Master_Data!$C$152:$L$864,D111,1)</f>
        <v>28</v>
      </c>
      <c r="I111" s="24">
        <f>INDEX(Master_Data!$C$152:$L$864,D111,4)</f>
        <v>0</v>
      </c>
      <c r="J111" s="24">
        <f>INDEX(Master_Data!$C$152:$L$864,D111,5)</f>
        <v>0</v>
      </c>
      <c r="K111" s="137" t="str">
        <f>INDEX(Master_Data!$C$152:$L$864,D111,6)</f>
        <v>17-005/BKU-004/II/211</v>
      </c>
      <c r="L111" s="140" t="str">
        <f>INDEX(Master_Data!$C$152:$L$864,D111,7)</f>
        <v>010.001-17.53957922</v>
      </c>
      <c r="M111" s="140">
        <f>INDEX(Master_Data!$C$152:$L$864,D111,8)</f>
        <v>0</v>
      </c>
      <c r="N111" s="149"/>
      <c r="O111" s="245" t="e">
        <f t="shared" si="4"/>
        <v>#VALUE!</v>
      </c>
      <c r="Q111" s="169" t="str">
        <f t="shared" si="6"/>
        <v>MANDIRI HERINDO ADIPERKASA, PTFEB</v>
      </c>
    </row>
    <row r="112" spans="2:17" s="61" customFormat="1" ht="14.1" customHeight="1">
      <c r="B112" s="242"/>
      <c r="C112" s="268">
        <f>MATCH($B$70,INDEX(Master_Data!$B$152:$B$864,D111+1,1):'Master_Data'!$B$864,0)</f>
        <v>1</v>
      </c>
      <c r="D112" s="268">
        <f t="shared" si="5"/>
        <v>457</v>
      </c>
      <c r="E112" s="24">
        <v>43</v>
      </c>
      <c r="F112" s="22" t="str">
        <f>INDEX(Master_Data!$C$152:$L$864,D112,2)</f>
        <v>MANDIRI HERINDO ADIPERKASA, PT</v>
      </c>
      <c r="G112" s="24" t="str">
        <f>INDEX(Master_Data!$C$152:$L$864,D112,3)</f>
        <v>M</v>
      </c>
      <c r="H112" s="24">
        <f>INDEX(Master_Data!$C$152:$L$864,D112,1)</f>
        <v>28</v>
      </c>
      <c r="I112" s="24">
        <f>INDEX(Master_Data!$C$152:$L$864,D112,4)</f>
        <v>0</v>
      </c>
      <c r="J112" s="24">
        <f>INDEX(Master_Data!$C$152:$L$864,D112,5)</f>
        <v>0</v>
      </c>
      <c r="K112" s="137" t="str">
        <f>INDEX(Master_Data!$C$152:$L$864,D112,6)</f>
        <v>17-006/BKU-004/II/211</v>
      </c>
      <c r="L112" s="140" t="str">
        <f>INDEX(Master_Data!$C$152:$L$864,D112,7)</f>
        <v>010.001-17.53957923</v>
      </c>
      <c r="M112" s="140">
        <f>INDEX(Master_Data!$C$152:$L$864,D112,8)</f>
        <v>0</v>
      </c>
      <c r="N112" s="149"/>
      <c r="O112" s="245" t="e">
        <f t="shared" si="4"/>
        <v>#VALUE!</v>
      </c>
      <c r="Q112" s="169" t="str">
        <f t="shared" si="6"/>
        <v>MANDIRI HERINDO ADIPERKASA, PTFEB</v>
      </c>
    </row>
    <row r="113" spans="2:17" s="61" customFormat="1" ht="14.1" customHeight="1">
      <c r="B113" s="242"/>
      <c r="C113" s="268">
        <f>MATCH($B$70,INDEX(Master_Data!$B$152:$B$864,D112+1,1):'Master_Data'!$B$864,0)</f>
        <v>35</v>
      </c>
      <c r="D113" s="268">
        <f t="shared" si="5"/>
        <v>492</v>
      </c>
      <c r="E113" s="54">
        <v>44</v>
      </c>
      <c r="F113" s="22" t="str">
        <f>INDEX(Master_Data!$C$152:$L$864,D113,2)</f>
        <v>MANDIRI INTI PERKASA, PT</v>
      </c>
      <c r="G113" s="24" t="str">
        <f>INDEX(Master_Data!$C$152:$L$864,D113,3)</f>
        <v>W, I</v>
      </c>
      <c r="H113" s="24">
        <f>INDEX(Master_Data!$C$152:$L$864,D113,1)</f>
        <v>1</v>
      </c>
      <c r="I113" s="24">
        <f>INDEX(Master_Data!$C$152:$L$864,D113,4)</f>
        <v>0</v>
      </c>
      <c r="J113" s="24">
        <f>INDEX(Master_Data!$C$152:$L$864,D113,5)</f>
        <v>0</v>
      </c>
      <c r="K113" s="137" t="str">
        <f>INDEX(Master_Data!$C$152:$L$864,D113,6)</f>
        <v>17-003/BKU-004/II/196</v>
      </c>
      <c r="L113" s="140" t="str">
        <f>INDEX(Master_Data!$C$152:$L$864,D113,7)</f>
        <v>010.001-17.53957872</v>
      </c>
      <c r="M113" s="140">
        <f>INDEX(Master_Data!$C$152:$L$864,D113,8)</f>
        <v>0</v>
      </c>
      <c r="N113" s="149"/>
      <c r="O113" s="245" t="e">
        <f t="shared" si="4"/>
        <v>#VALUE!</v>
      </c>
      <c r="Q113" s="169" t="str">
        <f t="shared" si="6"/>
        <v>MANDIRI INTI PERKASA, PTFEB</v>
      </c>
    </row>
    <row r="114" spans="2:17" s="61" customFormat="1" ht="14.1" customHeight="1">
      <c r="B114" s="242"/>
      <c r="C114" s="268">
        <f>MATCH($B$70,INDEX(Master_Data!$B$152:$B$864,D113+1,1):'Master_Data'!$B$864,0)</f>
        <v>1</v>
      </c>
      <c r="D114" s="268">
        <f t="shared" si="5"/>
        <v>493</v>
      </c>
      <c r="E114" s="24">
        <v>45</v>
      </c>
      <c r="F114" s="22" t="str">
        <f>INDEX(Master_Data!$C$152:$L$864,D114,2)</f>
        <v>MANDIRI INTI PERKASA, PT</v>
      </c>
      <c r="G114" s="24" t="str">
        <f>INDEX(Master_Data!$C$152:$L$864,D114,3)</f>
        <v>I</v>
      </c>
      <c r="H114" s="24">
        <f>INDEX(Master_Data!$C$152:$L$864,D114,1)</f>
        <v>1</v>
      </c>
      <c r="I114" s="24">
        <f>INDEX(Master_Data!$C$152:$L$864,D114,4)</f>
        <v>0</v>
      </c>
      <c r="J114" s="24">
        <f>INDEX(Master_Data!$C$152:$L$864,D114,5)</f>
        <v>0</v>
      </c>
      <c r="K114" s="137" t="str">
        <f>INDEX(Master_Data!$C$152:$L$864,D114,6)</f>
        <v>17-004/BKU-004/II/196</v>
      </c>
      <c r="L114" s="140" t="str">
        <f>INDEX(Master_Data!$C$152:$L$864,D114,7)</f>
        <v>010.001-17.53957873</v>
      </c>
      <c r="M114" s="140">
        <f>INDEX(Master_Data!$C$152:$L$864,D114,8)</f>
        <v>0</v>
      </c>
      <c r="N114" s="149"/>
      <c r="O114" s="245" t="e">
        <f t="shared" si="4"/>
        <v>#VALUE!</v>
      </c>
      <c r="Q114" s="169" t="str">
        <f t="shared" si="6"/>
        <v>MANDIRI INTI PERKASA, PTFEB</v>
      </c>
    </row>
    <row r="115" spans="2:17" s="61" customFormat="1" ht="14.1" customHeight="1">
      <c r="B115" s="242"/>
      <c r="C115" s="268">
        <f>MATCH($B$70,INDEX(Master_Data!$B$152:$B$864,D114+1,1):'Master_Data'!$B$864,0)</f>
        <v>22</v>
      </c>
      <c r="D115" s="268">
        <f t="shared" si="5"/>
        <v>515</v>
      </c>
      <c r="E115" s="54">
        <v>46</v>
      </c>
      <c r="F115" s="22" t="str">
        <f>INDEX(Master_Data!$C$152:$L$864,D115,2)</f>
        <v>MEDCO PAPUA INDUSTRI LESTARI, PT</v>
      </c>
      <c r="G115" s="24" t="str">
        <f>INDEX(Master_Data!$C$152:$L$864,D115,3)</f>
        <v>V</v>
      </c>
      <c r="H115" s="24">
        <f>INDEX(Master_Data!$C$152:$L$864,D115,1)</f>
        <v>1</v>
      </c>
      <c r="I115" s="24">
        <f>INDEX(Master_Data!$C$152:$L$864,D115,4)</f>
        <v>0</v>
      </c>
      <c r="J115" s="24">
        <f>INDEX(Master_Data!$C$152:$L$864,D115,5)</f>
        <v>0</v>
      </c>
      <c r="K115" s="137" t="str">
        <f>INDEX(Master_Data!$C$152:$L$864,D115,6)</f>
        <v>17-002/BKU-004/II/145</v>
      </c>
      <c r="L115" s="140" t="str">
        <f>INDEX(Master_Data!$C$152:$L$864,D115,7)</f>
        <v>010.001-17.53957866</v>
      </c>
      <c r="M115" s="140">
        <f>INDEX(Master_Data!$C$152:$L$864,D115,8)</f>
        <v>0</v>
      </c>
      <c r="N115" s="149"/>
      <c r="O115" s="245" t="e">
        <f t="shared" si="4"/>
        <v>#VALUE!</v>
      </c>
      <c r="Q115" s="169" t="str">
        <f t="shared" si="6"/>
        <v>MEDCO PAPUA INDUSTRI LESTARI, PTFEB</v>
      </c>
    </row>
    <row r="116" spans="2:17" s="61" customFormat="1" ht="14.1" customHeight="1">
      <c r="B116" s="242"/>
      <c r="C116" s="268">
        <f>MATCH($B$70,INDEX(Master_Data!$B$152:$B$864,D115+1,1):'Master_Data'!$B$864,0)</f>
        <v>12</v>
      </c>
      <c r="D116" s="268">
        <f t="shared" si="5"/>
        <v>527</v>
      </c>
      <c r="E116" s="24">
        <v>47</v>
      </c>
      <c r="F116" s="22" t="str">
        <f>INDEX(Master_Data!$C$152:$L$864,D116,2)</f>
        <v>METALINDO BUMI RAYA, PT</v>
      </c>
      <c r="G116" s="24" t="str">
        <f>INDEX(Master_Data!$C$152:$L$864,D116,3)</f>
        <v>I</v>
      </c>
      <c r="H116" s="24">
        <f>INDEX(Master_Data!$C$152:$L$864,D116,1)</f>
        <v>1</v>
      </c>
      <c r="I116" s="24">
        <f>INDEX(Master_Data!$C$152:$L$864,D116,4)</f>
        <v>0</v>
      </c>
      <c r="J116" s="24">
        <f>INDEX(Master_Data!$C$152:$L$864,D116,5)</f>
        <v>0</v>
      </c>
      <c r="K116" s="137" t="str">
        <f>INDEX(Master_Data!$C$152:$L$864,D116,6)</f>
        <v>17-002/BKU-004/II/220</v>
      </c>
      <c r="L116" s="140" t="str">
        <f>INDEX(Master_Data!$C$152:$L$864,D116,7)</f>
        <v>010.001-17.53957867</v>
      </c>
      <c r="M116" s="140">
        <f>INDEX(Master_Data!$C$152:$L$864,D116,8)</f>
        <v>0</v>
      </c>
      <c r="N116" s="149"/>
      <c r="O116" s="245" t="e">
        <f t="shared" si="4"/>
        <v>#VALUE!</v>
      </c>
      <c r="Q116" s="169" t="str">
        <f t="shared" si="6"/>
        <v>METALINDO BUMI RAYA, PTFEB</v>
      </c>
    </row>
    <row r="117" spans="2:17" s="61" customFormat="1" ht="14.1" customHeight="1">
      <c r="B117" s="242"/>
      <c r="C117" s="268">
        <f>MATCH($B$70,INDEX(Master_Data!$B$152:$B$864,D116+1,1):'Master_Data'!$B$864,0)</f>
        <v>12</v>
      </c>
      <c r="D117" s="268">
        <f t="shared" si="5"/>
        <v>539</v>
      </c>
      <c r="E117" s="54">
        <v>48</v>
      </c>
      <c r="F117" s="22" t="str">
        <f>INDEX(Master_Data!$C$152:$L$864,D117,2)</f>
        <v>NUSANTARA SARANA ALAM, PT</v>
      </c>
      <c r="G117" s="24" t="str">
        <f>INDEX(Master_Data!$C$152:$L$864,D117,3)</f>
        <v>O</v>
      </c>
      <c r="H117" s="24">
        <f>INDEX(Master_Data!$C$152:$L$864,D117,1)</f>
        <v>14</v>
      </c>
      <c r="I117" s="24">
        <f>INDEX(Master_Data!$C$152:$L$864,D117,4)</f>
        <v>0</v>
      </c>
      <c r="J117" s="24">
        <f>INDEX(Master_Data!$C$152:$L$864,D117,5)</f>
        <v>0</v>
      </c>
      <c r="K117" s="137" t="str">
        <f>INDEX(Master_Data!$C$152:$L$864,D117,6)</f>
        <v>17-001/BKU-004/II/245</v>
      </c>
      <c r="L117" s="140" t="str">
        <f>INDEX(Master_Data!$C$152:$L$864,D117,7)</f>
        <v>010.001-17.53957918</v>
      </c>
      <c r="M117" s="140">
        <f>INDEX(Master_Data!$C$152:$L$864,D117,8)</f>
        <v>0</v>
      </c>
      <c r="N117" s="149"/>
      <c r="O117" s="245" t="e">
        <f t="shared" si="4"/>
        <v>#VALUE!</v>
      </c>
      <c r="Q117" s="169" t="str">
        <f t="shared" si="6"/>
        <v>NUSANTARA SARANA ALAM, PTFEB</v>
      </c>
    </row>
    <row r="118" spans="2:17" s="61" customFormat="1" ht="14.1" customHeight="1">
      <c r="B118" s="242"/>
      <c r="C118" s="268">
        <f>MATCH($B$70,INDEX(Master_Data!$B$152:$B$864,D117+1,1):'Master_Data'!$B$864,0)</f>
        <v>1</v>
      </c>
      <c r="D118" s="268">
        <f t="shared" si="5"/>
        <v>540</v>
      </c>
      <c r="E118" s="24">
        <v>49</v>
      </c>
      <c r="F118" s="22" t="str">
        <f>INDEX(Master_Data!$C$152:$L$864,D118,2)</f>
        <v>NUSANTARA SARANA ALAM, PT</v>
      </c>
      <c r="G118" s="24" t="str">
        <f>INDEX(Master_Data!$C$152:$L$864,D118,3)</f>
        <v>L</v>
      </c>
      <c r="H118" s="24">
        <f>INDEX(Master_Data!$C$152:$L$864,D118,1)</f>
        <v>14</v>
      </c>
      <c r="I118" s="24">
        <f>INDEX(Master_Data!$C$152:$L$864,D118,4)</f>
        <v>0</v>
      </c>
      <c r="J118" s="24">
        <f>INDEX(Master_Data!$C$152:$L$864,D118,5)</f>
        <v>0</v>
      </c>
      <c r="K118" s="137" t="str">
        <f>INDEX(Master_Data!$C$152:$L$864,D118,6)</f>
        <v>17-002/BKU-004/II/245</v>
      </c>
      <c r="L118" s="140" t="str">
        <f>INDEX(Master_Data!$C$152:$L$864,D118,7)</f>
        <v>-</v>
      </c>
      <c r="M118" s="140">
        <f>INDEX(Master_Data!$C$152:$L$864,D118,8)</f>
        <v>0</v>
      </c>
      <c r="N118" s="149"/>
      <c r="O118" s="245" t="e">
        <f t="shared" si="4"/>
        <v>#VALUE!</v>
      </c>
      <c r="Q118" s="169" t="str">
        <f t="shared" si="6"/>
        <v>NUSANTARA SARANA ALAM, PTFEB</v>
      </c>
    </row>
    <row r="119" spans="2:17" s="61" customFormat="1" ht="14.1" customHeight="1">
      <c r="B119" s="242"/>
      <c r="C119" s="268">
        <f>MATCH($B$70,INDEX(Master_Data!$B$152:$B$864,D118+1,1):'Master_Data'!$B$864,0)</f>
        <v>1</v>
      </c>
      <c r="D119" s="268">
        <f t="shared" si="5"/>
        <v>541</v>
      </c>
      <c r="E119" s="54">
        <v>50</v>
      </c>
      <c r="F119" s="22" t="str">
        <f>INDEX(Master_Data!$C$152:$L$864,D119,2)</f>
        <v>NUSANTARA SARANA ALAM, PT</v>
      </c>
      <c r="G119" s="24" t="str">
        <f>INDEX(Master_Data!$C$152:$L$864,D119,3)</f>
        <v>V</v>
      </c>
      <c r="H119" s="24">
        <f>INDEX(Master_Data!$C$152:$L$864,D119,1)</f>
        <v>14</v>
      </c>
      <c r="I119" s="24">
        <f>INDEX(Master_Data!$C$152:$L$864,D119,4)</f>
        <v>0</v>
      </c>
      <c r="J119" s="24">
        <f>INDEX(Master_Data!$C$152:$L$864,D119,5)</f>
        <v>0</v>
      </c>
      <c r="K119" s="137" t="str">
        <f>INDEX(Master_Data!$C$152:$L$864,D119,6)</f>
        <v>17-003/BKU-004/II/245</v>
      </c>
      <c r="L119" s="140" t="str">
        <f>INDEX(Master_Data!$C$152:$L$864,D119,7)</f>
        <v>010.001-17.53957919</v>
      </c>
      <c r="M119" s="140">
        <f>INDEX(Master_Data!$C$152:$L$864,D119,8)</f>
        <v>0</v>
      </c>
      <c r="N119" s="149"/>
      <c r="O119" s="245" t="e">
        <f t="shared" si="4"/>
        <v>#VALUE!</v>
      </c>
      <c r="Q119" s="169" t="str">
        <f t="shared" si="6"/>
        <v>NUSANTARA SARANA ALAM, PTFEB</v>
      </c>
    </row>
    <row r="120" spans="2:17" s="61" customFormat="1" ht="14.1" customHeight="1">
      <c r="B120" s="242"/>
      <c r="C120" s="268">
        <f>MATCH($B$70,INDEX(Master_Data!$B$152:$B$864,D119+1,1):'Master_Data'!$B$864,0)</f>
        <v>17</v>
      </c>
      <c r="D120" s="268">
        <f t="shared" ref="D120:D131" si="7">D119+C120</f>
        <v>558</v>
      </c>
      <c r="E120" s="54">
        <v>51</v>
      </c>
      <c r="F120" s="22" t="str">
        <f>INDEX(Master_Data!$C$152:$L$864,D120,2)</f>
        <v>PEMBANGUNAN PERUMAHAN (PERSERO), PT</v>
      </c>
      <c r="G120" s="24" t="str">
        <f>INDEX(Master_Data!$C$152:$L$864,D120,3)</f>
        <v>I</v>
      </c>
      <c r="H120" s="24">
        <f>INDEX(Master_Data!$C$152:$L$864,D120,1)</f>
        <v>1</v>
      </c>
      <c r="I120" s="24">
        <f>INDEX(Master_Data!$C$152:$L$864,D120,4)</f>
        <v>0</v>
      </c>
      <c r="J120" s="24">
        <f>INDEX(Master_Data!$C$152:$L$864,D120,5)</f>
        <v>0</v>
      </c>
      <c r="K120" s="137" t="str">
        <f>INDEX(Master_Data!$C$152:$L$864,D120,6)</f>
        <v>17-002/BKU-004/II/226</v>
      </c>
      <c r="L120" s="140" t="str">
        <f>INDEX(Master_Data!$C$152:$L$864,D120,7)</f>
        <v>030.001-17.53957868</v>
      </c>
      <c r="M120" s="140">
        <f>INDEX(Master_Data!$C$152:$L$864,D120,8)</f>
        <v>0</v>
      </c>
      <c r="N120" s="149"/>
      <c r="O120" s="245" t="e">
        <f>L120+M120</f>
        <v>#VALUE!</v>
      </c>
      <c r="Q120" s="169" t="str">
        <f t="shared" ref="Q120:Q131" si="8">CONCATENATE(F120,$B$70)</f>
        <v>PEMBANGUNAN PERUMAHAN (PERSERO), PTFEB</v>
      </c>
    </row>
    <row r="121" spans="2:17" s="61" customFormat="1" ht="14.1" customHeight="1">
      <c r="B121" s="242"/>
      <c r="C121" s="268">
        <f>MATCH($B$70,INDEX(Master_Data!$B$152:$B$864,D120+1,1):'Master_Data'!$B$864,0)</f>
        <v>28</v>
      </c>
      <c r="D121" s="268">
        <f t="shared" si="7"/>
        <v>586</v>
      </c>
      <c r="E121" s="54">
        <v>52</v>
      </c>
      <c r="F121" s="22" t="str">
        <f>INDEX(Master_Data!$C$152:$L$864,D121,2)</f>
        <v>PERKEBUNAN NUSANTARA XIII, PT</v>
      </c>
      <c r="G121" s="24" t="str">
        <f>INDEX(Master_Data!$C$152:$L$864,D121,3)</f>
        <v>R</v>
      </c>
      <c r="H121" s="24">
        <f>INDEX(Master_Data!$C$152:$L$864,D121,1)</f>
        <v>28</v>
      </c>
      <c r="I121" s="24">
        <f>INDEX(Master_Data!$C$152:$L$864,D121,4)</f>
        <v>0</v>
      </c>
      <c r="J121" s="24">
        <f>INDEX(Master_Data!$C$152:$L$864,D121,5)</f>
        <v>0</v>
      </c>
      <c r="K121" s="137" t="str">
        <f>INDEX(Master_Data!$C$152:$L$864,D121,6)</f>
        <v>17-001/BKU-004/II/090</v>
      </c>
      <c r="L121" s="140" t="str">
        <f>INDEX(Master_Data!$C$152:$L$864,D121,7)</f>
        <v>010.001-17.53957920</v>
      </c>
      <c r="M121" s="140">
        <f>INDEX(Master_Data!$C$152:$L$864,D121,8)</f>
        <v>0</v>
      </c>
      <c r="N121" s="149"/>
      <c r="O121" s="245" t="e">
        <f>L121+M121</f>
        <v>#VALUE!</v>
      </c>
      <c r="Q121" s="169" t="str">
        <f t="shared" si="8"/>
        <v>PERKEBUNAN NUSANTARA XIII, PTFEB</v>
      </c>
    </row>
    <row r="122" spans="2:17" s="61" customFormat="1" ht="14.1" customHeight="1">
      <c r="B122" s="242"/>
      <c r="C122" s="268">
        <f>MATCH($B$70,INDEX(Master_Data!$B$152:$B$864,D121+1,1):'Master_Data'!$B$864,0)</f>
        <v>3</v>
      </c>
      <c r="D122" s="268">
        <f t="shared" si="7"/>
        <v>589</v>
      </c>
      <c r="E122" s="54">
        <v>53</v>
      </c>
      <c r="F122" s="22" t="str">
        <f>INDEX(Master_Data!$C$152:$L$864,D122,2)</f>
        <v>PERTIWI AGRO SEJAHTERA, PT</v>
      </c>
      <c r="G122" s="24" t="str">
        <f>INDEX(Master_Data!$C$152:$L$864,D122,3)</f>
        <v>V</v>
      </c>
      <c r="H122" s="24">
        <f>INDEX(Master_Data!$C$152:$L$864,D122,1)</f>
        <v>1</v>
      </c>
      <c r="I122" s="24">
        <f>INDEX(Master_Data!$C$152:$L$864,D122,4)</f>
        <v>0</v>
      </c>
      <c r="J122" s="24">
        <f>INDEX(Master_Data!$C$152:$L$864,D122,5)</f>
        <v>0</v>
      </c>
      <c r="K122" s="137" t="str">
        <f>INDEX(Master_Data!$C$152:$L$864,D122,6)</f>
        <v>17-002/BKU-004/II/207</v>
      </c>
      <c r="L122" s="140" t="str">
        <f>INDEX(Master_Data!$C$152:$L$864,D122,7)</f>
        <v>010.001-17.53957905</v>
      </c>
      <c r="M122" s="140">
        <f>INDEX(Master_Data!$C$152:$L$864,D122,8)</f>
        <v>0</v>
      </c>
      <c r="N122" s="149"/>
      <c r="O122" s="245">
        <v>0</v>
      </c>
      <c r="Q122" s="169" t="str">
        <f t="shared" si="8"/>
        <v>PERTIWI AGRO SEJAHTERA, PTFEB</v>
      </c>
    </row>
    <row r="123" spans="2:17" s="61" customFormat="1" ht="14.1" customHeight="1">
      <c r="B123" s="242"/>
      <c r="C123" s="268">
        <f>MATCH($B$70,INDEX(Master_Data!$B$152:$B$864,D122+1,1):'Master_Data'!$B$864,0)</f>
        <v>12</v>
      </c>
      <c r="D123" s="268">
        <f t="shared" si="7"/>
        <v>601</v>
      </c>
      <c r="E123" s="54">
        <v>54</v>
      </c>
      <c r="F123" s="22" t="str">
        <f>INDEX(Master_Data!$C$152:$L$864,D123,2)</f>
        <v>PERTIWI LENGGARA AGROMAS, PT</v>
      </c>
      <c r="G123" s="24" t="str">
        <f>INDEX(Master_Data!$C$152:$L$864,D123,3)</f>
        <v>V</v>
      </c>
      <c r="H123" s="24">
        <f>INDEX(Master_Data!$C$152:$L$864,D123,1)</f>
        <v>6</v>
      </c>
      <c r="I123" s="24">
        <f>INDEX(Master_Data!$C$152:$L$864,D123,4)</f>
        <v>0</v>
      </c>
      <c r="J123" s="24">
        <f>INDEX(Master_Data!$C$152:$L$864,D123,5)</f>
        <v>0</v>
      </c>
      <c r="K123" s="137" t="str">
        <f>INDEX(Master_Data!$C$152:$L$864,D123,6)</f>
        <v>17-002/BKU-004/II/230</v>
      </c>
      <c r="L123" s="140" t="str">
        <f>INDEX(Master_Data!$C$152:$L$864,D123,7)</f>
        <v>010.001-17.53957914</v>
      </c>
      <c r="M123" s="140">
        <f>INDEX(Master_Data!$C$152:$L$864,D123,8)</f>
        <v>0</v>
      </c>
      <c r="N123" s="149"/>
      <c r="O123" s="245" t="e">
        <f t="shared" ref="O123:O131" si="9">L123+M123</f>
        <v>#VALUE!</v>
      </c>
      <c r="Q123" s="169" t="str">
        <f t="shared" si="8"/>
        <v>PERTIWI LENGGARA AGROMAS, PTFEB</v>
      </c>
    </row>
    <row r="124" spans="2:17" s="61" customFormat="1" ht="14.1" customHeight="1">
      <c r="B124" s="242"/>
      <c r="C124" s="268">
        <f>MATCH($B$70,INDEX(Master_Data!$B$152:$B$864,D123+1,1):'Master_Data'!$B$864,0)</f>
        <v>4</v>
      </c>
      <c r="D124" s="268">
        <f t="shared" si="7"/>
        <v>605</v>
      </c>
      <c r="E124" s="54">
        <v>55</v>
      </c>
      <c r="F124" s="22" t="str">
        <f>INDEX(Master_Data!$C$152:$L$864,D124,2)</f>
        <v>PETROSEA, PT</v>
      </c>
      <c r="G124" s="24" t="str">
        <f>INDEX(Master_Data!$C$152:$L$864,D124,3)</f>
        <v>V</v>
      </c>
      <c r="H124" s="24">
        <f>INDEX(Master_Data!$C$152:$L$864,D124,1)</f>
        <v>1</v>
      </c>
      <c r="I124" s="24">
        <f>INDEX(Master_Data!$C$152:$L$864,D124,4)</f>
        <v>0</v>
      </c>
      <c r="J124" s="24">
        <f>INDEX(Master_Data!$C$152:$L$864,D124,5)</f>
        <v>0</v>
      </c>
      <c r="K124" s="137" t="str">
        <f>INDEX(Master_Data!$C$152:$L$864,D124,6)</f>
        <v>17-004/BKU-004/II/009</v>
      </c>
      <c r="L124" s="140" t="str">
        <f>INDEX(Master_Data!$C$152:$L$864,D124,7)</f>
        <v>010.001-17.53957910</v>
      </c>
      <c r="M124" s="140">
        <f>INDEX(Master_Data!$C$152:$L$864,D124,8)</f>
        <v>0</v>
      </c>
      <c r="N124" s="149"/>
      <c r="O124" s="245" t="e">
        <f t="shared" si="9"/>
        <v>#VALUE!</v>
      </c>
      <c r="Q124" s="169" t="str">
        <f t="shared" si="8"/>
        <v>PETROSEA, PTFEB</v>
      </c>
    </row>
    <row r="125" spans="2:17" s="61" customFormat="1" ht="14.1" customHeight="1">
      <c r="B125" s="242"/>
      <c r="C125" s="268">
        <f>MATCH($B$70,INDEX(Master_Data!$B$152:$B$864,D124+1,1):'Master_Data'!$B$864,0)</f>
        <v>1</v>
      </c>
      <c r="D125" s="268">
        <f t="shared" si="7"/>
        <v>606</v>
      </c>
      <c r="E125" s="54">
        <v>56</v>
      </c>
      <c r="F125" s="22" t="str">
        <f>INDEX(Master_Data!$C$152:$L$864,D125,2)</f>
        <v>PETROSEA, PT</v>
      </c>
      <c r="G125" s="24" t="str">
        <f>INDEX(Master_Data!$C$152:$L$864,D125,3)</f>
        <v>V</v>
      </c>
      <c r="H125" s="24">
        <f>INDEX(Master_Data!$C$152:$L$864,D125,1)</f>
        <v>1</v>
      </c>
      <c r="I125" s="24">
        <f>INDEX(Master_Data!$C$152:$L$864,D125,4)</f>
        <v>0</v>
      </c>
      <c r="J125" s="24">
        <f>INDEX(Master_Data!$C$152:$L$864,D125,5)</f>
        <v>0</v>
      </c>
      <c r="K125" s="137" t="str">
        <f>INDEX(Master_Data!$C$152:$L$864,D125,6)</f>
        <v>17-005/BKU-004/II/009</v>
      </c>
      <c r="L125" s="140" t="str">
        <f>INDEX(Master_Data!$C$152:$L$864,D125,7)</f>
        <v>010.001-17.53957915</v>
      </c>
      <c r="M125" s="140">
        <f>INDEX(Master_Data!$C$152:$L$864,D125,8)</f>
        <v>0</v>
      </c>
      <c r="N125" s="149"/>
      <c r="O125" s="245" t="e">
        <f t="shared" si="9"/>
        <v>#VALUE!</v>
      </c>
      <c r="Q125" s="169" t="str">
        <f t="shared" si="8"/>
        <v>PETROSEA, PTFEB</v>
      </c>
    </row>
    <row r="126" spans="2:17" s="61" customFormat="1" ht="14.1" customHeight="1">
      <c r="B126" s="242"/>
      <c r="C126" s="268">
        <f>MATCH($B$70,INDEX(Master_Data!$B$152:$B$864,D125+1,1):'Master_Data'!$B$864,0)</f>
        <v>1</v>
      </c>
      <c r="D126" s="268">
        <f t="shared" si="7"/>
        <v>607</v>
      </c>
      <c r="E126" s="54">
        <v>57</v>
      </c>
      <c r="F126" s="22" t="str">
        <f>INDEX(Master_Data!$C$152:$L$864,D126,2)</f>
        <v>PETROSEA, PT</v>
      </c>
      <c r="G126" s="24" t="str">
        <f>INDEX(Master_Data!$C$152:$L$864,D126,3)</f>
        <v>V</v>
      </c>
      <c r="H126" s="24">
        <f>INDEX(Master_Data!$C$152:$L$864,D126,1)</f>
        <v>6</v>
      </c>
      <c r="I126" s="24">
        <f>INDEX(Master_Data!$C$152:$L$864,D126,4)</f>
        <v>0</v>
      </c>
      <c r="J126" s="24">
        <f>INDEX(Master_Data!$C$152:$L$864,D126,5)</f>
        <v>0</v>
      </c>
      <c r="K126" s="137" t="str">
        <f>INDEX(Master_Data!$C$152:$L$864,D126,6)</f>
        <v>17-006/BKU-004/II/009</v>
      </c>
      <c r="L126" s="140" t="str">
        <f>INDEX(Master_Data!$C$152:$L$864,D126,7)</f>
        <v>010.001-17.53957916</v>
      </c>
      <c r="M126" s="140">
        <f>INDEX(Master_Data!$C$152:$L$864,D126,8)</f>
        <v>0</v>
      </c>
      <c r="N126" s="149"/>
      <c r="O126" s="245" t="e">
        <f t="shared" si="9"/>
        <v>#VALUE!</v>
      </c>
      <c r="Q126" s="169" t="str">
        <f t="shared" si="8"/>
        <v>PETROSEA, PTFEB</v>
      </c>
    </row>
    <row r="127" spans="2:17" s="61" customFormat="1" ht="14.1" customHeight="1">
      <c r="B127" s="242"/>
      <c r="C127" s="268">
        <f>MATCH($B$70,INDEX(Master_Data!$B$152:$B$864,D126+1,1):'Master_Data'!$B$864,0)</f>
        <v>41</v>
      </c>
      <c r="D127" s="268">
        <f t="shared" si="7"/>
        <v>648</v>
      </c>
      <c r="E127" s="54">
        <v>58</v>
      </c>
      <c r="F127" s="22" t="str">
        <f>INDEX(Master_Data!$C$152:$L$864,D127,2)</f>
        <v>PUNCAK KEEMASAN LUMBUNG DUNIA, PT</v>
      </c>
      <c r="G127" s="24" t="str">
        <f>INDEX(Master_Data!$C$152:$L$864,D127,3)</f>
        <v>I</v>
      </c>
      <c r="H127" s="24">
        <f>INDEX(Master_Data!$C$152:$L$864,D127,1)</f>
        <v>6</v>
      </c>
      <c r="I127" s="24">
        <f>INDEX(Master_Data!$C$152:$L$864,D127,4)</f>
        <v>0</v>
      </c>
      <c r="J127" s="24">
        <f>INDEX(Master_Data!$C$152:$L$864,D127,5)</f>
        <v>0</v>
      </c>
      <c r="K127" s="137" t="str">
        <f>INDEX(Master_Data!$C$152:$L$864,D127,6)</f>
        <v>17-002/BKU-004/II/225</v>
      </c>
      <c r="L127" s="140" t="str">
        <f>INDEX(Master_Data!$C$152:$L$864,D127,7)</f>
        <v>010.001-17.53957913</v>
      </c>
      <c r="M127" s="140">
        <f>INDEX(Master_Data!$C$152:$L$864,D127,8)</f>
        <v>0</v>
      </c>
      <c r="N127" s="149"/>
      <c r="O127" s="245" t="e">
        <f t="shared" si="9"/>
        <v>#VALUE!</v>
      </c>
      <c r="Q127" s="169" t="str">
        <f t="shared" si="8"/>
        <v>PUNCAK KEEMASAN LUMBUNG DUNIA, PTFEB</v>
      </c>
    </row>
    <row r="128" spans="2:17" s="61" customFormat="1" ht="14.1" customHeight="1">
      <c r="B128" s="242"/>
      <c r="C128" s="268">
        <f>MATCH($B$70,INDEX(Master_Data!$B$152:$B$864,D127+1,1):'Master_Data'!$B$864,0)</f>
        <v>9</v>
      </c>
      <c r="D128" s="268">
        <f t="shared" si="7"/>
        <v>657</v>
      </c>
      <c r="E128" s="54">
        <v>59</v>
      </c>
      <c r="F128" s="22" t="str">
        <f>INDEX(Master_Data!$C$152:$L$864,D128,2)</f>
        <v>RIUNG MITRA LESTARI, PT</v>
      </c>
      <c r="G128" s="24" t="str">
        <f>INDEX(Master_Data!$C$152:$L$864,D128,3)</f>
        <v>M</v>
      </c>
      <c r="H128" s="24">
        <f>INDEX(Master_Data!$C$152:$L$864,D128,1)</f>
        <v>1</v>
      </c>
      <c r="I128" s="24">
        <f>INDEX(Master_Data!$C$152:$L$864,D128,4)</f>
        <v>0</v>
      </c>
      <c r="J128" s="24">
        <f>INDEX(Master_Data!$C$152:$L$864,D128,5)</f>
        <v>0</v>
      </c>
      <c r="K128" s="137" t="str">
        <f>INDEX(Master_Data!$C$152:$L$864,D128,6)</f>
        <v>17-002/BKU-004/II/149</v>
      </c>
      <c r="L128" s="140" t="str">
        <f>INDEX(Master_Data!$C$152:$L$864,D128,7)</f>
        <v>010.001-17.53957874</v>
      </c>
      <c r="M128" s="140">
        <f>INDEX(Master_Data!$C$152:$L$864,D128,8)</f>
        <v>0</v>
      </c>
      <c r="N128" s="149"/>
      <c r="O128" s="245" t="e">
        <f t="shared" si="9"/>
        <v>#VALUE!</v>
      </c>
      <c r="Q128" s="169" t="str">
        <f t="shared" si="8"/>
        <v>RIUNG MITRA LESTARI, PTFEB</v>
      </c>
    </row>
    <row r="129" spans="2:17" s="61" customFormat="1" ht="14.1" customHeight="1">
      <c r="B129" s="242"/>
      <c r="C129" s="268">
        <f>MATCH($B$70,INDEX(Master_Data!$B$152:$B$864,D128+1,1):'Master_Data'!$B$864,0)</f>
        <v>12</v>
      </c>
      <c r="D129" s="268">
        <f t="shared" si="7"/>
        <v>669</v>
      </c>
      <c r="E129" s="54">
        <v>60</v>
      </c>
      <c r="F129" s="22" t="str">
        <f>INDEX(Master_Data!$C$152:$L$864,D129,2)</f>
        <v>ROKA LANE ASIA, PT</v>
      </c>
      <c r="G129" s="24" t="str">
        <f>INDEX(Master_Data!$C$152:$L$864,D129,3)</f>
        <v>I</v>
      </c>
      <c r="H129" s="24">
        <f>INDEX(Master_Data!$C$152:$L$864,D129,1)</f>
        <v>8</v>
      </c>
      <c r="I129" s="24">
        <f>INDEX(Master_Data!$C$152:$L$864,D129,4)</f>
        <v>0</v>
      </c>
      <c r="J129" s="24">
        <f>INDEX(Master_Data!$C$152:$L$864,D129,5)</f>
        <v>0</v>
      </c>
      <c r="K129" s="137" t="str">
        <f>INDEX(Master_Data!$C$152:$L$864,D129,6)</f>
        <v>17-002/BKU-004/I/239</v>
      </c>
      <c r="L129" s="140" t="str">
        <f>INDEX(Master_Data!$C$152:$L$864,D129,7)</f>
        <v>010.001-17.53957847</v>
      </c>
      <c r="M129" s="140">
        <f>INDEX(Master_Data!$C$152:$L$864,D129,8)</f>
        <v>0</v>
      </c>
      <c r="N129" s="149"/>
      <c r="O129" s="245" t="e">
        <f t="shared" si="9"/>
        <v>#VALUE!</v>
      </c>
      <c r="Q129" s="169" t="str">
        <f t="shared" si="8"/>
        <v>ROKA LANE ASIA, PTFEB</v>
      </c>
    </row>
    <row r="130" spans="2:17" s="61" customFormat="1" ht="14.1" customHeight="1">
      <c r="B130" s="242"/>
      <c r="C130" s="268">
        <f>MATCH($B$70,INDEX(Master_Data!$B$152:$B$864,D129+1,1):'Master_Data'!$B$864,0)</f>
        <v>1</v>
      </c>
      <c r="D130" s="268">
        <f t="shared" si="7"/>
        <v>670</v>
      </c>
      <c r="E130" s="54">
        <v>61</v>
      </c>
      <c r="F130" s="22" t="str">
        <f>INDEX(Master_Data!$C$152:$L$864,D130,2)</f>
        <v>ROKA LANE ASIA, PT</v>
      </c>
      <c r="G130" s="24" t="str">
        <f>INDEX(Master_Data!$C$152:$L$864,D130,3)</f>
        <v>I</v>
      </c>
      <c r="H130" s="24">
        <f>INDEX(Master_Data!$C$152:$L$864,D130,1)</f>
        <v>8</v>
      </c>
      <c r="I130" s="24">
        <f>INDEX(Master_Data!$C$152:$L$864,D130,4)</f>
        <v>0</v>
      </c>
      <c r="J130" s="24">
        <f>INDEX(Master_Data!$C$152:$L$864,D130,5)</f>
        <v>0</v>
      </c>
      <c r="K130" s="137" t="str">
        <f>INDEX(Master_Data!$C$152:$L$864,D130,6)</f>
        <v>17-003/BKU-004/II/239</v>
      </c>
      <c r="L130" s="140" t="str">
        <f>INDEX(Master_Data!$C$152:$L$864,D130,7)</f>
        <v>010.001-17.53957875</v>
      </c>
      <c r="M130" s="140">
        <f>INDEX(Master_Data!$C$152:$L$864,D130,8)</f>
        <v>0</v>
      </c>
      <c r="N130" s="149"/>
      <c r="O130" s="245" t="e">
        <f t="shared" si="9"/>
        <v>#VALUE!</v>
      </c>
      <c r="Q130" s="169" t="str">
        <f t="shared" si="8"/>
        <v>ROKA LANE ASIA, PTFEB</v>
      </c>
    </row>
    <row r="131" spans="2:17" s="61" customFormat="1" ht="14.1" customHeight="1">
      <c r="B131" s="242"/>
      <c r="C131" s="268">
        <f>MATCH($B$70,INDEX(Master_Data!$B$152:$B$864,D130+1,1):'Master_Data'!$B$864,0)</f>
        <v>17</v>
      </c>
      <c r="D131" s="268">
        <f t="shared" si="7"/>
        <v>687</v>
      </c>
      <c r="E131" s="54">
        <v>62</v>
      </c>
      <c r="F131" s="22" t="str">
        <f>INDEX(Master_Data!$C$152:$L$864,D131,2)</f>
        <v>TEBAR TANDAN TENERA, PT</v>
      </c>
      <c r="G131" s="24" t="str">
        <f>INDEX(Master_Data!$C$152:$L$864,D131,3)</f>
        <v>V</v>
      </c>
      <c r="H131" s="24">
        <f>INDEX(Master_Data!$C$152:$L$864,D131,1)</f>
        <v>1</v>
      </c>
      <c r="I131" s="24">
        <f>INDEX(Master_Data!$C$152:$L$864,D131,4)</f>
        <v>0</v>
      </c>
      <c r="J131" s="24">
        <f>INDEX(Master_Data!$C$152:$L$864,D131,5)</f>
        <v>0</v>
      </c>
      <c r="K131" s="137" t="str">
        <f>INDEX(Master_Data!$C$152:$L$864,D131,6)</f>
        <v>17-002/BKU-004/II/227</v>
      </c>
      <c r="L131" s="140" t="str">
        <f>INDEX(Master_Data!$C$152:$L$864,D131,7)</f>
        <v>010.001-17.53957906</v>
      </c>
      <c r="M131" s="140">
        <f>INDEX(Master_Data!$C$152:$L$864,D131,8)</f>
        <v>0</v>
      </c>
      <c r="N131" s="149"/>
      <c r="O131" s="245" t="e">
        <f t="shared" si="9"/>
        <v>#VALUE!</v>
      </c>
      <c r="Q131" s="169" t="str">
        <f t="shared" si="8"/>
        <v>TEBAR TANDAN TENERA, PTFEB</v>
      </c>
    </row>
    <row r="132" spans="2:17" ht="20.25" customHeight="1">
      <c r="B132" s="1758" t="s">
        <v>7</v>
      </c>
      <c r="C132" s="1758"/>
      <c r="D132" s="1758"/>
      <c r="E132" s="1758"/>
      <c r="F132" s="1758"/>
      <c r="G132" s="1758"/>
      <c r="H132" s="1758"/>
      <c r="I132" s="1758"/>
      <c r="J132" s="1758"/>
      <c r="K132" s="12">
        <f>SUM(K70:K131)</f>
        <v>0</v>
      </c>
      <c r="L132" s="142">
        <f>SUM(L70:L131)</f>
        <v>0</v>
      </c>
      <c r="M132" s="142">
        <f>SUM(M70:M131)</f>
        <v>0</v>
      </c>
      <c r="N132" s="12">
        <f>SUM(N70:N131)</f>
        <v>0</v>
      </c>
      <c r="O132" s="13" t="e">
        <f>SUM(O70:O131)</f>
        <v>#VALUE!</v>
      </c>
    </row>
    <row r="134" spans="2:17" s="7" customFormat="1" ht="15" customHeight="1">
      <c r="B134" s="1759" t="s">
        <v>198</v>
      </c>
      <c r="C134" s="1760" t="s">
        <v>200</v>
      </c>
      <c r="D134" s="1760"/>
      <c r="E134" s="1759" t="s">
        <v>6</v>
      </c>
      <c r="F134" s="1758" t="s">
        <v>3</v>
      </c>
      <c r="G134" s="1761" t="s">
        <v>141</v>
      </c>
      <c r="H134" s="1758" t="s">
        <v>5</v>
      </c>
      <c r="I134" s="1758"/>
      <c r="J134" s="1758"/>
      <c r="K134" s="1758"/>
      <c r="L134" s="1758"/>
      <c r="M134" s="1758"/>
      <c r="N134" s="1758"/>
      <c r="O134" s="1758"/>
    </row>
    <row r="135" spans="2:17" s="7" customFormat="1" ht="15" customHeight="1">
      <c r="B135" s="1759"/>
      <c r="C135" s="1764" t="s">
        <v>196</v>
      </c>
      <c r="D135" s="1764" t="s">
        <v>197</v>
      </c>
      <c r="E135" s="1759"/>
      <c r="F135" s="1758"/>
      <c r="G135" s="1762"/>
      <c r="H135" s="1766" t="s">
        <v>15</v>
      </c>
      <c r="I135" s="1766" t="s">
        <v>51</v>
      </c>
      <c r="J135" s="1766" t="s">
        <v>12</v>
      </c>
      <c r="K135" s="1768" t="s">
        <v>11</v>
      </c>
      <c r="L135" s="1768" t="s">
        <v>53</v>
      </c>
      <c r="M135" s="1768" t="s">
        <v>1</v>
      </c>
      <c r="N135" s="1770" t="s">
        <v>50</v>
      </c>
      <c r="O135" s="1770"/>
    </row>
    <row r="136" spans="2:17" s="7" customFormat="1">
      <c r="B136" s="1759"/>
      <c r="C136" s="1765"/>
      <c r="D136" s="1765"/>
      <c r="E136" s="1759"/>
      <c r="F136" s="1758"/>
      <c r="G136" s="1763"/>
      <c r="H136" s="1767"/>
      <c r="I136" s="1767"/>
      <c r="J136" s="1767"/>
      <c r="K136" s="1769"/>
      <c r="L136" s="1769"/>
      <c r="M136" s="1769"/>
      <c r="N136" s="290" t="s">
        <v>54</v>
      </c>
      <c r="O136" s="290" t="s">
        <v>55</v>
      </c>
      <c r="Q136" s="168" t="s">
        <v>235</v>
      </c>
    </row>
    <row r="137" spans="2:17" s="7" customFormat="1" ht="14.1" customHeight="1">
      <c r="B137" s="337" t="s">
        <v>239</v>
      </c>
      <c r="C137" s="151">
        <f>MATCH(B137,Master_Data!$B$152:$B$864,0)</f>
        <v>2</v>
      </c>
      <c r="D137" s="151">
        <v>2</v>
      </c>
      <c r="E137" s="20">
        <v>1</v>
      </c>
      <c r="F137" s="75" t="str">
        <f>INDEX(Master_Data!$C$152:$L$864,D137,2)</f>
        <v>APLIKANUSA LINTASARTA, PT</v>
      </c>
      <c r="G137" s="20" t="str">
        <f>INDEX(Master_Data!$C$152:$L$864,D137,3)</f>
        <v>R</v>
      </c>
      <c r="H137" s="20">
        <f>INDEX(Master_Data!$C$152:$L$864,D137,1)</f>
        <v>6</v>
      </c>
      <c r="I137" s="20">
        <f>INDEX(Master_Data!$C$152:$L$864,D137,4)</f>
        <v>0</v>
      </c>
      <c r="J137" s="20">
        <f>INDEX(Master_Data!$C$152:$L$864,D137,5)</f>
        <v>0</v>
      </c>
      <c r="K137" s="708" t="str">
        <f>INDEX(Master_Data!$C$152:$L$864,D137,6)</f>
        <v>17-001/BKU-004/III/008</v>
      </c>
      <c r="L137" s="139" t="str">
        <f>INDEX(Master_Data!$C$152:$L$864,D137,7)</f>
        <v>011.001-17.53957965</v>
      </c>
      <c r="M137" s="139">
        <f>INDEX(Master_Data!$C$152:$L$864,D137,8)</f>
        <v>0</v>
      </c>
      <c r="N137" s="266"/>
      <c r="O137" s="272" t="e">
        <f t="shared" ref="O137:O179" si="10">L137+M137</f>
        <v>#VALUE!</v>
      </c>
      <c r="Q137" s="169" t="str">
        <f>CONCATENATE(F137,$B$137)</f>
        <v>APLIKANUSA LINTASARTA, PTMAR</v>
      </c>
    </row>
    <row r="138" spans="2:17" s="61" customFormat="1" ht="14.1" customHeight="1">
      <c r="B138" s="338"/>
      <c r="C138" s="268">
        <f>MATCH($B$137,INDEX(Master_Data!$B$152:$B$864,D137+1,1):'Master_Data'!$B$864,0)</f>
        <v>1</v>
      </c>
      <c r="D138" s="268">
        <f>D137+C138</f>
        <v>3</v>
      </c>
      <c r="E138" s="54">
        <v>2</v>
      </c>
      <c r="F138" s="105" t="str">
        <f>INDEX(Master_Data!$C$152:$L$864,D138,2)</f>
        <v>APLIKANUSA LINTASARTA, PT</v>
      </c>
      <c r="G138" s="24" t="str">
        <f>INDEX(Master_Data!$C$152:$L$864,D138,3)</f>
        <v>R</v>
      </c>
      <c r="H138" s="24">
        <f>INDEX(Master_Data!$C$152:$L$864,D138,1)</f>
        <v>6</v>
      </c>
      <c r="I138" s="24">
        <f>INDEX(Master_Data!$C$152:$L$864,D138,4)</f>
        <v>0</v>
      </c>
      <c r="J138" s="24">
        <f>INDEX(Master_Data!$C$152:$L$864,D138,5)</f>
        <v>0</v>
      </c>
      <c r="K138" s="137" t="str">
        <f>INDEX(Master_Data!$C$152:$L$864,D138,6)</f>
        <v>17-002/BKU-004/III/008</v>
      </c>
      <c r="L138" s="140" t="str">
        <f>INDEX(Master_Data!$C$152:$L$864,D138,7)</f>
        <v>010.001-17.53957966</v>
      </c>
      <c r="M138" s="140">
        <f>INDEX(Master_Data!$C$152:$L$864,D138,8)</f>
        <v>0</v>
      </c>
      <c r="N138" s="149"/>
      <c r="O138" s="245" t="e">
        <f t="shared" si="10"/>
        <v>#VALUE!</v>
      </c>
      <c r="Q138" s="169" t="str">
        <f t="shared" ref="Q138:Q179" si="11">CONCATENATE(F138,$B$137)</f>
        <v>APLIKANUSA LINTASARTA, PTMAR</v>
      </c>
    </row>
    <row r="139" spans="2:17" s="61" customFormat="1" ht="14.1" customHeight="1">
      <c r="B139" s="338"/>
      <c r="C139" s="268">
        <f>MATCH($B$137,INDEX(Master_Data!$B$152:$B$864,D138+1,1):'Master_Data'!$B$864,0)</f>
        <v>1</v>
      </c>
      <c r="D139" s="268">
        <f t="shared" ref="D139:D179" si="12">D138+C139</f>
        <v>4</v>
      </c>
      <c r="E139" s="24">
        <v>3</v>
      </c>
      <c r="F139" s="105" t="str">
        <f>INDEX(Master_Data!$C$152:$L$864,D139,2)</f>
        <v>APLIKANUSA LINTASARTA, PT</v>
      </c>
      <c r="G139" s="24" t="str">
        <f>INDEX(Master_Data!$C$152:$L$864,D139,3)</f>
        <v>R</v>
      </c>
      <c r="H139" s="24">
        <f>INDEX(Master_Data!$C$152:$L$864,D139,1)</f>
        <v>6</v>
      </c>
      <c r="I139" s="24">
        <f>INDEX(Master_Data!$C$152:$L$864,D139,4)</f>
        <v>0</v>
      </c>
      <c r="J139" s="24">
        <f>INDEX(Master_Data!$C$152:$L$864,D139,5)</f>
        <v>0</v>
      </c>
      <c r="K139" s="137" t="str">
        <f>INDEX(Master_Data!$C$152:$L$864,D139,6)</f>
        <v>17-003/BKU-004/III/008</v>
      </c>
      <c r="L139" s="140" t="str">
        <f>INDEX(Master_Data!$C$152:$L$864,D139,7)</f>
        <v>010.001-17.53957967</v>
      </c>
      <c r="M139" s="140">
        <f>INDEX(Master_Data!$C$152:$L$864,D139,8)</f>
        <v>0</v>
      </c>
      <c r="N139" s="149"/>
      <c r="O139" s="245" t="e">
        <f t="shared" si="10"/>
        <v>#VALUE!</v>
      </c>
      <c r="Q139" s="169" t="str">
        <f t="shared" si="11"/>
        <v>APLIKANUSA LINTASARTA, PTMAR</v>
      </c>
    </row>
    <row r="140" spans="2:17" s="61" customFormat="1" ht="14.1" customHeight="1">
      <c r="B140" s="338"/>
      <c r="C140" s="268">
        <f>MATCH($B$137,INDEX(Master_Data!$B$152:$B$864,D139+1,1):'Master_Data'!$B$864,0)</f>
        <v>1</v>
      </c>
      <c r="D140" s="268">
        <f t="shared" si="12"/>
        <v>5</v>
      </c>
      <c r="E140" s="54">
        <v>4</v>
      </c>
      <c r="F140" s="105" t="str">
        <f>INDEX(Master_Data!$C$152:$L$864,D140,2)</f>
        <v>BANDARA WASIOR PAPUA BARAT, PT</v>
      </c>
      <c r="G140" s="24" t="str">
        <f>INDEX(Master_Data!$C$152:$L$864,D140,3)</f>
        <v>I</v>
      </c>
      <c r="H140" s="24">
        <f>INDEX(Master_Data!$C$152:$L$864,D140,1)</f>
        <v>18</v>
      </c>
      <c r="I140" s="24" t="str">
        <f>INDEX(Master_Data!$C$152:$L$864,D140,4)</f>
        <v>Layanan Akses Internet 1 Mbps pada Bandara Wasior Papua Barat</v>
      </c>
      <c r="J140" s="24" t="str">
        <f>INDEX(Master_Data!$C$152:$L$864,D140,5)</f>
        <v>27 Mar-27 Apr</v>
      </c>
      <c r="K140" s="137" t="str">
        <f>INDEX(Master_Data!$C$152:$L$864,D140,6)</f>
        <v>17-001/BKU-004/III/248</v>
      </c>
      <c r="L140" s="140" t="str">
        <f>INDEX(Master_Data!$C$152:$L$864,D140,7)</f>
        <v>020.019-17.53122142</v>
      </c>
      <c r="M140" s="140">
        <f>INDEX(Master_Data!$C$152:$L$864,D140,8)</f>
        <v>0</v>
      </c>
      <c r="N140" s="149"/>
      <c r="O140" s="245" t="e">
        <f t="shared" si="10"/>
        <v>#VALUE!</v>
      </c>
      <c r="Q140" s="169" t="str">
        <f t="shared" si="11"/>
        <v>BANDARA WASIOR PAPUA BARAT, PTMAR</v>
      </c>
    </row>
    <row r="141" spans="2:17" s="61" customFormat="1" ht="14.1" customHeight="1">
      <c r="B141" s="338"/>
      <c r="C141" s="268">
        <f>MATCH($B$137,INDEX(Master_Data!$B$152:$B$864,D140+1,1):'Master_Data'!$B$864,0)</f>
        <v>14</v>
      </c>
      <c r="D141" s="268">
        <f t="shared" si="12"/>
        <v>19</v>
      </c>
      <c r="E141" s="24">
        <v>5</v>
      </c>
      <c r="F141" s="105" t="str">
        <f>INDEX(Master_Data!$C$152:$L$864,D141,2)</f>
        <v>BUKIT MAKMUR MANDIRI UTAMA, PT</v>
      </c>
      <c r="G141" s="24" t="str">
        <f>INDEX(Master_Data!$C$152:$L$864,D141,3)</f>
        <v>V</v>
      </c>
      <c r="H141" s="24">
        <f>INDEX(Master_Data!$C$152:$L$864,D141,1)</f>
        <v>30</v>
      </c>
      <c r="I141" s="24">
        <f>INDEX(Master_Data!$C$152:$L$864,D141,4)</f>
        <v>0</v>
      </c>
      <c r="J141" s="24">
        <f>INDEX(Master_Data!$C$152:$L$864,D141,5)</f>
        <v>0</v>
      </c>
      <c r="K141" s="137" t="str">
        <f>INDEX(Master_Data!$C$152:$L$864,D141,6)</f>
        <v>17-005/BKU-004/III/172</v>
      </c>
      <c r="L141" s="140" t="str">
        <f>INDEX(Master_Data!$C$152:$L$864,D141,7)</f>
        <v>010.001-17.53957972</v>
      </c>
      <c r="M141" s="140">
        <f>INDEX(Master_Data!$C$152:$L$864,D141,8)</f>
        <v>0</v>
      </c>
      <c r="N141" s="149"/>
      <c r="O141" s="245" t="e">
        <f t="shared" si="10"/>
        <v>#VALUE!</v>
      </c>
      <c r="Q141" s="169" t="str">
        <f t="shared" si="11"/>
        <v>BUKIT MAKMUR MANDIRI UTAMA, PTMAR</v>
      </c>
    </row>
    <row r="142" spans="2:17" s="61" customFormat="1" ht="14.1" customHeight="1">
      <c r="B142" s="338"/>
      <c r="C142" s="268">
        <f>MATCH($B$137,INDEX(Master_Data!$B$152:$B$864,D141+1,1):'Master_Data'!$B$864,0)</f>
        <v>1</v>
      </c>
      <c r="D142" s="268">
        <f t="shared" si="12"/>
        <v>20</v>
      </c>
      <c r="E142" s="54">
        <v>6</v>
      </c>
      <c r="F142" s="105" t="str">
        <f>INDEX(Master_Data!$C$152:$L$864,D142,2)</f>
        <v>BUKIT MAKMUR MANDIRI UTAMA, PT</v>
      </c>
      <c r="G142" s="24" t="str">
        <f>INDEX(Master_Data!$C$152:$L$864,D142,3)</f>
        <v>HMS</v>
      </c>
      <c r="H142" s="24">
        <f>INDEX(Master_Data!$C$152:$L$864,D142,1)</f>
        <v>30</v>
      </c>
      <c r="I142" s="24">
        <f>INDEX(Master_Data!$C$152:$L$864,D142,4)</f>
        <v>0</v>
      </c>
      <c r="J142" s="24">
        <f>INDEX(Master_Data!$C$152:$L$864,D142,5)</f>
        <v>0</v>
      </c>
      <c r="K142" s="137" t="str">
        <f>INDEX(Master_Data!$C$152:$L$864,D142,6)</f>
        <v>17-006/BKU-004/III/172</v>
      </c>
      <c r="L142" s="140" t="str">
        <f>INDEX(Master_Data!$C$152:$L$864,D142,7)</f>
        <v>010.001-17.53957973</v>
      </c>
      <c r="M142" s="140">
        <f>INDEX(Master_Data!$C$152:$L$864,D142,8)</f>
        <v>0</v>
      </c>
      <c r="N142" s="149"/>
      <c r="O142" s="245" t="e">
        <f t="shared" si="10"/>
        <v>#VALUE!</v>
      </c>
      <c r="Q142" s="169" t="str">
        <f t="shared" si="11"/>
        <v>BUKIT MAKMUR MANDIRI UTAMA, PTMAR</v>
      </c>
    </row>
    <row r="143" spans="2:17" s="61" customFormat="1" ht="14.1" customHeight="1">
      <c r="B143" s="338"/>
      <c r="C143" s="268">
        <f>MATCH($B$137,INDEX(Master_Data!$B$152:$B$864,D142+1,1):'Master_Data'!$B$864,0)</f>
        <v>18</v>
      </c>
      <c r="D143" s="268">
        <f t="shared" si="12"/>
        <v>38</v>
      </c>
      <c r="E143" s="24">
        <v>7</v>
      </c>
      <c r="F143" s="105" t="str">
        <f>INDEX(Master_Data!$C$152:$L$864,D143,2)</f>
        <v>CAKRAWALA SEJAHTERA, PT</v>
      </c>
      <c r="G143" s="24" t="str">
        <f>INDEX(Master_Data!$C$152:$L$864,D143,3)</f>
        <v>V</v>
      </c>
      <c r="H143" s="24">
        <f>INDEX(Master_Data!$C$152:$L$864,D143,1)</f>
        <v>1</v>
      </c>
      <c r="I143" s="24">
        <f>INDEX(Master_Data!$C$152:$L$864,D143,4)</f>
        <v>0</v>
      </c>
      <c r="J143" s="24">
        <f>INDEX(Master_Data!$C$152:$L$864,D143,5)</f>
        <v>0</v>
      </c>
      <c r="K143" s="137" t="str">
        <f>INDEX(Master_Data!$C$152:$L$864,D143,6)</f>
        <v>17-004/BKU-004/III/198</v>
      </c>
      <c r="L143" s="140" t="str">
        <f>INDEX(Master_Data!$C$152:$L$864,D143,7)</f>
        <v>010.001-17.53957927</v>
      </c>
      <c r="M143" s="140">
        <f>INDEX(Master_Data!$C$152:$L$864,D143,8)</f>
        <v>0</v>
      </c>
      <c r="N143" s="149"/>
      <c r="O143" s="245" t="e">
        <f t="shared" si="10"/>
        <v>#VALUE!</v>
      </c>
      <c r="Q143" s="169" t="str">
        <f t="shared" si="11"/>
        <v>CAKRAWALA SEJAHTERA, PTMAR</v>
      </c>
    </row>
    <row r="144" spans="2:17" s="61" customFormat="1" ht="14.1" customHeight="1">
      <c r="B144" s="338"/>
      <c r="C144" s="268">
        <f>MATCH($B$137,INDEX(Master_Data!$B$152:$B$864,D143+1,1):'Master_Data'!$B$864,0)</f>
        <v>9</v>
      </c>
      <c r="D144" s="268">
        <f t="shared" si="12"/>
        <v>47</v>
      </c>
      <c r="E144" s="54">
        <v>8</v>
      </c>
      <c r="F144" s="105" t="str">
        <f>INDEX(Master_Data!$C$152:$L$864,D144,2)</f>
        <v>CIPTA INFORMATIKA CEMERLANG, PT</v>
      </c>
      <c r="G144" s="24" t="str">
        <f>INDEX(Master_Data!$C$152:$L$864,D144,3)</f>
        <v>P</v>
      </c>
      <c r="H144" s="24">
        <f>INDEX(Master_Data!$C$152:$L$864,D144,1)</f>
        <v>1</v>
      </c>
      <c r="I144" s="24">
        <f>INDEX(Master_Data!$C$152:$L$864,D144,4)</f>
        <v>0</v>
      </c>
      <c r="J144" s="24">
        <f>INDEX(Master_Data!$C$152:$L$864,D144,5)</f>
        <v>0</v>
      </c>
      <c r="K144" s="137" t="str">
        <f>INDEX(Master_Data!$C$152:$L$864,D144,6)</f>
        <v>17-003/BKU-004/III/097</v>
      </c>
      <c r="L144" s="140" t="str">
        <f>INDEX(Master_Data!$C$152:$L$864,D144,7)</f>
        <v>010.001-17.53957926</v>
      </c>
      <c r="M144" s="140">
        <f>INDEX(Master_Data!$C$152:$L$864,D144,8)</f>
        <v>0</v>
      </c>
      <c r="N144" s="149"/>
      <c r="O144" s="245" t="e">
        <f t="shared" si="10"/>
        <v>#VALUE!</v>
      </c>
      <c r="Q144" s="169" t="str">
        <f t="shared" si="11"/>
        <v>CIPTA INFORMATIKA CEMERLANG, PTMAR</v>
      </c>
    </row>
    <row r="145" spans="2:17" s="61" customFormat="1" ht="14.1" customHeight="1">
      <c r="B145" s="338"/>
      <c r="C145" s="268">
        <f>MATCH($B$137,INDEX(Master_Data!$B$152:$B$864,D144+1,1):'Master_Data'!$B$864,0)</f>
        <v>15</v>
      </c>
      <c r="D145" s="268">
        <f t="shared" si="12"/>
        <v>62</v>
      </c>
      <c r="E145" s="24">
        <v>9</v>
      </c>
      <c r="F145" s="105" t="str">
        <f>INDEX(Master_Data!$C$152:$L$864,D145,2)</f>
        <v>ELGA YASA MEDIA, PT</v>
      </c>
      <c r="G145" s="24" t="str">
        <f>INDEX(Master_Data!$C$152:$L$864,D145,3)</f>
        <v>W</v>
      </c>
      <c r="H145" s="24">
        <f>INDEX(Master_Data!$C$152:$L$864,D145,1)</f>
        <v>1</v>
      </c>
      <c r="I145" s="24">
        <f>INDEX(Master_Data!$C$152:$L$864,D145,4)</f>
        <v>0</v>
      </c>
      <c r="J145" s="24">
        <f>INDEX(Master_Data!$C$152:$L$864,D145,5)</f>
        <v>0</v>
      </c>
      <c r="K145" s="137" t="str">
        <f>INDEX(Master_Data!$C$152:$L$864,D145,6)</f>
        <v>17-004/BKU-004/III/007</v>
      </c>
      <c r="L145" s="140" t="str">
        <f>INDEX(Master_Data!$C$152:$L$864,D145,7)</f>
        <v>010.001-17.53957954</v>
      </c>
      <c r="M145" s="140">
        <f>INDEX(Master_Data!$C$152:$L$864,D145,8)</f>
        <v>0</v>
      </c>
      <c r="N145" s="149"/>
      <c r="O145" s="245" t="e">
        <f t="shared" si="10"/>
        <v>#VALUE!</v>
      </c>
      <c r="Q145" s="169" t="str">
        <f t="shared" si="11"/>
        <v>ELGA YASA MEDIA, PTMAR</v>
      </c>
    </row>
    <row r="146" spans="2:17" s="61" customFormat="1" ht="14.1" customHeight="1">
      <c r="B146" s="338"/>
      <c r="C146" s="268">
        <f>MATCH($B$137,INDEX(Master_Data!$B$152:$B$864,D145+1,1):'Master_Data'!$B$864,0)</f>
        <v>8</v>
      </c>
      <c r="D146" s="268">
        <f t="shared" si="12"/>
        <v>70</v>
      </c>
      <c r="E146" s="54">
        <v>10</v>
      </c>
      <c r="F146" s="105" t="str">
        <f>INDEX(Master_Data!$C$152:$L$864,D146,2)</f>
        <v>EXPANS PETROGAS INTRANUSA, PT</v>
      </c>
      <c r="G146" s="24" t="str">
        <f>INDEX(Master_Data!$C$152:$L$864,D146,3)</f>
        <v>W</v>
      </c>
      <c r="H146" s="24">
        <f>INDEX(Master_Data!$C$152:$L$864,D146,1)</f>
        <v>1</v>
      </c>
      <c r="I146" s="24">
        <f>INDEX(Master_Data!$C$152:$L$864,D146,4)</f>
        <v>0</v>
      </c>
      <c r="J146" s="24">
        <f>INDEX(Master_Data!$C$152:$L$864,D146,5)</f>
        <v>0</v>
      </c>
      <c r="K146" s="137" t="str">
        <f>INDEX(Master_Data!$C$152:$L$864,D146,6)</f>
        <v>17-005/BKU-004/III/189</v>
      </c>
      <c r="L146" s="140" t="str">
        <f>INDEX(Master_Data!$C$152:$L$864,D146,7)</f>
        <v>010.001-17.53957928</v>
      </c>
      <c r="M146" s="140">
        <f>INDEX(Master_Data!$C$152:$L$864,D146,8)</f>
        <v>0</v>
      </c>
      <c r="N146" s="149"/>
      <c r="O146" s="245" t="e">
        <f t="shared" si="10"/>
        <v>#VALUE!</v>
      </c>
      <c r="Q146" s="169" t="str">
        <f t="shared" si="11"/>
        <v>EXPANS PETROGAS INTRANUSA, PTMAR</v>
      </c>
    </row>
    <row r="147" spans="2:17" s="61" customFormat="1" ht="14.1" customHeight="1">
      <c r="B147" s="338"/>
      <c r="C147" s="268">
        <f>MATCH($B$137,INDEX(Master_Data!$B$152:$B$864,D146+1,1):'Master_Data'!$B$864,0)</f>
        <v>1</v>
      </c>
      <c r="D147" s="268">
        <f t="shared" si="12"/>
        <v>71</v>
      </c>
      <c r="E147" s="24">
        <v>11</v>
      </c>
      <c r="F147" s="105" t="str">
        <f>INDEX(Master_Data!$C$152:$L$864,D147,2)</f>
        <v>EXPANS PETROGAS INTRANUSA, PT</v>
      </c>
      <c r="G147" s="24" t="str">
        <f>INDEX(Master_Data!$C$152:$L$864,D147,3)</f>
        <v>I</v>
      </c>
      <c r="H147" s="24">
        <f>INDEX(Master_Data!$C$152:$L$864,D147,1)</f>
        <v>1</v>
      </c>
      <c r="I147" s="24">
        <f>INDEX(Master_Data!$C$152:$L$864,D147,4)</f>
        <v>0</v>
      </c>
      <c r="J147" s="24">
        <f>INDEX(Master_Data!$C$152:$L$864,D147,5)</f>
        <v>0</v>
      </c>
      <c r="K147" s="137" t="str">
        <f>INDEX(Master_Data!$C$152:$L$864,D147,6)</f>
        <v>17-006/BKU-004/III/189</v>
      </c>
      <c r="L147" s="140" t="str">
        <f>INDEX(Master_Data!$C$152:$L$864,D147,7)</f>
        <v>010.001-17.53957929</v>
      </c>
      <c r="M147" s="140">
        <f>INDEX(Master_Data!$C$152:$L$864,D147,8)</f>
        <v>0</v>
      </c>
      <c r="N147" s="149"/>
      <c r="O147" s="245" t="e">
        <f t="shared" si="10"/>
        <v>#VALUE!</v>
      </c>
      <c r="Q147" s="169" t="str">
        <f t="shared" si="11"/>
        <v>EXPANS PETROGAS INTRANUSA, PTMAR</v>
      </c>
    </row>
    <row r="148" spans="2:17" s="61" customFormat="1" ht="14.1" customHeight="1">
      <c r="B148" s="338"/>
      <c r="C148" s="268">
        <f>MATCH($B$137,INDEX(Master_Data!$B$152:$B$864,D147+1,1):'Master_Data'!$B$864,0)</f>
        <v>15</v>
      </c>
      <c r="D148" s="268">
        <f t="shared" si="12"/>
        <v>86</v>
      </c>
      <c r="E148" s="54">
        <v>12</v>
      </c>
      <c r="F148" s="105" t="str">
        <f>INDEX(Master_Data!$C$152:$L$864,D148,2)</f>
        <v>HARMONI PANCA UTAMA, PT</v>
      </c>
      <c r="G148" s="24" t="str">
        <f>INDEX(Master_Data!$C$152:$L$864,D148,3)</f>
        <v>V</v>
      </c>
      <c r="H148" s="24">
        <f>INDEX(Master_Data!$C$152:$L$864,D148,1)</f>
        <v>1</v>
      </c>
      <c r="I148" s="24">
        <f>INDEX(Master_Data!$C$152:$L$864,D148,4)</f>
        <v>0</v>
      </c>
      <c r="J148" s="24">
        <f>INDEX(Master_Data!$C$152:$L$864,D148,5)</f>
        <v>0</v>
      </c>
      <c r="K148" s="137" t="str">
        <f>INDEX(Master_Data!$C$152:$L$864,D148,6)</f>
        <v>17-013/BKU-004/II/159</v>
      </c>
      <c r="L148" s="140" t="str">
        <f>INDEX(Master_Data!$C$152:$L$864,D148,7)</f>
        <v>011.001-17.53957895</v>
      </c>
      <c r="M148" s="140">
        <f>INDEX(Master_Data!$C$152:$L$864,D148,8)</f>
        <v>0</v>
      </c>
      <c r="N148" s="149"/>
      <c r="O148" s="245" t="e">
        <f t="shared" si="10"/>
        <v>#VALUE!</v>
      </c>
      <c r="Q148" s="169" t="str">
        <f t="shared" si="11"/>
        <v>HARMONI PANCA UTAMA, PTMAR</v>
      </c>
    </row>
    <row r="149" spans="2:17" s="61" customFormat="1" ht="14.1" customHeight="1">
      <c r="B149" s="338"/>
      <c r="C149" s="268">
        <f>MATCH($B$137,INDEX(Master_Data!$B$152:$B$864,D148+1,1):'Master_Data'!$B$864,0)</f>
        <v>3</v>
      </c>
      <c r="D149" s="268">
        <f t="shared" si="12"/>
        <v>89</v>
      </c>
      <c r="E149" s="24">
        <v>13</v>
      </c>
      <c r="F149" s="105" t="str">
        <f>INDEX(Master_Data!$C$152:$L$864,D149,2)</f>
        <v>HARMONI PANCA UTAMA, PT</v>
      </c>
      <c r="G149" s="24" t="str">
        <f>INDEX(Master_Data!$C$152:$L$864,D149,3)</f>
        <v>V</v>
      </c>
      <c r="H149" s="24">
        <f>INDEX(Master_Data!$C$152:$L$864,D149,1)</f>
        <v>1</v>
      </c>
      <c r="I149" s="24">
        <f>INDEX(Master_Data!$C$152:$L$864,D149,4)</f>
        <v>0</v>
      </c>
      <c r="J149" s="24">
        <f>INDEX(Master_Data!$C$152:$L$864,D149,5)</f>
        <v>0</v>
      </c>
      <c r="K149" s="137" t="str">
        <f>INDEX(Master_Data!$C$152:$L$864,D149,6)</f>
        <v>17-016/BKU-004/III/159</v>
      </c>
      <c r="L149" s="140" t="str">
        <f>INDEX(Master_Data!$C$152:$L$864,D149,7)</f>
        <v>010.001-15.53957955</v>
      </c>
      <c r="M149" s="140">
        <f>INDEX(Master_Data!$C$152:$L$864,D149,8)</f>
        <v>0</v>
      </c>
      <c r="N149" s="149"/>
      <c r="O149" s="245" t="e">
        <f t="shared" si="10"/>
        <v>#VALUE!</v>
      </c>
      <c r="Q149" s="169" t="str">
        <f t="shared" si="11"/>
        <v>HARMONI PANCA UTAMA, PTMAR</v>
      </c>
    </row>
    <row r="150" spans="2:17" s="61" customFormat="1" ht="14.1" customHeight="1">
      <c r="B150" s="242"/>
      <c r="C150" s="268">
        <f>MATCH($B$137,INDEX(Master_Data!$B$152:$B$864,D149+1,1):'Master_Data'!$B$864,0)</f>
        <v>1</v>
      </c>
      <c r="D150" s="268">
        <f t="shared" si="12"/>
        <v>90</v>
      </c>
      <c r="E150" s="54">
        <v>14</v>
      </c>
      <c r="F150" s="105" t="str">
        <f>INDEX(Master_Data!$C$152:$L$864,D150,2)</f>
        <v>HARMONI PANCA UTAMA, PT</v>
      </c>
      <c r="G150" s="24" t="str">
        <f>INDEX(Master_Data!$C$152:$L$864,D150,3)</f>
        <v>M</v>
      </c>
      <c r="H150" s="24">
        <f>INDEX(Master_Data!$C$152:$L$864,D150,1)</f>
        <v>1</v>
      </c>
      <c r="I150" s="24">
        <f>INDEX(Master_Data!$C$152:$L$864,D150,4)</f>
        <v>0</v>
      </c>
      <c r="J150" s="24">
        <f>INDEX(Master_Data!$C$152:$L$864,D150,5)</f>
        <v>0</v>
      </c>
      <c r="K150" s="137" t="str">
        <f>INDEX(Master_Data!$C$152:$L$864,D150,6)</f>
        <v>17-017/BKU-004/III/159</v>
      </c>
      <c r="L150" s="140" t="str">
        <f>INDEX(Master_Data!$C$152:$L$864,D150,7)</f>
        <v>010.001-15.53957956</v>
      </c>
      <c r="M150" s="140">
        <f>INDEX(Master_Data!$C$152:$L$864,D150,8)</f>
        <v>0</v>
      </c>
      <c r="N150" s="149"/>
      <c r="O150" s="245" t="e">
        <f t="shared" si="10"/>
        <v>#VALUE!</v>
      </c>
      <c r="Q150" s="169" t="str">
        <f t="shared" si="11"/>
        <v>HARMONI PANCA UTAMA, PTMAR</v>
      </c>
    </row>
    <row r="151" spans="2:17" s="61" customFormat="1" ht="14.1" customHeight="1">
      <c r="B151" s="242"/>
      <c r="C151" s="268">
        <f>MATCH($B$137,INDEX(Master_Data!$B$152:$B$864,D150+1,1):'Master_Data'!$B$864,0)</f>
        <v>1</v>
      </c>
      <c r="D151" s="268">
        <f t="shared" si="12"/>
        <v>91</v>
      </c>
      <c r="E151" s="24">
        <v>15</v>
      </c>
      <c r="F151" s="105" t="str">
        <f>INDEX(Master_Data!$C$152:$L$864,D151,2)</f>
        <v>HARMONI PANCA UTAMA, PT</v>
      </c>
      <c r="G151" s="24" t="str">
        <f>INDEX(Master_Data!$C$152:$L$864,D151,3)</f>
        <v>M</v>
      </c>
      <c r="H151" s="24">
        <f>INDEX(Master_Data!$C$152:$L$864,D151,1)</f>
        <v>1</v>
      </c>
      <c r="I151" s="24">
        <f>INDEX(Master_Data!$C$152:$L$864,D151,4)</f>
        <v>0</v>
      </c>
      <c r="J151" s="24">
        <f>INDEX(Master_Data!$C$152:$L$864,D151,5)</f>
        <v>0</v>
      </c>
      <c r="K151" s="137" t="str">
        <f>INDEX(Master_Data!$C$152:$L$864,D151,6)</f>
        <v>17-018/BKU-004/III/159</v>
      </c>
      <c r="L151" s="140" t="str">
        <f>INDEX(Master_Data!$C$152:$L$864,D151,7)</f>
        <v>010.001-15.53957957</v>
      </c>
      <c r="M151" s="140">
        <f>INDEX(Master_Data!$C$152:$L$864,D151,8)</f>
        <v>0</v>
      </c>
      <c r="N151" s="149"/>
      <c r="O151" s="245" t="e">
        <f t="shared" si="10"/>
        <v>#VALUE!</v>
      </c>
      <c r="Q151" s="169" t="str">
        <f t="shared" si="11"/>
        <v>HARMONI PANCA UTAMA, PTMAR</v>
      </c>
    </row>
    <row r="152" spans="2:17" s="61" customFormat="1" ht="14.1" customHeight="1">
      <c r="B152" s="242"/>
      <c r="C152" s="268">
        <f>MATCH($B$137,INDEX(Master_Data!$B$152:$B$864,D151+1,1):'Master_Data'!$B$864,0)</f>
        <v>1</v>
      </c>
      <c r="D152" s="268">
        <f t="shared" si="12"/>
        <v>92</v>
      </c>
      <c r="E152" s="54">
        <v>16</v>
      </c>
      <c r="F152" s="105" t="str">
        <f>INDEX(Master_Data!$C$152:$L$864,D152,2)</f>
        <v>HARMONI PANCA UTAMA, PT</v>
      </c>
      <c r="G152" s="24" t="str">
        <f>INDEX(Master_Data!$C$152:$L$864,D152,3)</f>
        <v>M</v>
      </c>
      <c r="H152" s="24">
        <f>INDEX(Master_Data!$C$152:$L$864,D152,1)</f>
        <v>1</v>
      </c>
      <c r="I152" s="24">
        <f>INDEX(Master_Data!$C$152:$L$864,D152,4)</f>
        <v>0</v>
      </c>
      <c r="J152" s="24">
        <f>INDEX(Master_Data!$C$152:$L$864,D152,5)</f>
        <v>0</v>
      </c>
      <c r="K152" s="137" t="str">
        <f>INDEX(Master_Data!$C$152:$L$864,D152,6)</f>
        <v>17-019/BKU-004/III/159</v>
      </c>
      <c r="L152" s="140" t="str">
        <f>INDEX(Master_Data!$C$152:$L$864,D152,7)</f>
        <v>010.001-15.53957958</v>
      </c>
      <c r="M152" s="140">
        <f>INDEX(Master_Data!$C$152:$L$864,D152,8)</f>
        <v>0</v>
      </c>
      <c r="N152" s="149"/>
      <c r="O152" s="245" t="e">
        <f t="shared" si="10"/>
        <v>#VALUE!</v>
      </c>
      <c r="Q152" s="169" t="str">
        <f t="shared" si="11"/>
        <v>HARMONI PANCA UTAMA, PTMAR</v>
      </c>
    </row>
    <row r="153" spans="2:17" s="61" customFormat="1" ht="14.1" customHeight="1">
      <c r="B153" s="242"/>
      <c r="C153" s="268">
        <f>MATCH($B$137,INDEX(Master_Data!$B$152:$B$864,D152+1,1):'Master_Data'!$B$864,0)</f>
        <v>1</v>
      </c>
      <c r="D153" s="268">
        <f t="shared" si="12"/>
        <v>93</v>
      </c>
      <c r="E153" s="24">
        <v>17</v>
      </c>
      <c r="F153" s="105" t="str">
        <f>INDEX(Master_Data!$C$152:$L$864,D153,2)</f>
        <v>HARMONI PANCA UTAMA, PT</v>
      </c>
      <c r="G153" s="24" t="str">
        <f>INDEX(Master_Data!$C$152:$L$864,D153,3)</f>
        <v>O &amp; V</v>
      </c>
      <c r="H153" s="24">
        <f>INDEX(Master_Data!$C$152:$L$864,D153,1)</f>
        <v>1</v>
      </c>
      <c r="I153" s="24">
        <f>INDEX(Master_Data!$C$152:$L$864,D153,4)</f>
        <v>0</v>
      </c>
      <c r="J153" s="24">
        <f>INDEX(Master_Data!$C$152:$L$864,D153,5)</f>
        <v>0</v>
      </c>
      <c r="K153" s="137" t="str">
        <f>INDEX(Master_Data!$C$152:$L$864,D153,6)</f>
        <v>17-020/BKU-004/III/159</v>
      </c>
      <c r="L153" s="140" t="str">
        <f>INDEX(Master_Data!$C$152:$L$864,D153,7)</f>
        <v>010.001-15.53957959</v>
      </c>
      <c r="M153" s="140">
        <f>INDEX(Master_Data!$C$152:$L$864,D153,8)</f>
        <v>0</v>
      </c>
      <c r="N153" s="149"/>
      <c r="O153" s="245" t="e">
        <f t="shared" si="10"/>
        <v>#VALUE!</v>
      </c>
      <c r="Q153" s="169" t="str">
        <f t="shared" si="11"/>
        <v>HARMONI PANCA UTAMA, PTMAR</v>
      </c>
    </row>
    <row r="154" spans="2:17" s="61" customFormat="1" ht="14.1" customHeight="1">
      <c r="B154" s="242"/>
      <c r="C154" s="268">
        <f>MATCH($B$137,INDEX(Master_Data!$B$152:$B$864,D153+1,1):'Master_Data'!$B$864,0)</f>
        <v>1</v>
      </c>
      <c r="D154" s="268">
        <f t="shared" si="12"/>
        <v>94</v>
      </c>
      <c r="E154" s="54">
        <v>18</v>
      </c>
      <c r="F154" s="105" t="str">
        <f>INDEX(Master_Data!$C$152:$L$864,D154,2)</f>
        <v>HARMONI PANCA UTAMA, PT</v>
      </c>
      <c r="G154" s="24" t="str">
        <f>INDEX(Master_Data!$C$152:$L$864,D154,3)</f>
        <v>V</v>
      </c>
      <c r="H154" s="24">
        <f>INDEX(Master_Data!$C$152:$L$864,D154,1)</f>
        <v>1</v>
      </c>
      <c r="I154" s="24">
        <f>INDEX(Master_Data!$C$152:$L$864,D154,4)</f>
        <v>0</v>
      </c>
      <c r="J154" s="24">
        <f>INDEX(Master_Data!$C$152:$L$864,D154,5)</f>
        <v>0</v>
      </c>
      <c r="K154" s="137" t="str">
        <f>INDEX(Master_Data!$C$152:$L$864,D154,6)</f>
        <v>17-021/BKU-004/III/159</v>
      </c>
      <c r="L154" s="140" t="str">
        <f>INDEX(Master_Data!$C$152:$L$864,D154,7)</f>
        <v>010.001-15.53957960</v>
      </c>
      <c r="M154" s="140">
        <f>INDEX(Master_Data!$C$152:$L$864,D154,8)</f>
        <v>0</v>
      </c>
      <c r="N154" s="149"/>
      <c r="O154" s="245" t="e">
        <f t="shared" si="10"/>
        <v>#VALUE!</v>
      </c>
      <c r="Q154" s="169" t="str">
        <f t="shared" si="11"/>
        <v>HARMONI PANCA UTAMA, PTMAR</v>
      </c>
    </row>
    <row r="155" spans="2:17" s="61" customFormat="1" ht="14.1" customHeight="1">
      <c r="B155" s="242"/>
      <c r="C155" s="268">
        <f>MATCH($B$137,INDEX(Master_Data!$B$152:$B$864,D154+1,1):'Master_Data'!$B$864,0)</f>
        <v>1</v>
      </c>
      <c r="D155" s="268">
        <f t="shared" si="12"/>
        <v>95</v>
      </c>
      <c r="E155" s="24">
        <v>19</v>
      </c>
      <c r="F155" s="105" t="str">
        <f>INDEX(Master_Data!$C$152:$L$864,D155,2)</f>
        <v>HARMONI PANCA UTAMA, PT</v>
      </c>
      <c r="G155" s="24" t="str">
        <f>INDEX(Master_Data!$C$152:$L$864,D155,3)</f>
        <v>V</v>
      </c>
      <c r="H155" s="24">
        <f>INDEX(Master_Data!$C$152:$L$864,D155,1)</f>
        <v>1</v>
      </c>
      <c r="I155" s="24">
        <f>INDEX(Master_Data!$C$152:$L$864,D155,4)</f>
        <v>0</v>
      </c>
      <c r="J155" s="24">
        <f>INDEX(Master_Data!$C$152:$L$864,D155,5)</f>
        <v>0</v>
      </c>
      <c r="K155" s="137" t="str">
        <f>INDEX(Master_Data!$C$152:$L$864,D155,6)</f>
        <v>17-022/BKU-004/III/159</v>
      </c>
      <c r="L155" s="140" t="str">
        <f>INDEX(Master_Data!$C$152:$L$864,D155,7)</f>
        <v>010.001-15.53957961</v>
      </c>
      <c r="M155" s="140">
        <f>INDEX(Master_Data!$C$152:$L$864,D155,8)</f>
        <v>0</v>
      </c>
      <c r="N155" s="293"/>
      <c r="O155" s="245" t="e">
        <f t="shared" si="10"/>
        <v>#VALUE!</v>
      </c>
      <c r="Q155" s="169" t="str">
        <f t="shared" si="11"/>
        <v>HARMONI PANCA UTAMA, PTMAR</v>
      </c>
    </row>
    <row r="156" spans="2:17" s="61" customFormat="1" ht="14.1" customHeight="1">
      <c r="B156" s="242"/>
      <c r="C156" s="268">
        <f>MATCH($B$137,INDEX(Master_Data!$B$152:$B$864,D155+1,1):'Master_Data'!$B$864,0)</f>
        <v>81</v>
      </c>
      <c r="D156" s="268">
        <f t="shared" si="12"/>
        <v>176</v>
      </c>
      <c r="E156" s="54">
        <v>20</v>
      </c>
      <c r="F156" s="105" t="str">
        <f>INDEX(Master_Data!$C$152:$L$864,D156,2)</f>
        <v>HASTA PANCA MANDIRI UTAMA, PT</v>
      </c>
      <c r="G156" s="24" t="str">
        <f>INDEX(Master_Data!$C$152:$L$864,D156,3)</f>
        <v>V</v>
      </c>
      <c r="H156" s="24">
        <f>INDEX(Master_Data!$C$152:$L$864,D156,1)</f>
        <v>1</v>
      </c>
      <c r="I156" s="24">
        <f>INDEX(Master_Data!$C$152:$L$864,D156,4)</f>
        <v>0</v>
      </c>
      <c r="J156" s="24">
        <f>INDEX(Master_Data!$C$152:$L$864,D156,5)</f>
        <v>0</v>
      </c>
      <c r="K156" s="137" t="str">
        <f>INDEX(Master_Data!$C$152:$L$864,D156,6)</f>
        <v>17-010/BKU-004/III/179</v>
      </c>
      <c r="L156" s="140" t="str">
        <f>INDEX(Master_Data!$C$152:$L$864,D156,7)</f>
        <v>010.001-17.53957951</v>
      </c>
      <c r="M156" s="140">
        <f>INDEX(Master_Data!$C$152:$L$864,D156,8)</f>
        <v>0</v>
      </c>
      <c r="N156" s="149"/>
      <c r="O156" s="245" t="e">
        <f t="shared" si="10"/>
        <v>#VALUE!</v>
      </c>
      <c r="Q156" s="169" t="str">
        <f t="shared" si="11"/>
        <v>HASTA PANCA MANDIRI UTAMA, PTMAR</v>
      </c>
    </row>
    <row r="157" spans="2:17" s="61" customFormat="1" ht="14.1" customHeight="1">
      <c r="B157" s="242"/>
      <c r="C157" s="268">
        <f>MATCH($B$137,INDEX(Master_Data!$B$152:$B$864,D156+1,1):'Master_Data'!$B$864,0)</f>
        <v>1</v>
      </c>
      <c r="D157" s="268">
        <f t="shared" si="12"/>
        <v>177</v>
      </c>
      <c r="E157" s="24">
        <v>21</v>
      </c>
      <c r="F157" s="105" t="str">
        <f>INDEX(Master_Data!$C$152:$L$864,D157,2)</f>
        <v>HASTA PANCA MANDIRI UTAMA, PT</v>
      </c>
      <c r="G157" s="24" t="str">
        <f>INDEX(Master_Data!$C$152:$L$864,D157,3)</f>
        <v>V</v>
      </c>
      <c r="H157" s="24">
        <f>INDEX(Master_Data!$C$152:$L$864,D157,1)</f>
        <v>1</v>
      </c>
      <c r="I157" s="24">
        <f>INDEX(Master_Data!$C$152:$L$864,D157,4)</f>
        <v>0</v>
      </c>
      <c r="J157" s="24">
        <f>INDEX(Master_Data!$C$152:$L$864,D157,5)</f>
        <v>0</v>
      </c>
      <c r="K157" s="137" t="str">
        <f>INDEX(Master_Data!$C$152:$L$864,D157,6)</f>
        <v>17-011/BKU-004/III/179</v>
      </c>
      <c r="L157" s="140" t="str">
        <f>INDEX(Master_Data!$C$152:$L$864,D157,7)</f>
        <v>010.001-17.53957952</v>
      </c>
      <c r="M157" s="140">
        <f>INDEX(Master_Data!$C$152:$L$864,D157,8)</f>
        <v>0</v>
      </c>
      <c r="N157" s="149"/>
      <c r="O157" s="245" t="e">
        <f t="shared" si="10"/>
        <v>#VALUE!</v>
      </c>
      <c r="Q157" s="169" t="str">
        <f t="shared" si="11"/>
        <v>HASTA PANCA MANDIRI UTAMA, PTMAR</v>
      </c>
    </row>
    <row r="158" spans="2:17" s="61" customFormat="1" ht="14.1" customHeight="1">
      <c r="B158" s="242"/>
      <c r="C158" s="268">
        <f>MATCH($B$137,INDEX(Master_Data!$B$152:$B$864,D157+1,1):'Master_Data'!$B$864,0)</f>
        <v>1</v>
      </c>
      <c r="D158" s="268">
        <f t="shared" si="12"/>
        <v>178</v>
      </c>
      <c r="E158" s="54">
        <v>22</v>
      </c>
      <c r="F158" s="105" t="str">
        <f>INDEX(Master_Data!$C$152:$L$864,D158,2)</f>
        <v>HASTA PANCA MANDIRI UTAMA, PT</v>
      </c>
      <c r="G158" s="24" t="str">
        <f>INDEX(Master_Data!$C$152:$L$864,D158,3)</f>
        <v>V</v>
      </c>
      <c r="H158" s="24">
        <f>INDEX(Master_Data!$C$152:$L$864,D158,1)</f>
        <v>1</v>
      </c>
      <c r="I158" s="24">
        <f>INDEX(Master_Data!$C$152:$L$864,D158,4)</f>
        <v>0</v>
      </c>
      <c r="J158" s="24">
        <f>INDEX(Master_Data!$C$152:$L$864,D158,5)</f>
        <v>0</v>
      </c>
      <c r="K158" s="137" t="str">
        <f>INDEX(Master_Data!$C$152:$L$864,D158,6)</f>
        <v>17-012/BKU-004/III/179</v>
      </c>
      <c r="L158" s="140" t="str">
        <f>INDEX(Master_Data!$C$152:$L$864,D158,7)</f>
        <v>010.001-17.53957953</v>
      </c>
      <c r="M158" s="140">
        <f>INDEX(Master_Data!$C$152:$L$864,D158,8)</f>
        <v>0</v>
      </c>
      <c r="N158" s="149"/>
      <c r="O158" s="245" t="e">
        <f t="shared" si="10"/>
        <v>#VALUE!</v>
      </c>
      <c r="Q158" s="169" t="str">
        <f t="shared" si="11"/>
        <v>HASTA PANCA MANDIRI UTAMA, PTMAR</v>
      </c>
    </row>
    <row r="159" spans="2:17" s="61" customFormat="1" ht="14.1" customHeight="1">
      <c r="B159" s="242"/>
      <c r="C159" s="268">
        <f>MATCH($B$137,INDEX(Master_Data!$B$152:$B$864,D158+1,1):'Master_Data'!$B$864,0)</f>
        <v>38</v>
      </c>
      <c r="D159" s="268">
        <f t="shared" si="12"/>
        <v>216</v>
      </c>
      <c r="E159" s="24">
        <v>23</v>
      </c>
      <c r="F159" s="105" t="str">
        <f>INDEX(Master_Data!$C$152:$L$864,D159,2)</f>
        <v>HUTAN KETAPANG INDUSTRI, PT</v>
      </c>
      <c r="G159" s="24" t="str">
        <f>INDEX(Master_Data!$C$152:$L$864,D159,3)</f>
        <v>V</v>
      </c>
      <c r="H159" s="24">
        <f>INDEX(Master_Data!$C$152:$L$864,D159,1)</f>
        <v>1</v>
      </c>
      <c r="I159" s="24">
        <f>INDEX(Master_Data!$C$152:$L$864,D159,4)</f>
        <v>0</v>
      </c>
      <c r="J159" s="24">
        <f>INDEX(Master_Data!$C$152:$L$864,D159,5)</f>
        <v>0</v>
      </c>
      <c r="K159" s="137" t="str">
        <f>INDEX(Master_Data!$C$152:$L$864,D159,6)</f>
        <v>17-009/BKU-004/III/204</v>
      </c>
      <c r="L159" s="140" t="str">
        <f>INDEX(Master_Data!$C$152:$L$864,D159,7)</f>
        <v>010.001-17.53957941</v>
      </c>
      <c r="M159" s="140">
        <f>INDEX(Master_Data!$C$152:$L$864,D159,8)</f>
        <v>0</v>
      </c>
      <c r="N159" s="149"/>
      <c r="O159" s="245" t="e">
        <f t="shared" si="10"/>
        <v>#VALUE!</v>
      </c>
      <c r="Q159" s="169" t="str">
        <f t="shared" si="11"/>
        <v>HUTAN KETAPANG INDUSTRI, PTMAR</v>
      </c>
    </row>
    <row r="160" spans="2:17" s="61" customFormat="1" ht="14.1" customHeight="1">
      <c r="B160" s="242"/>
      <c r="C160" s="268">
        <f>MATCH($B$137,INDEX(Master_Data!$B$152:$B$864,D159+1,1):'Master_Data'!$B$864,0)</f>
        <v>1</v>
      </c>
      <c r="D160" s="268">
        <f t="shared" si="12"/>
        <v>217</v>
      </c>
      <c r="E160" s="54">
        <v>24</v>
      </c>
      <c r="F160" s="105" t="str">
        <f>INDEX(Master_Data!$C$152:$L$864,D160,2)</f>
        <v>HUTAN KETAPANG INDUSTRI, PT</v>
      </c>
      <c r="G160" s="24" t="str">
        <f>INDEX(Master_Data!$C$152:$L$864,D160,3)</f>
        <v>V</v>
      </c>
      <c r="H160" s="24">
        <f>INDEX(Master_Data!$C$152:$L$864,D160,1)</f>
        <v>1</v>
      </c>
      <c r="I160" s="24">
        <f>INDEX(Master_Data!$C$152:$L$864,D160,4)</f>
        <v>0</v>
      </c>
      <c r="J160" s="24">
        <f>INDEX(Master_Data!$C$152:$L$864,D160,5)</f>
        <v>0</v>
      </c>
      <c r="K160" s="137" t="str">
        <f>INDEX(Master_Data!$C$152:$L$864,D160,6)</f>
        <v>17-010/BKU-004/III/204</v>
      </c>
      <c r="L160" s="140" t="str">
        <f>INDEX(Master_Data!$C$152:$L$864,D160,7)</f>
        <v>010.001-17.53957942</v>
      </c>
      <c r="M160" s="140">
        <f>INDEX(Master_Data!$C$152:$L$864,D160,8)</f>
        <v>0</v>
      </c>
      <c r="N160" s="149"/>
      <c r="O160" s="245" t="e">
        <f t="shared" si="10"/>
        <v>#VALUE!</v>
      </c>
      <c r="Q160" s="169" t="str">
        <f t="shared" si="11"/>
        <v>HUTAN KETAPANG INDUSTRI, PTMAR</v>
      </c>
    </row>
    <row r="161" spans="2:17" s="61" customFormat="1" ht="14.1" customHeight="1">
      <c r="B161" s="242"/>
      <c r="C161" s="268">
        <f>MATCH($B$137,INDEX(Master_Data!$B$152:$B$864,D160+1,1):'Master_Data'!$B$864,0)</f>
        <v>1</v>
      </c>
      <c r="D161" s="268">
        <f t="shared" si="12"/>
        <v>218</v>
      </c>
      <c r="E161" s="24">
        <v>25</v>
      </c>
      <c r="F161" s="105" t="str">
        <f>INDEX(Master_Data!$C$152:$L$864,D161,2)</f>
        <v>HUTAN KETAPANG INDUSTRI, PT</v>
      </c>
      <c r="G161" s="24" t="str">
        <f>INDEX(Master_Data!$C$152:$L$864,D161,3)</f>
        <v>V</v>
      </c>
      <c r="H161" s="24">
        <f>INDEX(Master_Data!$C$152:$L$864,D161,1)</f>
        <v>1</v>
      </c>
      <c r="I161" s="24">
        <f>INDEX(Master_Data!$C$152:$L$864,D161,4)</f>
        <v>0</v>
      </c>
      <c r="J161" s="24">
        <f>INDEX(Master_Data!$C$152:$L$864,D161,5)</f>
        <v>0</v>
      </c>
      <c r="K161" s="137" t="str">
        <f>INDEX(Master_Data!$C$152:$L$864,D161,6)</f>
        <v>17-011/BKU-004/III/204</v>
      </c>
      <c r="L161" s="140" t="str">
        <f>INDEX(Master_Data!$C$152:$L$864,D161,7)</f>
        <v>010.001-17.53957943</v>
      </c>
      <c r="M161" s="140">
        <f>INDEX(Master_Data!$C$152:$L$864,D161,8)</f>
        <v>0</v>
      </c>
      <c r="N161" s="149"/>
      <c r="O161" s="245" t="e">
        <f t="shared" si="10"/>
        <v>#VALUE!</v>
      </c>
      <c r="Q161" s="169" t="str">
        <f t="shared" si="11"/>
        <v>HUTAN KETAPANG INDUSTRI, PTMAR</v>
      </c>
    </row>
    <row r="162" spans="2:17" s="61" customFormat="1" ht="14.1" customHeight="1">
      <c r="B162" s="242"/>
      <c r="C162" s="268">
        <f>MATCH($B$137,INDEX(Master_Data!$B$152:$B$864,D161+1,1):'Master_Data'!$B$864,0)</f>
        <v>1</v>
      </c>
      <c r="D162" s="268">
        <f t="shared" si="12"/>
        <v>219</v>
      </c>
      <c r="E162" s="54">
        <v>26</v>
      </c>
      <c r="F162" s="105" t="str">
        <f>INDEX(Master_Data!$C$152:$L$864,D162,2)</f>
        <v>HUTAN KETAPANG INDUSTRI, PT</v>
      </c>
      <c r="G162" s="24" t="str">
        <f>INDEX(Master_Data!$C$152:$L$864,D162,3)</f>
        <v>V</v>
      </c>
      <c r="H162" s="24">
        <f>INDEX(Master_Data!$C$152:$L$864,D162,1)</f>
        <v>1</v>
      </c>
      <c r="I162" s="24">
        <f>INDEX(Master_Data!$C$152:$L$864,D162,4)</f>
        <v>0</v>
      </c>
      <c r="J162" s="24">
        <f>INDEX(Master_Data!$C$152:$L$864,D162,5)</f>
        <v>0</v>
      </c>
      <c r="K162" s="137" t="str">
        <f>INDEX(Master_Data!$C$152:$L$864,D162,6)</f>
        <v>17-012/BKU-004/III/204</v>
      </c>
      <c r="L162" s="140" t="str">
        <f>INDEX(Master_Data!$C$152:$L$864,D162,7)</f>
        <v>010.001-17.53957944</v>
      </c>
      <c r="M162" s="140">
        <f>INDEX(Master_Data!$C$152:$L$864,D162,8)</f>
        <v>0</v>
      </c>
      <c r="N162" s="149"/>
      <c r="O162" s="245" t="e">
        <f t="shared" si="10"/>
        <v>#VALUE!</v>
      </c>
      <c r="Q162" s="169" t="str">
        <f t="shared" si="11"/>
        <v>HUTAN KETAPANG INDUSTRI, PTMAR</v>
      </c>
    </row>
    <row r="163" spans="2:17" s="61" customFormat="1" ht="14.1" customHeight="1">
      <c r="B163" s="242"/>
      <c r="C163" s="268">
        <f>MATCH($B$137,INDEX(Master_Data!$B$152:$B$864,D162+1,1):'Master_Data'!$B$864,0)</f>
        <v>45</v>
      </c>
      <c r="D163" s="268">
        <f t="shared" si="12"/>
        <v>264</v>
      </c>
      <c r="E163" s="24">
        <v>27</v>
      </c>
      <c r="F163" s="105" t="str">
        <f>INDEX(Master_Data!$C$152:$L$864,D163,2)</f>
        <v>KALIMANTAN PRIMA PERSADA, PT</v>
      </c>
      <c r="G163" s="24" t="str">
        <f>INDEX(Master_Data!$C$152:$L$864,D163,3)</f>
        <v>W</v>
      </c>
      <c r="H163" s="24">
        <f>INDEX(Master_Data!$C$152:$L$864,D163,1)</f>
        <v>1</v>
      </c>
      <c r="I163" s="24">
        <f>INDEX(Master_Data!$C$152:$L$864,D163,4)</f>
        <v>0</v>
      </c>
      <c r="J163" s="24">
        <f>INDEX(Master_Data!$C$152:$L$864,D163,5)</f>
        <v>0</v>
      </c>
      <c r="K163" s="137" t="str">
        <f>INDEX(Master_Data!$C$152:$L$864,D163,6)</f>
        <v>17-004/BKU-004/III/208</v>
      </c>
      <c r="L163" s="140" t="str">
        <f>INDEX(Master_Data!$C$152:$L$864,D163,7)</f>
        <v>010.001-17.53957933</v>
      </c>
      <c r="M163" s="140">
        <f>INDEX(Master_Data!$C$152:$L$864,D163,8)</f>
        <v>0</v>
      </c>
      <c r="N163" s="149"/>
      <c r="O163" s="245" t="e">
        <f t="shared" si="10"/>
        <v>#VALUE!</v>
      </c>
      <c r="Q163" s="169" t="str">
        <f t="shared" si="11"/>
        <v>KALIMANTAN PRIMA PERSADA, PTMAR</v>
      </c>
    </row>
    <row r="164" spans="2:17" s="61" customFormat="1" ht="14.1" customHeight="1">
      <c r="B164" s="242"/>
      <c r="C164" s="268">
        <f>MATCH($B$137,INDEX(Master_Data!$B$152:$B$864,D163+1,1):'Master_Data'!$B$864,0)</f>
        <v>1</v>
      </c>
      <c r="D164" s="268">
        <f t="shared" si="12"/>
        <v>265</v>
      </c>
      <c r="E164" s="54">
        <v>28</v>
      </c>
      <c r="F164" s="105" t="str">
        <f>INDEX(Master_Data!$C$152:$L$864,D164,2)</f>
        <v>KALIMANTAN PRIMA PERSADA, PT</v>
      </c>
      <c r="G164" s="24" t="str">
        <f>INDEX(Master_Data!$C$152:$L$864,D164,3)</f>
        <v>O</v>
      </c>
      <c r="H164" s="24">
        <f>INDEX(Master_Data!$C$152:$L$864,D164,1)</f>
        <v>21</v>
      </c>
      <c r="I164" s="24">
        <f>INDEX(Master_Data!$C$152:$L$864,D164,4)</f>
        <v>0</v>
      </c>
      <c r="J164" s="24">
        <f>INDEX(Master_Data!$C$152:$L$864,D164,5)</f>
        <v>0</v>
      </c>
      <c r="K164" s="137" t="str">
        <f>INDEX(Master_Data!$C$152:$L$864,D164,6)</f>
        <v>17-005/BKU-004/III/208</v>
      </c>
      <c r="L164" s="140" t="str">
        <f>INDEX(Master_Data!$C$152:$L$864,D164,7)</f>
        <v>010.001-17.53957968</v>
      </c>
      <c r="M164" s="140">
        <f>INDEX(Master_Data!$C$152:$L$864,D164,8)</f>
        <v>0</v>
      </c>
      <c r="N164" s="149"/>
      <c r="O164" s="245" t="e">
        <f t="shared" si="10"/>
        <v>#VALUE!</v>
      </c>
      <c r="Q164" s="169" t="str">
        <f t="shared" si="11"/>
        <v>KALIMANTAN PRIMA PERSADA, PTMAR</v>
      </c>
    </row>
    <row r="165" spans="2:17" s="61" customFormat="1" ht="14.1" customHeight="1">
      <c r="B165" s="242"/>
      <c r="C165" s="268">
        <f>MATCH($B$137,INDEX(Master_Data!$B$152:$B$864,D164+1,1):'Master_Data'!$B$864,0)</f>
        <v>1</v>
      </c>
      <c r="D165" s="268">
        <f t="shared" si="12"/>
        <v>266</v>
      </c>
      <c r="E165" s="24">
        <v>29</v>
      </c>
      <c r="F165" s="105" t="str">
        <f>INDEX(Master_Data!$C$152:$L$864,D165,2)</f>
        <v>KALIMANTAN PRIMA PERSADA, PT</v>
      </c>
      <c r="G165" s="24" t="str">
        <f>INDEX(Master_Data!$C$152:$L$864,D165,3)</f>
        <v>O</v>
      </c>
      <c r="H165" s="24">
        <f>INDEX(Master_Data!$C$152:$L$864,D165,1)</f>
        <v>22</v>
      </c>
      <c r="I165" s="24">
        <f>INDEX(Master_Data!$C$152:$L$864,D165,4)</f>
        <v>0</v>
      </c>
      <c r="J165" s="24">
        <f>INDEX(Master_Data!$C$152:$L$864,D165,5)</f>
        <v>0</v>
      </c>
      <c r="K165" s="137" t="str">
        <f>INDEX(Master_Data!$C$152:$L$864,D165,6)</f>
        <v>17-006/BKU-004/III/208</v>
      </c>
      <c r="L165" s="140" t="str">
        <f>INDEX(Master_Data!$C$152:$L$864,D165,7)</f>
        <v>010.001-17.53957969</v>
      </c>
      <c r="M165" s="140">
        <f>INDEX(Master_Data!$C$152:$L$864,D165,8)</f>
        <v>0</v>
      </c>
      <c r="N165" s="149"/>
      <c r="O165" s="245" t="e">
        <f t="shared" si="10"/>
        <v>#VALUE!</v>
      </c>
      <c r="Q165" s="169" t="str">
        <f t="shared" si="11"/>
        <v>KALIMANTAN PRIMA PERSADA, PTMAR</v>
      </c>
    </row>
    <row r="166" spans="2:17" s="61" customFormat="1" ht="14.1" customHeight="1">
      <c r="B166" s="242"/>
      <c r="C166" s="268">
        <f>MATCH($B$137,INDEX(Master_Data!$B$152:$B$864,D165+1,1):'Master_Data'!$B$864,0)</f>
        <v>19</v>
      </c>
      <c r="D166" s="268">
        <f t="shared" si="12"/>
        <v>285</v>
      </c>
      <c r="E166" s="54">
        <v>30</v>
      </c>
      <c r="F166" s="105" t="str">
        <f>INDEX(Master_Data!$C$152:$L$864,D166,2)</f>
        <v>KUSUMA MENTARI MAKMUR, PT</v>
      </c>
      <c r="G166" s="24" t="str">
        <f>INDEX(Master_Data!$C$152:$L$864,D166,3)</f>
        <v>V</v>
      </c>
      <c r="H166" s="24">
        <f>INDEX(Master_Data!$C$152:$L$864,D166,1)</f>
        <v>1</v>
      </c>
      <c r="I166" s="24">
        <f>INDEX(Master_Data!$C$152:$L$864,D166,4)</f>
        <v>0</v>
      </c>
      <c r="J166" s="24">
        <f>INDEX(Master_Data!$C$152:$L$864,D166,5)</f>
        <v>0</v>
      </c>
      <c r="K166" s="137" t="str">
        <f>INDEX(Master_Data!$C$152:$L$864,D166,6)</f>
        <v>17-003/BKU-004/III/224</v>
      </c>
      <c r="L166" s="140" t="str">
        <f>INDEX(Master_Data!$C$152:$L$864,D166,7)</f>
        <v>010.001-17.53957945</v>
      </c>
      <c r="M166" s="140">
        <f>INDEX(Master_Data!$C$152:$L$864,D166,8)</f>
        <v>0</v>
      </c>
      <c r="N166" s="149"/>
      <c r="O166" s="245" t="e">
        <f t="shared" si="10"/>
        <v>#VALUE!</v>
      </c>
      <c r="Q166" s="169" t="str">
        <f t="shared" si="11"/>
        <v>KUSUMA MENTARI MAKMUR, PTMAR</v>
      </c>
    </row>
    <row r="167" spans="2:17" s="61" customFormat="1" ht="14.1" customHeight="1">
      <c r="B167" s="242"/>
      <c r="C167" s="268">
        <f>MATCH($B$137,INDEX(Master_Data!$B$152:$B$864,D166+1,1):'Master_Data'!$B$864,0)</f>
        <v>16</v>
      </c>
      <c r="D167" s="268">
        <f t="shared" si="12"/>
        <v>301</v>
      </c>
      <c r="E167" s="24">
        <v>31</v>
      </c>
      <c r="F167" s="105" t="str">
        <f>INDEX(Master_Data!$C$152:$L$864,D167,2)</f>
        <v>LANANG AGRO BERSATU, PT</v>
      </c>
      <c r="G167" s="24" t="str">
        <f>INDEX(Master_Data!$C$152:$L$864,D167,3)</f>
        <v>V</v>
      </c>
      <c r="H167" s="24">
        <f>INDEX(Master_Data!$C$152:$L$864,D167,1)</f>
        <v>1</v>
      </c>
      <c r="I167" s="24">
        <f>INDEX(Master_Data!$C$152:$L$864,D167,4)</f>
        <v>0</v>
      </c>
      <c r="J167" s="24">
        <f>INDEX(Master_Data!$C$152:$L$864,D167,5)</f>
        <v>0</v>
      </c>
      <c r="K167" s="137" t="str">
        <f>INDEX(Master_Data!$C$152:$L$864,D167,6)</f>
        <v>17-005/BKU-004/III/210</v>
      </c>
      <c r="L167" s="140" t="str">
        <f>INDEX(Master_Data!$C$152:$L$864,D167,7)</f>
        <v>010.001-17.53957939</v>
      </c>
      <c r="M167" s="140">
        <f>INDEX(Master_Data!$C$152:$L$864,D167,8)</f>
        <v>0</v>
      </c>
      <c r="N167" s="149"/>
      <c r="O167" s="245" t="e">
        <f t="shared" si="10"/>
        <v>#VALUE!</v>
      </c>
      <c r="Q167" s="169" t="str">
        <f t="shared" si="11"/>
        <v>LANANG AGRO BERSATU, PTMAR</v>
      </c>
    </row>
    <row r="168" spans="2:17" s="61" customFormat="1" ht="14.1" customHeight="1">
      <c r="B168" s="242"/>
      <c r="C168" s="268">
        <f>MATCH($B$137,INDEX(Master_Data!$B$152:$B$864,D167+1,1):'Master_Data'!$B$864,0)</f>
        <v>1</v>
      </c>
      <c r="D168" s="268">
        <f t="shared" si="12"/>
        <v>302</v>
      </c>
      <c r="E168" s="54">
        <v>32</v>
      </c>
      <c r="F168" s="105" t="str">
        <f>INDEX(Master_Data!$C$152:$L$864,D168,2)</f>
        <v>LANANG AGRO BERSATU, PT</v>
      </c>
      <c r="G168" s="24" t="str">
        <f>INDEX(Master_Data!$C$152:$L$864,D168,3)</f>
        <v>V</v>
      </c>
      <c r="H168" s="24">
        <f>INDEX(Master_Data!$C$152:$L$864,D168,1)</f>
        <v>1</v>
      </c>
      <c r="I168" s="24">
        <f>INDEX(Master_Data!$C$152:$L$864,D168,4)</f>
        <v>0</v>
      </c>
      <c r="J168" s="24">
        <f>INDEX(Master_Data!$C$152:$L$864,D168,5)</f>
        <v>0</v>
      </c>
      <c r="K168" s="137" t="str">
        <f>INDEX(Master_Data!$C$152:$L$864,D168,6)</f>
        <v>17-006/BKU-004/III/210</v>
      </c>
      <c r="L168" s="140" t="str">
        <f>INDEX(Master_Data!$C$152:$L$864,D168,7)</f>
        <v>010.001-17.53957940</v>
      </c>
      <c r="M168" s="140">
        <f>INDEX(Master_Data!$C$152:$L$864,D168,8)</f>
        <v>0</v>
      </c>
      <c r="N168" s="149"/>
      <c r="O168" s="245" t="e">
        <f t="shared" si="10"/>
        <v>#VALUE!</v>
      </c>
      <c r="Q168" s="169" t="str">
        <f t="shared" si="11"/>
        <v>LANANG AGRO BERSATU, PTMAR</v>
      </c>
    </row>
    <row r="169" spans="2:17" s="61" customFormat="1" ht="14.1" customHeight="1">
      <c r="B169" s="242"/>
      <c r="C169" s="268">
        <f>MATCH($B$137,INDEX(Master_Data!$B$152:$B$864,D168+1,1):'Master_Data'!$B$864,0)</f>
        <v>140</v>
      </c>
      <c r="D169" s="268">
        <f t="shared" si="12"/>
        <v>442</v>
      </c>
      <c r="E169" s="24">
        <v>33</v>
      </c>
      <c r="F169" s="105" t="str">
        <f>INDEX(Master_Data!$C$152:$L$864,D169,2)</f>
        <v>MANDALA KARYA PRIMA, PT</v>
      </c>
      <c r="G169" s="24" t="str">
        <f>INDEX(Master_Data!$C$152:$L$864,D169,3)</f>
        <v>W, I</v>
      </c>
      <c r="H169" s="24">
        <f>INDEX(Master_Data!$C$152:$L$864,D169,1)</f>
        <v>1</v>
      </c>
      <c r="I169" s="24">
        <f>INDEX(Master_Data!$C$152:$L$864,D169,4)</f>
        <v>0</v>
      </c>
      <c r="J169" s="24">
        <f>INDEX(Master_Data!$C$152:$L$864,D169,5)</f>
        <v>0</v>
      </c>
      <c r="K169" s="137" t="str">
        <f>INDEX(Master_Data!$C$152:$L$864,D169,6)</f>
        <v>17-003/BKU-004/III/214</v>
      </c>
      <c r="L169" s="140" t="str">
        <f>INDEX(Master_Data!$C$152:$L$864,D169,7)</f>
        <v>010.001-17.53957938</v>
      </c>
      <c r="M169" s="140">
        <f>INDEX(Master_Data!$C$152:$L$864,D169,8)</f>
        <v>0</v>
      </c>
      <c r="N169" s="149"/>
      <c r="O169" s="245" t="e">
        <f t="shared" si="10"/>
        <v>#VALUE!</v>
      </c>
      <c r="Q169" s="169" t="str">
        <f t="shared" si="11"/>
        <v>MANDALA KARYA PRIMA, PTMAR</v>
      </c>
    </row>
    <row r="170" spans="2:17" s="61" customFormat="1" ht="14.1" customHeight="1">
      <c r="B170" s="242"/>
      <c r="C170" s="268">
        <f>MATCH($B$137,INDEX(Master_Data!$B$152:$B$864,D169+1,1):'Master_Data'!$B$864,0)</f>
        <v>16</v>
      </c>
      <c r="D170" s="268">
        <f t="shared" si="12"/>
        <v>458</v>
      </c>
      <c r="E170" s="54">
        <v>34</v>
      </c>
      <c r="F170" s="105" t="str">
        <f>INDEX(Master_Data!$C$152:$L$864,D170,2)</f>
        <v>MANDIRI HERINDO ADIPERKASA, PT</v>
      </c>
      <c r="G170" s="24" t="str">
        <f>INDEX(Master_Data!$C$152:$L$864,D170,3)</f>
        <v>W</v>
      </c>
      <c r="H170" s="24">
        <f>INDEX(Master_Data!$C$152:$L$864,D170,1)</f>
        <v>31</v>
      </c>
      <c r="I170" s="24">
        <f>INDEX(Master_Data!$C$152:$L$864,D170,4)</f>
        <v>0</v>
      </c>
      <c r="J170" s="24">
        <f>INDEX(Master_Data!$C$152:$L$864,D170,5)</f>
        <v>0</v>
      </c>
      <c r="K170" s="137" t="str">
        <f>INDEX(Master_Data!$C$152:$L$864,D170,6)</f>
        <v>17-007/BKU-004/III/211</v>
      </c>
      <c r="L170" s="140" t="str">
        <f>INDEX(Master_Data!$C$152:$L$864,D170,7)</f>
        <v>010.001-17.53957974</v>
      </c>
      <c r="M170" s="140">
        <f>INDEX(Master_Data!$C$152:$L$864,D170,8)</f>
        <v>0</v>
      </c>
      <c r="N170" s="149"/>
      <c r="O170" s="245" t="e">
        <f t="shared" si="10"/>
        <v>#VALUE!</v>
      </c>
      <c r="Q170" s="169" t="str">
        <f t="shared" si="11"/>
        <v>MANDIRI HERINDO ADIPERKASA, PTMAR</v>
      </c>
    </row>
    <row r="171" spans="2:17" s="61" customFormat="1" ht="14.1" customHeight="1">
      <c r="B171" s="242"/>
      <c r="C171" s="268">
        <f>MATCH($B$137,INDEX(Master_Data!$B$152:$B$864,D170+1,1):'Master_Data'!$B$864,0)</f>
        <v>1</v>
      </c>
      <c r="D171" s="268">
        <f t="shared" si="12"/>
        <v>459</v>
      </c>
      <c r="E171" s="24">
        <v>35</v>
      </c>
      <c r="F171" s="105" t="str">
        <f>INDEX(Master_Data!$C$152:$L$864,D171,2)</f>
        <v>MANDIRI HERINDO ADIPERKASA, PT</v>
      </c>
      <c r="G171" s="24" t="str">
        <f>INDEX(Master_Data!$C$152:$L$864,D171,3)</f>
        <v>I</v>
      </c>
      <c r="H171" s="24">
        <f>INDEX(Master_Data!$C$152:$L$864,D171,1)</f>
        <v>31</v>
      </c>
      <c r="I171" s="24">
        <f>INDEX(Master_Data!$C$152:$L$864,D171,4)</f>
        <v>0</v>
      </c>
      <c r="J171" s="24">
        <f>INDEX(Master_Data!$C$152:$L$864,D171,5)</f>
        <v>0</v>
      </c>
      <c r="K171" s="137" t="str">
        <f>INDEX(Master_Data!$C$152:$L$864,D171,6)</f>
        <v>17-008/BKU-004/III/211</v>
      </c>
      <c r="L171" s="140" t="str">
        <f>INDEX(Master_Data!$C$152:$L$864,D171,7)</f>
        <v>010.001-17.53957975</v>
      </c>
      <c r="M171" s="140">
        <f>INDEX(Master_Data!$C$152:$L$864,D171,8)</f>
        <v>0</v>
      </c>
      <c r="N171" s="149"/>
      <c r="O171" s="245" t="e">
        <f t="shared" si="10"/>
        <v>#VALUE!</v>
      </c>
      <c r="Q171" s="169" t="str">
        <f t="shared" si="11"/>
        <v>MANDIRI HERINDO ADIPERKASA, PTMAR</v>
      </c>
    </row>
    <row r="172" spans="2:17" s="61" customFormat="1" ht="14.1" customHeight="1">
      <c r="B172" s="242"/>
      <c r="C172" s="268">
        <f>MATCH($B$137,INDEX(Master_Data!$B$152:$B$864,D171+1,1):'Master_Data'!$B$864,0)</f>
        <v>1</v>
      </c>
      <c r="D172" s="268">
        <f t="shared" si="12"/>
        <v>460</v>
      </c>
      <c r="E172" s="54">
        <v>36</v>
      </c>
      <c r="F172" s="105" t="str">
        <f>INDEX(Master_Data!$C$152:$L$864,D172,2)</f>
        <v>MANDIRI HERINDO ADIPERKASA, PT</v>
      </c>
      <c r="G172" s="24" t="str">
        <f>INDEX(Master_Data!$C$152:$L$864,D172,3)</f>
        <v>M</v>
      </c>
      <c r="H172" s="24">
        <f>INDEX(Master_Data!$C$152:$L$864,D172,1)</f>
        <v>31</v>
      </c>
      <c r="I172" s="24">
        <f>INDEX(Master_Data!$C$152:$L$864,D172,4)</f>
        <v>0</v>
      </c>
      <c r="J172" s="24">
        <f>INDEX(Master_Data!$C$152:$L$864,D172,5)</f>
        <v>0</v>
      </c>
      <c r="K172" s="137" t="str">
        <f>INDEX(Master_Data!$C$152:$L$864,D172,6)</f>
        <v>17-009/BKU-004/III/211</v>
      </c>
      <c r="L172" s="140" t="str">
        <f>INDEX(Master_Data!$C$152:$L$864,D172,7)</f>
        <v>010.001-17.53957976</v>
      </c>
      <c r="M172" s="140">
        <f>INDEX(Master_Data!$C$152:$L$864,D172,8)</f>
        <v>0</v>
      </c>
      <c r="N172" s="149"/>
      <c r="O172" s="245" t="e">
        <f t="shared" si="10"/>
        <v>#VALUE!</v>
      </c>
      <c r="Q172" s="169" t="str">
        <f t="shared" si="11"/>
        <v>MANDIRI HERINDO ADIPERKASA, PTMAR</v>
      </c>
    </row>
    <row r="173" spans="2:17" s="61" customFormat="1" ht="14.1" customHeight="1">
      <c r="B173" s="242"/>
      <c r="C173" s="268">
        <f>MATCH($B$137,INDEX(Master_Data!$B$152:$B$864,D172+1,1):'Master_Data'!$B$864,0)</f>
        <v>34</v>
      </c>
      <c r="D173" s="268">
        <f t="shared" si="12"/>
        <v>494</v>
      </c>
      <c r="E173" s="24">
        <v>37</v>
      </c>
      <c r="F173" s="105" t="str">
        <f>INDEX(Master_Data!$C$152:$L$864,D173,2)</f>
        <v>MANDIRI INTI PERKASA, PT</v>
      </c>
      <c r="G173" s="24" t="str">
        <f>INDEX(Master_Data!$C$152:$L$864,D173,3)</f>
        <v>W, I</v>
      </c>
      <c r="H173" s="24">
        <f>INDEX(Master_Data!$C$152:$L$864,D173,1)</f>
        <v>1</v>
      </c>
      <c r="I173" s="24">
        <f>INDEX(Master_Data!$C$152:$L$864,D173,4)</f>
        <v>0</v>
      </c>
      <c r="J173" s="24">
        <f>INDEX(Master_Data!$C$152:$L$864,D173,5)</f>
        <v>0</v>
      </c>
      <c r="K173" s="137" t="str">
        <f>INDEX(Master_Data!$C$152:$L$864,D173,6)</f>
        <v>17-005/BKU-004/III/196</v>
      </c>
      <c r="L173" s="140" t="str">
        <f>INDEX(Master_Data!$C$152:$L$864,D173,7)</f>
        <v>010.001-17.53957937</v>
      </c>
      <c r="M173" s="140">
        <f>INDEX(Master_Data!$C$152:$L$864,D173,8)</f>
        <v>0</v>
      </c>
      <c r="N173" s="149"/>
      <c r="O173" s="245" t="e">
        <f t="shared" si="10"/>
        <v>#VALUE!</v>
      </c>
      <c r="Q173" s="169" t="str">
        <f t="shared" si="11"/>
        <v>MANDIRI INTI PERKASA, PTMAR</v>
      </c>
    </row>
    <row r="174" spans="2:17" s="61" customFormat="1" ht="14.1" customHeight="1">
      <c r="B174" s="242"/>
      <c r="C174" s="268">
        <f>MATCH($B$137,INDEX(Master_Data!$B$152:$B$864,D173+1,1):'Master_Data'!$B$864,0)</f>
        <v>1</v>
      </c>
      <c r="D174" s="268">
        <f t="shared" si="12"/>
        <v>495</v>
      </c>
      <c r="E174" s="54">
        <v>38</v>
      </c>
      <c r="F174" s="105" t="str">
        <f>INDEX(Master_Data!$C$152:$L$864,D174,2)</f>
        <v>MANDIRI INTI PERKASA, PT</v>
      </c>
      <c r="G174" s="24" t="str">
        <f>INDEX(Master_Data!$C$152:$L$864,D174,3)</f>
        <v>I</v>
      </c>
      <c r="H174" s="24">
        <f>INDEX(Master_Data!$C$152:$L$864,D174,1)</f>
        <v>1</v>
      </c>
      <c r="I174" s="24">
        <f>INDEX(Master_Data!$C$152:$L$864,D174,4)</f>
        <v>0</v>
      </c>
      <c r="J174" s="24">
        <f>INDEX(Master_Data!$C$152:$L$864,D174,5)</f>
        <v>0</v>
      </c>
      <c r="K174" s="137" t="str">
        <f>INDEX(Master_Data!$C$152:$L$864,D174,6)</f>
        <v>17-006/BKU-004/III/196</v>
      </c>
      <c r="L174" s="140" t="str">
        <f>INDEX(Master_Data!$C$152:$L$864,D174,7)</f>
        <v>010.001-17.53957936</v>
      </c>
      <c r="M174" s="140">
        <f>INDEX(Master_Data!$C$152:$L$864,D174,8)</f>
        <v>0</v>
      </c>
      <c r="N174" s="149"/>
      <c r="O174" s="245" t="e">
        <f t="shared" si="10"/>
        <v>#VALUE!</v>
      </c>
      <c r="Q174" s="169" t="str">
        <f t="shared" si="11"/>
        <v>MANDIRI INTI PERKASA, PTMAR</v>
      </c>
    </row>
    <row r="175" spans="2:17" s="61" customFormat="1" ht="14.1" customHeight="1">
      <c r="B175" s="242"/>
      <c r="C175" s="268">
        <f>MATCH($B$137,INDEX(Master_Data!$B$152:$B$864,D174+1,1):'Master_Data'!$B$864,0)</f>
        <v>21</v>
      </c>
      <c r="D175" s="268">
        <f t="shared" si="12"/>
        <v>516</v>
      </c>
      <c r="E175" s="24">
        <v>39</v>
      </c>
      <c r="F175" s="105" t="str">
        <f>INDEX(Master_Data!$C$152:$L$864,D175,2)</f>
        <v>MEDCO PAPUA INDUSTRI LESTARI, PT</v>
      </c>
      <c r="G175" s="24" t="str">
        <f>INDEX(Master_Data!$C$152:$L$864,D175,3)</f>
        <v>V</v>
      </c>
      <c r="H175" s="24">
        <f>INDEX(Master_Data!$C$152:$L$864,D175,1)</f>
        <v>1</v>
      </c>
      <c r="I175" s="24">
        <f>INDEX(Master_Data!$C$152:$L$864,D175,4)</f>
        <v>0</v>
      </c>
      <c r="J175" s="24">
        <f>INDEX(Master_Data!$C$152:$L$864,D175,5)</f>
        <v>0</v>
      </c>
      <c r="K175" s="137" t="str">
        <f>INDEX(Master_Data!$C$152:$L$864,D175,6)</f>
        <v>17-003/BKU-004/III/145</v>
      </c>
      <c r="L175" s="140" t="str">
        <f>INDEX(Master_Data!$C$152:$L$864,D175,7)</f>
        <v>010.001-17.53957930</v>
      </c>
      <c r="M175" s="140">
        <f>INDEX(Master_Data!$C$152:$L$864,D175,8)</f>
        <v>0</v>
      </c>
      <c r="N175" s="149"/>
      <c r="O175" s="245" t="e">
        <f t="shared" si="10"/>
        <v>#VALUE!</v>
      </c>
      <c r="Q175" s="169" t="str">
        <f t="shared" si="11"/>
        <v>MEDCO PAPUA INDUSTRI LESTARI, PTMAR</v>
      </c>
    </row>
    <row r="176" spans="2:17" s="61" customFormat="1" ht="14.1" customHeight="1">
      <c r="B176" s="242"/>
      <c r="C176" s="268">
        <f>MATCH($B$137,INDEX(Master_Data!$B$152:$B$864,D175+1,1):'Master_Data'!$B$864,0)</f>
        <v>12</v>
      </c>
      <c r="D176" s="268">
        <f t="shared" si="12"/>
        <v>528</v>
      </c>
      <c r="E176" s="54">
        <v>40</v>
      </c>
      <c r="F176" s="105" t="str">
        <f>INDEX(Master_Data!$C$152:$L$864,D176,2)</f>
        <v>METALINDO BUMI RAYA, PT</v>
      </c>
      <c r="G176" s="24" t="str">
        <f>INDEX(Master_Data!$C$152:$L$864,D176,3)</f>
        <v>I</v>
      </c>
      <c r="H176" s="24">
        <f>INDEX(Master_Data!$C$152:$L$864,D176,1)</f>
        <v>1</v>
      </c>
      <c r="I176" s="24">
        <f>INDEX(Master_Data!$C$152:$L$864,D176,4)</f>
        <v>0</v>
      </c>
      <c r="J176" s="24">
        <f>INDEX(Master_Data!$C$152:$L$864,D176,5)</f>
        <v>0</v>
      </c>
      <c r="K176" s="137" t="str">
        <f>INDEX(Master_Data!$C$152:$L$864,D176,6)</f>
        <v>17-003/BKU-004/III/220</v>
      </c>
      <c r="L176" s="140" t="str">
        <f>INDEX(Master_Data!$C$152:$L$864,D176,7)</f>
        <v>010.001-17.53957932</v>
      </c>
      <c r="M176" s="140">
        <f>INDEX(Master_Data!$C$152:$L$864,D176,8)</f>
        <v>0</v>
      </c>
      <c r="N176" s="149"/>
      <c r="O176" s="245" t="e">
        <f t="shared" si="10"/>
        <v>#VALUE!</v>
      </c>
      <c r="Q176" s="169" t="str">
        <f t="shared" si="11"/>
        <v>METALINDO BUMI RAYA, PTMAR</v>
      </c>
    </row>
    <row r="177" spans="2:17" s="61" customFormat="1" ht="14.1" customHeight="1">
      <c r="B177" s="242"/>
      <c r="C177" s="268">
        <f>MATCH($B$137,INDEX(Master_Data!$B$152:$B$864,D176+1,1):'Master_Data'!$B$864,0)</f>
        <v>14</v>
      </c>
      <c r="D177" s="268">
        <f t="shared" si="12"/>
        <v>542</v>
      </c>
      <c r="E177" s="24">
        <v>41</v>
      </c>
      <c r="F177" s="105" t="str">
        <f>INDEX(Master_Data!$C$152:$L$864,D177,2)</f>
        <v>NUSANTARA SARANA ALAM, PT</v>
      </c>
      <c r="G177" s="24" t="str">
        <f>INDEX(Master_Data!$C$152:$L$864,D177,3)</f>
        <v>V</v>
      </c>
      <c r="H177" s="24">
        <f>INDEX(Master_Data!$C$152:$L$864,D177,1)</f>
        <v>1</v>
      </c>
      <c r="I177" s="24">
        <f>INDEX(Master_Data!$C$152:$L$864,D177,4)</f>
        <v>0</v>
      </c>
      <c r="J177" s="24">
        <f>INDEX(Master_Data!$C$152:$L$864,D177,5)</f>
        <v>0</v>
      </c>
      <c r="K177" s="137" t="str">
        <f>INDEX(Master_Data!$C$152:$L$864,D177,6)</f>
        <v>17-004/BKU-004/III/245</v>
      </c>
      <c r="L177" s="140" t="str">
        <f>INDEX(Master_Data!$C$152:$L$864,D177,7)</f>
        <v>010.001-17.53957948</v>
      </c>
      <c r="M177" s="140">
        <f>INDEX(Master_Data!$C$152:$L$864,D177,8)</f>
        <v>0</v>
      </c>
      <c r="N177" s="149"/>
      <c r="O177" s="245" t="e">
        <f t="shared" si="10"/>
        <v>#VALUE!</v>
      </c>
      <c r="Q177" s="169" t="str">
        <f t="shared" si="11"/>
        <v>NUSANTARA SARANA ALAM, PTMAR</v>
      </c>
    </row>
    <row r="178" spans="2:17" s="61" customFormat="1" ht="14.1" customHeight="1">
      <c r="B178" s="242"/>
      <c r="C178" s="268">
        <f>MATCH($B$137,INDEX(Master_Data!$B$152:$B$864,D177+1,1):'Master_Data'!$B$864,0)</f>
        <v>1</v>
      </c>
      <c r="D178" s="268">
        <f t="shared" si="12"/>
        <v>543</v>
      </c>
      <c r="E178" s="54">
        <v>42</v>
      </c>
      <c r="F178" s="105" t="str">
        <f>INDEX(Master_Data!$C$152:$L$864,D178,2)</f>
        <v>NUSANTARA SARANA ALAM, PT</v>
      </c>
      <c r="G178" s="24" t="str">
        <f>INDEX(Master_Data!$C$152:$L$864,D178,3)</f>
        <v>V</v>
      </c>
      <c r="H178" s="24">
        <f>INDEX(Master_Data!$C$152:$L$864,D178,1)</f>
        <v>1</v>
      </c>
      <c r="I178" s="24">
        <f>INDEX(Master_Data!$C$152:$L$864,D178,4)</f>
        <v>0</v>
      </c>
      <c r="J178" s="24">
        <f>INDEX(Master_Data!$C$152:$L$864,D178,5)</f>
        <v>0</v>
      </c>
      <c r="K178" s="137" t="str">
        <f>INDEX(Master_Data!$C$152:$L$864,D178,6)</f>
        <v>17-005/BKU-004/III/245</v>
      </c>
      <c r="L178" s="140" t="str">
        <f>INDEX(Master_Data!$C$152:$L$864,D178,7)</f>
        <v>010.001-17.53957949</v>
      </c>
      <c r="M178" s="140">
        <f>INDEX(Master_Data!$C$152:$L$864,D178,8)</f>
        <v>0</v>
      </c>
      <c r="N178" s="149"/>
      <c r="O178" s="245" t="e">
        <f t="shared" si="10"/>
        <v>#VALUE!</v>
      </c>
      <c r="Q178" s="169" t="str">
        <f t="shared" si="11"/>
        <v>NUSANTARA SARANA ALAM, PTMAR</v>
      </c>
    </row>
    <row r="179" spans="2:17" s="61" customFormat="1" ht="14.1" customHeight="1">
      <c r="B179" s="242"/>
      <c r="C179" s="268">
        <f>MATCH($B$137,INDEX(Master_Data!$B$152:$B$864,D178+1,1):'Master_Data'!$B$864,0)</f>
        <v>16</v>
      </c>
      <c r="D179" s="268">
        <f t="shared" si="12"/>
        <v>559</v>
      </c>
      <c r="E179" s="24">
        <v>43</v>
      </c>
      <c r="F179" s="105" t="str">
        <f>INDEX(Master_Data!$C$152:$L$864,D179,2)</f>
        <v>PEMBANGUNAN PERUMAHAN (PERSERO), PT</v>
      </c>
      <c r="G179" s="24" t="str">
        <f>INDEX(Master_Data!$C$152:$L$864,D179,3)</f>
        <v>I</v>
      </c>
      <c r="H179" s="24">
        <f>INDEX(Master_Data!$C$152:$L$864,D179,1)</f>
        <v>1</v>
      </c>
      <c r="I179" s="24">
        <f>INDEX(Master_Data!$C$152:$L$864,D179,4)</f>
        <v>0</v>
      </c>
      <c r="J179" s="24">
        <f>INDEX(Master_Data!$C$152:$L$864,D179,5)</f>
        <v>0</v>
      </c>
      <c r="K179" s="137" t="str">
        <f>INDEX(Master_Data!$C$152:$L$864,D179,6)</f>
        <v>17-003/BKU-004/III/226</v>
      </c>
      <c r="L179" s="140" t="str">
        <f>INDEX(Master_Data!$C$152:$L$864,D179,7)</f>
        <v>030.001-17.53957931</v>
      </c>
      <c r="M179" s="140">
        <f>INDEX(Master_Data!$C$152:$L$864,D179,8)</f>
        <v>0</v>
      </c>
      <c r="N179" s="149"/>
      <c r="O179" s="245" t="e">
        <f t="shared" si="10"/>
        <v>#VALUE!</v>
      </c>
      <c r="Q179" s="169" t="str">
        <f t="shared" si="11"/>
        <v>PEMBANGUNAN PERUMAHAN (PERSERO), PTMAR</v>
      </c>
    </row>
    <row r="180" spans="2:17" s="61" customFormat="1" ht="14.1" customHeight="1">
      <c r="B180" s="242"/>
      <c r="C180" s="268">
        <f>MATCH($B$137,INDEX(Master_Data!$B$152:$B$864,D179+1,1):'Master_Data'!$B$864,0)</f>
        <v>31</v>
      </c>
      <c r="D180" s="268">
        <f t="shared" ref="D180:D186" si="13">D179+C180</f>
        <v>590</v>
      </c>
      <c r="E180" s="24">
        <v>44</v>
      </c>
      <c r="F180" s="105" t="str">
        <f>INDEX(Master_Data!$C$152:$L$864,D180,2)</f>
        <v>PERTIWI AGRO SEJAHTERA, PT</v>
      </c>
      <c r="G180" s="24" t="str">
        <f>INDEX(Master_Data!$C$152:$L$864,D180,3)</f>
        <v>V</v>
      </c>
      <c r="H180" s="24">
        <f>INDEX(Master_Data!$C$152:$L$864,D180,1)</f>
        <v>1</v>
      </c>
      <c r="I180" s="24">
        <f>INDEX(Master_Data!$C$152:$L$864,D180,4)</f>
        <v>0</v>
      </c>
      <c r="J180" s="24">
        <f>INDEX(Master_Data!$C$152:$L$864,D180,5)</f>
        <v>0</v>
      </c>
      <c r="K180" s="137" t="str">
        <f>INDEX(Master_Data!$C$152:$L$864,D180,6)</f>
        <v>17-003/BKU-004/III/207</v>
      </c>
      <c r="L180" s="140" t="str">
        <f>INDEX(Master_Data!$C$152:$L$864,D180,7)</f>
        <v>010.001-17.53957946</v>
      </c>
      <c r="M180" s="140">
        <f>INDEX(Master_Data!$C$152:$L$864,D180,8)</f>
        <v>0</v>
      </c>
      <c r="N180" s="149"/>
      <c r="O180" s="245" t="e">
        <f t="shared" ref="O180:O186" si="14">L180+M180</f>
        <v>#VALUE!</v>
      </c>
      <c r="Q180" s="169" t="str">
        <f t="shared" ref="Q180:Q186" si="15">CONCATENATE(F180,$B$137)</f>
        <v>PERTIWI AGRO SEJAHTERA, PTMAR</v>
      </c>
    </row>
    <row r="181" spans="2:17" s="61" customFormat="1" ht="14.1" customHeight="1">
      <c r="B181" s="242"/>
      <c r="C181" s="268">
        <f>MATCH($B$137,INDEX(Master_Data!$B$152:$B$864,D180+1,1):'Master_Data'!$B$864,0)</f>
        <v>18</v>
      </c>
      <c r="D181" s="268">
        <f t="shared" si="13"/>
        <v>608</v>
      </c>
      <c r="E181" s="24">
        <v>45</v>
      </c>
      <c r="F181" s="105" t="str">
        <f>INDEX(Master_Data!$C$152:$L$864,D181,2)</f>
        <v>PETROSEA, PT</v>
      </c>
      <c r="G181" s="24" t="str">
        <f>INDEX(Master_Data!$C$152:$L$864,D181,3)</f>
        <v>V</v>
      </c>
      <c r="H181" s="24">
        <f>INDEX(Master_Data!$C$152:$L$864,D181,1)</f>
        <v>6</v>
      </c>
      <c r="I181" s="24">
        <f>INDEX(Master_Data!$C$152:$L$864,D181,4)</f>
        <v>0</v>
      </c>
      <c r="J181" s="24">
        <f>INDEX(Master_Data!$C$152:$L$864,D181,5)</f>
        <v>0</v>
      </c>
      <c r="K181" s="137" t="str">
        <f>INDEX(Master_Data!$C$152:$L$864,D181,6)</f>
        <v>17-007/BKU-004/III/009</v>
      </c>
      <c r="L181" s="140" t="str">
        <f>INDEX(Master_Data!$C$152:$L$864,D181,7)</f>
        <v>010.001-17.53957962</v>
      </c>
      <c r="M181" s="140">
        <f>INDEX(Master_Data!$C$152:$L$864,D181,8)</f>
        <v>0</v>
      </c>
      <c r="N181" s="149"/>
      <c r="O181" s="245" t="e">
        <f t="shared" si="14"/>
        <v>#VALUE!</v>
      </c>
      <c r="Q181" s="169" t="str">
        <f t="shared" si="15"/>
        <v>PETROSEA, PTMAR</v>
      </c>
    </row>
    <row r="182" spans="2:17" s="61" customFormat="1" ht="14.1" customHeight="1">
      <c r="B182" s="242"/>
      <c r="C182" s="268">
        <f>MATCH($B$137,INDEX(Master_Data!$B$152:$B$864,D181+1,1):'Master_Data'!$B$864,0)</f>
        <v>1</v>
      </c>
      <c r="D182" s="268">
        <f t="shared" si="13"/>
        <v>609</v>
      </c>
      <c r="E182" s="24">
        <v>46</v>
      </c>
      <c r="F182" s="105" t="str">
        <f>INDEX(Master_Data!$C$152:$L$864,D182,2)</f>
        <v>PETROSEA, PT</v>
      </c>
      <c r="G182" s="24" t="str">
        <f>INDEX(Master_Data!$C$152:$L$864,D182,3)</f>
        <v>V</v>
      </c>
      <c r="H182" s="24">
        <f>INDEX(Master_Data!$C$152:$L$864,D182,1)</f>
        <v>6</v>
      </c>
      <c r="I182" s="24">
        <f>INDEX(Master_Data!$C$152:$L$864,D182,4)</f>
        <v>0</v>
      </c>
      <c r="J182" s="24">
        <f>INDEX(Master_Data!$C$152:$L$864,D182,5)</f>
        <v>0</v>
      </c>
      <c r="K182" s="137" t="str">
        <f>INDEX(Master_Data!$C$152:$L$864,D182,6)</f>
        <v>17-008/BKU-004/III/009</v>
      </c>
      <c r="L182" s="140" t="str">
        <f>INDEX(Master_Data!$C$152:$L$864,D182,7)</f>
        <v>010.001-17.53957963</v>
      </c>
      <c r="M182" s="140">
        <f>INDEX(Master_Data!$C$152:$L$864,D182,8)</f>
        <v>0</v>
      </c>
      <c r="N182" s="149"/>
      <c r="O182" s="245" t="e">
        <f t="shared" si="14"/>
        <v>#VALUE!</v>
      </c>
      <c r="Q182" s="169" t="str">
        <f t="shared" si="15"/>
        <v>PETROSEA, PTMAR</v>
      </c>
    </row>
    <row r="183" spans="2:17" s="61" customFormat="1" ht="14.1" customHeight="1">
      <c r="B183" s="242"/>
      <c r="C183" s="268">
        <f>MATCH($B$137,INDEX(Master_Data!$B$152:$B$864,D182+1,1):'Master_Data'!$B$864,0)</f>
        <v>1</v>
      </c>
      <c r="D183" s="268">
        <f t="shared" si="13"/>
        <v>610</v>
      </c>
      <c r="E183" s="24">
        <v>47</v>
      </c>
      <c r="F183" s="105" t="str">
        <f>INDEX(Master_Data!$C$152:$L$864,D183,2)</f>
        <v>PETROSEA, PT</v>
      </c>
      <c r="G183" s="24" t="str">
        <f>INDEX(Master_Data!$C$152:$L$864,D183,3)</f>
        <v>V</v>
      </c>
      <c r="H183" s="24">
        <f>INDEX(Master_Data!$C$152:$L$864,D183,1)</f>
        <v>6</v>
      </c>
      <c r="I183" s="24">
        <f>INDEX(Master_Data!$C$152:$L$864,D183,4)</f>
        <v>0</v>
      </c>
      <c r="J183" s="24">
        <f>INDEX(Master_Data!$C$152:$L$864,D183,5)</f>
        <v>0</v>
      </c>
      <c r="K183" s="137" t="str">
        <f>INDEX(Master_Data!$C$152:$L$864,D183,6)</f>
        <v>17-009/BKU-004/III/009</v>
      </c>
      <c r="L183" s="140" t="str">
        <f>INDEX(Master_Data!$C$152:$L$864,D183,7)</f>
        <v>010.001-17.53957964</v>
      </c>
      <c r="M183" s="140">
        <f>INDEX(Master_Data!$C$152:$L$864,D183,8)</f>
        <v>0</v>
      </c>
      <c r="N183" s="149"/>
      <c r="O183" s="245" t="e">
        <f t="shared" si="14"/>
        <v>#VALUE!</v>
      </c>
      <c r="Q183" s="169" t="str">
        <f t="shared" si="15"/>
        <v>PETROSEA, PTMAR</v>
      </c>
    </row>
    <row r="184" spans="2:17" s="61" customFormat="1" ht="14.1" customHeight="1">
      <c r="B184" s="242"/>
      <c r="C184" s="268">
        <f>MATCH($B$137,INDEX(Master_Data!$B$152:$B$864,D183+1,1):'Master_Data'!$B$864,0)</f>
        <v>1</v>
      </c>
      <c r="D184" s="268">
        <f t="shared" si="13"/>
        <v>611</v>
      </c>
      <c r="E184" s="24">
        <v>48</v>
      </c>
      <c r="F184" s="105" t="str">
        <f>INDEX(Master_Data!$C$152:$L$864,D184,2)</f>
        <v>PETROSEA, PT</v>
      </c>
      <c r="G184" s="24" t="str">
        <f>INDEX(Master_Data!$C$152:$L$864,D184,3)</f>
        <v>O</v>
      </c>
      <c r="H184" s="24">
        <f>INDEX(Master_Data!$C$152:$L$864,D184,1)</f>
        <v>30</v>
      </c>
      <c r="I184" s="24">
        <f>INDEX(Master_Data!$C$152:$L$864,D184,4)</f>
        <v>0</v>
      </c>
      <c r="J184" s="24">
        <f>INDEX(Master_Data!$C$152:$L$864,D184,5)</f>
        <v>0</v>
      </c>
      <c r="K184" s="137" t="str">
        <f>INDEX(Master_Data!$C$152:$L$864,D184,6)</f>
        <v>17-010/BKU-004/III/009</v>
      </c>
      <c r="L184" s="140" t="str">
        <f>INDEX(Master_Data!$C$152:$L$864,D184,7)</f>
        <v>010.001-17.53957971</v>
      </c>
      <c r="M184" s="140">
        <f>INDEX(Master_Data!$C$152:$L$864,D184,8)</f>
        <v>0</v>
      </c>
      <c r="N184" s="149"/>
      <c r="O184" s="245" t="e">
        <f t="shared" si="14"/>
        <v>#VALUE!</v>
      </c>
      <c r="Q184" s="169" t="str">
        <f t="shared" si="15"/>
        <v>PETROSEA, PTMAR</v>
      </c>
    </row>
    <row r="185" spans="2:17" s="61" customFormat="1" ht="14.1" customHeight="1">
      <c r="B185" s="242"/>
      <c r="C185" s="268">
        <f>MATCH($B$137,INDEX(Master_Data!$B$152:$B$864,D184+1,1):'Master_Data'!$B$864,0)</f>
        <v>47</v>
      </c>
      <c r="D185" s="268">
        <f t="shared" si="13"/>
        <v>658</v>
      </c>
      <c r="E185" s="24">
        <v>49</v>
      </c>
      <c r="F185" s="105" t="str">
        <f>INDEX(Master_Data!$C$152:$L$864,D185,2)</f>
        <v>RIUNG MITRA LESTARI, PT</v>
      </c>
      <c r="G185" s="24" t="str">
        <f>INDEX(Master_Data!$C$152:$L$864,D185,3)</f>
        <v>M</v>
      </c>
      <c r="H185" s="24">
        <f>INDEX(Master_Data!$C$152:$L$864,D185,1)</f>
        <v>1</v>
      </c>
      <c r="I185" s="24">
        <f>INDEX(Master_Data!$C$152:$L$864,D185,4)</f>
        <v>0</v>
      </c>
      <c r="J185" s="24">
        <f>INDEX(Master_Data!$C$152:$L$864,D185,5)</f>
        <v>0</v>
      </c>
      <c r="K185" s="137" t="str">
        <f>INDEX(Master_Data!$C$152:$L$864,D185,6)</f>
        <v>17-003/BKU-004/III/149</v>
      </c>
      <c r="L185" s="140" t="str">
        <f>INDEX(Master_Data!$C$152:$L$864,D185,7)</f>
        <v>010.001-17.53957935</v>
      </c>
      <c r="M185" s="140">
        <f>INDEX(Master_Data!$C$152:$L$864,D185,8)</f>
        <v>0</v>
      </c>
      <c r="N185" s="149"/>
      <c r="O185" s="245" t="e">
        <f t="shared" si="14"/>
        <v>#VALUE!</v>
      </c>
      <c r="Q185" s="169" t="str">
        <f t="shared" si="15"/>
        <v>RIUNG MITRA LESTARI, PTMAR</v>
      </c>
    </row>
    <row r="186" spans="2:17" s="61" customFormat="1" ht="14.1" customHeight="1">
      <c r="B186" s="242"/>
      <c r="C186" s="268">
        <f>MATCH($B$137,INDEX(Master_Data!$B$152:$B$864,D185+1,1):'Master_Data'!$B$864,0)</f>
        <v>13</v>
      </c>
      <c r="D186" s="268">
        <f t="shared" si="13"/>
        <v>671</v>
      </c>
      <c r="E186" s="24">
        <v>50</v>
      </c>
      <c r="F186" s="105" t="str">
        <f>INDEX(Master_Data!$C$152:$L$864,D186,2)</f>
        <v>ROKA LANE ASIA, PT</v>
      </c>
      <c r="G186" s="24" t="str">
        <f>INDEX(Master_Data!$C$152:$L$864,D186,3)</f>
        <v>I</v>
      </c>
      <c r="H186" s="24">
        <f>INDEX(Master_Data!$C$152:$L$864,D186,1)</f>
        <v>1</v>
      </c>
      <c r="I186" s="24">
        <f>INDEX(Master_Data!$C$152:$L$864,D186,4)</f>
        <v>0</v>
      </c>
      <c r="J186" s="24">
        <f>INDEX(Master_Data!$C$152:$L$864,D186,5)</f>
        <v>0</v>
      </c>
      <c r="K186" s="137" t="str">
        <f>INDEX(Master_Data!$C$152:$L$864,D186,6)</f>
        <v>17-004/BKU-004/III/239</v>
      </c>
      <c r="L186" s="140" t="str">
        <f>INDEX(Master_Data!$C$152:$L$864,D186,7)</f>
        <v>010.001-17.53937934</v>
      </c>
      <c r="M186" s="140">
        <f>INDEX(Master_Data!$C$152:$L$864,D186,8)</f>
        <v>0</v>
      </c>
      <c r="N186" s="149"/>
      <c r="O186" s="245" t="e">
        <f t="shared" si="14"/>
        <v>#VALUE!</v>
      </c>
      <c r="Q186" s="169" t="str">
        <f t="shared" si="15"/>
        <v>ROKA LANE ASIA, PTMAR</v>
      </c>
    </row>
    <row r="187" spans="2:17" s="61" customFormat="1" ht="14.1" customHeight="1">
      <c r="B187" s="242"/>
      <c r="C187" s="268">
        <f>MATCH($B$137,INDEX(Master_Data!$B$152:$B$864,D186+1,1):'Master_Data'!$B$864,0)</f>
        <v>17</v>
      </c>
      <c r="D187" s="268">
        <f>D186+C187</f>
        <v>688</v>
      </c>
      <c r="E187" s="24">
        <v>51</v>
      </c>
      <c r="F187" s="105" t="str">
        <f>INDEX(Master_Data!$C$152:$L$864,D187,2)</f>
        <v>TEBAR TANDAN TENERA, PT</v>
      </c>
      <c r="G187" s="24" t="str">
        <f>INDEX(Master_Data!$C$152:$L$864,D187,3)</f>
        <v>V</v>
      </c>
      <c r="H187" s="24">
        <f>INDEX(Master_Data!$C$152:$L$864,D187,1)</f>
        <v>1</v>
      </c>
      <c r="I187" s="24">
        <f>INDEX(Master_Data!$C$152:$L$864,D187,4)</f>
        <v>0</v>
      </c>
      <c r="J187" s="24">
        <f>INDEX(Master_Data!$C$152:$L$864,D187,5)</f>
        <v>0</v>
      </c>
      <c r="K187" s="137" t="str">
        <f>INDEX(Master_Data!$C$152:$L$864,D187,6)</f>
        <v>17-003/BKU-004/III/227</v>
      </c>
      <c r="L187" s="140" t="str">
        <f>INDEX(Master_Data!$C$152:$L$864,D187,7)</f>
        <v>010.001-17.53957947</v>
      </c>
      <c r="M187" s="140">
        <f>INDEX(Master_Data!$C$152:$L$864,D187,8)</f>
        <v>0</v>
      </c>
      <c r="N187" s="149"/>
      <c r="O187" s="245" t="e">
        <f>L187+M187</f>
        <v>#VALUE!</v>
      </c>
      <c r="Q187" s="169" t="str">
        <f>CONCATENATE(F187,$B$137)</f>
        <v>TEBAR TANDAN TENERA, PTMAR</v>
      </c>
    </row>
    <row r="188" spans="2:17" ht="20.25" customHeight="1">
      <c r="B188" s="1758" t="s">
        <v>7</v>
      </c>
      <c r="C188" s="1758"/>
      <c r="D188" s="1758"/>
      <c r="E188" s="1758"/>
      <c r="F188" s="1758"/>
      <c r="G188" s="1758"/>
      <c r="H188" s="1758"/>
      <c r="I188" s="1758"/>
      <c r="J188" s="1758"/>
      <c r="K188" s="12">
        <f>SUM(K137:K187)</f>
        <v>0</v>
      </c>
      <c r="L188" s="142">
        <f>SUM(L137:L187)</f>
        <v>0</v>
      </c>
      <c r="M188" s="142">
        <f>SUM(M137:M187)</f>
        <v>0</v>
      </c>
      <c r="N188" s="12">
        <f>SUM(N137:N187)</f>
        <v>0</v>
      </c>
      <c r="O188" s="13" t="e">
        <f>SUM(O137:O187)</f>
        <v>#VALUE!</v>
      </c>
    </row>
    <row r="190" spans="2:17" s="7" customFormat="1" ht="15" customHeight="1">
      <c r="B190" s="1759" t="s">
        <v>198</v>
      </c>
      <c r="C190" s="1760" t="s">
        <v>200</v>
      </c>
      <c r="D190" s="1760"/>
      <c r="E190" s="1759" t="s">
        <v>6</v>
      </c>
      <c r="F190" s="1758" t="s">
        <v>3</v>
      </c>
      <c r="G190" s="1761" t="s">
        <v>141</v>
      </c>
      <c r="H190" s="1758" t="s">
        <v>57</v>
      </c>
      <c r="I190" s="1758"/>
      <c r="J190" s="1758"/>
      <c r="K190" s="1758"/>
      <c r="L190" s="1758"/>
      <c r="M190" s="1758"/>
      <c r="N190" s="1758"/>
      <c r="O190" s="1758"/>
    </row>
    <row r="191" spans="2:17" s="7" customFormat="1" ht="15" customHeight="1">
      <c r="B191" s="1759"/>
      <c r="C191" s="1764" t="s">
        <v>196</v>
      </c>
      <c r="D191" s="1764" t="s">
        <v>197</v>
      </c>
      <c r="E191" s="1759"/>
      <c r="F191" s="1758"/>
      <c r="G191" s="1762"/>
      <c r="H191" s="1766" t="s">
        <v>15</v>
      </c>
      <c r="I191" s="1766" t="s">
        <v>51</v>
      </c>
      <c r="J191" s="1766" t="s">
        <v>12</v>
      </c>
      <c r="K191" s="1768" t="s">
        <v>11</v>
      </c>
      <c r="L191" s="1768" t="s">
        <v>53</v>
      </c>
      <c r="M191" s="1768" t="s">
        <v>1</v>
      </c>
      <c r="N191" s="1770" t="s">
        <v>50</v>
      </c>
      <c r="O191" s="1770"/>
    </row>
    <row r="192" spans="2:17" s="7" customFormat="1">
      <c r="B192" s="1759"/>
      <c r="C192" s="1765"/>
      <c r="D192" s="1765"/>
      <c r="E192" s="1759"/>
      <c r="F192" s="1758"/>
      <c r="G192" s="1763"/>
      <c r="H192" s="1767"/>
      <c r="I192" s="1767"/>
      <c r="J192" s="1767"/>
      <c r="K192" s="1769"/>
      <c r="L192" s="1769"/>
      <c r="M192" s="1769"/>
      <c r="N192" s="299" t="s">
        <v>54</v>
      </c>
      <c r="O192" s="299" t="s">
        <v>55</v>
      </c>
      <c r="Q192" s="168" t="s">
        <v>235</v>
      </c>
    </row>
    <row r="193" spans="2:17" s="7" customFormat="1" ht="14.1" customHeight="1">
      <c r="B193" s="85" t="s">
        <v>240</v>
      </c>
      <c r="C193" s="151">
        <f>MATCH(B193,Master_Data!$B$152:$B$864,0)</f>
        <v>6</v>
      </c>
      <c r="D193" s="151">
        <v>11</v>
      </c>
      <c r="E193" s="20">
        <v>1</v>
      </c>
      <c r="F193" s="75" t="str">
        <f>INDEX(Master_Data!$C$152:$L$864,D193,2)</f>
        <v>BANDARA WASIOR PAPUA BARAT, PT</v>
      </c>
      <c r="G193" s="20" t="str">
        <f>INDEX(Master_Data!$C$152:$L$864,D193,3)</f>
        <v>I</v>
      </c>
      <c r="H193" s="20">
        <f>INDEX(Master_Data!$C$152:$L$864,D193,1)</f>
        <v>8</v>
      </c>
      <c r="I193" s="20" t="str">
        <f>INDEX(Master_Data!$C$152:$L$864,D193,4)</f>
        <v>Layanan Akses Internet 1 Mbps pada Bandara Wasior Papua Barat</v>
      </c>
      <c r="J193" s="20" t="str">
        <f>INDEX(Master_Data!$C$152:$L$864,D193,5)</f>
        <v>27 Sep-27 Oct</v>
      </c>
      <c r="K193" s="708" t="str">
        <f>INDEX(Master_Data!$C$152:$L$864,D193,6)</f>
        <v>17-007/BKU-004/IX/248</v>
      </c>
      <c r="L193" s="139" t="str">
        <f>INDEX(Master_Data!$C$152:$L$864,D193,7)</f>
        <v>020.019-17.53122220</v>
      </c>
      <c r="M193" s="139">
        <f>INDEX(Master_Data!$C$152:$L$864,D193,8)</f>
        <v>0</v>
      </c>
      <c r="N193" s="266"/>
      <c r="O193" s="272" t="e">
        <f>L193+M193</f>
        <v>#VALUE!</v>
      </c>
      <c r="Q193" s="169" t="str">
        <f>CONCATENATE(F193,$B$193)</f>
        <v>BANDARA WASIOR PAPUA BARAT, PTAPR</v>
      </c>
    </row>
    <row r="194" spans="2:17" s="61" customFormat="1" ht="14.1" customHeight="1">
      <c r="B194" s="135"/>
      <c r="C194" s="268">
        <f>MATCH($B$193,INDEX(Master_Data!$B$152:$B$864,D193+1,1):'Master_Data'!$B$864,0)</f>
        <v>10</v>
      </c>
      <c r="D194" s="152">
        <f>D193+C194</f>
        <v>21</v>
      </c>
      <c r="E194" s="56">
        <v>2</v>
      </c>
      <c r="F194" s="22" t="str">
        <f>INDEX(Master_Data!$C$152:$L$864,D194,2)</f>
        <v>BUKIT MAKMUR MANDIRI UTAMA, PT</v>
      </c>
      <c r="G194" s="24" t="str">
        <f>INDEX(Master_Data!$C$152:$L$864,D194,3)</f>
        <v>HMS</v>
      </c>
      <c r="H194" s="24">
        <f>INDEX(Master_Data!$C$152:$L$864,D194,1)</f>
        <v>28</v>
      </c>
      <c r="I194" s="24">
        <f>INDEX(Master_Data!$C$152:$L$864,D194,4)</f>
        <v>0</v>
      </c>
      <c r="J194" s="24">
        <f>INDEX(Master_Data!$C$152:$L$864,D194,5)</f>
        <v>0</v>
      </c>
      <c r="K194" s="137" t="str">
        <f>INDEX(Master_Data!$C$152:$L$864,D194,6)</f>
        <v>17-007/BKU-004/IV/172</v>
      </c>
      <c r="L194" s="140" t="str">
        <f>INDEX(Master_Data!$C$152:$L$864,D194,7)</f>
        <v>010.018-17.04159575</v>
      </c>
      <c r="M194" s="140">
        <f>INDEX(Master_Data!$C$152:$L$864,D194,8)</f>
        <v>0</v>
      </c>
      <c r="N194" s="264"/>
      <c r="O194" s="245" t="e">
        <f t="shared" ref="O194:O247" si="16">L194+M194</f>
        <v>#VALUE!</v>
      </c>
      <c r="Q194" s="169" t="str">
        <f t="shared" ref="Q194:Q247" si="17">CONCATENATE(F194,$B$193)</f>
        <v>BUKIT MAKMUR MANDIRI UTAMA, PTAPR</v>
      </c>
    </row>
    <row r="195" spans="2:17" s="61" customFormat="1" ht="14.1" customHeight="1">
      <c r="B195" s="135"/>
      <c r="C195" s="268">
        <f>MATCH($B$193,INDEX(Master_Data!$B$152:$B$864,D194+1,1):'Master_Data'!$B$864,0)</f>
        <v>1</v>
      </c>
      <c r="D195" s="152">
        <f t="shared" ref="D195:D247" si="18">D194+C195</f>
        <v>22</v>
      </c>
      <c r="E195" s="24">
        <v>3</v>
      </c>
      <c r="F195" s="22" t="str">
        <f>INDEX(Master_Data!$C$152:$L$864,D195,2)</f>
        <v>BUKIT MAKMUR MANDIRI UTAMA, PT</v>
      </c>
      <c r="G195" s="24" t="str">
        <f>INDEX(Master_Data!$C$152:$L$864,D195,3)</f>
        <v>V</v>
      </c>
      <c r="H195" s="24">
        <f>INDEX(Master_Data!$C$152:$L$864,D195,1)</f>
        <v>28</v>
      </c>
      <c r="I195" s="24">
        <f>INDEX(Master_Data!$C$152:$L$864,D195,4)</f>
        <v>0</v>
      </c>
      <c r="J195" s="24">
        <f>INDEX(Master_Data!$C$152:$L$864,D195,5)</f>
        <v>0</v>
      </c>
      <c r="K195" s="137" t="str">
        <f>INDEX(Master_Data!$C$152:$L$864,D195,6)</f>
        <v>17-008/BKU-004/IV/172</v>
      </c>
      <c r="L195" s="140" t="str">
        <f>INDEX(Master_Data!$C$152:$L$864,D195,7)</f>
        <v>010.018-17.04159576</v>
      </c>
      <c r="M195" s="140">
        <f>INDEX(Master_Data!$C$152:$L$864,D195,8)</f>
        <v>0</v>
      </c>
      <c r="N195" s="264"/>
      <c r="O195" s="245" t="e">
        <f t="shared" si="16"/>
        <v>#VALUE!</v>
      </c>
      <c r="Q195" s="169" t="str">
        <f t="shared" si="17"/>
        <v>BUKIT MAKMUR MANDIRI UTAMA, PTAPR</v>
      </c>
    </row>
    <row r="196" spans="2:17" s="61" customFormat="1" ht="14.1" customHeight="1">
      <c r="B196" s="135"/>
      <c r="C196" s="268">
        <f>MATCH($B$193,INDEX(Master_Data!$B$152:$B$864,D195+1,1):'Master_Data'!$B$864,0)</f>
        <v>17</v>
      </c>
      <c r="D196" s="152">
        <f t="shared" si="18"/>
        <v>39</v>
      </c>
      <c r="E196" s="56">
        <v>4</v>
      </c>
      <c r="F196" s="22" t="str">
        <f>INDEX(Master_Data!$C$152:$L$864,D196,2)</f>
        <v>CAKRAWALA SEJAHTERA, PT</v>
      </c>
      <c r="G196" s="24" t="str">
        <f>INDEX(Master_Data!$C$152:$L$864,D196,3)</f>
        <v>V</v>
      </c>
      <c r="H196" s="24">
        <f>INDEX(Master_Data!$C$152:$L$864,D196,1)</f>
        <v>3</v>
      </c>
      <c r="I196" s="24">
        <f>INDEX(Master_Data!$C$152:$L$864,D196,4)</f>
        <v>0</v>
      </c>
      <c r="J196" s="24">
        <f>INDEX(Master_Data!$C$152:$L$864,D196,5)</f>
        <v>0</v>
      </c>
      <c r="K196" s="137" t="str">
        <f>INDEX(Master_Data!$C$152:$L$864,D196,6)</f>
        <v>17-005/BKU-004/IV/198</v>
      </c>
      <c r="L196" s="140" t="str">
        <f>INDEX(Master_Data!$C$152:$L$864,D196,7)</f>
        <v>010.001-17.53957977</v>
      </c>
      <c r="M196" s="140">
        <f>INDEX(Master_Data!$C$152:$L$864,D196,8)</f>
        <v>0</v>
      </c>
      <c r="N196" s="264"/>
      <c r="O196" s="245" t="e">
        <f t="shared" si="16"/>
        <v>#VALUE!</v>
      </c>
      <c r="Q196" s="169" t="str">
        <f t="shared" si="17"/>
        <v>CAKRAWALA SEJAHTERA, PTAPR</v>
      </c>
    </row>
    <row r="197" spans="2:17" s="61" customFormat="1" ht="14.1" customHeight="1">
      <c r="B197" s="135"/>
      <c r="C197" s="268">
        <f>MATCH($B$193,INDEX(Master_Data!$B$152:$B$864,D196+1,1):'Master_Data'!$B$864,0)</f>
        <v>9</v>
      </c>
      <c r="D197" s="152">
        <f t="shared" si="18"/>
        <v>48</v>
      </c>
      <c r="E197" s="24">
        <v>5</v>
      </c>
      <c r="F197" s="22" t="str">
        <f>INDEX(Master_Data!$C$152:$L$864,D197,2)</f>
        <v>CIPTA INFORMATIKA CEMERLANG, PT</v>
      </c>
      <c r="G197" s="24" t="str">
        <f>INDEX(Master_Data!$C$152:$L$864,D197,3)</f>
        <v>P</v>
      </c>
      <c r="H197" s="24">
        <f>INDEX(Master_Data!$C$152:$L$864,D197,1)</f>
        <v>3</v>
      </c>
      <c r="I197" s="24">
        <f>INDEX(Master_Data!$C$152:$L$864,D197,4)</f>
        <v>0</v>
      </c>
      <c r="J197" s="24">
        <f>INDEX(Master_Data!$C$152:$L$864,D197,5)</f>
        <v>0</v>
      </c>
      <c r="K197" s="137" t="str">
        <f>INDEX(Master_Data!$C$152:$L$864,D197,6)</f>
        <v>17-004/BKU-004/IV/097</v>
      </c>
      <c r="L197" s="140" t="str">
        <f>INDEX(Master_Data!$C$152:$L$864,D197,7)</f>
        <v>010.001-17.53957978</v>
      </c>
      <c r="M197" s="140">
        <f>INDEX(Master_Data!$C$152:$L$864,D197,8)</f>
        <v>0</v>
      </c>
      <c r="N197" s="264"/>
      <c r="O197" s="245" t="e">
        <f t="shared" si="16"/>
        <v>#VALUE!</v>
      </c>
      <c r="Q197" s="169" t="str">
        <f t="shared" si="17"/>
        <v>CIPTA INFORMATIKA CEMERLANG, PTAPR</v>
      </c>
    </row>
    <row r="198" spans="2:17" s="61" customFormat="1" ht="14.1" customHeight="1">
      <c r="B198" s="135"/>
      <c r="C198" s="268">
        <f>MATCH($B$193,INDEX(Master_Data!$B$152:$B$864,D197+1,1):'Master_Data'!$B$864,0)</f>
        <v>15</v>
      </c>
      <c r="D198" s="152">
        <f t="shared" si="18"/>
        <v>63</v>
      </c>
      <c r="E198" s="56">
        <v>6</v>
      </c>
      <c r="F198" s="22" t="str">
        <f>INDEX(Master_Data!$C$152:$L$864,D198,2)</f>
        <v>ELGA YASA MEDIA, PT</v>
      </c>
      <c r="G198" s="24" t="str">
        <f>INDEX(Master_Data!$C$152:$L$864,D198,3)</f>
        <v>W</v>
      </c>
      <c r="H198" s="24">
        <f>INDEX(Master_Data!$C$152:$L$864,D198,1)</f>
        <v>3</v>
      </c>
      <c r="I198" s="24">
        <f>INDEX(Master_Data!$C$152:$L$864,D198,4)</f>
        <v>0</v>
      </c>
      <c r="J198" s="24">
        <f>INDEX(Master_Data!$C$152:$L$864,D198,5)</f>
        <v>0</v>
      </c>
      <c r="K198" s="137" t="str">
        <f>INDEX(Master_Data!$C$152:$L$864,D198,6)</f>
        <v>17-005/BKU-004/IV/007</v>
      </c>
      <c r="L198" s="140" t="str">
        <f>INDEX(Master_Data!$C$152:$L$864,D198,7)</f>
        <v>010.001-17.53957979</v>
      </c>
      <c r="M198" s="140">
        <f>INDEX(Master_Data!$C$152:$L$864,D198,8)</f>
        <v>0</v>
      </c>
      <c r="N198" s="264"/>
      <c r="O198" s="245" t="e">
        <f t="shared" si="16"/>
        <v>#VALUE!</v>
      </c>
      <c r="Q198" s="169" t="str">
        <f t="shared" si="17"/>
        <v>ELGA YASA MEDIA, PTAPR</v>
      </c>
    </row>
    <row r="199" spans="2:17" s="61" customFormat="1" ht="14.1" customHeight="1">
      <c r="B199" s="135"/>
      <c r="C199" s="268">
        <f>MATCH($B$193,INDEX(Master_Data!$B$152:$B$864,D198+1,1):'Master_Data'!$B$864,0)</f>
        <v>33</v>
      </c>
      <c r="D199" s="152">
        <f t="shared" si="18"/>
        <v>96</v>
      </c>
      <c r="E199" s="24">
        <v>7</v>
      </c>
      <c r="F199" s="22" t="str">
        <f>INDEX(Master_Data!$C$152:$L$864,D199,2)</f>
        <v>HARMONI PANCA UTAMA, PT</v>
      </c>
      <c r="G199" s="24" t="str">
        <f>INDEX(Master_Data!$C$152:$L$864,D199,3)</f>
        <v>M</v>
      </c>
      <c r="H199" s="24">
        <f>INDEX(Master_Data!$C$152:$L$864,D199,1)</f>
        <v>4</v>
      </c>
      <c r="I199" s="24">
        <f>INDEX(Master_Data!$C$152:$L$864,D199,4)</f>
        <v>0</v>
      </c>
      <c r="J199" s="24">
        <f>INDEX(Master_Data!$C$152:$L$864,D199,5)</f>
        <v>0</v>
      </c>
      <c r="K199" s="137" t="str">
        <f>INDEX(Master_Data!$C$152:$L$864,D199,6)</f>
        <v>17-023/BKU-004/IV/159</v>
      </c>
      <c r="L199" s="140" t="str">
        <f>INDEX(Master_Data!$C$152:$L$864,D199,7)</f>
        <v>010.001-15.53958006</v>
      </c>
      <c r="M199" s="140">
        <f>INDEX(Master_Data!$C$152:$L$864,D199,8)</f>
        <v>0</v>
      </c>
      <c r="N199" s="264"/>
      <c r="O199" s="245" t="e">
        <f t="shared" si="16"/>
        <v>#VALUE!</v>
      </c>
      <c r="Q199" s="169" t="str">
        <f t="shared" si="17"/>
        <v>HARMONI PANCA UTAMA, PTAPR</v>
      </c>
    </row>
    <row r="200" spans="2:17" s="61" customFormat="1" ht="14.1" customHeight="1">
      <c r="B200" s="135"/>
      <c r="C200" s="268">
        <f>MATCH($B$193,INDEX(Master_Data!$B$152:$B$864,D199+1,1):'Master_Data'!$B$864,0)</f>
        <v>1</v>
      </c>
      <c r="D200" s="152">
        <f t="shared" si="18"/>
        <v>97</v>
      </c>
      <c r="E200" s="56">
        <v>8</v>
      </c>
      <c r="F200" s="22" t="str">
        <f>INDEX(Master_Data!$C$152:$L$864,D200,2)</f>
        <v>HARMONI PANCA UTAMA, PT</v>
      </c>
      <c r="G200" s="24" t="str">
        <f>INDEX(Master_Data!$C$152:$L$864,D200,3)</f>
        <v>M</v>
      </c>
      <c r="H200" s="24">
        <f>INDEX(Master_Data!$C$152:$L$864,D200,1)</f>
        <v>4</v>
      </c>
      <c r="I200" s="24">
        <f>INDEX(Master_Data!$C$152:$L$864,D200,4)</f>
        <v>0</v>
      </c>
      <c r="J200" s="24">
        <f>INDEX(Master_Data!$C$152:$L$864,D200,5)</f>
        <v>0</v>
      </c>
      <c r="K200" s="137" t="str">
        <f>INDEX(Master_Data!$C$152:$L$864,D200,6)</f>
        <v>17-024/BKU-004/IV/159</v>
      </c>
      <c r="L200" s="140" t="str">
        <f>INDEX(Master_Data!$C$152:$L$864,D200,7)</f>
        <v>010.001-15.53958007</v>
      </c>
      <c r="M200" s="140">
        <f>INDEX(Master_Data!$C$152:$L$864,D200,8)</f>
        <v>0</v>
      </c>
      <c r="N200" s="264"/>
      <c r="O200" s="245" t="e">
        <f t="shared" si="16"/>
        <v>#VALUE!</v>
      </c>
      <c r="Q200" s="169" t="str">
        <f t="shared" si="17"/>
        <v>HARMONI PANCA UTAMA, PTAPR</v>
      </c>
    </row>
    <row r="201" spans="2:17" s="61" customFormat="1" ht="14.1" customHeight="1">
      <c r="B201" s="135"/>
      <c r="C201" s="268">
        <f>MATCH($B$193,INDEX(Master_Data!$B$152:$B$864,D200+1,1):'Master_Data'!$B$864,0)</f>
        <v>1</v>
      </c>
      <c r="D201" s="152">
        <f t="shared" si="18"/>
        <v>98</v>
      </c>
      <c r="E201" s="24">
        <v>9</v>
      </c>
      <c r="F201" s="22" t="str">
        <f>INDEX(Master_Data!$C$152:$L$864,D201,2)</f>
        <v>HARMONI PANCA UTAMA, PT</v>
      </c>
      <c r="G201" s="24" t="str">
        <f>INDEX(Master_Data!$C$152:$L$864,D201,3)</f>
        <v>M</v>
      </c>
      <c r="H201" s="24">
        <f>INDEX(Master_Data!$C$152:$L$864,D201,1)</f>
        <v>4</v>
      </c>
      <c r="I201" s="24">
        <f>INDEX(Master_Data!$C$152:$L$864,D201,4)</f>
        <v>0</v>
      </c>
      <c r="J201" s="24">
        <f>INDEX(Master_Data!$C$152:$L$864,D201,5)</f>
        <v>0</v>
      </c>
      <c r="K201" s="137" t="str">
        <f>INDEX(Master_Data!$C$152:$L$864,D201,6)</f>
        <v>17-025/BKU-004/IV/159</v>
      </c>
      <c r="L201" s="140" t="str">
        <f>INDEX(Master_Data!$C$152:$L$864,D201,7)</f>
        <v>010.001-15.53958008</v>
      </c>
      <c r="M201" s="140">
        <f>INDEX(Master_Data!$C$152:$L$864,D201,8)</f>
        <v>0</v>
      </c>
      <c r="N201" s="264"/>
      <c r="O201" s="245" t="e">
        <f t="shared" si="16"/>
        <v>#VALUE!</v>
      </c>
      <c r="Q201" s="169" t="str">
        <f t="shared" si="17"/>
        <v>HARMONI PANCA UTAMA, PTAPR</v>
      </c>
    </row>
    <row r="202" spans="2:17" s="61" customFormat="1" ht="14.1" customHeight="1">
      <c r="B202" s="135"/>
      <c r="C202" s="268">
        <f>MATCH($B$193,INDEX(Master_Data!$B$152:$B$864,D201+1,1):'Master_Data'!$B$864,0)</f>
        <v>1</v>
      </c>
      <c r="D202" s="152">
        <f t="shared" si="18"/>
        <v>99</v>
      </c>
      <c r="E202" s="56">
        <v>10</v>
      </c>
      <c r="F202" s="22" t="str">
        <f>INDEX(Master_Data!$C$152:$L$864,D202,2)</f>
        <v>HARMONI PANCA UTAMA, PT</v>
      </c>
      <c r="G202" s="24" t="str">
        <f>INDEX(Master_Data!$C$152:$L$864,D202,3)</f>
        <v>M</v>
      </c>
      <c r="H202" s="24">
        <f>INDEX(Master_Data!$C$152:$L$864,D202,1)</f>
        <v>4</v>
      </c>
      <c r="I202" s="24">
        <f>INDEX(Master_Data!$C$152:$L$864,D202,4)</f>
        <v>0</v>
      </c>
      <c r="J202" s="24">
        <f>INDEX(Master_Data!$C$152:$L$864,D202,5)</f>
        <v>0</v>
      </c>
      <c r="K202" s="137" t="str">
        <f>INDEX(Master_Data!$C$152:$L$864,D202,6)</f>
        <v>17-026/BKU-004/IV/159</v>
      </c>
      <c r="L202" s="140" t="str">
        <f>INDEX(Master_Data!$C$152:$L$864,D202,7)</f>
        <v>010.001-15.53958009</v>
      </c>
      <c r="M202" s="140">
        <f>INDEX(Master_Data!$C$152:$L$864,D202,8)</f>
        <v>0</v>
      </c>
      <c r="N202" s="264"/>
      <c r="O202" s="245" t="e">
        <f t="shared" si="16"/>
        <v>#VALUE!</v>
      </c>
      <c r="Q202" s="169" t="str">
        <f t="shared" si="17"/>
        <v>HARMONI PANCA UTAMA, PTAPR</v>
      </c>
    </row>
    <row r="203" spans="2:17" s="61" customFormat="1" ht="14.1" customHeight="1">
      <c r="B203" s="135"/>
      <c r="C203" s="268">
        <f>MATCH($B$193,INDEX(Master_Data!$B$152:$B$864,D202+1,1):'Master_Data'!$B$864,0)</f>
        <v>1</v>
      </c>
      <c r="D203" s="152">
        <f t="shared" si="18"/>
        <v>100</v>
      </c>
      <c r="E203" s="24">
        <v>11</v>
      </c>
      <c r="F203" s="22" t="str">
        <f>INDEX(Master_Data!$C$152:$L$864,D203,2)</f>
        <v>HARMONI PANCA UTAMA, PT</v>
      </c>
      <c r="G203" s="24" t="str">
        <f>INDEX(Master_Data!$C$152:$L$864,D203,3)</f>
        <v>V</v>
      </c>
      <c r="H203" s="24">
        <f>INDEX(Master_Data!$C$152:$L$864,D203,1)</f>
        <v>6</v>
      </c>
      <c r="I203" s="24">
        <f>INDEX(Master_Data!$C$152:$L$864,D203,4)</f>
        <v>0</v>
      </c>
      <c r="J203" s="24">
        <f>INDEX(Master_Data!$C$152:$L$864,D203,5)</f>
        <v>0</v>
      </c>
      <c r="K203" s="137" t="str">
        <f>INDEX(Master_Data!$C$152:$L$864,D203,6)</f>
        <v>17-027/BKU-004/IV/159</v>
      </c>
      <c r="L203" s="140" t="str">
        <f>INDEX(Master_Data!$C$152:$L$864,D203,7)</f>
        <v>010.001-15.53958010</v>
      </c>
      <c r="M203" s="140">
        <f>INDEX(Master_Data!$C$152:$L$864,D203,8)</f>
        <v>0</v>
      </c>
      <c r="N203" s="264"/>
      <c r="O203" s="245" t="e">
        <f t="shared" si="16"/>
        <v>#VALUE!</v>
      </c>
      <c r="Q203" s="169" t="str">
        <f t="shared" si="17"/>
        <v>HARMONI PANCA UTAMA, PTAPR</v>
      </c>
    </row>
    <row r="204" spans="2:17" s="61" customFormat="1" ht="14.1" customHeight="1">
      <c r="B204" s="135"/>
      <c r="C204" s="268">
        <f>MATCH($B$193,INDEX(Master_Data!$B$152:$B$864,D203+1,1):'Master_Data'!$B$864,0)</f>
        <v>1</v>
      </c>
      <c r="D204" s="152">
        <f t="shared" si="18"/>
        <v>101</v>
      </c>
      <c r="E204" s="56">
        <v>12</v>
      </c>
      <c r="F204" s="22" t="str">
        <f>INDEX(Master_Data!$C$152:$L$864,D204,2)</f>
        <v>HARMONI PANCA UTAMA, PT</v>
      </c>
      <c r="G204" s="24" t="str">
        <f>INDEX(Master_Data!$C$152:$L$864,D204,3)</f>
        <v>V</v>
      </c>
      <c r="H204" s="24">
        <f>INDEX(Master_Data!$C$152:$L$864,D204,1)</f>
        <v>6</v>
      </c>
      <c r="I204" s="24">
        <f>INDEX(Master_Data!$C$152:$L$864,D204,4)</f>
        <v>0</v>
      </c>
      <c r="J204" s="24">
        <f>INDEX(Master_Data!$C$152:$L$864,D204,5)</f>
        <v>0</v>
      </c>
      <c r="K204" s="137" t="str">
        <f>INDEX(Master_Data!$C$152:$L$864,D204,6)</f>
        <v>17-028/BKU-004/IV/159</v>
      </c>
      <c r="L204" s="140" t="str">
        <f>INDEX(Master_Data!$C$152:$L$864,D204,7)</f>
        <v>010.001-15.53958011</v>
      </c>
      <c r="M204" s="140">
        <f>INDEX(Master_Data!$C$152:$L$864,D204,8)</f>
        <v>0</v>
      </c>
      <c r="N204" s="264"/>
      <c r="O204" s="245" t="e">
        <f t="shared" si="16"/>
        <v>#VALUE!</v>
      </c>
      <c r="Q204" s="169" t="str">
        <f t="shared" si="17"/>
        <v>HARMONI PANCA UTAMA, PTAPR</v>
      </c>
    </row>
    <row r="205" spans="2:17" s="61" customFormat="1" ht="14.1" customHeight="1">
      <c r="B205" s="135"/>
      <c r="C205" s="268">
        <f>MATCH($B$193,INDEX(Master_Data!$B$152:$B$864,D204+1,1):'Master_Data'!$B$864,0)</f>
        <v>1</v>
      </c>
      <c r="D205" s="152">
        <f t="shared" si="18"/>
        <v>102</v>
      </c>
      <c r="E205" s="24">
        <v>13</v>
      </c>
      <c r="F205" s="22" t="str">
        <f>INDEX(Master_Data!$C$152:$L$864,D205,2)</f>
        <v>HARMONI PANCA UTAMA, PT</v>
      </c>
      <c r="G205" s="24" t="str">
        <f>INDEX(Master_Data!$C$152:$L$864,D205,3)</f>
        <v>V</v>
      </c>
      <c r="H205" s="24">
        <f>INDEX(Master_Data!$C$152:$L$864,D205,1)</f>
        <v>6</v>
      </c>
      <c r="I205" s="24">
        <f>INDEX(Master_Data!$C$152:$L$864,D205,4)</f>
        <v>0</v>
      </c>
      <c r="J205" s="24">
        <f>INDEX(Master_Data!$C$152:$L$864,D205,5)</f>
        <v>0</v>
      </c>
      <c r="K205" s="137" t="str">
        <f>INDEX(Master_Data!$C$152:$L$864,D205,6)</f>
        <v>17-029/BKU-004/IV/159</v>
      </c>
      <c r="L205" s="140" t="str">
        <f>INDEX(Master_Data!$C$152:$L$864,D205,7)</f>
        <v>010.001-15.53958012</v>
      </c>
      <c r="M205" s="140">
        <f>INDEX(Master_Data!$C$152:$L$864,D205,8)</f>
        <v>0</v>
      </c>
      <c r="N205" s="264"/>
      <c r="O205" s="245" t="e">
        <f t="shared" si="16"/>
        <v>#VALUE!</v>
      </c>
      <c r="Q205" s="169" t="str">
        <f t="shared" si="17"/>
        <v>HARMONI PANCA UTAMA, PTAPR</v>
      </c>
    </row>
    <row r="206" spans="2:17" s="61" customFormat="1" ht="14.1" customHeight="1">
      <c r="B206" s="150"/>
      <c r="C206" s="268">
        <f>MATCH($B$193,INDEX(Master_Data!$B$152:$B$864,D205+1,1):'Master_Data'!$B$864,0)</f>
        <v>73</v>
      </c>
      <c r="D206" s="152">
        <f t="shared" si="18"/>
        <v>175</v>
      </c>
      <c r="E206" s="56">
        <v>14</v>
      </c>
      <c r="F206" s="22" t="str">
        <f>INDEX(Master_Data!$C$152:$L$864,D206,2)</f>
        <v>HASTA PANCA MANDIRI UTAMA, PT</v>
      </c>
      <c r="G206" s="24" t="str">
        <f>INDEX(Master_Data!$C$152:$L$864,D206,3)</f>
        <v>M</v>
      </c>
      <c r="H206" s="24">
        <f>INDEX(Master_Data!$C$152:$L$864,D206,1)</f>
        <v>6</v>
      </c>
      <c r="I206" s="24">
        <f>INDEX(Master_Data!$C$152:$L$864,D206,4)</f>
        <v>0</v>
      </c>
      <c r="J206" s="24">
        <f>INDEX(Master_Data!$C$152:$L$864,D206,5)</f>
        <v>0</v>
      </c>
      <c r="K206" s="137" t="str">
        <f>INDEX(Master_Data!$C$152:$L$864,D206,6)</f>
        <v>17-009/BKU-004/III/179</v>
      </c>
      <c r="L206" s="140" t="str">
        <f>INDEX(Master_Data!$C$152:$L$864,D206,7)</f>
        <v>011.001-17.53957950</v>
      </c>
      <c r="M206" s="140">
        <f>INDEX(Master_Data!$C$152:$L$864,D206,8)</f>
        <v>0</v>
      </c>
      <c r="N206" s="264"/>
      <c r="O206" s="245" t="e">
        <f t="shared" si="16"/>
        <v>#VALUE!</v>
      </c>
      <c r="Q206" s="169" t="str">
        <f t="shared" si="17"/>
        <v>HASTA PANCA MANDIRI UTAMA, PTAPR</v>
      </c>
    </row>
    <row r="207" spans="2:17" s="61" customFormat="1" ht="14.1" customHeight="1">
      <c r="B207" s="150"/>
      <c r="C207" s="268">
        <f>MATCH($B$193,INDEX(Master_Data!$B$152:$B$864,D206+1,1):'Master_Data'!$B$864,0)</f>
        <v>4</v>
      </c>
      <c r="D207" s="152">
        <f t="shared" si="18"/>
        <v>179</v>
      </c>
      <c r="E207" s="24">
        <v>15</v>
      </c>
      <c r="F207" s="22" t="str">
        <f>INDEX(Master_Data!$C$152:$L$864,D207,2)</f>
        <v>HASTA PANCA MANDIRI UTAMA, PT</v>
      </c>
      <c r="G207" s="24" t="str">
        <f>INDEX(Master_Data!$C$152:$L$864,D207,3)</f>
        <v>V</v>
      </c>
      <c r="H207" s="24">
        <f>INDEX(Master_Data!$C$152:$L$864,D207,1)</f>
        <v>4</v>
      </c>
      <c r="I207" s="24">
        <f>INDEX(Master_Data!$C$152:$L$864,D207,4)</f>
        <v>0</v>
      </c>
      <c r="J207" s="24">
        <f>INDEX(Master_Data!$C$152:$L$864,D207,5)</f>
        <v>0</v>
      </c>
      <c r="K207" s="137" t="str">
        <f>INDEX(Master_Data!$C$152:$L$864,D207,6)</f>
        <v>17-013/BKU-004/IV/179</v>
      </c>
      <c r="L207" s="140" t="str">
        <f>INDEX(Master_Data!$C$152:$L$864,D207,7)</f>
        <v>010.001-17.53958000</v>
      </c>
      <c r="M207" s="140">
        <f>INDEX(Master_Data!$C$152:$L$864,D207,8)</f>
        <v>0</v>
      </c>
      <c r="N207" s="264"/>
      <c r="O207" s="245" t="e">
        <f t="shared" si="16"/>
        <v>#VALUE!</v>
      </c>
      <c r="Q207" s="169" t="str">
        <f t="shared" si="17"/>
        <v>HASTA PANCA MANDIRI UTAMA, PTAPR</v>
      </c>
    </row>
    <row r="208" spans="2:17" s="61" customFormat="1" ht="14.1" customHeight="1">
      <c r="B208" s="150"/>
      <c r="C208" s="268">
        <f>MATCH($B$193,INDEX(Master_Data!$B$152:$B$864,D207+1,1):'Master_Data'!$B$864,0)</f>
        <v>1</v>
      </c>
      <c r="D208" s="152">
        <f t="shared" si="18"/>
        <v>180</v>
      </c>
      <c r="E208" s="56">
        <v>16</v>
      </c>
      <c r="F208" s="22" t="str">
        <f>INDEX(Master_Data!$C$152:$L$864,D208,2)</f>
        <v>HASTA PANCA MANDIRI UTAMA, PT</v>
      </c>
      <c r="G208" s="24" t="str">
        <f>INDEX(Master_Data!$C$152:$L$864,D208,3)</f>
        <v>V</v>
      </c>
      <c r="H208" s="24">
        <f>INDEX(Master_Data!$C$152:$L$864,D208,1)</f>
        <v>4</v>
      </c>
      <c r="I208" s="24">
        <f>INDEX(Master_Data!$C$152:$L$864,D208,4)</f>
        <v>0</v>
      </c>
      <c r="J208" s="24">
        <f>INDEX(Master_Data!$C$152:$L$864,D208,5)</f>
        <v>0</v>
      </c>
      <c r="K208" s="137" t="str">
        <f>INDEX(Master_Data!$C$152:$L$864,D208,6)</f>
        <v>17-014/BKU-004/IV/179</v>
      </c>
      <c r="L208" s="140" t="str">
        <f>INDEX(Master_Data!$C$152:$L$864,D208,7)</f>
        <v>010.001-17.53958001</v>
      </c>
      <c r="M208" s="140">
        <f>INDEX(Master_Data!$C$152:$L$864,D208,8)</f>
        <v>0</v>
      </c>
      <c r="N208" s="264"/>
      <c r="O208" s="245" t="e">
        <f t="shared" si="16"/>
        <v>#VALUE!</v>
      </c>
      <c r="Q208" s="169" t="str">
        <f t="shared" si="17"/>
        <v>HASTA PANCA MANDIRI UTAMA, PTAPR</v>
      </c>
    </row>
    <row r="209" spans="2:17" s="61" customFormat="1" ht="14.1" customHeight="1">
      <c r="B209" s="150"/>
      <c r="C209" s="268">
        <f>MATCH($B$193,INDEX(Master_Data!$B$152:$B$864,D208+1,1):'Master_Data'!$B$864,0)</f>
        <v>1</v>
      </c>
      <c r="D209" s="152">
        <f t="shared" si="18"/>
        <v>181</v>
      </c>
      <c r="E209" s="24">
        <v>17</v>
      </c>
      <c r="F209" s="22" t="str">
        <f>INDEX(Master_Data!$C$152:$L$864,D209,2)</f>
        <v>HASTA PANCA MANDIRI UTAMA, PT</v>
      </c>
      <c r="G209" s="24" t="str">
        <f>INDEX(Master_Data!$C$152:$L$864,D209,3)</f>
        <v>V</v>
      </c>
      <c r="H209" s="24">
        <f>INDEX(Master_Data!$C$152:$L$864,D209,1)</f>
        <v>4</v>
      </c>
      <c r="I209" s="24">
        <f>INDEX(Master_Data!$C$152:$L$864,D209,4)</f>
        <v>0</v>
      </c>
      <c r="J209" s="24">
        <f>INDEX(Master_Data!$C$152:$L$864,D209,5)</f>
        <v>0</v>
      </c>
      <c r="K209" s="137" t="str">
        <f>INDEX(Master_Data!$C$152:$L$864,D209,6)</f>
        <v>17-015/BKU-004/IV/179</v>
      </c>
      <c r="L209" s="140" t="str">
        <f>INDEX(Master_Data!$C$152:$L$864,D209,7)</f>
        <v>010.001-17.53958002</v>
      </c>
      <c r="M209" s="140">
        <f>INDEX(Master_Data!$C$152:$L$864,D209,8)</f>
        <v>0</v>
      </c>
      <c r="N209" s="264"/>
      <c r="O209" s="245" t="e">
        <f t="shared" si="16"/>
        <v>#VALUE!</v>
      </c>
      <c r="Q209" s="169" t="str">
        <f t="shared" si="17"/>
        <v>HASTA PANCA MANDIRI UTAMA, PTAPR</v>
      </c>
    </row>
    <row r="210" spans="2:17" s="61" customFormat="1" ht="14.1" customHeight="1">
      <c r="B210" s="150"/>
      <c r="C210" s="268">
        <f>MATCH($B$193,INDEX(Master_Data!$B$152:$B$864,D209+1,1):'Master_Data'!$B$864,0)</f>
        <v>1</v>
      </c>
      <c r="D210" s="152">
        <f t="shared" si="18"/>
        <v>182</v>
      </c>
      <c r="E210" s="56">
        <v>18</v>
      </c>
      <c r="F210" s="22" t="str">
        <f>INDEX(Master_Data!$C$152:$L$864,D210,2)</f>
        <v>HASTA PANCA MANDIRI UTAMA, PT</v>
      </c>
      <c r="G210" s="24" t="str">
        <f>INDEX(Master_Data!$C$152:$L$864,D210,3)</f>
        <v>V</v>
      </c>
      <c r="H210" s="24">
        <f>INDEX(Master_Data!$C$152:$L$864,D210,1)</f>
        <v>4</v>
      </c>
      <c r="I210" s="24">
        <f>INDEX(Master_Data!$C$152:$L$864,D210,4)</f>
        <v>0</v>
      </c>
      <c r="J210" s="24">
        <f>INDEX(Master_Data!$C$152:$L$864,D210,5)</f>
        <v>0</v>
      </c>
      <c r="K210" s="137" t="str">
        <f>INDEX(Master_Data!$C$152:$L$864,D210,6)</f>
        <v>17-016/BKU-004/IV/179</v>
      </c>
      <c r="L210" s="140" t="str">
        <f>INDEX(Master_Data!$C$152:$L$864,D210,7)</f>
        <v>010.001-17.53958003</v>
      </c>
      <c r="M210" s="140">
        <f>INDEX(Master_Data!$C$152:$L$864,D210,8)</f>
        <v>0</v>
      </c>
      <c r="N210" s="264"/>
      <c r="O210" s="245" t="e">
        <f t="shared" si="16"/>
        <v>#VALUE!</v>
      </c>
      <c r="Q210" s="169" t="str">
        <f t="shared" si="17"/>
        <v>HASTA PANCA MANDIRI UTAMA, PTAPR</v>
      </c>
    </row>
    <row r="211" spans="2:17" s="61" customFormat="1" ht="14.1" customHeight="1">
      <c r="B211" s="150"/>
      <c r="C211" s="268">
        <f>MATCH($B$193,INDEX(Master_Data!$B$152:$B$864,D210+1,1):'Master_Data'!$B$864,0)</f>
        <v>38</v>
      </c>
      <c r="D211" s="152">
        <f t="shared" si="18"/>
        <v>220</v>
      </c>
      <c r="E211" s="24">
        <v>19</v>
      </c>
      <c r="F211" s="22" t="str">
        <f>INDEX(Master_Data!$C$152:$L$864,D211,2)</f>
        <v>HUTAN KETAPANG INDUSTRI, PT</v>
      </c>
      <c r="G211" s="24" t="str">
        <f>INDEX(Master_Data!$C$152:$L$864,D211,3)</f>
        <v>V</v>
      </c>
      <c r="H211" s="24">
        <f>INDEX(Master_Data!$C$152:$L$864,D211,1)</f>
        <v>3</v>
      </c>
      <c r="I211" s="24">
        <f>INDEX(Master_Data!$C$152:$L$864,D211,4)</f>
        <v>0</v>
      </c>
      <c r="J211" s="24">
        <f>INDEX(Master_Data!$C$152:$L$864,D211,5)</f>
        <v>0</v>
      </c>
      <c r="K211" s="137" t="str">
        <f>INDEX(Master_Data!$C$152:$L$864,D211,6)</f>
        <v>17-013/BKU-004/IV/204</v>
      </c>
      <c r="L211" s="140" t="str">
        <f>INDEX(Master_Data!$C$152:$L$864,D211,7)</f>
        <v>010.001-17.53957993</v>
      </c>
      <c r="M211" s="140">
        <f>INDEX(Master_Data!$C$152:$L$864,D211,8)</f>
        <v>0</v>
      </c>
      <c r="N211" s="264"/>
      <c r="O211" s="245" t="e">
        <f t="shared" si="16"/>
        <v>#VALUE!</v>
      </c>
      <c r="Q211" s="169" t="str">
        <f t="shared" si="17"/>
        <v>HUTAN KETAPANG INDUSTRI, PTAPR</v>
      </c>
    </row>
    <row r="212" spans="2:17" s="61" customFormat="1" ht="14.1" customHeight="1">
      <c r="B212" s="150"/>
      <c r="C212" s="268">
        <f>MATCH($B$193,INDEX(Master_Data!$B$152:$B$864,D211+1,1):'Master_Data'!$B$864,0)</f>
        <v>1</v>
      </c>
      <c r="D212" s="152">
        <f t="shared" si="18"/>
        <v>221</v>
      </c>
      <c r="E212" s="56">
        <v>20</v>
      </c>
      <c r="F212" s="22" t="str">
        <f>INDEX(Master_Data!$C$152:$L$864,D212,2)</f>
        <v>HUTAN KETAPANG INDUSTRI, PT</v>
      </c>
      <c r="G212" s="24" t="str">
        <f>INDEX(Master_Data!$C$152:$L$864,D212,3)</f>
        <v>V</v>
      </c>
      <c r="H212" s="24">
        <f>INDEX(Master_Data!$C$152:$L$864,D212,1)</f>
        <v>3</v>
      </c>
      <c r="I212" s="24">
        <f>INDEX(Master_Data!$C$152:$L$864,D212,4)</f>
        <v>0</v>
      </c>
      <c r="J212" s="24">
        <f>INDEX(Master_Data!$C$152:$L$864,D212,5)</f>
        <v>0</v>
      </c>
      <c r="K212" s="137" t="str">
        <f>INDEX(Master_Data!$C$152:$L$864,D212,6)</f>
        <v>17-014/BKU-004/IV/204</v>
      </c>
      <c r="L212" s="140" t="str">
        <f>INDEX(Master_Data!$C$152:$L$864,D212,7)</f>
        <v>010.001-17.53957992</v>
      </c>
      <c r="M212" s="140">
        <f>INDEX(Master_Data!$C$152:$L$864,D212,8)</f>
        <v>0</v>
      </c>
      <c r="N212" s="264"/>
      <c r="O212" s="245" t="e">
        <f t="shared" si="16"/>
        <v>#VALUE!</v>
      </c>
      <c r="Q212" s="169" t="str">
        <f t="shared" si="17"/>
        <v>HUTAN KETAPANG INDUSTRI, PTAPR</v>
      </c>
    </row>
    <row r="213" spans="2:17" s="61" customFormat="1" ht="14.1" customHeight="1">
      <c r="B213" s="150"/>
      <c r="C213" s="268">
        <f>MATCH($B$193,INDEX(Master_Data!$B$152:$B$864,D212+1,1):'Master_Data'!$B$864,0)</f>
        <v>1</v>
      </c>
      <c r="D213" s="152">
        <f t="shared" si="18"/>
        <v>222</v>
      </c>
      <c r="E213" s="24">
        <v>21</v>
      </c>
      <c r="F213" s="22" t="str">
        <f>INDEX(Master_Data!$C$152:$L$864,D213,2)</f>
        <v>HUTAN KETAPANG INDUSTRI, PT</v>
      </c>
      <c r="G213" s="24" t="str">
        <f>INDEX(Master_Data!$C$152:$L$864,D213,3)</f>
        <v>V</v>
      </c>
      <c r="H213" s="24">
        <f>INDEX(Master_Data!$C$152:$L$864,D213,1)</f>
        <v>3</v>
      </c>
      <c r="I213" s="24">
        <f>INDEX(Master_Data!$C$152:$L$864,D213,4)</f>
        <v>0</v>
      </c>
      <c r="J213" s="24">
        <f>INDEX(Master_Data!$C$152:$L$864,D213,5)</f>
        <v>0</v>
      </c>
      <c r="K213" s="137" t="str">
        <f>INDEX(Master_Data!$C$152:$L$864,D213,6)</f>
        <v>17-015/BKU-004/IV/204</v>
      </c>
      <c r="L213" s="140" t="str">
        <f>INDEX(Master_Data!$C$152:$L$864,D213,7)</f>
        <v>010.001-17.53957991</v>
      </c>
      <c r="M213" s="140">
        <f>INDEX(Master_Data!$C$152:$L$864,D213,8)</f>
        <v>0</v>
      </c>
      <c r="N213" s="264"/>
      <c r="O213" s="245" t="e">
        <f t="shared" si="16"/>
        <v>#VALUE!</v>
      </c>
      <c r="Q213" s="169" t="str">
        <f t="shared" si="17"/>
        <v>HUTAN KETAPANG INDUSTRI, PTAPR</v>
      </c>
    </row>
    <row r="214" spans="2:17" s="61" customFormat="1" ht="14.1" customHeight="1">
      <c r="B214" s="150"/>
      <c r="C214" s="268">
        <f>MATCH($B$193,INDEX(Master_Data!$B$152:$B$864,D213+1,1):'Master_Data'!$B$864,0)</f>
        <v>1</v>
      </c>
      <c r="D214" s="152">
        <f t="shared" si="18"/>
        <v>223</v>
      </c>
      <c r="E214" s="56">
        <v>22</v>
      </c>
      <c r="F214" s="22" t="str">
        <f>INDEX(Master_Data!$C$152:$L$864,D214,2)</f>
        <v>HUTAN KETAPANG INDUSTRI, PT</v>
      </c>
      <c r="G214" s="24" t="str">
        <f>INDEX(Master_Data!$C$152:$L$864,D214,3)</f>
        <v>V</v>
      </c>
      <c r="H214" s="24">
        <f>INDEX(Master_Data!$C$152:$L$864,D214,1)</f>
        <v>3</v>
      </c>
      <c r="I214" s="24">
        <f>INDEX(Master_Data!$C$152:$L$864,D214,4)</f>
        <v>0</v>
      </c>
      <c r="J214" s="24">
        <f>INDEX(Master_Data!$C$152:$L$864,D214,5)</f>
        <v>0</v>
      </c>
      <c r="K214" s="137" t="str">
        <f>INDEX(Master_Data!$C$152:$L$864,D214,6)</f>
        <v>17-016/BKU-004/IV/204</v>
      </c>
      <c r="L214" s="140" t="str">
        <f>INDEX(Master_Data!$C$152:$L$864,D214,7)</f>
        <v>010.001-17.53957990</v>
      </c>
      <c r="M214" s="140">
        <f>INDEX(Master_Data!$C$152:$L$864,D214,8)</f>
        <v>0</v>
      </c>
      <c r="N214" s="264"/>
      <c r="O214" s="245" t="e">
        <f t="shared" si="16"/>
        <v>#VALUE!</v>
      </c>
      <c r="Q214" s="169" t="str">
        <f t="shared" si="17"/>
        <v>HUTAN KETAPANG INDUSTRI, PTAPR</v>
      </c>
    </row>
    <row r="215" spans="2:17" s="61" customFormat="1" ht="14.1" customHeight="1">
      <c r="B215" s="150"/>
      <c r="C215" s="268">
        <f>MATCH($B$193,INDEX(Master_Data!$B$152:$B$864,D214+1,1):'Master_Data'!$B$864,0)</f>
        <v>36</v>
      </c>
      <c r="D215" s="152">
        <f t="shared" si="18"/>
        <v>259</v>
      </c>
      <c r="E215" s="24">
        <v>23</v>
      </c>
      <c r="F215" s="22" t="str">
        <f>INDEX(Master_Data!$C$152:$L$864,D215,2)</f>
        <v>HUTCHISON 3 INDONESIA, PT</v>
      </c>
      <c r="G215" s="24" t="str">
        <f>INDEX(Master_Data!$C$152:$L$864,D215,3)</f>
        <v>R</v>
      </c>
      <c r="H215" s="24">
        <f>INDEX(Master_Data!$C$152:$L$864,D215,1)</f>
        <v>17</v>
      </c>
      <c r="I215" s="24">
        <f>INDEX(Master_Data!$C$152:$L$864,D215,4)</f>
        <v>0</v>
      </c>
      <c r="J215" s="24">
        <f>INDEX(Master_Data!$C$152:$L$864,D215,5)</f>
        <v>0</v>
      </c>
      <c r="K215" s="137" t="str">
        <f>INDEX(Master_Data!$C$152:$L$864,D215,6)</f>
        <v>17-001/BKU-004/IV/249</v>
      </c>
      <c r="L215" s="140" t="str">
        <f>INDEX(Master_Data!$C$152:$L$864,D215,7)</f>
        <v>011.018-17.04159573</v>
      </c>
      <c r="M215" s="140">
        <f>INDEX(Master_Data!$C$152:$L$864,D215,8)</f>
        <v>0</v>
      </c>
      <c r="N215" s="264"/>
      <c r="O215" s="245" t="e">
        <f t="shared" si="16"/>
        <v>#VALUE!</v>
      </c>
      <c r="Q215" s="169" t="str">
        <f t="shared" si="17"/>
        <v>HUTCHISON 3 INDONESIA, PTAPR</v>
      </c>
    </row>
    <row r="216" spans="2:17" s="61" customFormat="1" ht="14.1" customHeight="1">
      <c r="B216" s="150"/>
      <c r="C216" s="268">
        <f>MATCH($B$193,INDEX(Master_Data!$B$152:$B$864,D215+1,1):'Master_Data'!$B$864,0)</f>
        <v>8</v>
      </c>
      <c r="D216" s="152">
        <f t="shared" si="18"/>
        <v>267</v>
      </c>
      <c r="E216" s="56">
        <v>24</v>
      </c>
      <c r="F216" s="22" t="str">
        <f>INDEX(Master_Data!$C$152:$L$864,D216,2)</f>
        <v>KALIMANTAN PRIMA PERSADA, PT</v>
      </c>
      <c r="G216" s="24" t="str">
        <f>INDEX(Master_Data!$C$152:$L$864,D216,3)</f>
        <v>W</v>
      </c>
      <c r="H216" s="24">
        <f>INDEX(Master_Data!$C$152:$L$864,D216,1)</f>
        <v>18</v>
      </c>
      <c r="I216" s="24">
        <f>INDEX(Master_Data!$C$152:$L$864,D216,4)</f>
        <v>0</v>
      </c>
      <c r="J216" s="24">
        <f>INDEX(Master_Data!$C$152:$L$864,D216,5)</f>
        <v>0</v>
      </c>
      <c r="K216" s="137" t="str">
        <f>INDEX(Master_Data!$C$152:$L$864,D216,6)</f>
        <v>17-007/BKU-004/IV/208</v>
      </c>
      <c r="L216" s="140" t="str">
        <f>INDEX(Master_Data!$C$152:$L$864,D216,7)</f>
        <v>011.001-17.53957980</v>
      </c>
      <c r="M216" s="140">
        <f>INDEX(Master_Data!$C$152:$L$864,D216,8)</f>
        <v>0</v>
      </c>
      <c r="N216" s="264"/>
      <c r="O216" s="245" t="e">
        <f t="shared" si="16"/>
        <v>#VALUE!</v>
      </c>
      <c r="Q216" s="169" t="str">
        <f t="shared" si="17"/>
        <v>KALIMANTAN PRIMA PERSADA, PTAPR</v>
      </c>
    </row>
    <row r="217" spans="2:17" s="61" customFormat="1" ht="14.1" customHeight="1">
      <c r="B217" s="150"/>
      <c r="C217" s="268">
        <f>MATCH($B$193,INDEX(Master_Data!$B$152:$B$864,D216+1,1):'Master_Data'!$B$864,0)</f>
        <v>19</v>
      </c>
      <c r="D217" s="152">
        <f t="shared" si="18"/>
        <v>286</v>
      </c>
      <c r="E217" s="24">
        <v>25</v>
      </c>
      <c r="F217" s="22" t="str">
        <f>INDEX(Master_Data!$C$152:$L$864,D217,2)</f>
        <v>KUSUMA MENTARI MAKMUR, PT</v>
      </c>
      <c r="G217" s="24" t="str">
        <f>INDEX(Master_Data!$C$152:$L$864,D217,3)</f>
        <v>V</v>
      </c>
      <c r="H217" s="24">
        <f>INDEX(Master_Data!$C$152:$L$864,D217,1)</f>
        <v>3</v>
      </c>
      <c r="I217" s="24">
        <f>INDEX(Master_Data!$C$152:$L$864,D217,4)</f>
        <v>0</v>
      </c>
      <c r="J217" s="24">
        <f>INDEX(Master_Data!$C$152:$L$864,D217,5)</f>
        <v>0</v>
      </c>
      <c r="K217" s="137" t="str">
        <f>INDEX(Master_Data!$C$152:$L$864,D217,6)</f>
        <v>17-004/BKU-004/IV/224</v>
      </c>
      <c r="L217" s="140" t="str">
        <f>INDEX(Master_Data!$C$152:$L$864,D217,7)</f>
        <v>010.001-17.53957994</v>
      </c>
      <c r="M217" s="140">
        <f>INDEX(Master_Data!$C$152:$L$864,D217,8)</f>
        <v>0</v>
      </c>
      <c r="N217" s="264"/>
      <c r="O217" s="245" t="e">
        <f t="shared" si="16"/>
        <v>#VALUE!</v>
      </c>
      <c r="Q217" s="169" t="str">
        <f t="shared" si="17"/>
        <v>KUSUMA MENTARI MAKMUR, PTAPR</v>
      </c>
    </row>
    <row r="218" spans="2:17" s="61" customFormat="1" ht="14.1" customHeight="1">
      <c r="B218" s="150"/>
      <c r="C218" s="268">
        <f>MATCH($B$193,INDEX(Master_Data!$B$152:$B$864,D217+1,1):'Master_Data'!$B$864,0)</f>
        <v>17</v>
      </c>
      <c r="D218" s="152">
        <f t="shared" si="18"/>
        <v>303</v>
      </c>
      <c r="E218" s="56">
        <v>26</v>
      </c>
      <c r="F218" s="22" t="str">
        <f>INDEX(Master_Data!$C$152:$L$864,D218,2)</f>
        <v>LANANG AGRO BERSATU, PT</v>
      </c>
      <c r="G218" s="24" t="str">
        <f>INDEX(Master_Data!$C$152:$L$864,D218,3)</f>
        <v>V</v>
      </c>
      <c r="H218" s="24">
        <f>INDEX(Master_Data!$C$152:$L$864,D218,1)</f>
        <v>3</v>
      </c>
      <c r="I218" s="24">
        <f>INDEX(Master_Data!$C$152:$L$864,D218,4)</f>
        <v>0</v>
      </c>
      <c r="J218" s="24">
        <f>INDEX(Master_Data!$C$152:$L$864,D218,5)</f>
        <v>0</v>
      </c>
      <c r="K218" s="137" t="str">
        <f>INDEX(Master_Data!$C$152:$L$864,D218,6)</f>
        <v>17-007/BKU-004/IV/210</v>
      </c>
      <c r="L218" s="140" t="str">
        <f>INDEX(Master_Data!$C$152:$L$864,D218,7)</f>
        <v>010.001-17.53957995</v>
      </c>
      <c r="M218" s="140">
        <f>INDEX(Master_Data!$C$152:$L$864,D218,8)</f>
        <v>0</v>
      </c>
      <c r="N218" s="264"/>
      <c r="O218" s="245" t="e">
        <f t="shared" si="16"/>
        <v>#VALUE!</v>
      </c>
      <c r="Q218" s="169" t="str">
        <f t="shared" si="17"/>
        <v>LANANG AGRO BERSATU, PTAPR</v>
      </c>
    </row>
    <row r="219" spans="2:17" s="61" customFormat="1" ht="14.1" customHeight="1">
      <c r="B219" s="150"/>
      <c r="C219" s="268">
        <f>MATCH($B$193,INDEX(Master_Data!$B$152:$B$864,D218+1,1):'Master_Data'!$B$864,0)</f>
        <v>1</v>
      </c>
      <c r="D219" s="152">
        <f t="shared" si="18"/>
        <v>304</v>
      </c>
      <c r="E219" s="24">
        <v>27</v>
      </c>
      <c r="F219" s="22" t="str">
        <f>INDEX(Master_Data!$C$152:$L$864,D219,2)</f>
        <v>LANANG AGRO BERSATU, PT</v>
      </c>
      <c r="G219" s="24" t="str">
        <f>INDEX(Master_Data!$C$152:$L$864,D219,3)</f>
        <v>V</v>
      </c>
      <c r="H219" s="24">
        <f>INDEX(Master_Data!$C$152:$L$864,D219,1)</f>
        <v>3</v>
      </c>
      <c r="I219" s="24">
        <f>INDEX(Master_Data!$C$152:$L$864,D219,4)</f>
        <v>0</v>
      </c>
      <c r="J219" s="24">
        <f>INDEX(Master_Data!$C$152:$L$864,D219,5)</f>
        <v>0</v>
      </c>
      <c r="K219" s="137" t="str">
        <f>INDEX(Master_Data!$C$152:$L$864,D219,6)</f>
        <v>17-008/BKU-004/IV/210</v>
      </c>
      <c r="L219" s="140" t="str">
        <f>INDEX(Master_Data!$C$152:$L$864,D219,7)</f>
        <v>010.001-17.53957996</v>
      </c>
      <c r="M219" s="140">
        <f>INDEX(Master_Data!$C$152:$L$864,D219,8)</f>
        <v>0</v>
      </c>
      <c r="N219" s="264"/>
      <c r="O219" s="245" t="e">
        <f t="shared" si="16"/>
        <v>#VALUE!</v>
      </c>
      <c r="Q219" s="169" t="str">
        <f t="shared" si="17"/>
        <v>LANANG AGRO BERSATU, PTAPR</v>
      </c>
    </row>
    <row r="220" spans="2:17" s="61" customFormat="1" ht="14.1" customHeight="1">
      <c r="B220" s="150"/>
      <c r="C220" s="268">
        <f>MATCH($B$193,INDEX(Master_Data!$B$152:$B$864,D219+1,1):'Master_Data'!$B$864,0)</f>
        <v>39</v>
      </c>
      <c r="D220" s="152">
        <f t="shared" si="18"/>
        <v>343</v>
      </c>
      <c r="E220" s="56">
        <v>28</v>
      </c>
      <c r="F220" s="22" t="str">
        <f>INDEX(Master_Data!$C$152:$L$864,D220,2)</f>
        <v>MADHANI TALATAH NUSANTARA, PT</v>
      </c>
      <c r="G220" s="24" t="str">
        <f>INDEX(Master_Data!$C$152:$L$864,D220,3)</f>
        <v>V</v>
      </c>
      <c r="H220" s="24">
        <f>INDEX(Master_Data!$C$152:$L$864,D220,1)</f>
        <v>10</v>
      </c>
      <c r="I220" s="24">
        <f>INDEX(Master_Data!$C$152:$L$864,D220,4)</f>
        <v>0</v>
      </c>
      <c r="J220" s="24">
        <f>INDEX(Master_Data!$C$152:$L$864,D220,5)</f>
        <v>0</v>
      </c>
      <c r="K220" s="137" t="str">
        <f>INDEX(Master_Data!$C$152:$L$864,D220,6)</f>
        <v>17-023/BKU-004/IV/057</v>
      </c>
      <c r="L220" s="140" t="str">
        <f>INDEX(Master_Data!$C$152:$L$864,D220,7)</f>
        <v>010.018-17.04159562</v>
      </c>
      <c r="M220" s="140">
        <f>INDEX(Master_Data!$C$152:$L$864,D220,8)</f>
        <v>0</v>
      </c>
      <c r="N220" s="264"/>
      <c r="O220" s="245" t="e">
        <f t="shared" si="16"/>
        <v>#VALUE!</v>
      </c>
      <c r="Q220" s="169" t="str">
        <f t="shared" si="17"/>
        <v>MADHANI TALATAH NUSANTARA, PTAPR</v>
      </c>
    </row>
    <row r="221" spans="2:17" s="61" customFormat="1" ht="14.1" customHeight="1">
      <c r="B221" s="150"/>
      <c r="C221" s="268">
        <f>MATCH($B$193,INDEX(Master_Data!$B$152:$B$864,D220+1,1):'Master_Data'!$B$864,0)</f>
        <v>1</v>
      </c>
      <c r="D221" s="152">
        <f t="shared" si="18"/>
        <v>344</v>
      </c>
      <c r="E221" s="24">
        <v>29</v>
      </c>
      <c r="F221" s="22" t="str">
        <f>INDEX(Master_Data!$C$152:$L$864,D221,2)</f>
        <v>MADHANI TALATAH NUSANTARA, PT</v>
      </c>
      <c r="G221" s="24" t="str">
        <f>INDEX(Master_Data!$C$152:$L$864,D221,3)</f>
        <v>V</v>
      </c>
      <c r="H221" s="24">
        <f>INDEX(Master_Data!$C$152:$L$864,D221,1)</f>
        <v>10</v>
      </c>
      <c r="I221" s="24">
        <f>INDEX(Master_Data!$C$152:$L$864,D221,4)</f>
        <v>0</v>
      </c>
      <c r="J221" s="24">
        <f>INDEX(Master_Data!$C$152:$L$864,D221,5)</f>
        <v>0</v>
      </c>
      <c r="K221" s="137" t="str">
        <f>INDEX(Master_Data!$C$152:$L$864,D221,6)</f>
        <v>17-024/BKU-004/IV/057</v>
      </c>
      <c r="L221" s="140" t="str">
        <f>INDEX(Master_Data!$C$152:$L$864,D221,7)</f>
        <v>010.018-17.04159563</v>
      </c>
      <c r="M221" s="140">
        <f>INDEX(Master_Data!$C$152:$L$864,D221,8)</f>
        <v>0</v>
      </c>
      <c r="N221" s="264"/>
      <c r="O221" s="245" t="e">
        <f t="shared" si="16"/>
        <v>#VALUE!</v>
      </c>
      <c r="Q221" s="169" t="str">
        <f t="shared" si="17"/>
        <v>MADHANI TALATAH NUSANTARA, PTAPR</v>
      </c>
    </row>
    <row r="222" spans="2:17" s="61" customFormat="1" ht="14.1" customHeight="1">
      <c r="B222" s="150"/>
      <c r="C222" s="268">
        <f>MATCH($B$193,INDEX(Master_Data!$B$152:$B$864,D221+1,1):'Master_Data'!$B$864,0)</f>
        <v>1</v>
      </c>
      <c r="D222" s="152">
        <f t="shared" si="18"/>
        <v>345</v>
      </c>
      <c r="E222" s="56">
        <v>30</v>
      </c>
      <c r="F222" s="22" t="str">
        <f>INDEX(Master_Data!$C$152:$L$864,D222,2)</f>
        <v>MADHANI TALATAH NUSANTARA, PT</v>
      </c>
      <c r="G222" s="24" t="str">
        <f>INDEX(Master_Data!$C$152:$L$864,D222,3)</f>
        <v>V</v>
      </c>
      <c r="H222" s="24">
        <f>INDEX(Master_Data!$C$152:$L$864,D222,1)</f>
        <v>10</v>
      </c>
      <c r="I222" s="24">
        <f>INDEX(Master_Data!$C$152:$L$864,D222,4)</f>
        <v>0</v>
      </c>
      <c r="J222" s="24">
        <f>INDEX(Master_Data!$C$152:$L$864,D222,5)</f>
        <v>0</v>
      </c>
      <c r="K222" s="137" t="str">
        <f>INDEX(Master_Data!$C$152:$L$864,D222,6)</f>
        <v>17-025/BKU-004/IV/057</v>
      </c>
      <c r="L222" s="140" t="str">
        <f>INDEX(Master_Data!$C$152:$L$864,D222,7)</f>
        <v>010.018-17.04159564</v>
      </c>
      <c r="M222" s="140">
        <f>INDEX(Master_Data!$C$152:$L$864,D222,8)</f>
        <v>0</v>
      </c>
      <c r="N222" s="264"/>
      <c r="O222" s="245" t="e">
        <f t="shared" si="16"/>
        <v>#VALUE!</v>
      </c>
      <c r="Q222" s="169" t="str">
        <f t="shared" si="17"/>
        <v>MADHANI TALATAH NUSANTARA, PTAPR</v>
      </c>
    </row>
    <row r="223" spans="2:17" s="61" customFormat="1" ht="14.1" customHeight="1">
      <c r="B223" s="150"/>
      <c r="C223" s="268">
        <f>MATCH($B$193,INDEX(Master_Data!$B$152:$B$864,D222+1,1):'Master_Data'!$B$864,0)</f>
        <v>1</v>
      </c>
      <c r="D223" s="152">
        <f t="shared" si="18"/>
        <v>346</v>
      </c>
      <c r="E223" s="24">
        <v>31</v>
      </c>
      <c r="F223" s="22" t="str">
        <f>INDEX(Master_Data!$C$152:$L$864,D223,2)</f>
        <v>MADHANI TALATAH NUSANTARA, PT</v>
      </c>
      <c r="G223" s="24" t="str">
        <f>INDEX(Master_Data!$C$152:$L$864,D223,3)</f>
        <v>W</v>
      </c>
      <c r="H223" s="24">
        <f>INDEX(Master_Data!$C$152:$L$864,D223,1)</f>
        <v>10</v>
      </c>
      <c r="I223" s="24">
        <f>INDEX(Master_Data!$C$152:$L$864,D223,4)</f>
        <v>0</v>
      </c>
      <c r="J223" s="24">
        <f>INDEX(Master_Data!$C$152:$L$864,D223,5)</f>
        <v>0</v>
      </c>
      <c r="K223" s="137" t="str">
        <f>INDEX(Master_Data!$C$152:$L$864,D223,6)</f>
        <v>17-026/BKU-004/IV/057</v>
      </c>
      <c r="L223" s="140" t="str">
        <f>INDEX(Master_Data!$C$152:$L$864,D223,7)</f>
        <v>010.018-17.04159565</v>
      </c>
      <c r="M223" s="140">
        <f>INDEX(Master_Data!$C$152:$L$864,D223,8)</f>
        <v>0</v>
      </c>
      <c r="N223" s="264"/>
      <c r="O223" s="245" t="e">
        <f t="shared" si="16"/>
        <v>#VALUE!</v>
      </c>
      <c r="Q223" s="169" t="str">
        <f t="shared" si="17"/>
        <v>MADHANI TALATAH NUSANTARA, PTAPR</v>
      </c>
    </row>
    <row r="224" spans="2:17" s="61" customFormat="1" ht="14.1" customHeight="1">
      <c r="B224" s="150"/>
      <c r="C224" s="268">
        <f>MATCH($B$193,INDEX(Master_Data!$B$152:$B$864,D223+1,1):'Master_Data'!$B$864,0)</f>
        <v>1</v>
      </c>
      <c r="D224" s="152">
        <f t="shared" si="18"/>
        <v>347</v>
      </c>
      <c r="E224" s="56">
        <v>32</v>
      </c>
      <c r="F224" s="22" t="str">
        <f>INDEX(Master_Data!$C$152:$L$864,D224,2)</f>
        <v>MADHANI TALATAH NUSANTARA, PT</v>
      </c>
      <c r="G224" s="24" t="str">
        <f>INDEX(Master_Data!$C$152:$L$864,D224,3)</f>
        <v>W</v>
      </c>
      <c r="H224" s="24">
        <f>INDEX(Master_Data!$C$152:$L$864,D224,1)</f>
        <v>10</v>
      </c>
      <c r="I224" s="24">
        <f>INDEX(Master_Data!$C$152:$L$864,D224,4)</f>
        <v>0</v>
      </c>
      <c r="J224" s="24">
        <f>INDEX(Master_Data!$C$152:$L$864,D224,5)</f>
        <v>0</v>
      </c>
      <c r="K224" s="137" t="str">
        <f>INDEX(Master_Data!$C$152:$L$864,D224,6)</f>
        <v>17-027/BKU-004/IV/057</v>
      </c>
      <c r="L224" s="140" t="str">
        <f>INDEX(Master_Data!$C$152:$L$864,D224,7)</f>
        <v>010.018-17.04159566</v>
      </c>
      <c r="M224" s="140">
        <f>INDEX(Master_Data!$C$152:$L$864,D224,8)</f>
        <v>0</v>
      </c>
      <c r="N224" s="264"/>
      <c r="O224" s="245" t="e">
        <f t="shared" si="16"/>
        <v>#VALUE!</v>
      </c>
      <c r="Q224" s="169" t="str">
        <f t="shared" si="17"/>
        <v>MADHANI TALATAH NUSANTARA, PTAPR</v>
      </c>
    </row>
    <row r="225" spans="2:17" s="61" customFormat="1" ht="14.1" customHeight="1">
      <c r="B225" s="150"/>
      <c r="C225" s="268">
        <f>MATCH($B$193,INDEX(Master_Data!$B$152:$B$864,D224+1,1):'Master_Data'!$B$864,0)</f>
        <v>1</v>
      </c>
      <c r="D225" s="152">
        <f t="shared" si="18"/>
        <v>348</v>
      </c>
      <c r="E225" s="24">
        <v>33</v>
      </c>
      <c r="F225" s="22" t="str">
        <f>INDEX(Master_Data!$C$152:$L$864,D225,2)</f>
        <v>MADHANI TALATAH NUSANTARA, PT</v>
      </c>
      <c r="G225" s="24" t="str">
        <f>INDEX(Master_Data!$C$152:$L$864,D225,3)</f>
        <v>W</v>
      </c>
      <c r="H225" s="24">
        <f>INDEX(Master_Data!$C$152:$L$864,D225,1)</f>
        <v>10</v>
      </c>
      <c r="I225" s="24">
        <f>INDEX(Master_Data!$C$152:$L$864,D225,4)</f>
        <v>0</v>
      </c>
      <c r="J225" s="24">
        <f>INDEX(Master_Data!$C$152:$L$864,D225,5)</f>
        <v>0</v>
      </c>
      <c r="K225" s="137" t="str">
        <f>INDEX(Master_Data!$C$152:$L$864,D225,6)</f>
        <v>17-028/BKU-004/IV/057</v>
      </c>
      <c r="L225" s="140" t="str">
        <f>INDEX(Master_Data!$C$152:$L$864,D225,7)</f>
        <v>010.018-17.04159567</v>
      </c>
      <c r="M225" s="140">
        <f>INDEX(Master_Data!$C$152:$L$864,D225,8)</f>
        <v>0</v>
      </c>
      <c r="N225" s="264"/>
      <c r="O225" s="245" t="e">
        <f t="shared" si="16"/>
        <v>#VALUE!</v>
      </c>
      <c r="Q225" s="169" t="str">
        <f t="shared" si="17"/>
        <v>MADHANI TALATAH NUSANTARA, PTAPR</v>
      </c>
    </row>
    <row r="226" spans="2:17" s="61" customFormat="1" ht="14.1" customHeight="1">
      <c r="B226" s="150"/>
      <c r="C226" s="268">
        <f>MATCH($B$193,INDEX(Master_Data!$B$152:$B$864,D225+1,1):'Master_Data'!$B$864,0)</f>
        <v>1</v>
      </c>
      <c r="D226" s="152">
        <f t="shared" si="18"/>
        <v>349</v>
      </c>
      <c r="E226" s="56">
        <v>34</v>
      </c>
      <c r="F226" s="22" t="str">
        <f>INDEX(Master_Data!$C$152:$L$864,D226,2)</f>
        <v>MADHANI TALATAH NUSANTARA, PT</v>
      </c>
      <c r="G226" s="24" t="str">
        <f>INDEX(Master_Data!$C$152:$L$864,D226,3)</f>
        <v>W</v>
      </c>
      <c r="H226" s="24">
        <f>INDEX(Master_Data!$C$152:$L$864,D226,1)</f>
        <v>10</v>
      </c>
      <c r="I226" s="24">
        <f>INDEX(Master_Data!$C$152:$L$864,D226,4)</f>
        <v>0</v>
      </c>
      <c r="J226" s="24">
        <f>INDEX(Master_Data!$C$152:$L$864,D226,5)</f>
        <v>0</v>
      </c>
      <c r="K226" s="137" t="str">
        <f>INDEX(Master_Data!$C$152:$L$864,D226,6)</f>
        <v>17-029/BKU-004/IV/057</v>
      </c>
      <c r="L226" s="140" t="str">
        <f>INDEX(Master_Data!$C$152:$L$864,D226,7)</f>
        <v>010.018-17.04159568</v>
      </c>
      <c r="M226" s="140">
        <f>INDEX(Master_Data!$C$152:$L$864,D226,8)</f>
        <v>0</v>
      </c>
      <c r="N226" s="264"/>
      <c r="O226" s="245" t="e">
        <f t="shared" si="16"/>
        <v>#VALUE!</v>
      </c>
      <c r="Q226" s="169" t="str">
        <f t="shared" si="17"/>
        <v>MADHANI TALATAH NUSANTARA, PTAPR</v>
      </c>
    </row>
    <row r="227" spans="2:17" s="61" customFormat="1" ht="14.1" customHeight="1">
      <c r="B227" s="150"/>
      <c r="C227" s="268">
        <f>MATCH($B$193,INDEX(Master_Data!$B$152:$B$864,D226+1,1):'Master_Data'!$B$864,0)</f>
        <v>1</v>
      </c>
      <c r="D227" s="152">
        <f t="shared" si="18"/>
        <v>350</v>
      </c>
      <c r="E227" s="24">
        <v>35</v>
      </c>
      <c r="F227" s="22" t="str">
        <f>INDEX(Master_Data!$C$152:$L$864,D227,2)</f>
        <v>MADHANI TALATAH NUSANTARA, PT</v>
      </c>
      <c r="G227" s="24" t="str">
        <f>INDEX(Master_Data!$C$152:$L$864,D227,3)</f>
        <v>W &amp; G</v>
      </c>
      <c r="H227" s="24">
        <f>INDEX(Master_Data!$C$152:$L$864,D227,1)</f>
        <v>10</v>
      </c>
      <c r="I227" s="24">
        <f>INDEX(Master_Data!$C$152:$L$864,D227,4)</f>
        <v>0</v>
      </c>
      <c r="J227" s="24">
        <f>INDEX(Master_Data!$C$152:$L$864,D227,5)</f>
        <v>0</v>
      </c>
      <c r="K227" s="137" t="str">
        <f>INDEX(Master_Data!$C$152:$L$864,D227,6)</f>
        <v>17-030/BKU-004/IV/057</v>
      </c>
      <c r="L227" s="140" t="str">
        <f>INDEX(Master_Data!$C$152:$L$864,D227,7)</f>
        <v>010.018-17.04159569</v>
      </c>
      <c r="M227" s="140">
        <f>INDEX(Master_Data!$C$152:$L$864,D227,8)</f>
        <v>0</v>
      </c>
      <c r="N227" s="264"/>
      <c r="O227" s="245" t="e">
        <f t="shared" si="16"/>
        <v>#VALUE!</v>
      </c>
      <c r="Q227" s="169" t="str">
        <f t="shared" si="17"/>
        <v>MADHANI TALATAH NUSANTARA, PTAPR</v>
      </c>
    </row>
    <row r="228" spans="2:17" s="61" customFormat="1" ht="14.1" customHeight="1">
      <c r="B228" s="150"/>
      <c r="C228" s="268">
        <f>MATCH($B$193,INDEX(Master_Data!$B$152:$B$864,D227+1,1):'Master_Data'!$B$864,0)</f>
        <v>1</v>
      </c>
      <c r="D228" s="152">
        <f t="shared" si="18"/>
        <v>351</v>
      </c>
      <c r="E228" s="56">
        <v>36</v>
      </c>
      <c r="F228" s="22" t="str">
        <f>INDEX(Master_Data!$C$152:$L$864,D228,2)</f>
        <v>MADHANI TALATAH NUSANTARA, PT</v>
      </c>
      <c r="G228" s="24" t="str">
        <f>INDEX(Master_Data!$C$152:$L$864,D228,3)</f>
        <v>I</v>
      </c>
      <c r="H228" s="24">
        <f>INDEX(Master_Data!$C$152:$L$864,D228,1)</f>
        <v>10</v>
      </c>
      <c r="I228" s="24">
        <f>INDEX(Master_Data!$C$152:$L$864,D228,4)</f>
        <v>0</v>
      </c>
      <c r="J228" s="24">
        <f>INDEX(Master_Data!$C$152:$L$864,D228,5)</f>
        <v>0</v>
      </c>
      <c r="K228" s="137" t="str">
        <f>INDEX(Master_Data!$C$152:$L$864,D228,6)</f>
        <v>17-031/BKU-004/IV/057</v>
      </c>
      <c r="L228" s="140" t="str">
        <f>INDEX(Master_Data!$C$152:$L$864,D228,7)</f>
        <v>010.018-17.04159570</v>
      </c>
      <c r="M228" s="140">
        <f>INDEX(Master_Data!$C$152:$L$864,D228,8)</f>
        <v>0</v>
      </c>
      <c r="N228" s="264"/>
      <c r="O228" s="245" t="e">
        <f t="shared" si="16"/>
        <v>#VALUE!</v>
      </c>
      <c r="Q228" s="169" t="str">
        <f t="shared" si="17"/>
        <v>MADHANI TALATAH NUSANTARA, PTAPR</v>
      </c>
    </row>
    <row r="229" spans="2:17" s="61" customFormat="1" ht="14.1" customHeight="1">
      <c r="B229" s="150"/>
      <c r="C229" s="268">
        <f>MATCH($B$193,INDEX(Master_Data!$B$152:$B$864,D228+1,1):'Master_Data'!$B$864,0)</f>
        <v>1</v>
      </c>
      <c r="D229" s="152">
        <f t="shared" si="18"/>
        <v>352</v>
      </c>
      <c r="E229" s="24">
        <v>37</v>
      </c>
      <c r="F229" s="22" t="str">
        <f>INDEX(Master_Data!$C$152:$L$864,D229,2)</f>
        <v>MADHANI TALATAH NUSANTARA, PT</v>
      </c>
      <c r="G229" s="24" t="str">
        <f>INDEX(Master_Data!$C$152:$L$864,D229,3)</f>
        <v>V</v>
      </c>
      <c r="H229" s="24">
        <f>INDEX(Master_Data!$C$152:$L$864,D229,1)</f>
        <v>10</v>
      </c>
      <c r="I229" s="24">
        <f>INDEX(Master_Data!$C$152:$L$864,D229,4)</f>
        <v>0</v>
      </c>
      <c r="J229" s="24">
        <f>INDEX(Master_Data!$C$152:$L$864,D229,5)</f>
        <v>0</v>
      </c>
      <c r="K229" s="137" t="str">
        <f>INDEX(Master_Data!$C$152:$L$864,D229,6)</f>
        <v>17-032/BKU-004/IV/057</v>
      </c>
      <c r="L229" s="140" t="str">
        <f>INDEX(Master_Data!$C$152:$L$864,D229,7)</f>
        <v>010.018-17.04159571</v>
      </c>
      <c r="M229" s="140">
        <f>INDEX(Master_Data!$C$152:$L$864,D229,8)</f>
        <v>0</v>
      </c>
      <c r="N229" s="264"/>
      <c r="O229" s="245" t="e">
        <f t="shared" si="16"/>
        <v>#VALUE!</v>
      </c>
      <c r="Q229" s="169" t="str">
        <f t="shared" si="17"/>
        <v>MADHANI TALATAH NUSANTARA, PTAPR</v>
      </c>
    </row>
    <row r="230" spans="2:17" s="61" customFormat="1" ht="14.1" customHeight="1">
      <c r="B230" s="150"/>
      <c r="C230" s="268">
        <f>MATCH($B$193,INDEX(Master_Data!$B$152:$B$864,D229+1,1):'Master_Data'!$B$864,0)</f>
        <v>1</v>
      </c>
      <c r="D230" s="152">
        <f t="shared" si="18"/>
        <v>353</v>
      </c>
      <c r="E230" s="56">
        <v>38</v>
      </c>
      <c r="F230" s="22" t="str">
        <f>INDEX(Master_Data!$C$152:$L$864,D230,2)</f>
        <v>MADHANI TALATAH NUSANTARA, PT</v>
      </c>
      <c r="G230" s="24" t="str">
        <f>INDEX(Master_Data!$C$152:$L$864,D230,3)</f>
        <v>L</v>
      </c>
      <c r="H230" s="24">
        <f>INDEX(Master_Data!$C$152:$L$864,D230,1)</f>
        <v>10</v>
      </c>
      <c r="I230" s="24">
        <f>INDEX(Master_Data!$C$152:$L$864,D230,4)</f>
        <v>0</v>
      </c>
      <c r="J230" s="24">
        <f>INDEX(Master_Data!$C$152:$L$864,D230,5)</f>
        <v>0</v>
      </c>
      <c r="K230" s="137" t="str">
        <f>INDEX(Master_Data!$C$152:$L$864,D230,6)</f>
        <v>17-033/BKU-004/IV/057</v>
      </c>
      <c r="L230" s="140" t="str">
        <f>INDEX(Master_Data!$C$152:$L$864,D230,7)</f>
        <v>-</v>
      </c>
      <c r="M230" s="140">
        <f>INDEX(Master_Data!$C$152:$L$864,D230,8)</f>
        <v>0</v>
      </c>
      <c r="N230" s="264"/>
      <c r="O230" s="245" t="e">
        <f t="shared" si="16"/>
        <v>#VALUE!</v>
      </c>
      <c r="Q230" s="169" t="str">
        <f t="shared" si="17"/>
        <v>MADHANI TALATAH NUSANTARA, PTAPR</v>
      </c>
    </row>
    <row r="231" spans="2:17" s="61" customFormat="1" ht="14.1" customHeight="1">
      <c r="B231" s="150"/>
      <c r="C231" s="268">
        <f>MATCH($B$193,INDEX(Master_Data!$B$152:$B$864,D230+1,1):'Master_Data'!$B$864,0)</f>
        <v>1</v>
      </c>
      <c r="D231" s="152">
        <f t="shared" si="18"/>
        <v>354</v>
      </c>
      <c r="E231" s="24">
        <v>39</v>
      </c>
      <c r="F231" s="22" t="str">
        <f>INDEX(Master_Data!$C$152:$L$864,D231,2)</f>
        <v>MADHANI TALATAH NUSANTARA, PT</v>
      </c>
      <c r="G231" s="24" t="str">
        <f>INDEX(Master_Data!$C$152:$L$864,D231,3)</f>
        <v>O</v>
      </c>
      <c r="H231" s="24">
        <f>INDEX(Master_Data!$C$152:$L$864,D231,1)</f>
        <v>10</v>
      </c>
      <c r="I231" s="24">
        <f>INDEX(Master_Data!$C$152:$L$864,D231,4)</f>
        <v>0</v>
      </c>
      <c r="J231" s="24">
        <f>INDEX(Master_Data!$C$152:$L$864,D231,5)</f>
        <v>0</v>
      </c>
      <c r="K231" s="137" t="str">
        <f>INDEX(Master_Data!$C$152:$L$864,D231,6)</f>
        <v>17-034/BKU-004/IV/057</v>
      </c>
      <c r="L231" s="140" t="str">
        <f>INDEX(Master_Data!$C$152:$L$864,D231,7)</f>
        <v>010.018-17.04159572</v>
      </c>
      <c r="M231" s="140">
        <f>INDEX(Master_Data!$C$152:$L$864,D231,8)</f>
        <v>0</v>
      </c>
      <c r="N231" s="264"/>
      <c r="O231" s="245" t="e">
        <f t="shared" si="16"/>
        <v>#VALUE!</v>
      </c>
      <c r="Q231" s="169" t="str">
        <f t="shared" si="17"/>
        <v>MADHANI TALATAH NUSANTARA, PTAPR</v>
      </c>
    </row>
    <row r="232" spans="2:17" s="61" customFormat="1" ht="14.1" customHeight="1">
      <c r="B232" s="150"/>
      <c r="C232" s="268">
        <f>MATCH($B$193,INDEX(Master_Data!$B$152:$B$864,D231+1,1):'Master_Data'!$B$864,0)</f>
        <v>1</v>
      </c>
      <c r="D232" s="152">
        <f t="shared" si="18"/>
        <v>355</v>
      </c>
      <c r="E232" s="56">
        <v>40</v>
      </c>
      <c r="F232" s="22" t="str">
        <f>INDEX(Master_Data!$C$152:$L$864,D232,2)</f>
        <v>MADHANI TALATAH NUSANTARA, PT</v>
      </c>
      <c r="G232" s="24" t="str">
        <f>INDEX(Master_Data!$C$152:$L$864,D232,3)</f>
        <v>L</v>
      </c>
      <c r="H232" s="24">
        <f>INDEX(Master_Data!$C$152:$L$864,D232,1)</f>
        <v>10</v>
      </c>
      <c r="I232" s="24">
        <f>INDEX(Master_Data!$C$152:$L$864,D232,4)</f>
        <v>0</v>
      </c>
      <c r="J232" s="24">
        <f>INDEX(Master_Data!$C$152:$L$864,D232,5)</f>
        <v>0</v>
      </c>
      <c r="K232" s="137" t="str">
        <f>INDEX(Master_Data!$C$152:$L$864,D232,6)</f>
        <v>17-035/BKU-004/IV/057</v>
      </c>
      <c r="L232" s="140" t="str">
        <f>INDEX(Master_Data!$C$152:$L$864,D232,7)</f>
        <v>-</v>
      </c>
      <c r="M232" s="140">
        <f>INDEX(Master_Data!$C$152:$L$864,D232,8)</f>
        <v>0</v>
      </c>
      <c r="N232" s="264"/>
      <c r="O232" s="245" t="e">
        <f t="shared" si="16"/>
        <v>#VALUE!</v>
      </c>
      <c r="Q232" s="169" t="str">
        <f t="shared" si="17"/>
        <v>MADHANI TALATAH NUSANTARA, PTAPR</v>
      </c>
    </row>
    <row r="233" spans="2:17" s="61" customFormat="1" ht="14.1" customHeight="1">
      <c r="B233" s="150"/>
      <c r="C233" s="268">
        <f>MATCH($B$193,INDEX(Master_Data!$B$152:$B$864,D232+1,1):'Master_Data'!$B$864,0)</f>
        <v>1</v>
      </c>
      <c r="D233" s="152">
        <f t="shared" si="18"/>
        <v>356</v>
      </c>
      <c r="E233" s="24">
        <v>41</v>
      </c>
      <c r="F233" s="22" t="str">
        <f>INDEX(Master_Data!$C$152:$L$864,D233,2)</f>
        <v>MADHANI TALATAH NUSANTARA, PT</v>
      </c>
      <c r="G233" s="24" t="str">
        <f>INDEX(Master_Data!$C$152:$L$864,D233,3)</f>
        <v>V</v>
      </c>
      <c r="H233" s="24">
        <f>INDEX(Master_Data!$C$152:$L$864,D233,1)</f>
        <v>20</v>
      </c>
      <c r="I233" s="24">
        <f>INDEX(Master_Data!$C$152:$L$864,D233,4)</f>
        <v>0</v>
      </c>
      <c r="J233" s="24">
        <f>INDEX(Master_Data!$C$152:$L$864,D233,5)</f>
        <v>0</v>
      </c>
      <c r="K233" s="137" t="str">
        <f>INDEX(Master_Data!$C$152:$L$864,D233,6)</f>
        <v>17-036/BKU-004/IV/057</v>
      </c>
      <c r="L233" s="140" t="str">
        <f>INDEX(Master_Data!$C$152:$L$864,D233,7)</f>
        <v>010.018-17.04159574</v>
      </c>
      <c r="M233" s="140">
        <f>INDEX(Master_Data!$C$152:$L$864,D233,8)</f>
        <v>0</v>
      </c>
      <c r="N233" s="264"/>
      <c r="O233" s="245" t="e">
        <f t="shared" si="16"/>
        <v>#VALUE!</v>
      </c>
      <c r="Q233" s="169" t="str">
        <f t="shared" si="17"/>
        <v>MADHANI TALATAH NUSANTARA, PTAPR</v>
      </c>
    </row>
    <row r="234" spans="2:17" s="61" customFormat="1" ht="14.1" customHeight="1">
      <c r="B234" s="150"/>
      <c r="C234" s="268">
        <f>MATCH($B$193,INDEX(Master_Data!$B$152:$B$864,D233+1,1):'Master_Data'!$B$864,0)</f>
        <v>87</v>
      </c>
      <c r="D234" s="152">
        <f t="shared" si="18"/>
        <v>443</v>
      </c>
      <c r="E234" s="56">
        <v>42</v>
      </c>
      <c r="F234" s="22" t="str">
        <f>INDEX(Master_Data!$C$152:$L$864,D234,2)</f>
        <v>MANDALA KARYA PRIMA, PT</v>
      </c>
      <c r="G234" s="24" t="str">
        <f>INDEX(Master_Data!$C$152:$L$864,D234,3)</f>
        <v>W, I</v>
      </c>
      <c r="H234" s="24">
        <f>INDEX(Master_Data!$C$152:$L$864,D234,1)</f>
        <v>3</v>
      </c>
      <c r="I234" s="24">
        <f>INDEX(Master_Data!$C$152:$L$864,D234,4)</f>
        <v>0</v>
      </c>
      <c r="J234" s="24">
        <f>INDEX(Master_Data!$C$152:$L$864,D234,5)</f>
        <v>0</v>
      </c>
      <c r="K234" s="137" t="str">
        <f>INDEX(Master_Data!$C$152:$L$864,D234,6)</f>
        <v>17-004/BKU-004/IV/214</v>
      </c>
      <c r="L234" s="140" t="str">
        <f>INDEX(Master_Data!$C$152:$L$864,D234,7)</f>
        <v>010.001-17.53957987</v>
      </c>
      <c r="M234" s="140">
        <f>INDEX(Master_Data!$C$152:$L$864,D234,8)</f>
        <v>0</v>
      </c>
      <c r="N234" s="264"/>
      <c r="O234" s="245" t="e">
        <f t="shared" si="16"/>
        <v>#VALUE!</v>
      </c>
      <c r="Q234" s="169" t="str">
        <f t="shared" si="17"/>
        <v>MANDALA KARYA PRIMA, PTAPR</v>
      </c>
    </row>
    <row r="235" spans="2:17" s="61" customFormat="1" ht="14.1" customHeight="1">
      <c r="B235" s="150"/>
      <c r="C235" s="268">
        <f>MATCH($B$193,INDEX(Master_Data!$B$152:$B$864,D234+1,1):'Master_Data'!$B$864,0)</f>
        <v>18</v>
      </c>
      <c r="D235" s="152">
        <f t="shared" si="18"/>
        <v>461</v>
      </c>
      <c r="E235" s="24">
        <v>43</v>
      </c>
      <c r="F235" s="22" t="str">
        <f>INDEX(Master_Data!$C$152:$L$864,D235,2)</f>
        <v>MANDIRI HERINDO ADIPERKASA, PT</v>
      </c>
      <c r="G235" s="24" t="str">
        <f>INDEX(Master_Data!$C$152:$L$864,D235,3)</f>
        <v>W</v>
      </c>
      <c r="H235" s="24">
        <f>INDEX(Master_Data!$C$152:$L$864,D235,1)</f>
        <v>30</v>
      </c>
      <c r="I235" s="24">
        <f>INDEX(Master_Data!$C$152:$L$864,D235,4)</f>
        <v>0</v>
      </c>
      <c r="J235" s="24">
        <f>INDEX(Master_Data!$C$152:$L$864,D235,5)</f>
        <v>0</v>
      </c>
      <c r="K235" s="137" t="str">
        <f>INDEX(Master_Data!$C$152:$L$864,D235,6)</f>
        <v>17-010/BKU-004/IV/211</v>
      </c>
      <c r="L235" s="140" t="str">
        <f>INDEX(Master_Data!$C$152:$L$864,D235,7)</f>
        <v>010.018-17.04159577</v>
      </c>
      <c r="M235" s="140">
        <f>INDEX(Master_Data!$C$152:$L$864,D235,8)</f>
        <v>0</v>
      </c>
      <c r="N235" s="264"/>
      <c r="O235" s="245" t="e">
        <f t="shared" si="16"/>
        <v>#VALUE!</v>
      </c>
      <c r="Q235" s="169" t="str">
        <f t="shared" si="17"/>
        <v>MANDIRI HERINDO ADIPERKASA, PTAPR</v>
      </c>
    </row>
    <row r="236" spans="2:17" s="61" customFormat="1" ht="14.1" customHeight="1">
      <c r="B236" s="150"/>
      <c r="C236" s="268">
        <f>MATCH($B$193,INDEX(Master_Data!$B$152:$B$864,D235+1,1):'Master_Data'!$B$864,0)</f>
        <v>1</v>
      </c>
      <c r="D236" s="152">
        <f t="shared" si="18"/>
        <v>462</v>
      </c>
      <c r="E236" s="56">
        <v>44</v>
      </c>
      <c r="F236" s="22" t="str">
        <f>INDEX(Master_Data!$C$152:$L$864,D236,2)</f>
        <v>MANDIRI HERINDO ADIPERKASA, PT</v>
      </c>
      <c r="G236" s="24" t="str">
        <f>INDEX(Master_Data!$C$152:$L$864,D236,3)</f>
        <v>I</v>
      </c>
      <c r="H236" s="24">
        <f>INDEX(Master_Data!$C$152:$L$864,D236,1)</f>
        <v>30</v>
      </c>
      <c r="I236" s="24">
        <f>INDEX(Master_Data!$C$152:$L$864,D236,4)</f>
        <v>0</v>
      </c>
      <c r="J236" s="24">
        <f>INDEX(Master_Data!$C$152:$L$864,D236,5)</f>
        <v>0</v>
      </c>
      <c r="K236" s="137" t="str">
        <f>INDEX(Master_Data!$C$152:$L$864,D236,6)</f>
        <v>17-011/BKU-004/IV/211</v>
      </c>
      <c r="L236" s="140" t="str">
        <f>INDEX(Master_Data!$C$152:$L$864,D236,7)</f>
        <v>010.018-17.04159578</v>
      </c>
      <c r="M236" s="140">
        <f>INDEX(Master_Data!$C$152:$L$864,D236,8)</f>
        <v>0</v>
      </c>
      <c r="N236" s="264"/>
      <c r="O236" s="245" t="e">
        <f t="shared" si="16"/>
        <v>#VALUE!</v>
      </c>
      <c r="Q236" s="169" t="str">
        <f t="shared" si="17"/>
        <v>MANDIRI HERINDO ADIPERKASA, PTAPR</v>
      </c>
    </row>
    <row r="237" spans="2:17" s="61" customFormat="1" ht="14.1" customHeight="1">
      <c r="B237" s="150"/>
      <c r="C237" s="268">
        <f>MATCH($B$193,INDEX(Master_Data!$B$152:$B$864,D236+1,1):'Master_Data'!$B$864,0)</f>
        <v>1</v>
      </c>
      <c r="D237" s="152">
        <f t="shared" si="18"/>
        <v>463</v>
      </c>
      <c r="E237" s="24">
        <v>45</v>
      </c>
      <c r="F237" s="22" t="str">
        <f>INDEX(Master_Data!$C$152:$L$864,D237,2)</f>
        <v>MANDIRI HERINDO ADIPERKASA, PT</v>
      </c>
      <c r="G237" s="24" t="str">
        <f>INDEX(Master_Data!$C$152:$L$864,D237,3)</f>
        <v>M</v>
      </c>
      <c r="H237" s="24">
        <f>INDEX(Master_Data!$C$152:$L$864,D237,1)</f>
        <v>30</v>
      </c>
      <c r="I237" s="24">
        <f>INDEX(Master_Data!$C$152:$L$864,D237,4)</f>
        <v>0</v>
      </c>
      <c r="J237" s="24">
        <f>INDEX(Master_Data!$C$152:$L$864,D237,5)</f>
        <v>0</v>
      </c>
      <c r="K237" s="137" t="str">
        <f>INDEX(Master_Data!$C$152:$L$864,D237,6)</f>
        <v>17-012/BKU-004/IV/211</v>
      </c>
      <c r="L237" s="140" t="str">
        <f>INDEX(Master_Data!$C$152:$L$864,D237,7)</f>
        <v>010.018-17.04159579</v>
      </c>
      <c r="M237" s="140">
        <f>INDEX(Master_Data!$C$152:$L$864,D237,8)</f>
        <v>0</v>
      </c>
      <c r="N237" s="264"/>
      <c r="O237" s="245" t="e">
        <f t="shared" si="16"/>
        <v>#VALUE!</v>
      </c>
      <c r="Q237" s="169" t="str">
        <f t="shared" si="17"/>
        <v>MANDIRI HERINDO ADIPERKASA, PTAPR</v>
      </c>
    </row>
    <row r="238" spans="2:17" s="61" customFormat="1" ht="14.1" customHeight="1">
      <c r="B238" s="150"/>
      <c r="C238" s="268">
        <f>MATCH($B$193,INDEX(Master_Data!$B$152:$B$864,D237+1,1):'Master_Data'!$B$864,0)</f>
        <v>33</v>
      </c>
      <c r="D238" s="152">
        <f t="shared" si="18"/>
        <v>496</v>
      </c>
      <c r="E238" s="56">
        <v>46</v>
      </c>
      <c r="F238" s="22" t="str">
        <f>INDEX(Master_Data!$C$152:$L$864,D238,2)</f>
        <v>MANDIRI INTI PERKASA, PT</v>
      </c>
      <c r="G238" s="24" t="str">
        <f>INDEX(Master_Data!$C$152:$L$864,D238,3)</f>
        <v>W, I</v>
      </c>
      <c r="H238" s="24">
        <f>INDEX(Master_Data!$C$152:$L$864,D238,1)</f>
        <v>3</v>
      </c>
      <c r="I238" s="24">
        <f>INDEX(Master_Data!$C$152:$L$864,D238,4)</f>
        <v>0</v>
      </c>
      <c r="J238" s="24">
        <f>INDEX(Master_Data!$C$152:$L$864,D238,5)</f>
        <v>0</v>
      </c>
      <c r="K238" s="137" t="str">
        <f>INDEX(Master_Data!$C$152:$L$864,D238,6)</f>
        <v>17-007/BKU-004/IV/196</v>
      </c>
      <c r="L238" s="140" t="str">
        <f>INDEX(Master_Data!$C$152:$L$864,D238,7)</f>
        <v>010.001-17.53957985</v>
      </c>
      <c r="M238" s="140">
        <f>INDEX(Master_Data!$C$152:$L$864,D238,8)</f>
        <v>0</v>
      </c>
      <c r="N238" s="264"/>
      <c r="O238" s="245" t="e">
        <f t="shared" si="16"/>
        <v>#VALUE!</v>
      </c>
      <c r="Q238" s="169" t="str">
        <f t="shared" si="17"/>
        <v>MANDIRI INTI PERKASA, PTAPR</v>
      </c>
    </row>
    <row r="239" spans="2:17" s="61" customFormat="1" ht="14.1" customHeight="1">
      <c r="B239" s="150"/>
      <c r="C239" s="268">
        <f>MATCH($B$193,INDEX(Master_Data!$B$152:$B$864,D238+1,1):'Master_Data'!$B$864,0)</f>
        <v>1</v>
      </c>
      <c r="D239" s="152">
        <f t="shared" si="18"/>
        <v>497</v>
      </c>
      <c r="E239" s="24">
        <v>47</v>
      </c>
      <c r="F239" s="22" t="str">
        <f>INDEX(Master_Data!$C$152:$L$864,D239,2)</f>
        <v>MANDIRI INTI PERKASA, PT</v>
      </c>
      <c r="G239" s="24" t="str">
        <f>INDEX(Master_Data!$C$152:$L$864,D239,3)</f>
        <v>I</v>
      </c>
      <c r="H239" s="24">
        <f>INDEX(Master_Data!$C$152:$L$864,D239,1)</f>
        <v>3</v>
      </c>
      <c r="I239" s="24">
        <f>INDEX(Master_Data!$C$152:$L$864,D239,4)</f>
        <v>0</v>
      </c>
      <c r="J239" s="24">
        <f>INDEX(Master_Data!$C$152:$L$864,D239,5)</f>
        <v>0</v>
      </c>
      <c r="K239" s="137" t="str">
        <f>INDEX(Master_Data!$C$152:$L$864,D239,6)</f>
        <v>17-008/BKU-004/IV/196</v>
      </c>
      <c r="L239" s="140" t="str">
        <f>INDEX(Master_Data!$C$152:$L$864,D239,7)</f>
        <v>010.001-17.53957986</v>
      </c>
      <c r="M239" s="140">
        <f>INDEX(Master_Data!$C$152:$L$864,D239,8)</f>
        <v>0</v>
      </c>
      <c r="N239" s="264"/>
      <c r="O239" s="245" t="e">
        <f t="shared" si="16"/>
        <v>#VALUE!</v>
      </c>
      <c r="Q239" s="169" t="str">
        <f t="shared" si="17"/>
        <v>MANDIRI INTI PERKASA, PTAPR</v>
      </c>
    </row>
    <row r="240" spans="2:17" s="61" customFormat="1" ht="14.1" customHeight="1">
      <c r="B240" s="150"/>
      <c r="C240" s="268">
        <f>MATCH($B$193,INDEX(Master_Data!$B$152:$B$864,D239+1,1):'Master_Data'!$B$864,0)</f>
        <v>20</v>
      </c>
      <c r="D240" s="152">
        <f t="shared" si="18"/>
        <v>517</v>
      </c>
      <c r="E240" s="56">
        <v>48</v>
      </c>
      <c r="F240" s="22" t="str">
        <f>INDEX(Master_Data!$C$152:$L$864,D240,2)</f>
        <v>MEDCO PAPUA INDUSTRI LESTARI, PT</v>
      </c>
      <c r="G240" s="24" t="str">
        <f>INDEX(Master_Data!$C$152:$L$864,D240,3)</f>
        <v>V</v>
      </c>
      <c r="H240" s="24">
        <f>INDEX(Master_Data!$C$152:$L$864,D240,1)</f>
        <v>3</v>
      </c>
      <c r="I240" s="24">
        <f>INDEX(Master_Data!$C$152:$L$864,D240,4)</f>
        <v>0</v>
      </c>
      <c r="J240" s="24">
        <f>INDEX(Master_Data!$C$152:$L$864,D240,5)</f>
        <v>0</v>
      </c>
      <c r="K240" s="137" t="str">
        <f>INDEX(Master_Data!$C$152:$L$864,D240,6)</f>
        <v>17-004/BKU-004/IV/145</v>
      </c>
      <c r="L240" s="140" t="str">
        <f>INDEX(Master_Data!$C$152:$L$864,D240,7)</f>
        <v>010.001-17.53957988</v>
      </c>
      <c r="M240" s="140">
        <f>INDEX(Master_Data!$C$152:$L$864,D240,8)</f>
        <v>0</v>
      </c>
      <c r="N240" s="264"/>
      <c r="O240" s="245" t="e">
        <f t="shared" si="16"/>
        <v>#VALUE!</v>
      </c>
      <c r="Q240" s="169" t="str">
        <f t="shared" si="17"/>
        <v>MEDCO PAPUA INDUSTRI LESTARI, PTAPR</v>
      </c>
    </row>
    <row r="241" spans="2:17" s="61" customFormat="1" ht="14.1" customHeight="1">
      <c r="B241" s="150"/>
      <c r="C241" s="268">
        <f>MATCH($B$193,INDEX(Master_Data!$B$152:$B$864,D240+1,1):'Master_Data'!$B$864,0)</f>
        <v>12</v>
      </c>
      <c r="D241" s="152">
        <f t="shared" si="18"/>
        <v>529</v>
      </c>
      <c r="E241" s="24">
        <v>49</v>
      </c>
      <c r="F241" s="22" t="str">
        <f>INDEX(Master_Data!$C$152:$L$864,D241,2)</f>
        <v>METALINDO BUMI RAYA, PT</v>
      </c>
      <c r="G241" s="24" t="str">
        <f>INDEX(Master_Data!$C$152:$L$864,D241,3)</f>
        <v>I</v>
      </c>
      <c r="H241" s="24">
        <f>INDEX(Master_Data!$C$152:$L$864,D241,1)</f>
        <v>3</v>
      </c>
      <c r="I241" s="24">
        <f>INDEX(Master_Data!$C$152:$L$864,D241,4)</f>
        <v>0</v>
      </c>
      <c r="J241" s="24">
        <f>INDEX(Master_Data!$C$152:$L$864,D241,5)</f>
        <v>0</v>
      </c>
      <c r="K241" s="137" t="str">
        <f>INDEX(Master_Data!$C$152:$L$864,D241,6)</f>
        <v>17-004/BKU-004/IV/220</v>
      </c>
      <c r="L241" s="140" t="str">
        <f>INDEX(Master_Data!$C$152:$L$864,D241,7)</f>
        <v>010.001-17.53957981</v>
      </c>
      <c r="M241" s="140">
        <f>INDEX(Master_Data!$C$152:$L$864,D241,8)</f>
        <v>0</v>
      </c>
      <c r="N241" s="264"/>
      <c r="O241" s="245" t="e">
        <f t="shared" si="16"/>
        <v>#VALUE!</v>
      </c>
      <c r="Q241" s="169" t="str">
        <f t="shared" si="17"/>
        <v>METALINDO BUMI RAYA, PTAPR</v>
      </c>
    </row>
    <row r="242" spans="2:17" s="61" customFormat="1" ht="14.1" customHeight="1">
      <c r="B242" s="150"/>
      <c r="C242" s="268">
        <f>MATCH($B$193,INDEX(Master_Data!$B$152:$B$864,D241+1,1):'Master_Data'!$B$864,0)</f>
        <v>15</v>
      </c>
      <c r="D242" s="152">
        <f t="shared" si="18"/>
        <v>544</v>
      </c>
      <c r="E242" s="56">
        <v>50</v>
      </c>
      <c r="F242" s="22" t="str">
        <f>INDEX(Master_Data!$C$152:$L$864,D242,2)</f>
        <v>NUSANTARA SARANA ALAM, PT</v>
      </c>
      <c r="G242" s="24" t="str">
        <f>INDEX(Master_Data!$C$152:$L$864,D242,3)</f>
        <v>V</v>
      </c>
      <c r="H242" s="24">
        <f>INDEX(Master_Data!$C$152:$L$864,D242,1)</f>
        <v>3</v>
      </c>
      <c r="I242" s="24">
        <f>INDEX(Master_Data!$C$152:$L$864,D242,4)</f>
        <v>0</v>
      </c>
      <c r="J242" s="24">
        <f>INDEX(Master_Data!$C$152:$L$864,D242,5)</f>
        <v>0</v>
      </c>
      <c r="K242" s="137" t="str">
        <f>INDEX(Master_Data!$C$152:$L$864,D242,6)</f>
        <v>17-006/BKU-004/IV/245</v>
      </c>
      <c r="L242" s="140" t="str">
        <f>INDEX(Master_Data!$C$152:$L$864,D242,7)</f>
        <v>010.001-17.53957997</v>
      </c>
      <c r="M242" s="140">
        <f>INDEX(Master_Data!$C$152:$L$864,D242,8)</f>
        <v>0</v>
      </c>
      <c r="N242" s="264"/>
      <c r="O242" s="245" t="e">
        <f t="shared" si="16"/>
        <v>#VALUE!</v>
      </c>
      <c r="Q242" s="169" t="str">
        <f t="shared" si="17"/>
        <v>NUSANTARA SARANA ALAM, PTAPR</v>
      </c>
    </row>
    <row r="243" spans="2:17" s="61" customFormat="1" ht="14.1" customHeight="1">
      <c r="B243" s="150"/>
      <c r="C243" s="268">
        <f>MATCH($B$193,INDEX(Master_Data!$B$152:$B$864,D242+1,1):'Master_Data'!$B$864,0)</f>
        <v>16</v>
      </c>
      <c r="D243" s="152">
        <f t="shared" si="18"/>
        <v>560</v>
      </c>
      <c r="E243" s="24">
        <v>51</v>
      </c>
      <c r="F243" s="22" t="str">
        <f>INDEX(Master_Data!$C$152:$L$864,D243,2)</f>
        <v>PEMBANGUNAN PERUMAHAN (PERSERO), PT</v>
      </c>
      <c r="G243" s="24" t="str">
        <f>INDEX(Master_Data!$C$152:$L$864,D243,3)</f>
        <v>I</v>
      </c>
      <c r="H243" s="24">
        <f>INDEX(Master_Data!$C$152:$L$864,D243,1)</f>
        <v>3</v>
      </c>
      <c r="I243" s="24">
        <f>INDEX(Master_Data!$C$152:$L$864,D243,4)</f>
        <v>0</v>
      </c>
      <c r="J243" s="24">
        <f>INDEX(Master_Data!$C$152:$L$864,D243,5)</f>
        <v>0</v>
      </c>
      <c r="K243" s="137" t="str">
        <f>INDEX(Master_Data!$C$152:$L$864,D243,6)</f>
        <v>17-004/BKU-004/IV/226</v>
      </c>
      <c r="L243" s="140" t="str">
        <f>INDEX(Master_Data!$C$152:$L$864,D243,7)</f>
        <v>030.001-17.53957989</v>
      </c>
      <c r="M243" s="140">
        <f>INDEX(Master_Data!$C$152:$L$864,D243,8)</f>
        <v>0</v>
      </c>
      <c r="N243" s="264"/>
      <c r="O243" s="245" t="e">
        <f t="shared" si="16"/>
        <v>#VALUE!</v>
      </c>
      <c r="Q243" s="169" t="str">
        <f t="shared" si="17"/>
        <v>PEMBANGUNAN PERUMAHAN (PERSERO), PTAPR</v>
      </c>
    </row>
    <row r="244" spans="2:17" s="61" customFormat="1" ht="14.1" customHeight="1">
      <c r="B244" s="150"/>
      <c r="C244" s="268">
        <f>MATCH($B$193,INDEX(Master_Data!$B$152:$B$864,D243+1,1):'Master_Data'!$B$864,0)</f>
        <v>10</v>
      </c>
      <c r="D244" s="152">
        <f t="shared" si="18"/>
        <v>570</v>
      </c>
      <c r="E244" s="56">
        <v>52</v>
      </c>
      <c r="F244" s="22" t="str">
        <f>INDEX(Master_Data!$C$152:$L$864,D244,2)</f>
        <v>PEMERINTAH KABUPATEN SIGI</v>
      </c>
      <c r="G244" s="24" t="str">
        <f>INDEX(Master_Data!$C$152:$L$864,D244,3)</f>
        <v>I</v>
      </c>
      <c r="H244" s="24">
        <f>INDEX(Master_Data!$C$152:$L$864,D244,1)</f>
        <v>6</v>
      </c>
      <c r="I244" s="24">
        <f>INDEX(Master_Data!$C$152:$L$864,D244,4)</f>
        <v>0</v>
      </c>
      <c r="J244" s="24">
        <f>INDEX(Master_Data!$C$152:$L$864,D244,5)</f>
        <v>0</v>
      </c>
      <c r="K244" s="137" t="str">
        <f>INDEX(Master_Data!$C$152:$L$864,D244,6)</f>
        <v>17-001/BKU-004/I/184</v>
      </c>
      <c r="L244" s="140" t="str">
        <f>INDEX(Master_Data!$C$152:$L$864,D244,7)</f>
        <v>021.018-17.04159617</v>
      </c>
      <c r="M244" s="140">
        <f>INDEX(Master_Data!$C$152:$L$864,D244,8)</f>
        <v>0</v>
      </c>
      <c r="N244" s="264"/>
      <c r="O244" s="245" t="e">
        <f t="shared" si="16"/>
        <v>#VALUE!</v>
      </c>
      <c r="Q244" s="169" t="str">
        <f t="shared" si="17"/>
        <v>PEMERINTAH KABUPATEN SIGIAPR</v>
      </c>
    </row>
    <row r="245" spans="2:17" s="61" customFormat="1" ht="14.1" customHeight="1">
      <c r="B245" s="150"/>
      <c r="C245" s="268">
        <f>MATCH($B$193,INDEX(Master_Data!$B$152:$B$864,D244+1,1):'Master_Data'!$B$864,0)</f>
        <v>1</v>
      </c>
      <c r="D245" s="152">
        <f t="shared" si="18"/>
        <v>571</v>
      </c>
      <c r="E245" s="24">
        <v>53</v>
      </c>
      <c r="F245" s="22" t="str">
        <f>INDEX(Master_Data!$C$152:$L$864,D245,2)</f>
        <v>PEMERINTAH KABUPATEN SIGI</v>
      </c>
      <c r="G245" s="24" t="str">
        <f>INDEX(Master_Data!$C$152:$L$864,D245,3)</f>
        <v>I</v>
      </c>
      <c r="H245" s="24">
        <f>INDEX(Master_Data!$C$152:$L$864,D245,1)</f>
        <v>6</v>
      </c>
      <c r="I245" s="24">
        <f>INDEX(Master_Data!$C$152:$L$864,D245,4)</f>
        <v>0</v>
      </c>
      <c r="J245" s="24">
        <f>INDEX(Master_Data!$C$152:$L$864,D245,5)</f>
        <v>0</v>
      </c>
      <c r="K245" s="137" t="str">
        <f>INDEX(Master_Data!$C$152:$L$864,D245,6)</f>
        <v>17-002/BKU-004/II/184</v>
      </c>
      <c r="L245" s="140" t="str">
        <f>INDEX(Master_Data!$C$152:$L$864,D245,7)</f>
        <v>021.018-17.04159618</v>
      </c>
      <c r="M245" s="140">
        <f>INDEX(Master_Data!$C$152:$L$864,D245,8)</f>
        <v>0</v>
      </c>
      <c r="N245" s="264"/>
      <c r="O245" s="245" t="e">
        <f t="shared" si="16"/>
        <v>#VALUE!</v>
      </c>
      <c r="Q245" s="169" t="str">
        <f t="shared" si="17"/>
        <v>PEMERINTAH KABUPATEN SIGIAPR</v>
      </c>
    </row>
    <row r="246" spans="2:17" s="61" customFormat="1" ht="14.1" customHeight="1">
      <c r="B246" s="242"/>
      <c r="C246" s="268">
        <f>MATCH($B$193,INDEX(Master_Data!$B$152:$B$864,D245+1,1):'Master_Data'!$B$864,0)</f>
        <v>1</v>
      </c>
      <c r="D246" s="268">
        <f t="shared" si="18"/>
        <v>572</v>
      </c>
      <c r="E246" s="54">
        <v>54</v>
      </c>
      <c r="F246" s="22" t="str">
        <f>INDEX(Master_Data!$C$152:$L$864,D246,2)</f>
        <v>PEMERINTAH KABUPATEN SIGI</v>
      </c>
      <c r="G246" s="24" t="str">
        <f>INDEX(Master_Data!$C$152:$L$864,D246,3)</f>
        <v>I</v>
      </c>
      <c r="H246" s="24">
        <f>INDEX(Master_Data!$C$152:$L$864,D246,1)</f>
        <v>6</v>
      </c>
      <c r="I246" s="24">
        <f>INDEX(Master_Data!$C$152:$L$864,D246,4)</f>
        <v>0</v>
      </c>
      <c r="J246" s="24">
        <f>INDEX(Master_Data!$C$152:$L$864,D246,5)</f>
        <v>0</v>
      </c>
      <c r="K246" s="137" t="str">
        <f>INDEX(Master_Data!$C$152:$L$864,D246,6)</f>
        <v>17-003/BKU-004/III/184</v>
      </c>
      <c r="L246" s="140" t="str">
        <f>INDEX(Master_Data!$C$152:$L$864,D246,7)</f>
        <v>021.018-17.04159619</v>
      </c>
      <c r="M246" s="140">
        <f>INDEX(Master_Data!$C$152:$L$864,D246,8)</f>
        <v>0</v>
      </c>
      <c r="N246" s="264"/>
      <c r="O246" s="245" t="e">
        <f t="shared" si="16"/>
        <v>#VALUE!</v>
      </c>
      <c r="Q246" s="169" t="str">
        <f t="shared" si="17"/>
        <v>PEMERINTAH KABUPATEN SIGIAPR</v>
      </c>
    </row>
    <row r="247" spans="2:17" s="61" customFormat="1" ht="14.1" customHeight="1">
      <c r="B247" s="242"/>
      <c r="C247" s="268">
        <f>MATCH($B$193,INDEX(Master_Data!$B$152:$B$864,D246+1,1):'Master_Data'!$B$864,0)</f>
        <v>1</v>
      </c>
      <c r="D247" s="268">
        <f t="shared" si="18"/>
        <v>573</v>
      </c>
      <c r="E247" s="24">
        <v>55</v>
      </c>
      <c r="F247" s="22" t="str">
        <f>INDEX(Master_Data!$C$152:$L$864,D247,2)</f>
        <v>PEMERINTAH KABUPATEN SIGI</v>
      </c>
      <c r="G247" s="24" t="str">
        <f>INDEX(Master_Data!$C$152:$L$864,D247,3)</f>
        <v>I</v>
      </c>
      <c r="H247" s="24">
        <f>INDEX(Master_Data!$C$152:$L$864,D247,1)</f>
        <v>6</v>
      </c>
      <c r="I247" s="24">
        <f>INDEX(Master_Data!$C$152:$L$864,D247,4)</f>
        <v>0</v>
      </c>
      <c r="J247" s="24">
        <f>INDEX(Master_Data!$C$152:$L$864,D247,5)</f>
        <v>0</v>
      </c>
      <c r="K247" s="137" t="str">
        <f>INDEX(Master_Data!$C$152:$L$864,D247,6)</f>
        <v>17-004/BKU-004/IV/184</v>
      </c>
      <c r="L247" s="140" t="str">
        <f>INDEX(Master_Data!$C$152:$L$864,D247,7)</f>
        <v>021.018-17.04159620</v>
      </c>
      <c r="M247" s="140">
        <f>INDEX(Master_Data!$C$152:$L$864,D247,8)</f>
        <v>0</v>
      </c>
      <c r="N247" s="264"/>
      <c r="O247" s="245" t="e">
        <f t="shared" si="16"/>
        <v>#VALUE!</v>
      </c>
      <c r="Q247" s="169" t="str">
        <f t="shared" si="17"/>
        <v>PEMERINTAH KABUPATEN SIGIAPR</v>
      </c>
    </row>
    <row r="248" spans="2:17" s="61" customFormat="1" ht="14.1" customHeight="1">
      <c r="B248" s="242"/>
      <c r="C248" s="268">
        <f>MATCH($B$193,INDEX(Master_Data!$B$152:$B$864,D247+1,1):'Master_Data'!$B$864,0)</f>
        <v>18</v>
      </c>
      <c r="D248" s="268">
        <f t="shared" ref="D248:D253" si="19">D247+C248</f>
        <v>591</v>
      </c>
      <c r="E248" s="24">
        <v>56</v>
      </c>
      <c r="F248" s="22" t="str">
        <f>INDEX(Master_Data!$C$152:$L$864,D248,2)</f>
        <v>PERTIWI AGRO SEJAHTERA, PT</v>
      </c>
      <c r="G248" s="24" t="str">
        <f>INDEX(Master_Data!$C$152:$L$864,D248,3)</f>
        <v>V</v>
      </c>
      <c r="H248" s="24">
        <f>INDEX(Master_Data!$C$152:$L$864,D248,1)</f>
        <v>3</v>
      </c>
      <c r="I248" s="24">
        <f>INDEX(Master_Data!$C$152:$L$864,D248,4)</f>
        <v>0</v>
      </c>
      <c r="J248" s="24">
        <f>INDEX(Master_Data!$C$152:$L$864,D248,5)</f>
        <v>0</v>
      </c>
      <c r="K248" s="137" t="str">
        <f>INDEX(Master_Data!$C$152:$L$864,D248,6)</f>
        <v>17-004/BKU-004/IV/207</v>
      </c>
      <c r="L248" s="140" t="str">
        <f>INDEX(Master_Data!$C$152:$L$864,D248,7)</f>
        <v>010.001-17.53957998</v>
      </c>
      <c r="M248" s="140">
        <f>INDEX(Master_Data!$C$152:$L$864,D248,8)</f>
        <v>0</v>
      </c>
      <c r="N248" s="264"/>
      <c r="O248" s="245" t="e">
        <f t="shared" ref="O248:O253" si="20">L248+M248</f>
        <v>#VALUE!</v>
      </c>
      <c r="Q248" s="169" t="str">
        <f t="shared" ref="Q248:Q253" si="21">CONCATENATE(F248,$B$193)</f>
        <v>PERTIWI AGRO SEJAHTERA, PTAPR</v>
      </c>
    </row>
    <row r="249" spans="2:17" s="61" customFormat="1" ht="14.1" customHeight="1">
      <c r="B249" s="242"/>
      <c r="C249" s="268">
        <f>MATCH($B$193,INDEX(Master_Data!$B$152:$B$864,D248+1,1):'Master_Data'!$B$864,0)</f>
        <v>21</v>
      </c>
      <c r="D249" s="268">
        <f t="shared" si="19"/>
        <v>612</v>
      </c>
      <c r="E249" s="24">
        <v>57</v>
      </c>
      <c r="F249" s="22" t="str">
        <f>INDEX(Master_Data!$C$152:$L$864,D249,2)</f>
        <v>PETROSEA, PT</v>
      </c>
      <c r="G249" s="24" t="str">
        <f>INDEX(Master_Data!$C$152:$L$864,D249,3)</f>
        <v>V</v>
      </c>
      <c r="H249" s="24">
        <f>INDEX(Master_Data!$C$152:$L$864,D249,1)</f>
        <v>6</v>
      </c>
      <c r="I249" s="24">
        <f>INDEX(Master_Data!$C$152:$L$864,D249,4)</f>
        <v>0</v>
      </c>
      <c r="J249" s="24">
        <f>INDEX(Master_Data!$C$152:$L$864,D249,5)</f>
        <v>0</v>
      </c>
      <c r="K249" s="137" t="str">
        <f>INDEX(Master_Data!$C$152:$L$864,D249,6)</f>
        <v>17-011/BKU-004/IV/009</v>
      </c>
      <c r="L249" s="140" t="str">
        <f>INDEX(Master_Data!$C$152:$L$864,D249,7)</f>
        <v>010.001-17.04159559</v>
      </c>
      <c r="M249" s="140">
        <f>INDEX(Master_Data!$C$152:$L$864,D249,8)</f>
        <v>0</v>
      </c>
      <c r="N249" s="264"/>
      <c r="O249" s="245" t="e">
        <f t="shared" si="20"/>
        <v>#VALUE!</v>
      </c>
      <c r="Q249" s="169" t="str">
        <f t="shared" si="21"/>
        <v>PETROSEA, PTAPR</v>
      </c>
    </row>
    <row r="250" spans="2:17" s="61" customFormat="1" ht="14.1" customHeight="1">
      <c r="B250" s="242"/>
      <c r="C250" s="268">
        <f>MATCH($B$193,INDEX(Master_Data!$B$152:$B$864,D249+1,1):'Master_Data'!$B$864,0)</f>
        <v>1</v>
      </c>
      <c r="D250" s="268">
        <f t="shared" si="19"/>
        <v>613</v>
      </c>
      <c r="E250" s="24">
        <v>58</v>
      </c>
      <c r="F250" s="22" t="str">
        <f>INDEX(Master_Data!$C$152:$L$864,D250,2)</f>
        <v>PETROSEA, PT</v>
      </c>
      <c r="G250" s="24" t="str">
        <f>INDEX(Master_Data!$C$152:$L$864,D250,3)</f>
        <v>V</v>
      </c>
      <c r="H250" s="24">
        <f>INDEX(Master_Data!$C$152:$L$864,D250,1)</f>
        <v>6</v>
      </c>
      <c r="I250" s="24">
        <f>INDEX(Master_Data!$C$152:$L$864,D250,4)</f>
        <v>0</v>
      </c>
      <c r="J250" s="24">
        <f>INDEX(Master_Data!$C$152:$L$864,D250,5)</f>
        <v>0</v>
      </c>
      <c r="K250" s="137" t="str">
        <f>INDEX(Master_Data!$C$152:$L$864,D250,6)</f>
        <v>17-012/BKU-004/IV/009</v>
      </c>
      <c r="L250" s="140" t="str">
        <f>INDEX(Master_Data!$C$152:$L$864,D250,7)</f>
        <v>010.001-17.04159560</v>
      </c>
      <c r="M250" s="140">
        <f>INDEX(Master_Data!$C$152:$L$864,D250,8)</f>
        <v>0</v>
      </c>
      <c r="N250" s="264"/>
      <c r="O250" s="245" t="e">
        <f t="shared" si="20"/>
        <v>#VALUE!</v>
      </c>
      <c r="Q250" s="169" t="str">
        <f t="shared" si="21"/>
        <v>PETROSEA, PTAPR</v>
      </c>
    </row>
    <row r="251" spans="2:17" s="61" customFormat="1" ht="14.1" customHeight="1">
      <c r="B251" s="242"/>
      <c r="C251" s="268">
        <f>MATCH($B$193,INDEX(Master_Data!$B$152:$B$864,D250+1,1):'Master_Data'!$B$864,0)</f>
        <v>1</v>
      </c>
      <c r="D251" s="268">
        <f t="shared" si="19"/>
        <v>614</v>
      </c>
      <c r="E251" s="24">
        <v>59</v>
      </c>
      <c r="F251" s="22" t="str">
        <f>INDEX(Master_Data!$C$152:$L$864,D251,2)</f>
        <v>PETROSEA, PT</v>
      </c>
      <c r="G251" s="24" t="str">
        <f>INDEX(Master_Data!$C$152:$L$864,D251,3)</f>
        <v>V</v>
      </c>
      <c r="H251" s="24">
        <f>INDEX(Master_Data!$C$152:$L$864,D251,1)</f>
        <v>6</v>
      </c>
      <c r="I251" s="24">
        <f>INDEX(Master_Data!$C$152:$L$864,D251,4)</f>
        <v>0</v>
      </c>
      <c r="J251" s="24">
        <f>INDEX(Master_Data!$C$152:$L$864,D251,5)</f>
        <v>0</v>
      </c>
      <c r="K251" s="137" t="str">
        <f>INDEX(Master_Data!$C$152:$L$864,D251,6)</f>
        <v>17-013/BKU-004/IV/009</v>
      </c>
      <c r="L251" s="140" t="str">
        <f>INDEX(Master_Data!$C$152:$L$864,D251,7)</f>
        <v>010.001-17.04159561</v>
      </c>
      <c r="M251" s="140">
        <f>INDEX(Master_Data!$C$152:$L$864,D251,8)</f>
        <v>0</v>
      </c>
      <c r="N251" s="264"/>
      <c r="O251" s="245" t="e">
        <f t="shared" si="20"/>
        <v>#VALUE!</v>
      </c>
      <c r="Q251" s="169" t="str">
        <f t="shared" si="21"/>
        <v>PETROSEA, PTAPR</v>
      </c>
    </row>
    <row r="252" spans="2:17" s="61" customFormat="1" ht="14.1" customHeight="1">
      <c r="B252" s="242"/>
      <c r="C252" s="268">
        <f>MATCH($B$193,INDEX(Master_Data!$B$152:$B$864,D251+1,1):'Master_Data'!$B$864,0)</f>
        <v>35</v>
      </c>
      <c r="D252" s="268">
        <f t="shared" si="19"/>
        <v>649</v>
      </c>
      <c r="E252" s="24">
        <v>60</v>
      </c>
      <c r="F252" s="22" t="str">
        <f>INDEX(Master_Data!$C$152:$L$864,D252,2)</f>
        <v>PUNCAK KEEMASAN LUMBUNG DUNIA, PT</v>
      </c>
      <c r="G252" s="24" t="str">
        <f>INDEX(Master_Data!$C$152:$L$864,D252,3)</f>
        <v>I</v>
      </c>
      <c r="H252" s="24">
        <f>INDEX(Master_Data!$C$152:$L$864,D252,1)</f>
        <v>3</v>
      </c>
      <c r="I252" s="24">
        <f>INDEX(Master_Data!$C$152:$L$864,D252,4)</f>
        <v>0</v>
      </c>
      <c r="J252" s="24">
        <f>INDEX(Master_Data!$C$152:$L$864,D252,5)</f>
        <v>0</v>
      </c>
      <c r="K252" s="137" t="str">
        <f>INDEX(Master_Data!$C$152:$L$864,D252,6)</f>
        <v>17-003/BKU-004/IV/225</v>
      </c>
      <c r="L252" s="140" t="str">
        <f>INDEX(Master_Data!$C$152:$L$864,D252,7)</f>
        <v>010.001-17.53957984</v>
      </c>
      <c r="M252" s="140">
        <f>INDEX(Master_Data!$C$152:$L$864,D252,8)</f>
        <v>0</v>
      </c>
      <c r="N252" s="264"/>
      <c r="O252" s="245" t="e">
        <f t="shared" si="20"/>
        <v>#VALUE!</v>
      </c>
      <c r="Q252" s="169" t="str">
        <f t="shared" si="21"/>
        <v>PUNCAK KEEMASAN LUMBUNG DUNIA, PTAPR</v>
      </c>
    </row>
    <row r="253" spans="2:17" s="61" customFormat="1" ht="14.1" customHeight="1">
      <c r="B253" s="242"/>
      <c r="C253" s="268">
        <f>MATCH($B$193,INDEX(Master_Data!$B$152:$B$864,D252+1,1):'Master_Data'!$B$864,0)</f>
        <v>10</v>
      </c>
      <c r="D253" s="268">
        <f t="shared" si="19"/>
        <v>659</v>
      </c>
      <c r="E253" s="24">
        <v>61</v>
      </c>
      <c r="F253" s="22" t="str">
        <f>INDEX(Master_Data!$C$152:$L$864,D253,2)</f>
        <v>RIUNG MITRA LESTARI, PT</v>
      </c>
      <c r="G253" s="24" t="str">
        <f>INDEX(Master_Data!$C$152:$L$864,D253,3)</f>
        <v>M</v>
      </c>
      <c r="H253" s="24">
        <f>INDEX(Master_Data!$C$152:$L$864,D253,1)</f>
        <v>3</v>
      </c>
      <c r="I253" s="24">
        <f>INDEX(Master_Data!$C$152:$L$864,D253,4)</f>
        <v>0</v>
      </c>
      <c r="J253" s="24">
        <f>INDEX(Master_Data!$C$152:$L$864,D253,5)</f>
        <v>0</v>
      </c>
      <c r="K253" s="137" t="str">
        <f>INDEX(Master_Data!$C$152:$L$864,D253,6)</f>
        <v>17-004/BKU-004/IV/149</v>
      </c>
      <c r="L253" s="140" t="str">
        <f>INDEX(Master_Data!$C$152:$L$864,D253,7)</f>
        <v>010.001-17.53957982</v>
      </c>
      <c r="M253" s="140">
        <f>INDEX(Master_Data!$C$152:$L$864,D253,8)</f>
        <v>0</v>
      </c>
      <c r="N253" s="264"/>
      <c r="O253" s="245" t="e">
        <f t="shared" si="20"/>
        <v>#VALUE!</v>
      </c>
      <c r="Q253" s="169" t="str">
        <f t="shared" si="21"/>
        <v>RIUNG MITRA LESTARI, PTAPR</v>
      </c>
    </row>
    <row r="254" spans="2:17" s="61" customFormat="1" ht="14.1" customHeight="1">
      <c r="B254" s="242"/>
      <c r="C254" s="268">
        <f>MATCH($B$193,INDEX(Master_Data!$B$152:$B$864,D253+1,1):'Master_Data'!$B$864,0)</f>
        <v>13</v>
      </c>
      <c r="D254" s="268">
        <f>D253+C254</f>
        <v>672</v>
      </c>
      <c r="E254" s="24">
        <v>62</v>
      </c>
      <c r="F254" s="22" t="str">
        <f>INDEX(Master_Data!$C$152:$L$864,D254,2)</f>
        <v>ROKA LANE ASIA, PT</v>
      </c>
      <c r="G254" s="24" t="str">
        <f>INDEX(Master_Data!$C$152:$L$864,D254,3)</f>
        <v>I</v>
      </c>
      <c r="H254" s="24">
        <f>INDEX(Master_Data!$C$152:$L$864,D254,1)</f>
        <v>3</v>
      </c>
      <c r="I254" s="24">
        <f>INDEX(Master_Data!$C$152:$L$864,D254,4)</f>
        <v>0</v>
      </c>
      <c r="J254" s="24">
        <f>INDEX(Master_Data!$C$152:$L$864,D254,5)</f>
        <v>0</v>
      </c>
      <c r="K254" s="137" t="str">
        <f>INDEX(Master_Data!$C$152:$L$864,D254,6)</f>
        <v>17-005/BKU-004/IV/239</v>
      </c>
      <c r="L254" s="140" t="str">
        <f>INDEX(Master_Data!$C$152:$L$864,D254,7)</f>
        <v>010.001-17.53957983</v>
      </c>
      <c r="M254" s="140">
        <f>INDEX(Master_Data!$C$152:$L$864,D254,8)</f>
        <v>0</v>
      </c>
      <c r="N254" s="264"/>
      <c r="O254" s="245" t="e">
        <f>L254+M254</f>
        <v>#VALUE!</v>
      </c>
      <c r="Q254" s="169" t="str">
        <f>CONCATENATE(F254,$B$193)</f>
        <v>ROKA LANE ASIA, PTAPR</v>
      </c>
    </row>
    <row r="255" spans="2:17" s="61" customFormat="1" ht="14.1" customHeight="1">
      <c r="B255" s="242"/>
      <c r="C255" s="268">
        <f>MATCH($B$193,INDEX(Master_Data!$B$152:$B$864,D254+1,1):'Master_Data'!$B$864,0)</f>
        <v>17</v>
      </c>
      <c r="D255" s="268">
        <f>D254+C255</f>
        <v>689</v>
      </c>
      <c r="E255" s="24">
        <v>63</v>
      </c>
      <c r="F255" s="22" t="str">
        <f>INDEX(Master_Data!$C$152:$L$864,D255,2)</f>
        <v>TEBAR TANDAN TENERA, PT</v>
      </c>
      <c r="G255" s="24" t="str">
        <f>INDEX(Master_Data!$C$152:$L$864,D255,3)</f>
        <v>V</v>
      </c>
      <c r="H255" s="24">
        <f>INDEX(Master_Data!$C$152:$L$864,D255,1)</f>
        <v>3</v>
      </c>
      <c r="I255" s="24">
        <f>INDEX(Master_Data!$C$152:$L$864,D255,4)</f>
        <v>0</v>
      </c>
      <c r="J255" s="24">
        <f>INDEX(Master_Data!$C$152:$L$864,D255,5)</f>
        <v>0</v>
      </c>
      <c r="K255" s="137" t="str">
        <f>INDEX(Master_Data!$C$152:$L$864,D255,6)</f>
        <v>17-004/BKU-004/IV/227</v>
      </c>
      <c r="L255" s="140" t="str">
        <f>INDEX(Master_Data!$C$152:$L$864,D255,7)</f>
        <v>010.001-17.53957999</v>
      </c>
      <c r="M255" s="140">
        <f>INDEX(Master_Data!$C$152:$L$864,D255,8)</f>
        <v>0</v>
      </c>
      <c r="N255" s="264"/>
      <c r="O255" s="245" t="e">
        <f>L255+M255</f>
        <v>#VALUE!</v>
      </c>
      <c r="Q255" s="169" t="str">
        <f>CONCATENATE(F255,$B$193)</f>
        <v>TEBAR TANDAN TENERA, PTAPR</v>
      </c>
    </row>
    <row r="256" spans="2:17" s="61" customFormat="1" ht="14.1" customHeight="1">
      <c r="B256" s="242"/>
      <c r="C256" s="268">
        <f>MATCH($B$193,INDEX(Master_Data!$B$152:$B$864,D255+1,1):'Master_Data'!$B$864,0)</f>
        <v>14</v>
      </c>
      <c r="D256" s="268">
        <f>D255+C256</f>
        <v>703</v>
      </c>
      <c r="E256" s="24">
        <v>64</v>
      </c>
      <c r="F256" s="22" t="str">
        <f>INDEX(Master_Data!$C$152:$L$864,D256,2)</f>
        <v>TRILOGI MEDIA SINEMA, PT</v>
      </c>
      <c r="G256" s="24" t="str">
        <f>INDEX(Master_Data!$C$152:$L$864,D256,3)</f>
        <v>SB</v>
      </c>
      <c r="H256" s="24">
        <f>INDEX(Master_Data!$C$152:$L$864,D256,1)</f>
        <v>3</v>
      </c>
      <c r="I256" s="24">
        <f>INDEX(Master_Data!$C$152:$L$864,D256,4)</f>
        <v>0</v>
      </c>
      <c r="J256" s="24">
        <f>INDEX(Master_Data!$C$152:$L$864,D256,5)</f>
        <v>0</v>
      </c>
      <c r="K256" s="137" t="str">
        <f>INDEX(Master_Data!$C$152:$L$864,D256,6)</f>
        <v>17-004/BKU-004/IV/166</v>
      </c>
      <c r="L256" s="140" t="str">
        <f>INDEX(Master_Data!$C$152:$L$864,D256,7)</f>
        <v>-</v>
      </c>
      <c r="M256" s="140">
        <f>INDEX(Master_Data!$C$152:$L$864,D256,8)</f>
        <v>0</v>
      </c>
      <c r="N256" s="264"/>
      <c r="O256" s="245" t="e">
        <f>L256+M256</f>
        <v>#VALUE!</v>
      </c>
      <c r="Q256" s="169" t="str">
        <f>CONCATENATE(F256,$B$193)</f>
        <v>TRILOGI MEDIA SINEMA, PTAPR</v>
      </c>
    </row>
    <row r="257" spans="2:17" s="61" customFormat="1" ht="14.1" customHeight="1">
      <c r="B257" s="242"/>
      <c r="C257" s="268">
        <f>MATCH($B$193,INDEX(Master_Data!$B$152:$B$864,D256+1,1):'Master_Data'!$B$864,0)</f>
        <v>2</v>
      </c>
      <c r="D257" s="268">
        <f>D256+C257</f>
        <v>705</v>
      </c>
      <c r="E257" s="24">
        <v>65</v>
      </c>
      <c r="F257" s="22" t="str">
        <f>INDEX(Master_Data!$C$152:$L$864,D257,2)</f>
        <v>ZTE INDONESIA, PT</v>
      </c>
      <c r="G257" s="24" t="str">
        <f>INDEX(Master_Data!$C$152:$L$864,D257,3)</f>
        <v>R</v>
      </c>
      <c r="H257" s="24">
        <f>INDEX(Master_Data!$C$152:$L$864,D257,1)</f>
        <v>5</v>
      </c>
      <c r="I257" s="24">
        <f>INDEX(Master_Data!$C$152:$L$864,D257,4)</f>
        <v>0</v>
      </c>
      <c r="J257" s="24">
        <f>INDEX(Master_Data!$C$152:$L$864,D257,5)</f>
        <v>0</v>
      </c>
      <c r="K257" s="137" t="str">
        <f>INDEX(Master_Data!$C$152:$L$864,D257,6)</f>
        <v>BKU-ZTE17001</v>
      </c>
      <c r="L257" s="140" t="str">
        <f>INDEX(Master_Data!$C$152:$L$864,D257,7)</f>
        <v>010.001-17.53958004</v>
      </c>
      <c r="M257" s="140">
        <f>INDEX(Master_Data!$C$152:$L$864,D257,8)</f>
        <v>0</v>
      </c>
      <c r="N257" s="264"/>
      <c r="O257" s="245" t="e">
        <f>L257+M257</f>
        <v>#VALUE!</v>
      </c>
      <c r="Q257" s="169" t="str">
        <f>CONCATENATE(F257,$B$193)</f>
        <v>ZTE INDONESIA, PTAPR</v>
      </c>
    </row>
    <row r="258" spans="2:17" ht="20.25" customHeight="1">
      <c r="B258" s="1758" t="s">
        <v>7</v>
      </c>
      <c r="C258" s="1758"/>
      <c r="D258" s="1758"/>
      <c r="E258" s="1758"/>
      <c r="F258" s="1758"/>
      <c r="G258" s="1758"/>
      <c r="H258" s="1758"/>
      <c r="I258" s="1758"/>
      <c r="J258" s="1758"/>
      <c r="K258" s="12">
        <f>SUM(K193:K257)</f>
        <v>0</v>
      </c>
      <c r="L258" s="142">
        <f>SUM(L193:L257)</f>
        <v>0</v>
      </c>
      <c r="M258" s="142">
        <f>SUM(M193:M257)</f>
        <v>0</v>
      </c>
      <c r="N258" s="12">
        <f>SUM(N193:N257)</f>
        <v>0</v>
      </c>
      <c r="O258" s="13" t="e">
        <f>SUM(O193:O257)</f>
        <v>#VALUE!</v>
      </c>
      <c r="Q258" s="169"/>
    </row>
    <row r="259" spans="2:17">
      <c r="O259" s="5">
        <v>1600482332.24</v>
      </c>
      <c r="Q259" s="169"/>
    </row>
    <row r="260" spans="2:17">
      <c r="O260" s="5" t="e">
        <f>O258-O259</f>
        <v>#VALUE!</v>
      </c>
    </row>
    <row r="261" spans="2:17" s="7" customFormat="1" ht="15" customHeight="1">
      <c r="B261" s="1759" t="s">
        <v>198</v>
      </c>
      <c r="C261" s="1760" t="s">
        <v>200</v>
      </c>
      <c r="D261" s="1760"/>
      <c r="E261" s="1759" t="s">
        <v>6</v>
      </c>
      <c r="F261" s="1758" t="s">
        <v>3</v>
      </c>
      <c r="G261" s="1761" t="s">
        <v>141</v>
      </c>
      <c r="H261" s="1758" t="s">
        <v>58</v>
      </c>
      <c r="I261" s="1758"/>
      <c r="J261" s="1758"/>
      <c r="K261" s="1758"/>
      <c r="L261" s="1758"/>
      <c r="M261" s="1758"/>
      <c r="N261" s="1758"/>
      <c r="O261" s="1758"/>
    </row>
    <row r="262" spans="2:17" s="7" customFormat="1" ht="15" customHeight="1">
      <c r="B262" s="1759"/>
      <c r="C262" s="1764" t="s">
        <v>196</v>
      </c>
      <c r="D262" s="1764" t="s">
        <v>197</v>
      </c>
      <c r="E262" s="1759"/>
      <c r="F262" s="1758"/>
      <c r="G262" s="1762"/>
      <c r="H262" s="1766" t="s">
        <v>15</v>
      </c>
      <c r="I262" s="1766" t="s">
        <v>51</v>
      </c>
      <c r="J262" s="1766" t="s">
        <v>12</v>
      </c>
      <c r="K262" s="1768" t="s">
        <v>11</v>
      </c>
      <c r="L262" s="1768" t="s">
        <v>53</v>
      </c>
      <c r="M262" s="1768" t="s">
        <v>1</v>
      </c>
      <c r="N262" s="1770" t="s">
        <v>50</v>
      </c>
      <c r="O262" s="1770"/>
    </row>
    <row r="263" spans="2:17" s="7" customFormat="1">
      <c r="B263" s="1759"/>
      <c r="C263" s="1765"/>
      <c r="D263" s="1765"/>
      <c r="E263" s="1759"/>
      <c r="F263" s="1758"/>
      <c r="G263" s="1763"/>
      <c r="H263" s="1767"/>
      <c r="I263" s="1767"/>
      <c r="J263" s="1767"/>
      <c r="K263" s="1769"/>
      <c r="L263" s="1769"/>
      <c r="M263" s="1769"/>
      <c r="N263" s="332" t="s">
        <v>54</v>
      </c>
      <c r="O263" s="332" t="s">
        <v>55</v>
      </c>
      <c r="Q263" s="168" t="s">
        <v>235</v>
      </c>
    </row>
    <row r="264" spans="2:17" s="7" customFormat="1" ht="14.1" customHeight="1">
      <c r="B264" s="337" t="s">
        <v>58</v>
      </c>
      <c r="C264" s="151">
        <f>MATCH(B264,Master_Data!$B$152:$B$864,0)</f>
        <v>7</v>
      </c>
      <c r="D264" s="151">
        <f>C264</f>
        <v>7</v>
      </c>
      <c r="E264" s="20">
        <v>1</v>
      </c>
      <c r="F264" s="75" t="str">
        <f>INDEX(Master_Data!$C$152:$L$864,D264,2)</f>
        <v>BANDARA WASIOR PAPUA BARAT, PT</v>
      </c>
      <c r="G264" s="20" t="str">
        <f>INDEX(Master_Data!$C$152:$L$864,D264,3)</f>
        <v>I</v>
      </c>
      <c r="H264" s="20">
        <f>INDEX(Master_Data!$C$152:$L$864,D264,1)</f>
        <v>18</v>
      </c>
      <c r="I264" s="20" t="str">
        <f>INDEX(Master_Data!$C$152:$L$864,D264,4)</f>
        <v>Layanan Akses Internet 1 Mbps pada Bandara Wasior Papua Barat</v>
      </c>
      <c r="J264" s="20" t="str">
        <f>INDEX(Master_Data!$C$152:$L$864,D264,5)</f>
        <v>27 Mei-27 Juni</v>
      </c>
      <c r="K264" s="708" t="str">
        <f>INDEX(Master_Data!$C$152:$L$864,D264,6)</f>
        <v>17-003/BKU-004/V/248</v>
      </c>
      <c r="L264" s="139" t="str">
        <f>INDEX(Master_Data!$C$152:$L$864,D264,7)</f>
        <v>020.019-17.53122144</v>
      </c>
      <c r="M264" s="139">
        <f>INDEX(Master_Data!$C$152:$L$864,D264,8)</f>
        <v>0</v>
      </c>
      <c r="N264" s="266"/>
      <c r="O264" s="272" t="e">
        <f>L264+M264</f>
        <v>#VALUE!</v>
      </c>
      <c r="Q264" s="169" t="str">
        <f>CONCATENATE(F264,$B$264)</f>
        <v>BANDARA WASIOR PAPUA BARAT, PTMEI</v>
      </c>
    </row>
    <row r="265" spans="2:17" s="61" customFormat="1" ht="14.1" customHeight="1">
      <c r="B265" s="338"/>
      <c r="C265" s="268">
        <f>MATCH($B$264,INDEX(Master_Data!$B$152:$B$864,D264+1,1):'Master_Data'!$B$864,0)</f>
        <v>16</v>
      </c>
      <c r="D265" s="268">
        <f>D264+C265</f>
        <v>23</v>
      </c>
      <c r="E265" s="54">
        <v>2</v>
      </c>
      <c r="F265" s="22" t="str">
        <f>INDEX(Master_Data!$C$152:$L$864,D265,2)</f>
        <v>BUKIT MAKMUR MANDIRI UTAMA, PT</v>
      </c>
      <c r="G265" s="24" t="str">
        <f>INDEX(Master_Data!$C$152:$L$864,D265,3)</f>
        <v>HMS</v>
      </c>
      <c r="H265" s="24">
        <f>INDEX(Master_Data!$C$152:$L$864,D265,1)</f>
        <v>31</v>
      </c>
      <c r="I265" s="24">
        <f>INDEX(Master_Data!$C$152:$L$864,D265,4)</f>
        <v>0</v>
      </c>
      <c r="J265" s="24">
        <f>INDEX(Master_Data!$C$152:$L$864,D265,5)</f>
        <v>0</v>
      </c>
      <c r="K265" s="137" t="str">
        <f>INDEX(Master_Data!$C$152:$L$864,D265,6)</f>
        <v>17-009/BKU-004/V/172</v>
      </c>
      <c r="L265" s="140" t="str">
        <f>INDEX(Master_Data!$C$152:$L$864,D265,7)</f>
        <v>010.018-17.04159667</v>
      </c>
      <c r="M265" s="140">
        <f>INDEX(Master_Data!$C$152:$L$864,D265,8)</f>
        <v>0</v>
      </c>
      <c r="N265" s="264"/>
      <c r="O265" s="245" t="e">
        <f t="shared" ref="O265:O297" si="22">L265+M265</f>
        <v>#VALUE!</v>
      </c>
      <c r="Q265" s="169" t="str">
        <f t="shared" ref="Q265:Q312" si="23">CONCATENATE(F265,$B$264)</f>
        <v>BUKIT MAKMUR MANDIRI UTAMA, PTMEI</v>
      </c>
    </row>
    <row r="266" spans="2:17" s="61" customFormat="1" ht="14.1" customHeight="1">
      <c r="B266" s="338"/>
      <c r="C266" s="268">
        <f>MATCH($B$264,INDEX(Master_Data!$B$152:$B$864,D265+1,1):'Master_Data'!$B$864,0)</f>
        <v>17</v>
      </c>
      <c r="D266" s="268">
        <f t="shared" ref="D266:D297" si="24">D265+C266</f>
        <v>40</v>
      </c>
      <c r="E266" s="24">
        <v>3</v>
      </c>
      <c r="F266" s="22" t="str">
        <f>INDEX(Master_Data!$C$152:$L$864,D266,2)</f>
        <v>CAKRAWALA SEJAHTERA, PT</v>
      </c>
      <c r="G266" s="24" t="str">
        <f>INDEX(Master_Data!$C$152:$L$864,D266,3)</f>
        <v>V</v>
      </c>
      <c r="H266" s="24">
        <f>INDEX(Master_Data!$C$152:$L$864,D266,1)</f>
        <v>2</v>
      </c>
      <c r="I266" s="24">
        <f>INDEX(Master_Data!$C$152:$L$864,D266,4)</f>
        <v>0</v>
      </c>
      <c r="J266" s="24">
        <f>INDEX(Master_Data!$C$152:$L$864,D266,5)</f>
        <v>0</v>
      </c>
      <c r="K266" s="137" t="str">
        <f>INDEX(Master_Data!$C$152:$L$864,D266,6)</f>
        <v>17-006/BKU-004/V/198</v>
      </c>
      <c r="L266" s="140" t="str">
        <f>INDEX(Master_Data!$C$152:$L$864,D266,7)</f>
        <v>010.018-17.04159580</v>
      </c>
      <c r="M266" s="140">
        <f>INDEX(Master_Data!$C$152:$L$864,D266,8)</f>
        <v>0</v>
      </c>
      <c r="N266" s="264"/>
      <c r="O266" s="245" t="e">
        <f t="shared" si="22"/>
        <v>#VALUE!</v>
      </c>
      <c r="Q266" s="169" t="str">
        <f t="shared" si="23"/>
        <v>CAKRAWALA SEJAHTERA, PTMEI</v>
      </c>
    </row>
    <row r="267" spans="2:17" s="61" customFormat="1" ht="14.1" customHeight="1">
      <c r="B267" s="338"/>
      <c r="C267" s="268">
        <f>MATCH($B$264,INDEX(Master_Data!$B$152:$B$864,D266+1,1):'Master_Data'!$B$864,0)</f>
        <v>4</v>
      </c>
      <c r="D267" s="268">
        <f t="shared" si="24"/>
        <v>44</v>
      </c>
      <c r="E267" s="54">
        <v>4</v>
      </c>
      <c r="F267" s="22" t="str">
        <f>INDEX(Master_Data!$C$152:$L$864,D267,2)</f>
        <v>CENTRALINK, PT</v>
      </c>
      <c r="G267" s="24" t="str">
        <f>INDEX(Master_Data!$C$152:$L$864,D267,3)</f>
        <v>L</v>
      </c>
      <c r="H267" s="24">
        <f>INDEX(Master_Data!$C$152:$L$864,D267,1)</f>
        <v>8</v>
      </c>
      <c r="I267" s="24">
        <f>INDEX(Master_Data!$C$152:$L$864,D267,4)</f>
        <v>0</v>
      </c>
      <c r="J267" s="24">
        <f>INDEX(Master_Data!$C$152:$L$864,D267,5)</f>
        <v>0</v>
      </c>
      <c r="K267" s="137" t="str">
        <f>INDEX(Master_Data!$C$152:$L$864,D267,6)</f>
        <v>17-002/BKU-004/V/244</v>
      </c>
      <c r="L267" s="140" t="str">
        <f>INDEX(Master_Data!$C$152:$L$864,D267,7)</f>
        <v>010.018-17.04159616</v>
      </c>
      <c r="M267" s="140">
        <f>INDEX(Master_Data!$C$152:$L$864,D267,8)</f>
        <v>0</v>
      </c>
      <c r="N267" s="264"/>
      <c r="O267" s="245" t="e">
        <f t="shared" si="22"/>
        <v>#VALUE!</v>
      </c>
      <c r="Q267" s="169" t="str">
        <f t="shared" si="23"/>
        <v>CENTRALINK, PTMEI</v>
      </c>
    </row>
    <row r="268" spans="2:17" s="61" customFormat="1" ht="14.1" customHeight="1">
      <c r="B268" s="338"/>
      <c r="C268" s="268">
        <f>MATCH($B$264,INDEX(Master_Data!$B$152:$B$864,D267+1,1):'Master_Data'!$B$864,0)</f>
        <v>5</v>
      </c>
      <c r="D268" s="268">
        <f t="shared" si="24"/>
        <v>49</v>
      </c>
      <c r="E268" s="24">
        <v>5</v>
      </c>
      <c r="F268" s="22" t="str">
        <f>INDEX(Master_Data!$C$152:$L$864,D268,2)</f>
        <v>CIPTA INFORMATIKA CEMERLANG, PT</v>
      </c>
      <c r="G268" s="24" t="str">
        <f>INDEX(Master_Data!$C$152:$L$864,D268,3)</f>
        <v>P</v>
      </c>
      <c r="H268" s="24">
        <f>INDEX(Master_Data!$C$152:$L$864,D268,1)</f>
        <v>2</v>
      </c>
      <c r="I268" s="24">
        <f>INDEX(Master_Data!$C$152:$L$864,D268,4)</f>
        <v>0</v>
      </c>
      <c r="J268" s="24">
        <f>INDEX(Master_Data!$C$152:$L$864,D268,5)</f>
        <v>0</v>
      </c>
      <c r="K268" s="137" t="str">
        <f>INDEX(Master_Data!$C$152:$L$864,D268,6)</f>
        <v>17-005/BKU-004/V/097</v>
      </c>
      <c r="L268" s="140" t="str">
        <f>INDEX(Master_Data!$C$152:$L$864,D268,7)</f>
        <v>010.018-17.04159581</v>
      </c>
      <c r="M268" s="140">
        <f>INDEX(Master_Data!$C$152:$L$864,D268,8)</f>
        <v>0</v>
      </c>
      <c r="N268" s="264"/>
      <c r="O268" s="245" t="e">
        <f t="shared" si="22"/>
        <v>#VALUE!</v>
      </c>
      <c r="Q268" s="169" t="str">
        <f t="shared" si="23"/>
        <v>CIPTA INFORMATIKA CEMERLANG, PTMEI</v>
      </c>
    </row>
    <row r="269" spans="2:17" s="61" customFormat="1" ht="14.1" customHeight="1">
      <c r="B269" s="338"/>
      <c r="C269" s="268">
        <f>MATCH($B$264,INDEX(Master_Data!$B$152:$B$864,D268+1,1):'Master_Data'!$B$864,0)</f>
        <v>3</v>
      </c>
      <c r="D269" s="268">
        <f t="shared" si="24"/>
        <v>52</v>
      </c>
      <c r="E269" s="54">
        <v>6</v>
      </c>
      <c r="F269" s="22" t="str">
        <f>INDEX(Master_Data!$C$152:$L$864,D269,2)</f>
        <v>DUTA TAMBANG REKAYASA, PT</v>
      </c>
      <c r="G269" s="24" t="str">
        <f>INDEX(Master_Data!$C$152:$L$864,D269,3)</f>
        <v>O</v>
      </c>
      <c r="H269" s="24">
        <f>INDEX(Master_Data!$C$152:$L$864,D269,1)</f>
        <v>2</v>
      </c>
      <c r="I269" s="24">
        <f>INDEX(Master_Data!$C$152:$L$864,D269,4)</f>
        <v>0</v>
      </c>
      <c r="J269" s="24">
        <f>INDEX(Master_Data!$C$152:$L$864,D269,5)</f>
        <v>0</v>
      </c>
      <c r="K269" s="137" t="str">
        <f>INDEX(Master_Data!$C$152:$L$864,D269,6)</f>
        <v>17-001/BKU-004/V/243</v>
      </c>
      <c r="L269" s="140" t="str">
        <f>INDEX(Master_Data!$C$152:$L$864,D269,7)</f>
        <v>010.018-17.04159603</v>
      </c>
      <c r="M269" s="140">
        <f>INDEX(Master_Data!$C$152:$L$864,D269,8)</f>
        <v>0</v>
      </c>
      <c r="N269" s="264"/>
      <c r="O269" s="245" t="e">
        <f t="shared" si="22"/>
        <v>#VALUE!</v>
      </c>
      <c r="Q269" s="169" t="str">
        <f t="shared" si="23"/>
        <v>DUTA TAMBANG REKAYASA, PTMEI</v>
      </c>
    </row>
    <row r="270" spans="2:17" s="61" customFormat="1" ht="14.1" customHeight="1">
      <c r="B270" s="338"/>
      <c r="C270" s="268">
        <f>MATCH($B$264,INDEX(Master_Data!$B$152:$B$864,D269+1,1):'Master_Data'!$B$864,0)</f>
        <v>12</v>
      </c>
      <c r="D270" s="268">
        <f t="shared" si="24"/>
        <v>64</v>
      </c>
      <c r="E270" s="24">
        <v>7</v>
      </c>
      <c r="F270" s="22" t="str">
        <f>INDEX(Master_Data!$C$152:$L$864,D270,2)</f>
        <v>ELGA YASA MEDIA, PT</v>
      </c>
      <c r="G270" s="24" t="str">
        <f>INDEX(Master_Data!$C$152:$L$864,D270,3)</f>
        <v>W</v>
      </c>
      <c r="H270" s="24">
        <f>INDEX(Master_Data!$C$152:$L$864,D270,1)</f>
        <v>2</v>
      </c>
      <c r="I270" s="24">
        <f>INDEX(Master_Data!$C$152:$L$864,D270,4)</f>
        <v>0</v>
      </c>
      <c r="J270" s="24">
        <f>INDEX(Master_Data!$C$152:$L$864,D270,5)</f>
        <v>0</v>
      </c>
      <c r="K270" s="137" t="str">
        <f>INDEX(Master_Data!$C$152:$L$864,D270,6)</f>
        <v>17-006/BKU-004/V/007</v>
      </c>
      <c r="L270" s="140" t="str">
        <f>INDEX(Master_Data!$C$152:$L$864,D270,7)</f>
        <v>010.018-17.04159602</v>
      </c>
      <c r="M270" s="140">
        <f>INDEX(Master_Data!$C$152:$L$864,D270,8)</f>
        <v>0</v>
      </c>
      <c r="N270" s="264"/>
      <c r="O270" s="245" t="e">
        <f t="shared" si="22"/>
        <v>#VALUE!</v>
      </c>
      <c r="Q270" s="169" t="str">
        <f t="shared" si="23"/>
        <v>ELGA YASA MEDIA, PTMEI</v>
      </c>
    </row>
    <row r="271" spans="2:17" s="61" customFormat="1" ht="14.1" customHeight="1">
      <c r="B271" s="338"/>
      <c r="C271" s="268">
        <f>MATCH($B$264,INDEX(Master_Data!$B$152:$B$864,D270+1,1):'Master_Data'!$B$864,0)</f>
        <v>39</v>
      </c>
      <c r="D271" s="268">
        <f t="shared" si="24"/>
        <v>103</v>
      </c>
      <c r="E271" s="54">
        <v>8</v>
      </c>
      <c r="F271" s="22" t="str">
        <f>INDEX(Master_Data!$C$152:$L$864,D271,2)</f>
        <v>HARMONI PANCA UTAMA, PT</v>
      </c>
      <c r="G271" s="24" t="str">
        <f>INDEX(Master_Data!$C$152:$L$864,D271,3)</f>
        <v>M</v>
      </c>
      <c r="H271" s="24">
        <f>INDEX(Master_Data!$C$152:$L$864,D271,1)</f>
        <v>4</v>
      </c>
      <c r="I271" s="24">
        <f>INDEX(Master_Data!$C$152:$L$864,D271,4)</f>
        <v>0</v>
      </c>
      <c r="J271" s="24">
        <f>INDEX(Master_Data!$C$152:$L$864,D271,5)</f>
        <v>0</v>
      </c>
      <c r="K271" s="137" t="str">
        <f>INDEX(Master_Data!$C$152:$L$864,D271,6)</f>
        <v>17-030/BKU-004/V/159</v>
      </c>
      <c r="L271" s="140" t="str">
        <f>INDEX(Master_Data!$C$152:$L$864,D271,7)</f>
        <v>010.018-17.04159607</v>
      </c>
      <c r="M271" s="140">
        <f>INDEX(Master_Data!$C$152:$L$864,D271,8)</f>
        <v>0</v>
      </c>
      <c r="N271" s="264"/>
      <c r="O271" s="245" t="e">
        <f t="shared" si="22"/>
        <v>#VALUE!</v>
      </c>
      <c r="Q271" s="169" t="str">
        <f t="shared" si="23"/>
        <v>HARMONI PANCA UTAMA, PTMEI</v>
      </c>
    </row>
    <row r="272" spans="2:17" s="61" customFormat="1" ht="14.1" customHeight="1">
      <c r="B272" s="338"/>
      <c r="C272" s="268">
        <f>MATCH($B$264,INDEX(Master_Data!$B$152:$B$864,D271+1,1):'Master_Data'!$B$864,0)</f>
        <v>1</v>
      </c>
      <c r="D272" s="268">
        <f t="shared" si="24"/>
        <v>104</v>
      </c>
      <c r="E272" s="24">
        <v>9</v>
      </c>
      <c r="F272" s="22" t="str">
        <f>INDEX(Master_Data!$C$152:$L$864,D272,2)</f>
        <v>HARMONI PANCA UTAMA, PT</v>
      </c>
      <c r="G272" s="24" t="str">
        <f>INDEX(Master_Data!$C$152:$L$864,D272,3)</f>
        <v>M</v>
      </c>
      <c r="H272" s="24">
        <f>INDEX(Master_Data!$C$152:$L$864,D272,1)</f>
        <v>4</v>
      </c>
      <c r="I272" s="24">
        <f>INDEX(Master_Data!$C$152:$L$864,D272,4)</f>
        <v>0</v>
      </c>
      <c r="J272" s="24">
        <f>INDEX(Master_Data!$C$152:$L$864,D272,5)</f>
        <v>0</v>
      </c>
      <c r="K272" s="137" t="str">
        <f>INDEX(Master_Data!$C$152:$L$864,D272,6)</f>
        <v>17-031/BKU-004/V/159</v>
      </c>
      <c r="L272" s="140" t="str">
        <f>INDEX(Master_Data!$C$152:$L$864,D272,7)</f>
        <v>010.018-17.04159608</v>
      </c>
      <c r="M272" s="140">
        <f>INDEX(Master_Data!$C$152:$L$864,D272,8)</f>
        <v>0</v>
      </c>
      <c r="N272" s="264"/>
      <c r="O272" s="245" t="e">
        <f t="shared" si="22"/>
        <v>#VALUE!</v>
      </c>
      <c r="Q272" s="169" t="str">
        <f t="shared" si="23"/>
        <v>HARMONI PANCA UTAMA, PTMEI</v>
      </c>
    </row>
    <row r="273" spans="2:17" s="61" customFormat="1" ht="14.1" customHeight="1">
      <c r="B273" s="338"/>
      <c r="C273" s="268">
        <f>MATCH($B$264,INDEX(Master_Data!$B$152:$B$864,D272+1,1):'Master_Data'!$B$864,0)</f>
        <v>1</v>
      </c>
      <c r="D273" s="268">
        <f t="shared" si="24"/>
        <v>105</v>
      </c>
      <c r="E273" s="54">
        <v>10</v>
      </c>
      <c r="F273" s="22" t="str">
        <f>INDEX(Master_Data!$C$152:$L$864,D273,2)</f>
        <v>HARMONI PANCA UTAMA, PT</v>
      </c>
      <c r="G273" s="24" t="str">
        <f>INDEX(Master_Data!$C$152:$L$864,D273,3)</f>
        <v>M</v>
      </c>
      <c r="H273" s="24">
        <f>INDEX(Master_Data!$C$152:$L$864,D273,1)</f>
        <v>4</v>
      </c>
      <c r="I273" s="24">
        <f>INDEX(Master_Data!$C$152:$L$864,D273,4)</f>
        <v>0</v>
      </c>
      <c r="J273" s="24">
        <f>INDEX(Master_Data!$C$152:$L$864,D273,5)</f>
        <v>0</v>
      </c>
      <c r="K273" s="137" t="str">
        <f>INDEX(Master_Data!$C$152:$L$864,D273,6)</f>
        <v>17-032/BKU-004/V/159</v>
      </c>
      <c r="L273" s="140" t="str">
        <f>INDEX(Master_Data!$C$152:$L$864,D273,7)</f>
        <v>010.018-17.04159609</v>
      </c>
      <c r="M273" s="140">
        <f>INDEX(Master_Data!$C$152:$L$864,D273,8)</f>
        <v>0</v>
      </c>
      <c r="N273" s="264"/>
      <c r="O273" s="245" t="e">
        <f t="shared" si="22"/>
        <v>#VALUE!</v>
      </c>
      <c r="Q273" s="169" t="str">
        <f t="shared" si="23"/>
        <v>HARMONI PANCA UTAMA, PTMEI</v>
      </c>
    </row>
    <row r="274" spans="2:17" s="61" customFormat="1" ht="14.1" customHeight="1">
      <c r="B274" s="338"/>
      <c r="C274" s="268">
        <f>MATCH($B$264,INDEX(Master_Data!$B$152:$B$864,D273+1,1):'Master_Data'!$B$864,0)</f>
        <v>1</v>
      </c>
      <c r="D274" s="268">
        <f t="shared" si="24"/>
        <v>106</v>
      </c>
      <c r="E274" s="24">
        <v>11</v>
      </c>
      <c r="F274" s="22" t="str">
        <f>INDEX(Master_Data!$C$152:$L$864,D274,2)</f>
        <v>HARMONI PANCA UTAMA, PT</v>
      </c>
      <c r="G274" s="24" t="str">
        <f>INDEX(Master_Data!$C$152:$L$864,D274,3)</f>
        <v>V</v>
      </c>
      <c r="H274" s="24">
        <f>INDEX(Master_Data!$C$152:$L$864,D274,1)</f>
        <v>4</v>
      </c>
      <c r="I274" s="24">
        <f>INDEX(Master_Data!$C$152:$L$864,D274,4)</f>
        <v>0</v>
      </c>
      <c r="J274" s="24">
        <f>INDEX(Master_Data!$C$152:$L$864,D274,5)</f>
        <v>0</v>
      </c>
      <c r="K274" s="137" t="str">
        <f>INDEX(Master_Data!$C$152:$L$864,D274,6)</f>
        <v>17-033/BKU-004/V/159</v>
      </c>
      <c r="L274" s="140" t="str">
        <f>INDEX(Master_Data!$C$152:$L$864,D274,7)</f>
        <v>010.018-17.04159610</v>
      </c>
      <c r="M274" s="140">
        <f>INDEX(Master_Data!$C$152:$L$864,D274,8)</f>
        <v>0</v>
      </c>
      <c r="N274" s="264"/>
      <c r="O274" s="245" t="e">
        <f t="shared" si="22"/>
        <v>#VALUE!</v>
      </c>
      <c r="Q274" s="169" t="str">
        <f t="shared" si="23"/>
        <v>HARMONI PANCA UTAMA, PTMEI</v>
      </c>
    </row>
    <row r="275" spans="2:17" s="61" customFormat="1" ht="14.1" customHeight="1">
      <c r="B275" s="338"/>
      <c r="C275" s="268">
        <f>MATCH($B$264,INDEX(Master_Data!$B$152:$B$864,D274+1,1):'Master_Data'!$B$864,0)</f>
        <v>1</v>
      </c>
      <c r="D275" s="268">
        <f t="shared" si="24"/>
        <v>107</v>
      </c>
      <c r="E275" s="54">
        <v>12</v>
      </c>
      <c r="F275" s="22" t="str">
        <f>INDEX(Master_Data!$C$152:$L$864,D275,2)</f>
        <v>HARMONI PANCA UTAMA, PT</v>
      </c>
      <c r="G275" s="24" t="str">
        <f>INDEX(Master_Data!$C$152:$L$864,D275,3)</f>
        <v>V</v>
      </c>
      <c r="H275" s="24">
        <f>INDEX(Master_Data!$C$152:$L$864,D275,1)</f>
        <v>4</v>
      </c>
      <c r="I275" s="24">
        <f>INDEX(Master_Data!$C$152:$L$864,D275,4)</f>
        <v>0</v>
      </c>
      <c r="J275" s="24">
        <f>INDEX(Master_Data!$C$152:$L$864,D275,5)</f>
        <v>0</v>
      </c>
      <c r="K275" s="137" t="str">
        <f>INDEX(Master_Data!$C$152:$L$864,D275,6)</f>
        <v>17-034/BKU-004/V/159</v>
      </c>
      <c r="L275" s="140" t="str">
        <f>INDEX(Master_Data!$C$152:$L$864,D275,7)</f>
        <v>010.018-17.04159611</v>
      </c>
      <c r="M275" s="140">
        <f>INDEX(Master_Data!$C$152:$L$864,D275,8)</f>
        <v>0</v>
      </c>
      <c r="N275" s="264"/>
      <c r="O275" s="245" t="e">
        <f t="shared" si="22"/>
        <v>#VALUE!</v>
      </c>
      <c r="Q275" s="169" t="str">
        <f t="shared" si="23"/>
        <v>HARMONI PANCA UTAMA, PTMEI</v>
      </c>
    </row>
    <row r="276" spans="2:17" s="61" customFormat="1" ht="14.1" customHeight="1">
      <c r="B276" s="338"/>
      <c r="C276" s="268">
        <f>MATCH($B$264,INDEX(Master_Data!$B$152:$B$864,D275+1,1):'Master_Data'!$B$864,0)</f>
        <v>1</v>
      </c>
      <c r="D276" s="268">
        <f t="shared" si="24"/>
        <v>108</v>
      </c>
      <c r="E276" s="24">
        <v>13</v>
      </c>
      <c r="F276" s="22" t="str">
        <f>INDEX(Master_Data!$C$152:$L$864,D276,2)</f>
        <v>HARMONI PANCA UTAMA, PT</v>
      </c>
      <c r="G276" s="24" t="str">
        <f>INDEX(Master_Data!$C$152:$L$864,D276,3)</f>
        <v>V</v>
      </c>
      <c r="H276" s="24">
        <f>INDEX(Master_Data!$C$152:$L$864,D276,1)</f>
        <v>4</v>
      </c>
      <c r="I276" s="24">
        <f>INDEX(Master_Data!$C$152:$L$864,D276,4)</f>
        <v>0</v>
      </c>
      <c r="J276" s="24">
        <f>INDEX(Master_Data!$C$152:$L$864,D276,5)</f>
        <v>0</v>
      </c>
      <c r="K276" s="137" t="str">
        <f>INDEX(Master_Data!$C$152:$L$864,D276,6)</f>
        <v>17-035/BKU-004/V/159</v>
      </c>
      <c r="L276" s="140" t="str">
        <f>INDEX(Master_Data!$C$152:$L$864,D276,7)</f>
        <v>010.018-17.04159612</v>
      </c>
      <c r="M276" s="140">
        <f>INDEX(Master_Data!$C$152:$L$864,D276,8)</f>
        <v>0</v>
      </c>
      <c r="N276" s="264"/>
      <c r="O276" s="245" t="e">
        <f t="shared" si="22"/>
        <v>#VALUE!</v>
      </c>
      <c r="Q276" s="169" t="str">
        <f t="shared" si="23"/>
        <v>HARMONI PANCA UTAMA, PTMEI</v>
      </c>
    </row>
    <row r="277" spans="2:17" s="61" customFormat="1" ht="14.1" customHeight="1">
      <c r="B277" s="242"/>
      <c r="C277" s="268">
        <f>MATCH($B$264,INDEX(Master_Data!$B$152:$B$864,D276+1,1):'Master_Data'!$B$864,0)</f>
        <v>75</v>
      </c>
      <c r="D277" s="268">
        <f t="shared" si="24"/>
        <v>183</v>
      </c>
      <c r="E277" s="54">
        <v>14</v>
      </c>
      <c r="F277" s="22" t="str">
        <f>INDEX(Master_Data!$C$152:$L$864,D277,2)</f>
        <v>HASTA PANCA MANDIRI UTAMA, PT</v>
      </c>
      <c r="G277" s="24" t="str">
        <f>INDEX(Master_Data!$C$152:$L$864,D277,3)</f>
        <v>V</v>
      </c>
      <c r="H277" s="24">
        <f>INDEX(Master_Data!$C$152:$L$864,D277,1)</f>
        <v>4</v>
      </c>
      <c r="I277" s="24">
        <f>INDEX(Master_Data!$C$152:$L$864,D277,4)</f>
        <v>0</v>
      </c>
      <c r="J277" s="24">
        <f>INDEX(Master_Data!$C$152:$L$864,D277,5)</f>
        <v>0</v>
      </c>
      <c r="K277" s="137" t="str">
        <f>INDEX(Master_Data!$C$152:$L$864,D277,6)</f>
        <v>17-017/BKU-004/V/179</v>
      </c>
      <c r="L277" s="140" t="str">
        <f>INDEX(Master_Data!$C$152:$L$864,D277,7)</f>
        <v>010.018-17.04159604</v>
      </c>
      <c r="M277" s="140">
        <f>INDEX(Master_Data!$C$152:$L$864,D277,8)</f>
        <v>0</v>
      </c>
      <c r="N277" s="264"/>
      <c r="O277" s="245" t="e">
        <f t="shared" si="22"/>
        <v>#VALUE!</v>
      </c>
      <c r="Q277" s="169" t="str">
        <f t="shared" si="23"/>
        <v>HASTA PANCA MANDIRI UTAMA, PTMEI</v>
      </c>
    </row>
    <row r="278" spans="2:17" s="61" customFormat="1" ht="14.1" customHeight="1">
      <c r="B278" s="242"/>
      <c r="C278" s="268">
        <f>MATCH($B$264,INDEX(Master_Data!$B$152:$B$864,D277+1,1):'Master_Data'!$B$864,0)</f>
        <v>1</v>
      </c>
      <c r="D278" s="268">
        <f t="shared" si="24"/>
        <v>184</v>
      </c>
      <c r="E278" s="24">
        <v>15</v>
      </c>
      <c r="F278" s="22" t="str">
        <f>INDEX(Master_Data!$C$152:$L$864,D278,2)</f>
        <v>HASTA PANCA MANDIRI UTAMA, PT</v>
      </c>
      <c r="G278" s="24" t="str">
        <f>INDEX(Master_Data!$C$152:$L$864,D278,3)</f>
        <v>V</v>
      </c>
      <c r="H278" s="24">
        <f>INDEX(Master_Data!$C$152:$L$864,D278,1)</f>
        <v>4</v>
      </c>
      <c r="I278" s="24">
        <f>INDEX(Master_Data!$C$152:$L$864,D278,4)</f>
        <v>0</v>
      </c>
      <c r="J278" s="24">
        <f>INDEX(Master_Data!$C$152:$L$864,D278,5)</f>
        <v>0</v>
      </c>
      <c r="K278" s="137" t="str">
        <f>INDEX(Master_Data!$C$152:$L$864,D278,6)</f>
        <v>17-018/BKU-004/V/179</v>
      </c>
      <c r="L278" s="140" t="str">
        <f>INDEX(Master_Data!$C$152:$L$864,D278,7)</f>
        <v>010.018-17.04159605</v>
      </c>
      <c r="M278" s="140">
        <f>INDEX(Master_Data!$C$152:$L$864,D278,8)</f>
        <v>0</v>
      </c>
      <c r="N278" s="264"/>
      <c r="O278" s="245" t="e">
        <f t="shared" si="22"/>
        <v>#VALUE!</v>
      </c>
      <c r="Q278" s="169" t="str">
        <f t="shared" si="23"/>
        <v>HASTA PANCA MANDIRI UTAMA, PTMEI</v>
      </c>
    </row>
    <row r="279" spans="2:17" s="61" customFormat="1" ht="14.1" customHeight="1">
      <c r="B279" s="242"/>
      <c r="C279" s="268">
        <f>MATCH($B$264,INDEX(Master_Data!$B$152:$B$864,D278+1,1):'Master_Data'!$B$864,0)</f>
        <v>1</v>
      </c>
      <c r="D279" s="268">
        <f t="shared" si="24"/>
        <v>185</v>
      </c>
      <c r="E279" s="54">
        <v>16</v>
      </c>
      <c r="F279" s="22" t="str">
        <f>INDEX(Master_Data!$C$152:$L$864,D279,2)</f>
        <v>HASTA PANCA MANDIRI UTAMA, PT</v>
      </c>
      <c r="G279" s="24" t="str">
        <f>INDEX(Master_Data!$C$152:$L$864,D279,3)</f>
        <v>V</v>
      </c>
      <c r="H279" s="24">
        <f>INDEX(Master_Data!$C$152:$L$864,D279,1)</f>
        <v>4</v>
      </c>
      <c r="I279" s="24">
        <f>INDEX(Master_Data!$C$152:$L$864,D279,4)</f>
        <v>0</v>
      </c>
      <c r="J279" s="24">
        <f>INDEX(Master_Data!$C$152:$L$864,D279,5)</f>
        <v>0</v>
      </c>
      <c r="K279" s="137" t="str">
        <f>INDEX(Master_Data!$C$152:$L$864,D279,6)</f>
        <v>17-019/BKU-004/V/179</v>
      </c>
      <c r="L279" s="140" t="str">
        <f>INDEX(Master_Data!$C$152:$L$864,D279,7)</f>
        <v>010.018-17.04159606</v>
      </c>
      <c r="M279" s="140">
        <f>INDEX(Master_Data!$C$152:$L$864,D279,8)</f>
        <v>0</v>
      </c>
      <c r="N279" s="264"/>
      <c r="O279" s="245" t="e">
        <f t="shared" si="22"/>
        <v>#VALUE!</v>
      </c>
      <c r="Q279" s="169" t="str">
        <f t="shared" si="23"/>
        <v>HASTA PANCA MANDIRI UTAMA, PTMEI</v>
      </c>
    </row>
    <row r="280" spans="2:17" s="61" customFormat="1" ht="14.1" customHeight="1">
      <c r="B280" s="242"/>
      <c r="C280" s="268">
        <f>MATCH($B$264,INDEX(Master_Data!$B$152:$B$864,D279+1,1):'Master_Data'!$B$864,0)</f>
        <v>39</v>
      </c>
      <c r="D280" s="268">
        <f t="shared" si="24"/>
        <v>224</v>
      </c>
      <c r="E280" s="24">
        <v>17</v>
      </c>
      <c r="F280" s="22" t="str">
        <f>INDEX(Master_Data!$C$152:$L$864,D280,2)</f>
        <v>HUTAN KETAPANG INDUSTRI, PT</v>
      </c>
      <c r="G280" s="24" t="str">
        <f>INDEX(Master_Data!$C$152:$L$864,D280,3)</f>
        <v>V</v>
      </c>
      <c r="H280" s="24">
        <f>INDEX(Master_Data!$C$152:$L$864,D280,1)</f>
        <v>2</v>
      </c>
      <c r="I280" s="24">
        <f>INDEX(Master_Data!$C$152:$L$864,D280,4)</f>
        <v>0</v>
      </c>
      <c r="J280" s="24">
        <f>INDEX(Master_Data!$C$152:$L$864,D280,5)</f>
        <v>0</v>
      </c>
      <c r="K280" s="137" t="str">
        <f>INDEX(Master_Data!$C$152:$L$864,D280,6)</f>
        <v>17-017/BKU-004/V/204</v>
      </c>
      <c r="L280" s="140" t="str">
        <f>INDEX(Master_Data!$C$152:$L$864,D280,7)</f>
        <v>010.018-17.04159592</v>
      </c>
      <c r="M280" s="140">
        <f>INDEX(Master_Data!$C$152:$L$864,D280,8)</f>
        <v>0</v>
      </c>
      <c r="N280" s="264"/>
      <c r="O280" s="245" t="e">
        <f t="shared" si="22"/>
        <v>#VALUE!</v>
      </c>
      <c r="Q280" s="169" t="str">
        <f t="shared" si="23"/>
        <v>HUTAN KETAPANG INDUSTRI, PTMEI</v>
      </c>
    </row>
    <row r="281" spans="2:17" s="61" customFormat="1" ht="14.1" customHeight="1">
      <c r="B281" s="242"/>
      <c r="C281" s="268">
        <f>MATCH($B$264,INDEX(Master_Data!$B$152:$B$864,D280+1,1):'Master_Data'!$B$864,0)</f>
        <v>1</v>
      </c>
      <c r="D281" s="268">
        <f t="shared" si="24"/>
        <v>225</v>
      </c>
      <c r="E281" s="54">
        <v>18</v>
      </c>
      <c r="F281" s="22" t="str">
        <f>INDEX(Master_Data!$C$152:$L$864,D281,2)</f>
        <v>HUTAN KETAPANG INDUSTRI, PT</v>
      </c>
      <c r="G281" s="24" t="str">
        <f>INDEX(Master_Data!$C$152:$L$864,D281,3)</f>
        <v>V</v>
      </c>
      <c r="H281" s="24">
        <f>INDEX(Master_Data!$C$152:$L$864,D281,1)</f>
        <v>2</v>
      </c>
      <c r="I281" s="24">
        <f>INDEX(Master_Data!$C$152:$L$864,D281,4)</f>
        <v>0</v>
      </c>
      <c r="J281" s="24">
        <f>INDEX(Master_Data!$C$152:$L$864,D281,5)</f>
        <v>0</v>
      </c>
      <c r="K281" s="137" t="str">
        <f>INDEX(Master_Data!$C$152:$L$864,D281,6)</f>
        <v>17-018/BKU-004/V/204</v>
      </c>
      <c r="L281" s="140" t="str">
        <f>INDEX(Master_Data!$C$152:$L$864,D281,7)</f>
        <v>010.018-17.04159593</v>
      </c>
      <c r="M281" s="140">
        <f>INDEX(Master_Data!$C$152:$L$864,D281,8)</f>
        <v>0</v>
      </c>
      <c r="N281" s="264"/>
      <c r="O281" s="245" t="e">
        <f t="shared" si="22"/>
        <v>#VALUE!</v>
      </c>
      <c r="Q281" s="169" t="str">
        <f t="shared" si="23"/>
        <v>HUTAN KETAPANG INDUSTRI, PTMEI</v>
      </c>
    </row>
    <row r="282" spans="2:17" s="61" customFormat="1" ht="14.1" customHeight="1">
      <c r="B282" s="242"/>
      <c r="C282" s="268">
        <f>MATCH($B$264,INDEX(Master_Data!$B$152:$B$864,D281+1,1):'Master_Data'!$B$864,0)</f>
        <v>1</v>
      </c>
      <c r="D282" s="268">
        <f t="shared" si="24"/>
        <v>226</v>
      </c>
      <c r="E282" s="24">
        <v>19</v>
      </c>
      <c r="F282" s="22" t="str">
        <f>INDEX(Master_Data!$C$152:$L$864,D282,2)</f>
        <v>HUTAN KETAPANG INDUSTRI, PT</v>
      </c>
      <c r="G282" s="24" t="str">
        <f>INDEX(Master_Data!$C$152:$L$864,D282,3)</f>
        <v>V</v>
      </c>
      <c r="H282" s="24">
        <f>INDEX(Master_Data!$C$152:$L$864,D282,1)</f>
        <v>2</v>
      </c>
      <c r="I282" s="24">
        <f>INDEX(Master_Data!$C$152:$L$864,D282,4)</f>
        <v>0</v>
      </c>
      <c r="J282" s="24">
        <f>INDEX(Master_Data!$C$152:$L$864,D282,5)</f>
        <v>0</v>
      </c>
      <c r="K282" s="137" t="str">
        <f>INDEX(Master_Data!$C$152:$L$864,D282,6)</f>
        <v>17-019/BKU-004/V/204</v>
      </c>
      <c r="L282" s="140" t="str">
        <f>INDEX(Master_Data!$C$152:$L$864,D282,7)</f>
        <v>010.018-17.04159594</v>
      </c>
      <c r="M282" s="140">
        <f>INDEX(Master_Data!$C$152:$L$864,D282,8)</f>
        <v>0</v>
      </c>
      <c r="N282" s="264"/>
      <c r="O282" s="245" t="e">
        <f t="shared" si="22"/>
        <v>#VALUE!</v>
      </c>
      <c r="Q282" s="169" t="str">
        <f t="shared" si="23"/>
        <v>HUTAN KETAPANG INDUSTRI, PTMEI</v>
      </c>
    </row>
    <row r="283" spans="2:17" s="61" customFormat="1" ht="14.1" customHeight="1">
      <c r="B283" s="242"/>
      <c r="C283" s="268">
        <f>MATCH($B$264,INDEX(Master_Data!$B$152:$B$864,D282+1,1):'Master_Data'!$B$864,0)</f>
        <v>1</v>
      </c>
      <c r="D283" s="268">
        <f t="shared" si="24"/>
        <v>227</v>
      </c>
      <c r="E283" s="54">
        <v>20</v>
      </c>
      <c r="F283" s="22" t="str">
        <f>INDEX(Master_Data!$C$152:$L$864,D283,2)</f>
        <v>HUTAN KETAPANG INDUSTRI, PT</v>
      </c>
      <c r="G283" s="24" t="str">
        <f>INDEX(Master_Data!$C$152:$L$864,D283,3)</f>
        <v>V</v>
      </c>
      <c r="H283" s="24">
        <f>INDEX(Master_Data!$C$152:$L$864,D283,1)</f>
        <v>2</v>
      </c>
      <c r="I283" s="24">
        <f>INDEX(Master_Data!$C$152:$L$864,D283,4)</f>
        <v>0</v>
      </c>
      <c r="J283" s="24">
        <f>INDEX(Master_Data!$C$152:$L$864,D283,5)</f>
        <v>0</v>
      </c>
      <c r="K283" s="137" t="str">
        <f>INDEX(Master_Data!$C$152:$L$864,D283,6)</f>
        <v>17-020/BKU-004/V/204</v>
      </c>
      <c r="L283" s="140" t="str">
        <f>INDEX(Master_Data!$C$152:$L$864,D283,7)</f>
        <v>010.018-17.04159595</v>
      </c>
      <c r="M283" s="140">
        <f>INDEX(Master_Data!$C$152:$L$864,D283,8)</f>
        <v>0</v>
      </c>
      <c r="N283" s="264"/>
      <c r="O283" s="245" t="e">
        <f t="shared" si="22"/>
        <v>#VALUE!</v>
      </c>
      <c r="Q283" s="169" t="str">
        <f t="shared" si="23"/>
        <v>HUTAN KETAPANG INDUSTRI, PTMEI</v>
      </c>
    </row>
    <row r="284" spans="2:17" s="61" customFormat="1" ht="14.1" customHeight="1">
      <c r="B284" s="242"/>
      <c r="C284" s="268">
        <f>MATCH($B$264,INDEX(Master_Data!$B$152:$B$864,D283+1,1):'Master_Data'!$B$864,0)</f>
        <v>1</v>
      </c>
      <c r="D284" s="268">
        <f t="shared" si="24"/>
        <v>228</v>
      </c>
      <c r="E284" s="24">
        <v>21</v>
      </c>
      <c r="F284" s="22" t="str">
        <f>INDEX(Master_Data!$C$152:$L$864,D284,2)</f>
        <v>HUTAN KETAPANG INDUSTRI, PT</v>
      </c>
      <c r="G284" s="24" t="str">
        <f>INDEX(Master_Data!$C$152:$L$864,D284,3)</f>
        <v>O</v>
      </c>
      <c r="H284" s="24">
        <f>INDEX(Master_Data!$C$152:$L$864,D284,1)</f>
        <v>4</v>
      </c>
      <c r="I284" s="24">
        <f>INDEX(Master_Data!$C$152:$L$864,D284,4)</f>
        <v>0</v>
      </c>
      <c r="J284" s="24">
        <f>INDEX(Master_Data!$C$152:$L$864,D284,5)</f>
        <v>0</v>
      </c>
      <c r="K284" s="137" t="str">
        <f>INDEX(Master_Data!$C$152:$L$864,D284,6)</f>
        <v>17-021/BKU-004/V/204</v>
      </c>
      <c r="L284" s="140" t="str">
        <f>INDEX(Master_Data!$C$152:$L$864,D284,7)</f>
        <v>010.018-17.04159615</v>
      </c>
      <c r="M284" s="140">
        <f>INDEX(Master_Data!$C$152:$L$864,D284,8)</f>
        <v>0</v>
      </c>
      <c r="N284" s="264"/>
      <c r="O284" s="245" t="e">
        <f t="shared" si="22"/>
        <v>#VALUE!</v>
      </c>
      <c r="Q284" s="169" t="str">
        <f t="shared" si="23"/>
        <v>HUTAN KETAPANG INDUSTRI, PTMEI</v>
      </c>
    </row>
    <row r="285" spans="2:17" s="61" customFormat="1" ht="14.1" customHeight="1">
      <c r="B285" s="242"/>
      <c r="C285" s="268">
        <f>MATCH($B$264,INDEX(Master_Data!$B$152:$B$864,D284+1,1):'Master_Data'!$B$864,0)</f>
        <v>1</v>
      </c>
      <c r="D285" s="268">
        <f t="shared" si="24"/>
        <v>229</v>
      </c>
      <c r="E285" s="54">
        <v>22</v>
      </c>
      <c r="F285" s="22" t="str">
        <f>INDEX(Master_Data!$C$152:$L$864,D285,2)</f>
        <v>HUTAN KETAPANG INDUSTRI, PT</v>
      </c>
      <c r="G285" s="24" t="str">
        <f>INDEX(Master_Data!$C$152:$L$864,D285,3)</f>
        <v>L</v>
      </c>
      <c r="H285" s="24">
        <f>INDEX(Master_Data!$C$152:$L$864,D285,1)</f>
        <v>4</v>
      </c>
      <c r="I285" s="24">
        <f>INDEX(Master_Data!$C$152:$L$864,D285,4)</f>
        <v>0</v>
      </c>
      <c r="J285" s="24">
        <f>INDEX(Master_Data!$C$152:$L$864,D285,5)</f>
        <v>0</v>
      </c>
      <c r="K285" s="137" t="str">
        <f>INDEX(Master_Data!$C$152:$L$864,D285,6)</f>
        <v>17-022/BKU-004/V/204</v>
      </c>
      <c r="L285" s="140" t="str">
        <f>INDEX(Master_Data!$C$152:$L$864,D285,7)</f>
        <v>-</v>
      </c>
      <c r="M285" s="140">
        <f>INDEX(Master_Data!$C$152:$L$864,D285,8)</f>
        <v>0</v>
      </c>
      <c r="N285" s="264"/>
      <c r="O285" s="245" t="e">
        <f t="shared" si="22"/>
        <v>#VALUE!</v>
      </c>
      <c r="Q285" s="169" t="str">
        <f t="shared" si="23"/>
        <v>HUTAN KETAPANG INDUSTRI, PTMEI</v>
      </c>
    </row>
    <row r="286" spans="2:17" s="61" customFormat="1" ht="14.1" customHeight="1">
      <c r="B286" s="242"/>
      <c r="C286" s="268">
        <f>MATCH($B$264,INDEX(Master_Data!$B$152:$B$864,D285+1,1):'Master_Data'!$B$864,0)</f>
        <v>39</v>
      </c>
      <c r="D286" s="268">
        <f t="shared" si="24"/>
        <v>268</v>
      </c>
      <c r="E286" s="24">
        <v>23</v>
      </c>
      <c r="F286" s="22" t="str">
        <f>INDEX(Master_Data!$C$152:$L$864,D286,2)</f>
        <v>KALIMANTAN PRIMA PERSADA, PT</v>
      </c>
      <c r="G286" s="24" t="str">
        <f>INDEX(Master_Data!$C$152:$L$864,D286,3)</f>
        <v>W</v>
      </c>
      <c r="H286" s="24">
        <f>INDEX(Master_Data!$C$152:$L$864,D286,1)</f>
        <v>30</v>
      </c>
      <c r="I286" s="24">
        <f>INDEX(Master_Data!$C$152:$L$864,D286,4)</f>
        <v>0</v>
      </c>
      <c r="J286" s="24">
        <f>INDEX(Master_Data!$C$152:$L$864,D286,5)</f>
        <v>0</v>
      </c>
      <c r="K286" s="137" t="str">
        <f>INDEX(Master_Data!$C$152:$L$864,D286,6)</f>
        <v>17-008/BKU-004/V/208 (rev)</v>
      </c>
      <c r="L286" s="140" t="str">
        <f>INDEX(Master_Data!$C$152:$L$864,D286,7)</f>
        <v>011.018-17.04159591</v>
      </c>
      <c r="M286" s="140">
        <f>INDEX(Master_Data!$C$152:$L$864,D286,8)</f>
        <v>0</v>
      </c>
      <c r="N286" s="264"/>
      <c r="O286" s="245" t="e">
        <f t="shared" si="22"/>
        <v>#VALUE!</v>
      </c>
      <c r="Q286" s="169" t="str">
        <f t="shared" si="23"/>
        <v>KALIMANTAN PRIMA PERSADA, PTMEI</v>
      </c>
    </row>
    <row r="287" spans="2:17" s="61" customFormat="1" ht="14.1" customHeight="1">
      <c r="B287" s="242"/>
      <c r="C287" s="268">
        <f>MATCH($B$264,INDEX(Master_Data!$B$152:$B$864,D286+1,1):'Master_Data'!$B$864,0)</f>
        <v>19</v>
      </c>
      <c r="D287" s="268">
        <f t="shared" si="24"/>
        <v>287</v>
      </c>
      <c r="E287" s="54">
        <v>24</v>
      </c>
      <c r="F287" s="22" t="str">
        <f>INDEX(Master_Data!$C$152:$L$864,D287,2)</f>
        <v>KUSUMA MENTARI MAKMUR, PT</v>
      </c>
      <c r="G287" s="24" t="str">
        <f>INDEX(Master_Data!$C$152:$L$864,D287,3)</f>
        <v>V</v>
      </c>
      <c r="H287" s="24">
        <f>INDEX(Master_Data!$C$152:$L$864,D287,1)</f>
        <v>2</v>
      </c>
      <c r="I287" s="24">
        <f>INDEX(Master_Data!$C$152:$L$864,D287,4)</f>
        <v>0</v>
      </c>
      <c r="J287" s="24">
        <f>INDEX(Master_Data!$C$152:$L$864,D287,5)</f>
        <v>0</v>
      </c>
      <c r="K287" s="137" t="str">
        <f>INDEX(Master_Data!$C$152:$L$864,D287,6)</f>
        <v>17-005/BKU-004/V/224</v>
      </c>
      <c r="L287" s="140" t="str">
        <f>INDEX(Master_Data!$C$152:$L$864,D287,7)</f>
        <v>010.018-17.04159596</v>
      </c>
      <c r="M287" s="140">
        <f>INDEX(Master_Data!$C$152:$L$864,D287,8)</f>
        <v>0</v>
      </c>
      <c r="N287" s="264"/>
      <c r="O287" s="245" t="e">
        <f t="shared" si="22"/>
        <v>#VALUE!</v>
      </c>
      <c r="Q287" s="169" t="str">
        <f t="shared" si="23"/>
        <v>KUSUMA MENTARI MAKMUR, PTMEI</v>
      </c>
    </row>
    <row r="288" spans="2:17" s="61" customFormat="1" ht="14.1" customHeight="1">
      <c r="B288" s="242"/>
      <c r="C288" s="268">
        <f>MATCH($B$264,INDEX(Master_Data!$B$152:$B$864,D287+1,1):'Master_Data'!$B$864,0)</f>
        <v>18</v>
      </c>
      <c r="D288" s="268">
        <f t="shared" si="24"/>
        <v>305</v>
      </c>
      <c r="E288" s="24">
        <v>25</v>
      </c>
      <c r="F288" s="22" t="str">
        <f>INDEX(Master_Data!$C$152:$L$864,D288,2)</f>
        <v>LANANG AGRO BERSATU, PT</v>
      </c>
      <c r="G288" s="24" t="str">
        <f>INDEX(Master_Data!$C$152:$L$864,D288,3)</f>
        <v>V</v>
      </c>
      <c r="H288" s="24">
        <f>INDEX(Master_Data!$C$152:$L$864,D288,1)</f>
        <v>2</v>
      </c>
      <c r="I288" s="24">
        <f>INDEX(Master_Data!$C$152:$L$864,D288,4)</f>
        <v>0</v>
      </c>
      <c r="J288" s="24">
        <f>INDEX(Master_Data!$C$152:$L$864,D288,5)</f>
        <v>0</v>
      </c>
      <c r="K288" s="137" t="str">
        <f>INDEX(Master_Data!$C$152:$L$864,D288,6)</f>
        <v>17-009/BKU-004/V/210</v>
      </c>
      <c r="L288" s="140" t="str">
        <f>INDEX(Master_Data!$C$152:$L$864,D288,7)</f>
        <v>010.018-17.04159597</v>
      </c>
      <c r="M288" s="140">
        <f>INDEX(Master_Data!$C$152:$L$864,D288,8)</f>
        <v>0</v>
      </c>
      <c r="N288" s="264"/>
      <c r="O288" s="245" t="e">
        <f t="shared" si="22"/>
        <v>#VALUE!</v>
      </c>
      <c r="Q288" s="169" t="str">
        <f t="shared" si="23"/>
        <v>LANANG AGRO BERSATU, PTMEI</v>
      </c>
    </row>
    <row r="289" spans="2:17" s="61" customFormat="1" ht="14.1" customHeight="1">
      <c r="B289" s="242"/>
      <c r="C289" s="268">
        <f>MATCH($B$264,INDEX(Master_Data!$B$152:$B$864,D288+1,1):'Master_Data'!$B$864,0)</f>
        <v>1</v>
      </c>
      <c r="D289" s="268">
        <f t="shared" si="24"/>
        <v>306</v>
      </c>
      <c r="E289" s="54">
        <v>26</v>
      </c>
      <c r="F289" s="22" t="str">
        <f>INDEX(Master_Data!$C$152:$L$864,D289,2)</f>
        <v>LANANG AGRO BERSATU, PT</v>
      </c>
      <c r="G289" s="24" t="str">
        <f>INDEX(Master_Data!$C$152:$L$864,D289,3)</f>
        <v>V</v>
      </c>
      <c r="H289" s="24">
        <f>INDEX(Master_Data!$C$152:$L$864,D289,1)</f>
        <v>2</v>
      </c>
      <c r="I289" s="24">
        <f>INDEX(Master_Data!$C$152:$L$864,D289,4)</f>
        <v>0</v>
      </c>
      <c r="J289" s="24">
        <f>INDEX(Master_Data!$C$152:$L$864,D289,5)</f>
        <v>0</v>
      </c>
      <c r="K289" s="137" t="str">
        <f>INDEX(Master_Data!$C$152:$L$864,D289,6)</f>
        <v>17-010/BKU-004/V/210</v>
      </c>
      <c r="L289" s="140" t="str">
        <f>INDEX(Master_Data!$C$152:$L$864,D289,7)</f>
        <v>010.018-17.04159598</v>
      </c>
      <c r="M289" s="140">
        <f>INDEX(Master_Data!$C$152:$L$864,D289,8)</f>
        <v>0</v>
      </c>
      <c r="N289" s="264"/>
      <c r="O289" s="245" t="e">
        <f t="shared" si="22"/>
        <v>#VALUE!</v>
      </c>
      <c r="Q289" s="169" t="str">
        <f t="shared" si="23"/>
        <v>LANANG AGRO BERSATU, PTMEI</v>
      </c>
    </row>
    <row r="290" spans="2:17" s="61" customFormat="1" ht="14.1" customHeight="1">
      <c r="B290" s="242"/>
      <c r="C290" s="268">
        <f>MATCH($B$264,INDEX(Master_Data!$B$152:$B$864,D289+1,1):'Master_Data'!$B$864,0)</f>
        <v>51</v>
      </c>
      <c r="D290" s="268">
        <f t="shared" si="24"/>
        <v>357</v>
      </c>
      <c r="E290" s="24">
        <v>27</v>
      </c>
      <c r="F290" s="22" t="str">
        <f>INDEX(Master_Data!$C$152:$L$864,D290,2)</f>
        <v>MADHANI TALATAH NUSANTARA, PT</v>
      </c>
      <c r="G290" s="24" t="str">
        <f>INDEX(Master_Data!$C$152:$L$864,D290,3)</f>
        <v>L</v>
      </c>
      <c r="H290" s="24">
        <f>INDEX(Master_Data!$C$152:$L$864,D290,1)</f>
        <v>26</v>
      </c>
      <c r="I290" s="24">
        <f>INDEX(Master_Data!$C$152:$L$864,D290,4)</f>
        <v>0</v>
      </c>
      <c r="J290" s="24">
        <f>INDEX(Master_Data!$C$152:$L$864,D290,5)</f>
        <v>0</v>
      </c>
      <c r="K290" s="137" t="str">
        <f>INDEX(Master_Data!$C$152:$L$864,D290,6)</f>
        <v>17-037/BKU-004/V/057</v>
      </c>
      <c r="L290" s="140" t="str">
        <f>INDEX(Master_Data!$C$152:$L$864,D290,7)</f>
        <v>-</v>
      </c>
      <c r="M290" s="140">
        <f>INDEX(Master_Data!$C$152:$L$864,D290,8)</f>
        <v>0</v>
      </c>
      <c r="N290" s="264"/>
      <c r="O290" s="245" t="e">
        <f t="shared" si="22"/>
        <v>#VALUE!</v>
      </c>
      <c r="Q290" s="169" t="str">
        <f t="shared" si="23"/>
        <v>MADHANI TALATAH NUSANTARA, PTMEI</v>
      </c>
    </row>
    <row r="291" spans="2:17" s="61" customFormat="1" ht="14.1" customHeight="1">
      <c r="B291" s="242"/>
      <c r="C291" s="268">
        <f>MATCH($B$264,INDEX(Master_Data!$B$152:$B$864,D290+1,1):'Master_Data'!$B$864,0)</f>
        <v>1</v>
      </c>
      <c r="D291" s="268">
        <f t="shared" si="24"/>
        <v>358</v>
      </c>
      <c r="E291" s="54">
        <v>28</v>
      </c>
      <c r="F291" s="22" t="str">
        <f>INDEX(Master_Data!$C$152:$L$864,D291,2)</f>
        <v>MADHANI TALATAH NUSANTARA, PT</v>
      </c>
      <c r="G291" s="24" t="str">
        <f>INDEX(Master_Data!$C$152:$L$864,D291,3)</f>
        <v>O</v>
      </c>
      <c r="H291" s="24">
        <f>INDEX(Master_Data!$C$152:$L$864,D291,1)</f>
        <v>26</v>
      </c>
      <c r="I291" s="24">
        <f>INDEX(Master_Data!$C$152:$L$864,D291,4)</f>
        <v>0</v>
      </c>
      <c r="J291" s="24">
        <f>INDEX(Master_Data!$C$152:$L$864,D291,5)</f>
        <v>0</v>
      </c>
      <c r="K291" s="137" t="str">
        <f>INDEX(Master_Data!$C$152:$L$864,D291,6)</f>
        <v>17-038/BKU-004/V/057</v>
      </c>
      <c r="L291" s="140" t="str">
        <f>INDEX(Master_Data!$C$152:$L$864,D291,7)</f>
        <v>010.018-17.04159625</v>
      </c>
      <c r="M291" s="140">
        <f>INDEX(Master_Data!$C$152:$L$864,D291,8)</f>
        <v>0</v>
      </c>
      <c r="N291" s="264"/>
      <c r="O291" s="245" t="e">
        <f t="shared" si="22"/>
        <v>#VALUE!</v>
      </c>
      <c r="Q291" s="169" t="str">
        <f t="shared" si="23"/>
        <v>MADHANI TALATAH NUSANTARA, PTMEI</v>
      </c>
    </row>
    <row r="292" spans="2:17" s="61" customFormat="1" ht="14.1" customHeight="1">
      <c r="B292" s="242"/>
      <c r="C292" s="268">
        <f>MATCH($B$264,INDEX(Master_Data!$B$152:$B$864,D291+1,1):'Master_Data'!$B$864,0)</f>
        <v>1</v>
      </c>
      <c r="D292" s="268">
        <f t="shared" si="24"/>
        <v>359</v>
      </c>
      <c r="E292" s="24">
        <v>29</v>
      </c>
      <c r="F292" s="22" t="str">
        <f>INDEX(Master_Data!$C$152:$L$864,D292,2)</f>
        <v>MADHANI TALATAH NUSANTARA, PT</v>
      </c>
      <c r="G292" s="24" t="str">
        <f>INDEX(Master_Data!$C$152:$L$864,D292,3)</f>
        <v>L</v>
      </c>
      <c r="H292" s="24">
        <f>INDEX(Master_Data!$C$152:$L$864,D292,1)</f>
        <v>26</v>
      </c>
      <c r="I292" s="24">
        <f>INDEX(Master_Data!$C$152:$L$864,D292,4)</f>
        <v>0</v>
      </c>
      <c r="J292" s="24">
        <f>INDEX(Master_Data!$C$152:$L$864,D292,5)</f>
        <v>0</v>
      </c>
      <c r="K292" s="137" t="str">
        <f>INDEX(Master_Data!$C$152:$L$864,D292,6)</f>
        <v>17-039/BKU-004/V/057</v>
      </c>
      <c r="L292" s="140" t="str">
        <f>INDEX(Master_Data!$C$152:$L$864,D292,7)</f>
        <v>-</v>
      </c>
      <c r="M292" s="140">
        <f>INDEX(Master_Data!$C$152:$L$864,D292,8)</f>
        <v>0</v>
      </c>
      <c r="N292" s="264"/>
      <c r="O292" s="245" t="e">
        <f t="shared" si="22"/>
        <v>#VALUE!</v>
      </c>
      <c r="Q292" s="169" t="str">
        <f t="shared" si="23"/>
        <v>MADHANI TALATAH NUSANTARA, PTMEI</v>
      </c>
    </row>
    <row r="293" spans="2:17" s="61" customFormat="1" ht="14.1" customHeight="1">
      <c r="B293" s="242"/>
      <c r="C293" s="268">
        <f>MATCH($B$264,INDEX(Master_Data!$B$152:$B$864,D292+1,1):'Master_Data'!$B$864,0)</f>
        <v>85</v>
      </c>
      <c r="D293" s="268">
        <f t="shared" si="24"/>
        <v>444</v>
      </c>
      <c r="E293" s="54">
        <v>30</v>
      </c>
      <c r="F293" s="22" t="str">
        <f>INDEX(Master_Data!$C$152:$L$864,D293,2)</f>
        <v>MANDALA KARYA PRIMA, PT</v>
      </c>
      <c r="G293" s="24" t="str">
        <f>INDEX(Master_Data!$C$152:$L$864,D293,3)</f>
        <v>W, I</v>
      </c>
      <c r="H293" s="24">
        <f>INDEX(Master_Data!$C$152:$L$864,D293,1)</f>
        <v>2</v>
      </c>
      <c r="I293" s="24">
        <f>INDEX(Master_Data!$C$152:$L$864,D293,4)</f>
        <v>0</v>
      </c>
      <c r="J293" s="24">
        <f>INDEX(Master_Data!$C$152:$L$864,D293,5)</f>
        <v>0</v>
      </c>
      <c r="K293" s="137" t="str">
        <f>INDEX(Master_Data!$C$152:$L$864,D293,6)</f>
        <v>17-005/BKU-004/V/214</v>
      </c>
      <c r="L293" s="140" t="str">
        <f>INDEX(Master_Data!$C$152:$L$864,D293,7)</f>
        <v>010.018-17.041595990</v>
      </c>
      <c r="M293" s="140">
        <f>INDEX(Master_Data!$C$152:$L$864,D293,8)</f>
        <v>0</v>
      </c>
      <c r="N293" s="264"/>
      <c r="O293" s="245" t="e">
        <f t="shared" si="22"/>
        <v>#VALUE!</v>
      </c>
      <c r="Q293" s="169" t="str">
        <f t="shared" si="23"/>
        <v>MANDALA KARYA PRIMA, PTMEI</v>
      </c>
    </row>
    <row r="294" spans="2:17" s="61" customFormat="1" ht="14.1" customHeight="1">
      <c r="B294" s="242"/>
      <c r="C294" s="268">
        <f>MATCH($B$264,INDEX(Master_Data!$B$152:$B$864,D293+1,1):'Master_Data'!$B$864,0)</f>
        <v>20</v>
      </c>
      <c r="D294" s="268">
        <f t="shared" si="24"/>
        <v>464</v>
      </c>
      <c r="E294" s="24">
        <v>31</v>
      </c>
      <c r="F294" s="22" t="str">
        <f>INDEX(Master_Data!$C$152:$L$864,D294,2)</f>
        <v>MANDIRI HERINDO ADIPERKASA, PT</v>
      </c>
      <c r="G294" s="24" t="str">
        <f>INDEX(Master_Data!$C$152:$L$864,D294,3)</f>
        <v>W</v>
      </c>
      <c r="H294" s="24">
        <f>INDEX(Master_Data!$C$152:$L$864,D294,1)</f>
        <v>31</v>
      </c>
      <c r="I294" s="24">
        <f>INDEX(Master_Data!$C$152:$L$864,D294,4)</f>
        <v>0</v>
      </c>
      <c r="J294" s="24">
        <f>INDEX(Master_Data!$C$152:$L$864,D294,5)</f>
        <v>0</v>
      </c>
      <c r="K294" s="137" t="str">
        <f>INDEX(Master_Data!$C$152:$L$864,D294,6)</f>
        <v>17-013/BKU-004/V/211</v>
      </c>
      <c r="L294" s="140" t="str">
        <f>INDEX(Master_Data!$C$152:$L$864,D294,7)</f>
        <v>010.018-17.04159626</v>
      </c>
      <c r="M294" s="140">
        <f>INDEX(Master_Data!$C$152:$L$864,D294,8)</f>
        <v>0</v>
      </c>
      <c r="N294" s="264"/>
      <c r="O294" s="245" t="e">
        <f t="shared" si="22"/>
        <v>#VALUE!</v>
      </c>
      <c r="Q294" s="169" t="str">
        <f t="shared" si="23"/>
        <v>MANDIRI HERINDO ADIPERKASA, PTMEI</v>
      </c>
    </row>
    <row r="295" spans="2:17" s="61" customFormat="1" ht="14.1" customHeight="1">
      <c r="B295" s="242"/>
      <c r="C295" s="268">
        <f>MATCH($B$264,INDEX(Master_Data!$B$152:$B$864,D294+1,1):'Master_Data'!$B$864,0)</f>
        <v>1</v>
      </c>
      <c r="D295" s="268">
        <f t="shared" si="24"/>
        <v>465</v>
      </c>
      <c r="E295" s="54">
        <v>32</v>
      </c>
      <c r="F295" s="22" t="str">
        <f>INDEX(Master_Data!$C$152:$L$864,D295,2)</f>
        <v>MANDIRI HERINDO ADIPERKASA, PT</v>
      </c>
      <c r="G295" s="24" t="str">
        <f>INDEX(Master_Data!$C$152:$L$864,D295,3)</f>
        <v>I</v>
      </c>
      <c r="H295" s="24">
        <f>INDEX(Master_Data!$C$152:$L$864,D295,1)</f>
        <v>31</v>
      </c>
      <c r="I295" s="24">
        <f>INDEX(Master_Data!$C$152:$L$864,D295,4)</f>
        <v>0</v>
      </c>
      <c r="J295" s="24">
        <f>INDEX(Master_Data!$C$152:$L$864,D295,5)</f>
        <v>0</v>
      </c>
      <c r="K295" s="137" t="str">
        <f>INDEX(Master_Data!$C$152:$L$864,D295,6)</f>
        <v>17-014/BKU-004/V/211</v>
      </c>
      <c r="L295" s="140" t="str">
        <f>INDEX(Master_Data!$C$152:$L$864,D295,7)</f>
        <v>010.018-17.04159627</v>
      </c>
      <c r="M295" s="140">
        <f>INDEX(Master_Data!$C$152:$L$864,D295,8)</f>
        <v>0</v>
      </c>
      <c r="N295" s="264"/>
      <c r="O295" s="245" t="e">
        <f t="shared" si="22"/>
        <v>#VALUE!</v>
      </c>
      <c r="Q295" s="169" t="str">
        <f t="shared" si="23"/>
        <v>MANDIRI HERINDO ADIPERKASA, PTMEI</v>
      </c>
    </row>
    <row r="296" spans="2:17" s="61" customFormat="1" ht="14.1" customHeight="1">
      <c r="B296" s="242"/>
      <c r="C296" s="268">
        <f>MATCH($B$264,INDEX(Master_Data!$B$152:$B$864,D295+1,1):'Master_Data'!$B$864,0)</f>
        <v>1</v>
      </c>
      <c r="D296" s="268">
        <f t="shared" si="24"/>
        <v>466</v>
      </c>
      <c r="E296" s="24">
        <v>33</v>
      </c>
      <c r="F296" s="22" t="str">
        <f>INDEX(Master_Data!$C$152:$L$864,D296,2)</f>
        <v>MANDIRI HERINDO ADIPERKASA, PT</v>
      </c>
      <c r="G296" s="24" t="str">
        <f>INDEX(Master_Data!$C$152:$L$864,D296,3)</f>
        <v>M</v>
      </c>
      <c r="H296" s="24">
        <f>INDEX(Master_Data!$C$152:$L$864,D296,1)</f>
        <v>31</v>
      </c>
      <c r="I296" s="24">
        <f>INDEX(Master_Data!$C$152:$L$864,D296,4)</f>
        <v>0</v>
      </c>
      <c r="J296" s="24">
        <f>INDEX(Master_Data!$C$152:$L$864,D296,5)</f>
        <v>0</v>
      </c>
      <c r="K296" s="137" t="str">
        <f>INDEX(Master_Data!$C$152:$L$864,D296,6)</f>
        <v>17-015/BKU-004/V/211</v>
      </c>
      <c r="L296" s="140" t="str">
        <f>INDEX(Master_Data!$C$152:$L$864,D296,7)</f>
        <v>010.018-17.04159628</v>
      </c>
      <c r="M296" s="140">
        <f>INDEX(Master_Data!$C$152:$L$864,D296,8)</f>
        <v>0</v>
      </c>
      <c r="N296" s="264"/>
      <c r="O296" s="245" t="e">
        <f t="shared" si="22"/>
        <v>#VALUE!</v>
      </c>
      <c r="Q296" s="169" t="str">
        <f t="shared" si="23"/>
        <v>MANDIRI HERINDO ADIPERKASA, PTMEI</v>
      </c>
    </row>
    <row r="297" spans="2:17" s="61" customFormat="1" ht="14.1" customHeight="1">
      <c r="B297" s="242"/>
      <c r="C297" s="268">
        <f>MATCH($B$264,INDEX(Master_Data!$B$152:$B$864,D296+1,1):'Master_Data'!$B$864,0)</f>
        <v>32</v>
      </c>
      <c r="D297" s="268">
        <f t="shared" si="24"/>
        <v>498</v>
      </c>
      <c r="E297" s="54">
        <v>34</v>
      </c>
      <c r="F297" s="22" t="str">
        <f>INDEX(Master_Data!$C$152:$L$864,D297,2)</f>
        <v>MANDIRI INTI PERKASA, PT</v>
      </c>
      <c r="G297" s="24" t="str">
        <f>INDEX(Master_Data!$C$152:$L$864,D297,3)</f>
        <v>W, I</v>
      </c>
      <c r="H297" s="24">
        <f>INDEX(Master_Data!$C$152:$L$864,D297,1)</f>
        <v>2</v>
      </c>
      <c r="I297" s="24">
        <f>INDEX(Master_Data!$C$152:$L$864,D297,4)</f>
        <v>0</v>
      </c>
      <c r="J297" s="24">
        <f>INDEX(Master_Data!$C$152:$L$864,D297,5)</f>
        <v>0</v>
      </c>
      <c r="K297" s="137" t="str">
        <f>INDEX(Master_Data!$C$152:$L$864,D297,6)</f>
        <v>17-009/BKU-004/V/196</v>
      </c>
      <c r="L297" s="140" t="str">
        <f>INDEX(Master_Data!$C$152:$L$864,D297,7)</f>
        <v>010.018-17.04159582</v>
      </c>
      <c r="M297" s="140">
        <f>INDEX(Master_Data!$C$152:$L$864,D297,8)</f>
        <v>0</v>
      </c>
      <c r="N297" s="264"/>
      <c r="O297" s="245" t="e">
        <f t="shared" si="22"/>
        <v>#VALUE!</v>
      </c>
      <c r="Q297" s="169" t="str">
        <f t="shared" si="23"/>
        <v>MANDIRI INTI PERKASA, PTMEI</v>
      </c>
    </row>
    <row r="298" spans="2:17" s="61" customFormat="1" ht="14.1" customHeight="1">
      <c r="B298" s="242"/>
      <c r="C298" s="268">
        <f>MATCH($B$264,INDEX(Master_Data!$B$152:$B$864,D297+1,1):'Master_Data'!$B$864,0)</f>
        <v>1</v>
      </c>
      <c r="D298" s="268">
        <f t="shared" ref="D298:D312" si="25">D297+C298</f>
        <v>499</v>
      </c>
      <c r="E298" s="54">
        <v>35</v>
      </c>
      <c r="F298" s="22" t="str">
        <f>INDEX(Master_Data!$C$152:$L$864,D298,2)</f>
        <v>MANDIRI INTI PERKASA, PT</v>
      </c>
      <c r="G298" s="24" t="str">
        <f>INDEX(Master_Data!$C$152:$L$864,D298,3)</f>
        <v>I</v>
      </c>
      <c r="H298" s="24">
        <f>INDEX(Master_Data!$C$152:$L$864,D298,1)</f>
        <v>2</v>
      </c>
      <c r="I298" s="24">
        <f>INDEX(Master_Data!$C$152:$L$864,D298,4)</f>
        <v>0</v>
      </c>
      <c r="J298" s="24">
        <f>INDEX(Master_Data!$C$152:$L$864,D298,5)</f>
        <v>0</v>
      </c>
      <c r="K298" s="137" t="str">
        <f>INDEX(Master_Data!$C$152:$L$864,D298,6)</f>
        <v>17-010/BKU-004/V/196</v>
      </c>
      <c r="L298" s="140" t="str">
        <f>INDEX(Master_Data!$C$152:$L$864,D298,7)</f>
        <v>010.018-17.04159583</v>
      </c>
      <c r="M298" s="140">
        <f>INDEX(Master_Data!$C$152:$L$864,D298,8)</f>
        <v>0</v>
      </c>
      <c r="N298" s="264"/>
      <c r="O298" s="245" t="e">
        <f t="shared" ref="O298:O312" si="26">L298+M298</f>
        <v>#VALUE!</v>
      </c>
      <c r="Q298" s="169" t="str">
        <f t="shared" si="23"/>
        <v>MANDIRI INTI PERKASA, PTMEI</v>
      </c>
    </row>
    <row r="299" spans="2:17" s="61" customFormat="1" ht="14.1" customHeight="1">
      <c r="B299" s="242"/>
      <c r="C299" s="268">
        <f>MATCH($B$264,INDEX(Master_Data!$B$152:$B$864,D298+1,1):'Master_Data'!$B$864,0)</f>
        <v>19</v>
      </c>
      <c r="D299" s="268">
        <f t="shared" si="25"/>
        <v>518</v>
      </c>
      <c r="E299" s="54">
        <v>36</v>
      </c>
      <c r="F299" s="22" t="str">
        <f>INDEX(Master_Data!$C$152:$L$864,D299,2)</f>
        <v>MEDCO PAPUA INDUSTRI LESTARI, PT</v>
      </c>
      <c r="G299" s="24" t="str">
        <f>INDEX(Master_Data!$C$152:$L$864,D299,3)</f>
        <v>V</v>
      </c>
      <c r="H299" s="24">
        <f>INDEX(Master_Data!$C$152:$L$864,D299,1)</f>
        <v>2</v>
      </c>
      <c r="I299" s="24">
        <f>INDEX(Master_Data!$C$152:$L$864,D299,4)</f>
        <v>0</v>
      </c>
      <c r="J299" s="24">
        <f>INDEX(Master_Data!$C$152:$L$864,D299,5)</f>
        <v>0</v>
      </c>
      <c r="K299" s="137" t="str">
        <f>INDEX(Master_Data!$C$152:$L$864,D299,6)</f>
        <v>17-005/BKU-004/V/145</v>
      </c>
      <c r="L299" s="140" t="str">
        <f>INDEX(Master_Data!$C$152:$L$864,D299,7)</f>
        <v>010.018-17.04159584</v>
      </c>
      <c r="M299" s="140">
        <f>INDEX(Master_Data!$C$152:$L$864,D299,8)</f>
        <v>0</v>
      </c>
      <c r="N299" s="264"/>
      <c r="O299" s="245" t="e">
        <f t="shared" si="26"/>
        <v>#VALUE!</v>
      </c>
      <c r="Q299" s="169" t="str">
        <f t="shared" si="23"/>
        <v>MEDCO PAPUA INDUSTRI LESTARI, PTMEI</v>
      </c>
    </row>
    <row r="300" spans="2:17" s="61" customFormat="1" ht="14.1" customHeight="1">
      <c r="B300" s="242"/>
      <c r="C300" s="268">
        <f>MATCH($B$264,INDEX(Master_Data!$B$152:$B$864,D299+1,1):'Master_Data'!$B$864,0)</f>
        <v>12</v>
      </c>
      <c r="D300" s="268">
        <f t="shared" si="25"/>
        <v>530</v>
      </c>
      <c r="E300" s="54">
        <v>37</v>
      </c>
      <c r="F300" s="22" t="str">
        <f>INDEX(Master_Data!$C$152:$L$864,D300,2)</f>
        <v>METALINDO BUMI RAYA, PT</v>
      </c>
      <c r="G300" s="24" t="str">
        <f>INDEX(Master_Data!$C$152:$L$864,D300,3)</f>
        <v>I</v>
      </c>
      <c r="H300" s="24">
        <f>INDEX(Master_Data!$C$152:$L$864,D300,1)</f>
        <v>2</v>
      </c>
      <c r="I300" s="24">
        <f>INDEX(Master_Data!$C$152:$L$864,D300,4)</f>
        <v>0</v>
      </c>
      <c r="J300" s="24">
        <f>INDEX(Master_Data!$C$152:$L$864,D300,5)</f>
        <v>0</v>
      </c>
      <c r="K300" s="137" t="str">
        <f>INDEX(Master_Data!$C$152:$L$864,D300,6)</f>
        <v>17-005/BKU-004/V/220</v>
      </c>
      <c r="L300" s="140" t="str">
        <f>INDEX(Master_Data!$C$152:$L$864,D300,7)</f>
        <v>010.018-17.04159585</v>
      </c>
      <c r="M300" s="140">
        <f>INDEX(Master_Data!$C$152:$L$864,D300,8)</f>
        <v>0</v>
      </c>
      <c r="N300" s="264"/>
      <c r="O300" s="245" t="e">
        <f t="shared" si="26"/>
        <v>#VALUE!</v>
      </c>
      <c r="Q300" s="169" t="str">
        <f t="shared" si="23"/>
        <v>METALINDO BUMI RAYA, PTMEI</v>
      </c>
    </row>
    <row r="301" spans="2:17" s="61" customFormat="1" ht="14.1" customHeight="1">
      <c r="B301" s="242"/>
      <c r="C301" s="268">
        <f>MATCH($B$264,INDEX(Master_Data!$B$152:$B$864,D300+1,1):'Master_Data'!$B$864,0)</f>
        <v>15</v>
      </c>
      <c r="D301" s="268">
        <f t="shared" si="25"/>
        <v>545</v>
      </c>
      <c r="E301" s="54">
        <v>38</v>
      </c>
      <c r="F301" s="22" t="str">
        <f>INDEX(Master_Data!$C$152:$L$864,D301,2)</f>
        <v>NUSANTARA SARANA ALAM, PT</v>
      </c>
      <c r="G301" s="24" t="str">
        <f>INDEX(Master_Data!$C$152:$L$864,D301,3)</f>
        <v>V</v>
      </c>
      <c r="H301" s="24">
        <f>INDEX(Master_Data!$C$152:$L$864,D301,1)</f>
        <v>2</v>
      </c>
      <c r="I301" s="24">
        <f>INDEX(Master_Data!$C$152:$L$864,D301,4)</f>
        <v>0</v>
      </c>
      <c r="J301" s="24">
        <f>INDEX(Master_Data!$C$152:$L$864,D301,5)</f>
        <v>0</v>
      </c>
      <c r="K301" s="137" t="str">
        <f>INDEX(Master_Data!$C$152:$L$864,D301,6)</f>
        <v>17-007/BKU-004/V/245</v>
      </c>
      <c r="L301" s="140" t="str">
        <f>INDEX(Master_Data!$C$152:$L$864,D301,7)</f>
        <v>010.018-17.04159599</v>
      </c>
      <c r="M301" s="140">
        <f>INDEX(Master_Data!$C$152:$L$864,D301,8)</f>
        <v>0</v>
      </c>
      <c r="N301" s="264"/>
      <c r="O301" s="245" t="e">
        <f t="shared" si="26"/>
        <v>#VALUE!</v>
      </c>
      <c r="Q301" s="169" t="str">
        <f t="shared" si="23"/>
        <v>NUSANTARA SARANA ALAM, PTMEI</v>
      </c>
    </row>
    <row r="302" spans="2:17" s="61" customFormat="1" ht="14.1" customHeight="1">
      <c r="B302" s="242"/>
      <c r="C302" s="268">
        <f>MATCH($B$264,INDEX(Master_Data!$B$152:$B$864,D301+1,1):'Master_Data'!$B$864,0)</f>
        <v>16</v>
      </c>
      <c r="D302" s="268">
        <f t="shared" si="25"/>
        <v>561</v>
      </c>
      <c r="E302" s="54">
        <v>39</v>
      </c>
      <c r="F302" s="22" t="str">
        <f>INDEX(Master_Data!$C$152:$L$864,D302,2)</f>
        <v>PEMBANGUNAN PERUMAHAN (PERSERO), PT</v>
      </c>
      <c r="G302" s="24" t="str">
        <f>INDEX(Master_Data!$C$152:$L$864,D302,3)</f>
        <v>I</v>
      </c>
      <c r="H302" s="24">
        <f>INDEX(Master_Data!$C$152:$L$864,D302,1)</f>
        <v>2</v>
      </c>
      <c r="I302" s="24">
        <f>INDEX(Master_Data!$C$152:$L$864,D302,4)</f>
        <v>0</v>
      </c>
      <c r="J302" s="24">
        <f>INDEX(Master_Data!$C$152:$L$864,D302,5)</f>
        <v>0</v>
      </c>
      <c r="K302" s="137" t="str">
        <f>INDEX(Master_Data!$C$152:$L$864,D302,6)</f>
        <v>17-005/BKU-004/V/226</v>
      </c>
      <c r="L302" s="140" t="str">
        <f>INDEX(Master_Data!$C$152:$L$864,D302,7)</f>
        <v>030.018-17.04159588</v>
      </c>
      <c r="M302" s="140">
        <f>INDEX(Master_Data!$C$152:$L$864,D302,8)</f>
        <v>0</v>
      </c>
      <c r="N302" s="264"/>
      <c r="O302" s="245" t="e">
        <f t="shared" si="26"/>
        <v>#VALUE!</v>
      </c>
      <c r="Q302" s="169" t="str">
        <f t="shared" si="23"/>
        <v>PEMBANGUNAN PERUMAHAN (PERSERO), PTMEI</v>
      </c>
    </row>
    <row r="303" spans="2:17" s="61" customFormat="1" ht="14.1" customHeight="1">
      <c r="B303" s="242"/>
      <c r="C303" s="268">
        <f>MATCH($B$264,INDEX(Master_Data!$B$152:$B$864,D302+1,1):'Master_Data'!$B$864,0)</f>
        <v>13</v>
      </c>
      <c r="D303" s="268">
        <f t="shared" si="25"/>
        <v>574</v>
      </c>
      <c r="E303" s="54">
        <v>40</v>
      </c>
      <c r="F303" s="22" t="str">
        <f>INDEX(Master_Data!$C$152:$L$864,D303,2)</f>
        <v>PEMERINTAH KABUPATEN SIGI</v>
      </c>
      <c r="G303" s="24" t="str">
        <f>INDEX(Master_Data!$C$152:$L$864,D303,3)</f>
        <v>I</v>
      </c>
      <c r="H303" s="24">
        <f>INDEX(Master_Data!$C$152:$L$864,D303,1)</f>
        <v>2</v>
      </c>
      <c r="I303" s="24">
        <f>INDEX(Master_Data!$C$152:$L$864,D303,4)</f>
        <v>0</v>
      </c>
      <c r="J303" s="24">
        <f>INDEX(Master_Data!$C$152:$L$864,D303,5)</f>
        <v>0</v>
      </c>
      <c r="K303" s="137" t="str">
        <f>INDEX(Master_Data!$C$152:$L$864,D303,6)</f>
        <v>17-005/BKU-004/V/184</v>
      </c>
      <c r="L303" s="140" t="str">
        <f>INDEX(Master_Data!$C$152:$L$864,D303,7)</f>
        <v>020.018-17.04159621</v>
      </c>
      <c r="M303" s="140">
        <f>INDEX(Master_Data!$C$152:$L$864,D303,8)</f>
        <v>0</v>
      </c>
      <c r="N303" s="264"/>
      <c r="O303" s="245" t="e">
        <f t="shared" si="26"/>
        <v>#VALUE!</v>
      </c>
      <c r="Q303" s="169" t="str">
        <f t="shared" si="23"/>
        <v>PEMERINTAH KABUPATEN SIGIMEI</v>
      </c>
    </row>
    <row r="304" spans="2:17" s="61" customFormat="1" ht="14.1" customHeight="1">
      <c r="B304" s="242"/>
      <c r="C304" s="268">
        <f>MATCH($B$264,INDEX(Master_Data!$B$152:$B$864,D303+1,1):'Master_Data'!$B$864,0)</f>
        <v>3</v>
      </c>
      <c r="D304" s="268">
        <f t="shared" si="25"/>
        <v>577</v>
      </c>
      <c r="E304" s="54">
        <v>41</v>
      </c>
      <c r="F304" s="22" t="str">
        <f>INDEX(Master_Data!$C$152:$L$864,D304,2)</f>
        <v>PEMERINTAH KABUPATEN SIGI</v>
      </c>
      <c r="G304" s="24" t="str">
        <f>INDEX(Master_Data!$C$152:$L$864,D304,3)</f>
        <v>I</v>
      </c>
      <c r="H304" s="24">
        <f>INDEX(Master_Data!$C$152:$L$864,D304,1)</f>
        <v>18</v>
      </c>
      <c r="I304" s="24">
        <f>INDEX(Master_Data!$C$152:$L$864,D304,4)</f>
        <v>0</v>
      </c>
      <c r="J304" s="24">
        <f>INDEX(Master_Data!$C$152:$L$864,D304,5)</f>
        <v>0</v>
      </c>
      <c r="K304" s="137" t="str">
        <f>INDEX(Master_Data!$C$152:$L$864,D304,6)</f>
        <v>001/BKU-004/V/184</v>
      </c>
      <c r="L304" s="140" t="str">
        <f>INDEX(Master_Data!$C$152:$L$864,D304,7)</f>
        <v>020.018-17.04159622</v>
      </c>
      <c r="M304" s="140">
        <f>INDEX(Master_Data!$C$152:$L$864,D304,8)</f>
        <v>0</v>
      </c>
      <c r="N304" s="264"/>
      <c r="O304" s="245" t="e">
        <f t="shared" si="26"/>
        <v>#VALUE!</v>
      </c>
      <c r="Q304" s="169" t="str">
        <f t="shared" si="23"/>
        <v>PEMERINTAH KABUPATEN SIGIMEI</v>
      </c>
    </row>
    <row r="305" spans="2:17" s="61" customFormat="1" ht="14.1" customHeight="1">
      <c r="B305" s="242"/>
      <c r="C305" s="268">
        <f>MATCH($B$264,INDEX(Master_Data!$B$152:$B$864,D304+1,1):'Master_Data'!$B$864,0)</f>
        <v>1</v>
      </c>
      <c r="D305" s="268">
        <f t="shared" si="25"/>
        <v>578</v>
      </c>
      <c r="E305" s="54">
        <v>42</v>
      </c>
      <c r="F305" s="22" t="str">
        <f>INDEX(Master_Data!$C$152:$L$864,D305,2)</f>
        <v>PEMERINTAH KABUPATEN SIGI</v>
      </c>
      <c r="G305" s="24" t="str">
        <f>INDEX(Master_Data!$C$152:$L$864,D305,3)</f>
        <v>I</v>
      </c>
      <c r="H305" s="24">
        <f>INDEX(Master_Data!$C$152:$L$864,D305,1)</f>
        <v>18</v>
      </c>
      <c r="I305" s="24">
        <f>INDEX(Master_Data!$C$152:$L$864,D305,4)</f>
        <v>0</v>
      </c>
      <c r="J305" s="24">
        <f>INDEX(Master_Data!$C$152:$L$864,D305,5)</f>
        <v>0</v>
      </c>
      <c r="K305" s="137" t="str">
        <f>INDEX(Master_Data!$C$152:$L$864,D305,6)</f>
        <v>002/BKU-004/V/184</v>
      </c>
      <c r="L305" s="140" t="str">
        <f>INDEX(Master_Data!$C$152:$L$864,D305,7)</f>
        <v>020.018-17.04159623</v>
      </c>
      <c r="M305" s="140">
        <f>INDEX(Master_Data!$C$152:$L$864,D305,8)</f>
        <v>0</v>
      </c>
      <c r="N305" s="264"/>
      <c r="O305" s="245" t="e">
        <f t="shared" si="26"/>
        <v>#VALUE!</v>
      </c>
      <c r="Q305" s="169" t="str">
        <f t="shared" si="23"/>
        <v>PEMERINTAH KABUPATEN SIGIMEI</v>
      </c>
    </row>
    <row r="306" spans="2:17" s="61" customFormat="1" ht="14.1" customHeight="1">
      <c r="B306" s="242"/>
      <c r="C306" s="268">
        <f>MATCH($B$264,INDEX(Master_Data!$B$152:$B$864,D305+1,1):'Master_Data'!$B$864,0)</f>
        <v>1</v>
      </c>
      <c r="D306" s="268">
        <f t="shared" si="25"/>
        <v>579</v>
      </c>
      <c r="E306" s="54">
        <v>43</v>
      </c>
      <c r="F306" s="22" t="str">
        <f>INDEX(Master_Data!$C$152:$L$864,D306,2)</f>
        <v>PEMERINTAH KABUPATEN SIGI</v>
      </c>
      <c r="G306" s="24" t="str">
        <f>INDEX(Master_Data!$C$152:$L$864,D306,3)</f>
        <v>I</v>
      </c>
      <c r="H306" s="24">
        <f>INDEX(Master_Data!$C$152:$L$864,D306,1)</f>
        <v>18</v>
      </c>
      <c r="I306" s="24">
        <f>INDEX(Master_Data!$C$152:$L$864,D306,4)</f>
        <v>0</v>
      </c>
      <c r="J306" s="24">
        <f>INDEX(Master_Data!$C$152:$L$864,D306,5)</f>
        <v>0</v>
      </c>
      <c r="K306" s="137" t="str">
        <f>INDEX(Master_Data!$C$152:$L$864,D306,6)</f>
        <v>003/BKU-004/V/184</v>
      </c>
      <c r="L306" s="140" t="str">
        <f>INDEX(Master_Data!$C$152:$L$864,D306,7)</f>
        <v>020.018-17.04159624</v>
      </c>
      <c r="M306" s="140">
        <f>INDEX(Master_Data!$C$152:$L$864,D306,8)</f>
        <v>0</v>
      </c>
      <c r="N306" s="264"/>
      <c r="O306" s="245" t="e">
        <f t="shared" si="26"/>
        <v>#VALUE!</v>
      </c>
      <c r="Q306" s="169" t="str">
        <f t="shared" si="23"/>
        <v>PEMERINTAH KABUPATEN SIGIMEI</v>
      </c>
    </row>
    <row r="307" spans="2:17" s="61" customFormat="1" ht="14.1" customHeight="1">
      <c r="B307" s="242"/>
      <c r="C307" s="268">
        <f>MATCH($B$264,INDEX(Master_Data!$B$152:$B$864,D306+1,1):'Master_Data'!$B$864,0)</f>
        <v>13</v>
      </c>
      <c r="D307" s="268">
        <f t="shared" si="25"/>
        <v>592</v>
      </c>
      <c r="E307" s="54">
        <v>44</v>
      </c>
      <c r="F307" s="22" t="str">
        <f>INDEX(Master_Data!$C$152:$L$864,D307,2)</f>
        <v>PERTIWI AGRO SEJAHTERA, PT</v>
      </c>
      <c r="G307" s="24" t="str">
        <f>INDEX(Master_Data!$C$152:$L$864,D307,3)</f>
        <v>V</v>
      </c>
      <c r="H307" s="24">
        <f>INDEX(Master_Data!$C$152:$L$864,D307,1)</f>
        <v>2</v>
      </c>
      <c r="I307" s="24">
        <f>INDEX(Master_Data!$C$152:$L$864,D307,4)</f>
        <v>0</v>
      </c>
      <c r="J307" s="24">
        <f>INDEX(Master_Data!$C$152:$L$864,D307,5)</f>
        <v>0</v>
      </c>
      <c r="K307" s="137" t="str">
        <f>INDEX(Master_Data!$C$152:$L$864,D307,6)</f>
        <v>17-005/BKU-004/V/207</v>
      </c>
      <c r="L307" s="140" t="str">
        <f>INDEX(Master_Data!$C$152:$L$864,D307,7)</f>
        <v>010.018-17.04159600</v>
      </c>
      <c r="M307" s="140">
        <f>INDEX(Master_Data!$C$152:$L$864,D307,8)</f>
        <v>0</v>
      </c>
      <c r="N307" s="264"/>
      <c r="O307" s="245" t="e">
        <f t="shared" si="26"/>
        <v>#VALUE!</v>
      </c>
      <c r="Q307" s="169" t="str">
        <f t="shared" si="23"/>
        <v>PERTIWI AGRO SEJAHTERA, PTMEI</v>
      </c>
    </row>
    <row r="308" spans="2:17" s="61" customFormat="1" ht="14.1" customHeight="1">
      <c r="B308" s="242"/>
      <c r="C308" s="268">
        <f>MATCH($B$264,INDEX(Master_Data!$B$152:$B$864,D307+1,1):'Master_Data'!$B$864,0)</f>
        <v>23</v>
      </c>
      <c r="D308" s="268">
        <f t="shared" si="25"/>
        <v>615</v>
      </c>
      <c r="E308" s="54">
        <v>45</v>
      </c>
      <c r="F308" s="22" t="str">
        <f>INDEX(Master_Data!$C$152:$L$864,D308,2)</f>
        <v>PETROSEA, PT</v>
      </c>
      <c r="G308" s="24" t="str">
        <f>INDEX(Master_Data!$C$152:$L$864,D308,3)</f>
        <v>V</v>
      </c>
      <c r="H308" s="24">
        <f>INDEX(Master_Data!$C$152:$L$864,D308,1)</f>
        <v>2</v>
      </c>
      <c r="I308" s="24">
        <f>INDEX(Master_Data!$C$152:$L$864,D308,4)</f>
        <v>0</v>
      </c>
      <c r="J308" s="24">
        <f>INDEX(Master_Data!$C$152:$L$864,D308,5)</f>
        <v>0</v>
      </c>
      <c r="K308" s="137" t="str">
        <f>INDEX(Master_Data!$C$152:$L$864,D308,6)</f>
        <v>17-014/BKU-004/V/009</v>
      </c>
      <c r="L308" s="140" t="str">
        <f>INDEX(Master_Data!$C$152:$L$864,D308,7)</f>
        <v>010.018-17.04159613</v>
      </c>
      <c r="M308" s="140">
        <f>INDEX(Master_Data!$C$152:$L$864,D308,8)</f>
        <v>0</v>
      </c>
      <c r="N308" s="264"/>
      <c r="O308" s="245" t="e">
        <f t="shared" si="26"/>
        <v>#VALUE!</v>
      </c>
      <c r="Q308" s="169" t="str">
        <f t="shared" si="23"/>
        <v>PETROSEA, PTMEI</v>
      </c>
    </row>
    <row r="309" spans="2:17" s="61" customFormat="1" ht="14.1" customHeight="1">
      <c r="B309" s="242"/>
      <c r="C309" s="268">
        <f>MATCH($B$264,INDEX(Master_Data!$B$152:$B$864,D308+1,1):'Master_Data'!$B$864,0)</f>
        <v>1</v>
      </c>
      <c r="D309" s="268">
        <f t="shared" si="25"/>
        <v>616</v>
      </c>
      <c r="E309" s="54">
        <v>46</v>
      </c>
      <c r="F309" s="22" t="str">
        <f>INDEX(Master_Data!$C$152:$L$864,D309,2)</f>
        <v>PETROSEA, PT</v>
      </c>
      <c r="G309" s="24" t="str">
        <f>INDEX(Master_Data!$C$152:$L$864,D309,3)</f>
        <v>V</v>
      </c>
      <c r="H309" s="24">
        <f>INDEX(Master_Data!$C$152:$L$864,D309,1)</f>
        <v>2</v>
      </c>
      <c r="I309" s="24">
        <f>INDEX(Master_Data!$C$152:$L$864,D309,4)</f>
        <v>0</v>
      </c>
      <c r="J309" s="24">
        <f>INDEX(Master_Data!$C$152:$L$864,D309,5)</f>
        <v>0</v>
      </c>
      <c r="K309" s="137" t="str">
        <f>INDEX(Master_Data!$C$152:$L$864,D309,6)</f>
        <v>17-015/BKU-004/V/009</v>
      </c>
      <c r="L309" s="140" t="str">
        <f>INDEX(Master_Data!$C$152:$L$864,D309,7)</f>
        <v>010.018-17.04159614</v>
      </c>
      <c r="M309" s="140">
        <f>INDEX(Master_Data!$C$152:$L$864,D309,8)</f>
        <v>0</v>
      </c>
      <c r="N309" s="264"/>
      <c r="O309" s="245" t="e">
        <f t="shared" si="26"/>
        <v>#VALUE!</v>
      </c>
      <c r="Q309" s="169" t="str">
        <f t="shared" si="23"/>
        <v>PETROSEA, PTMEI</v>
      </c>
    </row>
    <row r="310" spans="2:17" s="61" customFormat="1" ht="14.1" customHeight="1">
      <c r="B310" s="242"/>
      <c r="C310" s="268">
        <f>MATCH($B$264,INDEX(Master_Data!$B$152:$B$864,D309+1,1):'Master_Data'!$B$864,0)</f>
        <v>34</v>
      </c>
      <c r="D310" s="268">
        <f t="shared" si="25"/>
        <v>650</v>
      </c>
      <c r="E310" s="54">
        <v>47</v>
      </c>
      <c r="F310" s="22" t="str">
        <f>INDEX(Master_Data!$C$152:$L$864,D310,2)</f>
        <v>PUNCAK KEEMASAN LUMBUNG DUNIA, PT</v>
      </c>
      <c r="G310" s="24" t="str">
        <f>INDEX(Master_Data!$C$152:$L$864,D310,3)</f>
        <v>I</v>
      </c>
      <c r="H310" s="24">
        <f>INDEX(Master_Data!$C$152:$L$864,D310,1)</f>
        <v>2</v>
      </c>
      <c r="I310" s="24">
        <f>INDEX(Master_Data!$C$152:$L$864,D310,4)</f>
        <v>0</v>
      </c>
      <c r="J310" s="24">
        <f>INDEX(Master_Data!$C$152:$L$864,D310,5)</f>
        <v>0</v>
      </c>
      <c r="K310" s="137" t="str">
        <f>INDEX(Master_Data!$C$152:$L$864,D310,6)</f>
        <v>17-004/BKU-004/V/225</v>
      </c>
      <c r="L310" s="140" t="str">
        <f>INDEX(Master_Data!$C$152:$L$864,D310,7)</f>
        <v>010.018-17.04159589</v>
      </c>
      <c r="M310" s="140">
        <f>INDEX(Master_Data!$C$152:$L$864,D310,8)</f>
        <v>0</v>
      </c>
      <c r="N310" s="264"/>
      <c r="O310" s="245" t="e">
        <f t="shared" si="26"/>
        <v>#VALUE!</v>
      </c>
      <c r="Q310" s="169" t="str">
        <f t="shared" si="23"/>
        <v>PUNCAK KEEMASAN LUMBUNG DUNIA, PTMEI</v>
      </c>
    </row>
    <row r="311" spans="2:17" s="61" customFormat="1" ht="14.1" customHeight="1">
      <c r="B311" s="242"/>
      <c r="C311" s="268">
        <f>MATCH($B$264,INDEX(Master_Data!$B$152:$B$864,D310+1,1):'Master_Data'!$B$864,0)</f>
        <v>10</v>
      </c>
      <c r="D311" s="268">
        <f t="shared" si="25"/>
        <v>660</v>
      </c>
      <c r="E311" s="54">
        <v>48</v>
      </c>
      <c r="F311" s="22" t="str">
        <f>INDEX(Master_Data!$C$152:$L$864,D311,2)</f>
        <v>RIUNG MITRA LESTARI, PT</v>
      </c>
      <c r="G311" s="24" t="str">
        <f>INDEX(Master_Data!$C$152:$L$864,D311,3)</f>
        <v>M</v>
      </c>
      <c r="H311" s="24">
        <f>INDEX(Master_Data!$C$152:$L$864,D311,1)</f>
        <v>2</v>
      </c>
      <c r="I311" s="24">
        <f>INDEX(Master_Data!$C$152:$L$864,D311,4)</f>
        <v>0</v>
      </c>
      <c r="J311" s="24">
        <f>INDEX(Master_Data!$C$152:$L$864,D311,5)</f>
        <v>0</v>
      </c>
      <c r="K311" s="137" t="str">
        <f>INDEX(Master_Data!$C$152:$L$864,D311,6)</f>
        <v>17-005/BKU-004/V/149</v>
      </c>
      <c r="L311" s="140" t="str">
        <f>INDEX(Master_Data!$C$152:$L$864,D311,7)</f>
        <v>010.018-17.04159586</v>
      </c>
      <c r="M311" s="140">
        <f>INDEX(Master_Data!$C$152:$L$864,D311,8)</f>
        <v>0</v>
      </c>
      <c r="N311" s="264"/>
      <c r="O311" s="245" t="e">
        <f t="shared" si="26"/>
        <v>#VALUE!</v>
      </c>
      <c r="Q311" s="169" t="str">
        <f t="shared" si="23"/>
        <v>RIUNG MITRA LESTARI, PTMEI</v>
      </c>
    </row>
    <row r="312" spans="2:17" s="61" customFormat="1" ht="14.1" customHeight="1">
      <c r="B312" s="995"/>
      <c r="C312" s="996">
        <f>MATCH($B$264,INDEX(Master_Data!$B$152:$B$864,D311+1,1):'Master_Data'!$B$864,0)</f>
        <v>13</v>
      </c>
      <c r="D312" s="996">
        <f t="shared" si="25"/>
        <v>673</v>
      </c>
      <c r="E312" s="997">
        <v>49</v>
      </c>
      <c r="F312" s="998" t="str">
        <f>INDEX(Master_Data!$C$152:$L$864,D312,2)</f>
        <v>ROKA LANE ASIA, PT</v>
      </c>
      <c r="G312" s="999" t="str">
        <f>INDEX(Master_Data!$C$152:$L$864,D312,3)</f>
        <v>I</v>
      </c>
      <c r="H312" s="999">
        <f>INDEX(Master_Data!$C$152:$L$864,D312,1)</f>
        <v>2</v>
      </c>
      <c r="I312" s="999">
        <f>INDEX(Master_Data!$C$152:$L$864,D312,4)</f>
        <v>0</v>
      </c>
      <c r="J312" s="999">
        <f>INDEX(Master_Data!$C$152:$L$864,D312,5)</f>
        <v>0</v>
      </c>
      <c r="K312" s="1000" t="str">
        <f>INDEX(Master_Data!$C$152:$L$864,D312,6)</f>
        <v>17-006/BKU-004/V/239</v>
      </c>
      <c r="L312" s="1001" t="str">
        <f>INDEX(Master_Data!$C$152:$L$864,D312,7)</f>
        <v>010.018-17.04159587</v>
      </c>
      <c r="M312" s="1001">
        <f>INDEX(Master_Data!$C$152:$L$864,D312,8)</f>
        <v>0</v>
      </c>
      <c r="N312" s="1002"/>
      <c r="O312" s="1003" t="e">
        <f t="shared" si="26"/>
        <v>#VALUE!</v>
      </c>
      <c r="Q312" s="169" t="str">
        <f t="shared" si="23"/>
        <v>ROKA LANE ASIA, PTMEI</v>
      </c>
    </row>
    <row r="313" spans="2:17" s="61" customFormat="1" ht="14.1" customHeight="1">
      <c r="B313" s="339"/>
      <c r="C313" s="269">
        <f>MATCH($B$264,INDEX(Master_Data!$B$152:$B$864,D312+1,1):'Master_Data'!$B$864,0)</f>
        <v>17</v>
      </c>
      <c r="D313" s="269">
        <f>D312+C313</f>
        <v>690</v>
      </c>
      <c r="E313" s="895">
        <v>50</v>
      </c>
      <c r="F313" s="138" t="str">
        <f>INDEX(Master_Data!$C$152:$L$864,D313,2)</f>
        <v>TEBAR TANDAN TENERA, PT</v>
      </c>
      <c r="G313" s="27" t="str">
        <f>INDEX(Master_Data!$C$152:$L$864,D313,3)</f>
        <v>V</v>
      </c>
      <c r="H313" s="27">
        <f>INDEX(Master_Data!$C$152:$L$864,D313,1)</f>
        <v>2</v>
      </c>
      <c r="I313" s="27">
        <f>INDEX(Master_Data!$C$152:$L$864,D313,4)</f>
        <v>0</v>
      </c>
      <c r="J313" s="27">
        <f>INDEX(Master_Data!$C$152:$L$864,D313,5)</f>
        <v>0</v>
      </c>
      <c r="K313" s="1004" t="str">
        <f>INDEX(Master_Data!$C$152:$L$864,D313,6)</f>
        <v>17-005/BKU-004/V/227</v>
      </c>
      <c r="L313" s="141" t="str">
        <f>INDEX(Master_Data!$C$152:$L$864,D313,7)</f>
        <v>010.018-17.04159601</v>
      </c>
      <c r="M313" s="141">
        <f>INDEX(Master_Data!$C$152:$L$864,D313,8)</f>
        <v>0</v>
      </c>
      <c r="N313" s="265"/>
      <c r="O313" s="305" t="e">
        <f>L313+M313</f>
        <v>#VALUE!</v>
      </c>
      <c r="Q313" s="169" t="str">
        <f>CONCATENATE(F313,$B$264)</f>
        <v>TEBAR TANDAN TENERA, PTMEI</v>
      </c>
    </row>
    <row r="314" spans="2:17" ht="20.25" customHeight="1">
      <c r="B314" s="1758" t="s">
        <v>7</v>
      </c>
      <c r="C314" s="1758"/>
      <c r="D314" s="1758"/>
      <c r="E314" s="1758"/>
      <c r="F314" s="1758"/>
      <c r="G314" s="1758"/>
      <c r="H314" s="1758"/>
      <c r="I314" s="1758"/>
      <c r="J314" s="1758"/>
      <c r="K314" s="12">
        <f>SUM(K264:K313)</f>
        <v>0</v>
      </c>
      <c r="L314" s="142">
        <f>SUM(L264:L313)</f>
        <v>0</v>
      </c>
      <c r="M314" s="142">
        <f>SUM(M264:M313)</f>
        <v>0</v>
      </c>
      <c r="N314" s="12">
        <f>SUM(N264:N313)</f>
        <v>0</v>
      </c>
      <c r="O314" s="13" t="e">
        <f>SUM(O264:O313)</f>
        <v>#VALUE!</v>
      </c>
    </row>
    <row r="316" spans="2:17" s="7" customFormat="1" ht="15" customHeight="1">
      <c r="B316" s="1759" t="s">
        <v>198</v>
      </c>
      <c r="C316" s="1760" t="s">
        <v>200</v>
      </c>
      <c r="D316" s="1760"/>
      <c r="E316" s="1759" t="s">
        <v>6</v>
      </c>
      <c r="F316" s="1758" t="s">
        <v>3</v>
      </c>
      <c r="G316" s="1761" t="s">
        <v>141</v>
      </c>
      <c r="H316" s="1758" t="s">
        <v>59</v>
      </c>
      <c r="I316" s="1758"/>
      <c r="J316" s="1758"/>
      <c r="K316" s="1758"/>
      <c r="L316" s="1758"/>
      <c r="M316" s="1758"/>
      <c r="N316" s="1758"/>
      <c r="O316" s="1758"/>
    </row>
    <row r="317" spans="2:17" s="7" customFormat="1" ht="15" customHeight="1">
      <c r="B317" s="1759"/>
      <c r="C317" s="1764" t="s">
        <v>196</v>
      </c>
      <c r="D317" s="1764" t="s">
        <v>197</v>
      </c>
      <c r="E317" s="1759"/>
      <c r="F317" s="1758"/>
      <c r="G317" s="1762"/>
      <c r="H317" s="1766" t="s">
        <v>15</v>
      </c>
      <c r="I317" s="1766" t="s">
        <v>51</v>
      </c>
      <c r="J317" s="1766" t="s">
        <v>12</v>
      </c>
      <c r="K317" s="1768" t="s">
        <v>11</v>
      </c>
      <c r="L317" s="1768" t="s">
        <v>53</v>
      </c>
      <c r="M317" s="1768" t="s">
        <v>1</v>
      </c>
      <c r="N317" s="1770" t="s">
        <v>50</v>
      </c>
      <c r="O317" s="1770"/>
    </row>
    <row r="318" spans="2:17" s="7" customFormat="1">
      <c r="B318" s="1759"/>
      <c r="C318" s="1765"/>
      <c r="D318" s="1765"/>
      <c r="E318" s="1759"/>
      <c r="F318" s="1758"/>
      <c r="G318" s="1763"/>
      <c r="H318" s="1767"/>
      <c r="I318" s="1767"/>
      <c r="J318" s="1767"/>
      <c r="K318" s="1769"/>
      <c r="L318" s="1769"/>
      <c r="M318" s="1769"/>
      <c r="N318" s="351" t="s">
        <v>54</v>
      </c>
      <c r="O318" s="351" t="s">
        <v>55</v>
      </c>
      <c r="Q318" s="168" t="s">
        <v>235</v>
      </c>
    </row>
    <row r="319" spans="2:17" s="7" customFormat="1" ht="14.1" customHeight="1">
      <c r="B319" s="337" t="s">
        <v>241</v>
      </c>
      <c r="C319" s="151">
        <f>MATCH(B319,Master_Data!$B$152:$B$864,0)</f>
        <v>24</v>
      </c>
      <c r="D319" s="151">
        <f>C319</f>
        <v>24</v>
      </c>
      <c r="E319" s="20">
        <v>1</v>
      </c>
      <c r="F319" s="75" t="str">
        <f>INDEX(Master_Data!$C$152:$L$864,D319,2)</f>
        <v>BUKIT MAKMUR MANDIRI UTAMA, PT</v>
      </c>
      <c r="G319" s="20" t="str">
        <f>INDEX(Master_Data!$C$152:$L$864,D319,3)</f>
        <v>V</v>
      </c>
      <c r="H319" s="20">
        <f>INDEX(Master_Data!$C$152:$L$864,D319,1)</f>
        <v>14</v>
      </c>
      <c r="I319" s="20">
        <f>INDEX(Master_Data!$C$152:$L$864,D319,4)</f>
        <v>0</v>
      </c>
      <c r="J319" s="20">
        <f>INDEX(Master_Data!$C$152:$L$864,D319,5)</f>
        <v>0</v>
      </c>
      <c r="K319" s="708" t="str">
        <f>INDEX(Master_Data!$C$152:$L$864,D319,6)</f>
        <v>17-010/BKU-004/V/172</v>
      </c>
      <c r="L319" s="139" t="str">
        <f>INDEX(Master_Data!$C$152:$L$864,D319,7)</f>
        <v>011.018-17.04159668</v>
      </c>
      <c r="M319" s="139">
        <f>INDEX(Master_Data!$C$152:$L$864,D319,8)</f>
        <v>0</v>
      </c>
      <c r="N319" s="266"/>
      <c r="O319" s="272" t="e">
        <f>L319+M319</f>
        <v>#VALUE!</v>
      </c>
      <c r="Q319" s="169" t="str">
        <f>CONCATENATE(F319,$B$319)</f>
        <v>BUKIT MAKMUR MANDIRI UTAMA, PTJUN</v>
      </c>
    </row>
    <row r="320" spans="2:17" s="61" customFormat="1" ht="14.1" customHeight="1">
      <c r="B320" s="338"/>
      <c r="C320" s="268">
        <f>MATCH($B$319,INDEX(Master_Data!$B$152:$B$864,D319+1,1):'Master_Data'!$B$864,0)</f>
        <v>17</v>
      </c>
      <c r="D320" s="268">
        <f>D319+C320</f>
        <v>41</v>
      </c>
      <c r="E320" s="54">
        <v>2</v>
      </c>
      <c r="F320" s="22" t="str">
        <f>INDEX(Master_Data!$C$152:$L$864,D320,2)</f>
        <v>CAKRAWALA SEJAHTERA, PT</v>
      </c>
      <c r="G320" s="24" t="str">
        <f>INDEX(Master_Data!$C$152:$L$864,D320,3)</f>
        <v>V</v>
      </c>
      <c r="H320" s="24">
        <f>INDEX(Master_Data!$C$152:$L$864,D320,1)</f>
        <v>2</v>
      </c>
      <c r="I320" s="24">
        <f>INDEX(Master_Data!$C$152:$L$864,D320,4)</f>
        <v>0</v>
      </c>
      <c r="J320" s="24">
        <f>INDEX(Master_Data!$C$152:$L$864,D320,5)</f>
        <v>0</v>
      </c>
      <c r="K320" s="137" t="str">
        <f>INDEX(Master_Data!$C$152:$L$864,D320,6)</f>
        <v>17-007/BKU-004/VI/198</v>
      </c>
      <c r="L320" s="140" t="str">
        <f>INDEX(Master_Data!$C$152:$L$864,D320,7)</f>
        <v>010.018-17.04159633</v>
      </c>
      <c r="M320" s="140">
        <f>INDEX(Master_Data!$C$152:$L$864,D320,8)</f>
        <v>0</v>
      </c>
      <c r="N320" s="264"/>
      <c r="O320" s="245" t="e">
        <f>L320+M320</f>
        <v>#VALUE!</v>
      </c>
      <c r="Q320" s="169" t="str">
        <f t="shared" ref="Q320:Q370" si="27">CONCATENATE(F320,$B$319)</f>
        <v>CAKRAWALA SEJAHTERA, PTJUN</v>
      </c>
    </row>
    <row r="321" spans="2:17" s="61" customFormat="1" ht="14.1" customHeight="1">
      <c r="B321" s="338"/>
      <c r="C321" s="268">
        <f>MATCH($B$319,INDEX(Master_Data!$B$152:$B$864,D320+1,1):'Master_Data'!$B$864,0)</f>
        <v>9</v>
      </c>
      <c r="D321" s="268">
        <f t="shared" ref="D321:D370" si="28">D320+C321</f>
        <v>50</v>
      </c>
      <c r="E321" s="24">
        <v>3</v>
      </c>
      <c r="F321" s="22" t="str">
        <f>INDEX(Master_Data!$C$152:$L$864,D321,2)</f>
        <v>CIPTA INFORMATIKA CEMERLANG, PT</v>
      </c>
      <c r="G321" s="24" t="str">
        <f>INDEX(Master_Data!$C$152:$L$864,D321,3)</f>
        <v>P</v>
      </c>
      <c r="H321" s="24">
        <f>INDEX(Master_Data!$C$152:$L$864,D321,1)</f>
        <v>2</v>
      </c>
      <c r="I321" s="24">
        <f>INDEX(Master_Data!$C$152:$L$864,D321,4)</f>
        <v>0</v>
      </c>
      <c r="J321" s="24">
        <f>INDEX(Master_Data!$C$152:$L$864,D321,5)</f>
        <v>0</v>
      </c>
      <c r="K321" s="137" t="str">
        <f>INDEX(Master_Data!$C$152:$L$864,D321,6)</f>
        <v>17-006/BKU-004/VI/097</v>
      </c>
      <c r="L321" s="140" t="str">
        <f>INDEX(Master_Data!$C$152:$L$864,D321,7)</f>
        <v>010.018-17.04159632</v>
      </c>
      <c r="M321" s="140">
        <f>INDEX(Master_Data!$C$152:$L$864,D321,8)</f>
        <v>0</v>
      </c>
      <c r="N321" s="264"/>
      <c r="O321" s="245" t="e">
        <f t="shared" ref="O321:O370" si="29">L321+M321</f>
        <v>#VALUE!</v>
      </c>
      <c r="Q321" s="169" t="str">
        <f t="shared" si="27"/>
        <v>CIPTA INFORMATIKA CEMERLANG, PTJUN</v>
      </c>
    </row>
    <row r="322" spans="2:17" s="61" customFormat="1" ht="14.1" customHeight="1">
      <c r="B322" s="338"/>
      <c r="C322" s="268">
        <f>MATCH($B$319,INDEX(Master_Data!$B$152:$B$864,D321+1,1):'Master_Data'!$B$864,0)</f>
        <v>15</v>
      </c>
      <c r="D322" s="268">
        <f t="shared" si="28"/>
        <v>65</v>
      </c>
      <c r="E322" s="54">
        <v>4</v>
      </c>
      <c r="F322" s="22" t="str">
        <f>INDEX(Master_Data!$C$152:$L$864,D322,2)</f>
        <v>ELGA YASA MEDIA, PT</v>
      </c>
      <c r="G322" s="24" t="str">
        <f>INDEX(Master_Data!$C$152:$L$864,D322,3)</f>
        <v>W</v>
      </c>
      <c r="H322" s="24">
        <f>INDEX(Master_Data!$C$152:$L$864,D322,1)</f>
        <v>2</v>
      </c>
      <c r="I322" s="24">
        <f>INDEX(Master_Data!$C$152:$L$864,D322,4)</f>
        <v>0</v>
      </c>
      <c r="J322" s="24">
        <f>INDEX(Master_Data!$C$152:$L$864,D322,5)</f>
        <v>0</v>
      </c>
      <c r="K322" s="137" t="str">
        <f>INDEX(Master_Data!$C$152:$L$864,D322,6)</f>
        <v>17-007/BKU-004/VI/007</v>
      </c>
      <c r="L322" s="140" t="str">
        <f>INDEX(Master_Data!$C$152:$L$864,D322,7)</f>
        <v>010.018-17.04159652</v>
      </c>
      <c r="M322" s="140">
        <f>INDEX(Master_Data!$C$152:$L$864,D322,8)</f>
        <v>0</v>
      </c>
      <c r="N322" s="264"/>
      <c r="O322" s="245" t="e">
        <f t="shared" si="29"/>
        <v>#VALUE!</v>
      </c>
      <c r="Q322" s="169" t="str">
        <f t="shared" si="27"/>
        <v>ELGA YASA MEDIA, PTJUN</v>
      </c>
    </row>
    <row r="323" spans="2:17" s="61" customFormat="1" ht="14.1" customHeight="1">
      <c r="B323" s="338"/>
      <c r="C323" s="268">
        <f>MATCH($B$319,INDEX(Master_Data!$B$152:$B$864,D322+1,1):'Master_Data'!$B$864,0)</f>
        <v>44</v>
      </c>
      <c r="D323" s="268">
        <f t="shared" si="28"/>
        <v>109</v>
      </c>
      <c r="E323" s="24">
        <v>5</v>
      </c>
      <c r="F323" s="22" t="str">
        <f>INDEX(Master_Data!$C$152:$L$864,D323,2)</f>
        <v>HARMONI PANCA UTAMA, PT</v>
      </c>
      <c r="G323" s="24" t="str">
        <f>INDEX(Master_Data!$C$152:$L$864,D323,3)</f>
        <v>M</v>
      </c>
      <c r="H323" s="24">
        <f>INDEX(Master_Data!$C$152:$L$864,D323,1)</f>
        <v>2</v>
      </c>
      <c r="I323" s="24">
        <f>INDEX(Master_Data!$C$152:$L$864,D323,4)</f>
        <v>0</v>
      </c>
      <c r="J323" s="24">
        <f>INDEX(Master_Data!$C$152:$L$864,D323,5)</f>
        <v>0</v>
      </c>
      <c r="K323" s="137" t="str">
        <f>INDEX(Master_Data!$C$152:$L$864,D323,6)</f>
        <v>17-036/BKU-004/VI/159</v>
      </c>
      <c r="L323" s="140" t="str">
        <f>INDEX(Master_Data!$C$152:$L$864,D323,7)</f>
        <v>010.018-17.04159659</v>
      </c>
      <c r="M323" s="140">
        <f>INDEX(Master_Data!$C$152:$L$864,D323,8)</f>
        <v>0</v>
      </c>
      <c r="N323" s="264"/>
      <c r="O323" s="245" t="e">
        <f t="shared" si="29"/>
        <v>#VALUE!</v>
      </c>
      <c r="Q323" s="169" t="str">
        <f t="shared" si="27"/>
        <v>HARMONI PANCA UTAMA, PTJUN</v>
      </c>
    </row>
    <row r="324" spans="2:17" s="61" customFormat="1" ht="14.1" customHeight="1">
      <c r="B324" s="338"/>
      <c r="C324" s="268">
        <f>MATCH($B$319,INDEX(Master_Data!$B$152:$B$864,D323+1,1):'Master_Data'!$B$864,0)</f>
        <v>1</v>
      </c>
      <c r="D324" s="268">
        <f t="shared" si="28"/>
        <v>110</v>
      </c>
      <c r="E324" s="54">
        <v>6</v>
      </c>
      <c r="F324" s="22" t="str">
        <f>INDEX(Master_Data!$C$152:$L$864,D324,2)</f>
        <v>HARMONI PANCA UTAMA, PT</v>
      </c>
      <c r="G324" s="24" t="str">
        <f>INDEX(Master_Data!$C$152:$L$864,D324,3)</f>
        <v>M</v>
      </c>
      <c r="H324" s="24">
        <f>INDEX(Master_Data!$C$152:$L$864,D324,1)</f>
        <v>2</v>
      </c>
      <c r="I324" s="24">
        <f>INDEX(Master_Data!$C$152:$L$864,D324,4)</f>
        <v>0</v>
      </c>
      <c r="J324" s="24">
        <f>INDEX(Master_Data!$C$152:$L$864,D324,5)</f>
        <v>0</v>
      </c>
      <c r="K324" s="137" t="str">
        <f>INDEX(Master_Data!$C$152:$L$864,D324,6)</f>
        <v>17-037/BKU-004/VI/159</v>
      </c>
      <c r="L324" s="140" t="str">
        <f>INDEX(Master_Data!$C$152:$L$864,D324,7)</f>
        <v>010.018-17.04159660</v>
      </c>
      <c r="M324" s="140">
        <f>INDEX(Master_Data!$C$152:$L$864,D324,8)</f>
        <v>0</v>
      </c>
      <c r="N324" s="264"/>
      <c r="O324" s="245" t="e">
        <f t="shared" si="29"/>
        <v>#VALUE!</v>
      </c>
      <c r="Q324" s="169" t="str">
        <f t="shared" si="27"/>
        <v>HARMONI PANCA UTAMA, PTJUN</v>
      </c>
    </row>
    <row r="325" spans="2:17" s="61" customFormat="1" ht="14.1" customHeight="1">
      <c r="B325" s="338"/>
      <c r="C325" s="268">
        <f>MATCH($B$319,INDEX(Master_Data!$B$152:$B$864,D324+1,1):'Master_Data'!$B$864,0)</f>
        <v>1</v>
      </c>
      <c r="D325" s="268">
        <f t="shared" si="28"/>
        <v>111</v>
      </c>
      <c r="E325" s="24">
        <v>7</v>
      </c>
      <c r="F325" s="22" t="str">
        <f>INDEX(Master_Data!$C$152:$L$864,D325,2)</f>
        <v>HARMONI PANCA UTAMA, PT</v>
      </c>
      <c r="G325" s="24" t="str">
        <f>INDEX(Master_Data!$C$152:$L$864,D325,3)</f>
        <v>M</v>
      </c>
      <c r="H325" s="24">
        <f>INDEX(Master_Data!$C$152:$L$864,D325,1)</f>
        <v>2</v>
      </c>
      <c r="I325" s="24">
        <f>INDEX(Master_Data!$C$152:$L$864,D325,4)</f>
        <v>0</v>
      </c>
      <c r="J325" s="24">
        <f>INDEX(Master_Data!$C$152:$L$864,D325,5)</f>
        <v>0</v>
      </c>
      <c r="K325" s="137" t="str">
        <f>INDEX(Master_Data!$C$152:$L$864,D325,6)</f>
        <v>17-038/BKU-004/VI/159</v>
      </c>
      <c r="L325" s="140" t="str">
        <f>INDEX(Master_Data!$C$152:$L$864,D325,7)</f>
        <v>010.018-17.04159661</v>
      </c>
      <c r="M325" s="140">
        <f>INDEX(Master_Data!$C$152:$L$864,D325,8)</f>
        <v>0</v>
      </c>
      <c r="N325" s="264"/>
      <c r="O325" s="245" t="e">
        <f t="shared" si="29"/>
        <v>#VALUE!</v>
      </c>
      <c r="Q325" s="169" t="str">
        <f t="shared" si="27"/>
        <v>HARMONI PANCA UTAMA, PTJUN</v>
      </c>
    </row>
    <row r="326" spans="2:17" s="61" customFormat="1" ht="14.1" customHeight="1">
      <c r="B326" s="338"/>
      <c r="C326" s="268">
        <f>MATCH($B$319,INDEX(Master_Data!$B$152:$B$864,D325+1,1):'Master_Data'!$B$864,0)</f>
        <v>1</v>
      </c>
      <c r="D326" s="268">
        <f t="shared" si="28"/>
        <v>112</v>
      </c>
      <c r="E326" s="54">
        <v>8</v>
      </c>
      <c r="F326" s="22" t="str">
        <f>INDEX(Master_Data!$C$152:$L$864,D326,2)</f>
        <v>HARMONI PANCA UTAMA, PT</v>
      </c>
      <c r="G326" s="24" t="str">
        <f>INDEX(Master_Data!$C$152:$L$864,D326,3)</f>
        <v>M</v>
      </c>
      <c r="H326" s="24">
        <f>INDEX(Master_Data!$C$152:$L$864,D326,1)</f>
        <v>2</v>
      </c>
      <c r="I326" s="24">
        <f>INDEX(Master_Data!$C$152:$L$864,D326,4)</f>
        <v>0</v>
      </c>
      <c r="J326" s="24">
        <f>INDEX(Master_Data!$C$152:$L$864,D326,5)</f>
        <v>0</v>
      </c>
      <c r="K326" s="137" t="str">
        <f>INDEX(Master_Data!$C$152:$L$864,D326,6)</f>
        <v>17-039/BKU-004/VI/159</v>
      </c>
      <c r="L326" s="140" t="str">
        <f>INDEX(Master_Data!$C$152:$L$864,D326,7)</f>
        <v>010.018-17.04159662</v>
      </c>
      <c r="M326" s="140">
        <f>INDEX(Master_Data!$C$152:$L$864,D326,8)</f>
        <v>0</v>
      </c>
      <c r="N326" s="264"/>
      <c r="O326" s="245" t="e">
        <f t="shared" si="29"/>
        <v>#VALUE!</v>
      </c>
      <c r="Q326" s="169" t="str">
        <f t="shared" si="27"/>
        <v>HARMONI PANCA UTAMA, PTJUN</v>
      </c>
    </row>
    <row r="327" spans="2:17" s="61" customFormat="1" ht="14.1" customHeight="1">
      <c r="B327" s="338"/>
      <c r="C327" s="268">
        <f>MATCH($B$319,INDEX(Master_Data!$B$152:$B$864,D326+1,1):'Master_Data'!$B$864,0)</f>
        <v>1</v>
      </c>
      <c r="D327" s="268">
        <f t="shared" si="28"/>
        <v>113</v>
      </c>
      <c r="E327" s="24">
        <v>9</v>
      </c>
      <c r="F327" s="22" t="str">
        <f>INDEX(Master_Data!$C$152:$L$864,D327,2)</f>
        <v>HARMONI PANCA UTAMA, PT</v>
      </c>
      <c r="G327" s="24" t="str">
        <f>INDEX(Master_Data!$C$152:$L$864,D327,3)</f>
        <v>V</v>
      </c>
      <c r="H327" s="24">
        <f>INDEX(Master_Data!$C$152:$L$864,D327,1)</f>
        <v>2</v>
      </c>
      <c r="I327" s="24">
        <f>INDEX(Master_Data!$C$152:$L$864,D327,4)</f>
        <v>0</v>
      </c>
      <c r="J327" s="24">
        <f>INDEX(Master_Data!$C$152:$L$864,D327,5)</f>
        <v>0</v>
      </c>
      <c r="K327" s="137" t="str">
        <f>INDEX(Master_Data!$C$152:$L$864,D327,6)</f>
        <v>17-040/BKU-004/VI/159</v>
      </c>
      <c r="L327" s="140" t="str">
        <f>INDEX(Master_Data!$C$152:$L$864,D327,7)</f>
        <v>010.018-17.04159663</v>
      </c>
      <c r="M327" s="140">
        <f>INDEX(Master_Data!$C$152:$L$864,D327,8)</f>
        <v>0</v>
      </c>
      <c r="N327" s="264"/>
      <c r="O327" s="245" t="e">
        <f t="shared" si="29"/>
        <v>#VALUE!</v>
      </c>
      <c r="Q327" s="169" t="str">
        <f t="shared" si="27"/>
        <v>HARMONI PANCA UTAMA, PTJUN</v>
      </c>
    </row>
    <row r="328" spans="2:17" s="61" customFormat="1" ht="14.1" customHeight="1">
      <c r="B328" s="338"/>
      <c r="C328" s="268">
        <f>MATCH($B$319,INDEX(Master_Data!$B$152:$B$864,D327+1,1):'Master_Data'!$B$864,0)</f>
        <v>1</v>
      </c>
      <c r="D328" s="268">
        <f t="shared" si="28"/>
        <v>114</v>
      </c>
      <c r="E328" s="54">
        <v>10</v>
      </c>
      <c r="F328" s="22" t="str">
        <f>INDEX(Master_Data!$C$152:$L$864,D328,2)</f>
        <v>HARMONI PANCA UTAMA, PT</v>
      </c>
      <c r="G328" s="24" t="str">
        <f>INDEX(Master_Data!$C$152:$L$864,D328,3)</f>
        <v>V</v>
      </c>
      <c r="H328" s="24">
        <f>INDEX(Master_Data!$C$152:$L$864,D328,1)</f>
        <v>2</v>
      </c>
      <c r="I328" s="24">
        <f>INDEX(Master_Data!$C$152:$L$864,D328,4)</f>
        <v>0</v>
      </c>
      <c r="J328" s="24">
        <f>INDEX(Master_Data!$C$152:$L$864,D328,5)</f>
        <v>0</v>
      </c>
      <c r="K328" s="137" t="str">
        <f>INDEX(Master_Data!$C$152:$L$864,D328,6)</f>
        <v>17-041/BKU-004/VI/159</v>
      </c>
      <c r="L328" s="140" t="str">
        <f>INDEX(Master_Data!$C$152:$L$864,D328,7)</f>
        <v>010.018-17.04159664</v>
      </c>
      <c r="M328" s="140">
        <f>INDEX(Master_Data!$C$152:$L$864,D328,8)</f>
        <v>0</v>
      </c>
      <c r="N328" s="264"/>
      <c r="O328" s="245" t="e">
        <f t="shared" si="29"/>
        <v>#VALUE!</v>
      </c>
      <c r="Q328" s="169" t="str">
        <f t="shared" si="27"/>
        <v>HARMONI PANCA UTAMA, PTJUN</v>
      </c>
    </row>
    <row r="329" spans="2:17" s="61" customFormat="1" ht="14.1" customHeight="1">
      <c r="B329" s="338"/>
      <c r="C329" s="268">
        <f>MATCH($B$319,INDEX(Master_Data!$B$152:$B$864,D328+1,1):'Master_Data'!$B$864,0)</f>
        <v>1</v>
      </c>
      <c r="D329" s="268">
        <f t="shared" si="28"/>
        <v>115</v>
      </c>
      <c r="E329" s="24">
        <v>11</v>
      </c>
      <c r="F329" s="22" t="str">
        <f>INDEX(Master_Data!$C$152:$L$864,D329,2)</f>
        <v>HARMONI PANCA UTAMA, PT</v>
      </c>
      <c r="G329" s="24" t="str">
        <f>INDEX(Master_Data!$C$152:$L$864,D329,3)</f>
        <v>V</v>
      </c>
      <c r="H329" s="24">
        <f>INDEX(Master_Data!$C$152:$L$864,D329,1)</f>
        <v>2</v>
      </c>
      <c r="I329" s="24">
        <f>INDEX(Master_Data!$C$152:$L$864,D329,4)</f>
        <v>0</v>
      </c>
      <c r="J329" s="24">
        <f>INDEX(Master_Data!$C$152:$L$864,D329,5)</f>
        <v>0</v>
      </c>
      <c r="K329" s="137" t="str">
        <f>INDEX(Master_Data!$C$152:$L$864,D329,6)</f>
        <v>17-042/BKU-004/VI/159</v>
      </c>
      <c r="L329" s="140" t="str">
        <f>INDEX(Master_Data!$C$152:$L$864,D329,7)</f>
        <v>010.018-17.04159665</v>
      </c>
      <c r="M329" s="140">
        <f>INDEX(Master_Data!$C$152:$L$864,D329,8)</f>
        <v>0</v>
      </c>
      <c r="N329" s="264"/>
      <c r="O329" s="245" t="e">
        <f t="shared" si="29"/>
        <v>#VALUE!</v>
      </c>
      <c r="Q329" s="169" t="str">
        <f t="shared" si="27"/>
        <v>HARMONI PANCA UTAMA, PTJUN</v>
      </c>
    </row>
    <row r="330" spans="2:17" s="61" customFormat="1" ht="14.1" customHeight="1">
      <c r="B330" s="338"/>
      <c r="C330" s="268">
        <f>MATCH($B$319,INDEX(Master_Data!$B$152:$B$864,D329+1,1):'Master_Data'!$B$864,0)</f>
        <v>1</v>
      </c>
      <c r="D330" s="268">
        <f t="shared" si="28"/>
        <v>116</v>
      </c>
      <c r="E330" s="54">
        <v>12</v>
      </c>
      <c r="F330" s="22" t="str">
        <f>INDEX(Master_Data!$C$152:$L$864,D330,2)</f>
        <v>HARMONI PANCA UTAMA, PT</v>
      </c>
      <c r="G330" s="24" t="str">
        <f>INDEX(Master_Data!$C$152:$L$864,D330,3)</f>
        <v>O &amp; V</v>
      </c>
      <c r="H330" s="24">
        <f>INDEX(Master_Data!$C$152:$L$864,D330,1)</f>
        <v>2</v>
      </c>
      <c r="I330" s="24">
        <f>INDEX(Master_Data!$C$152:$L$864,D330,4)</f>
        <v>0</v>
      </c>
      <c r="J330" s="24">
        <f>INDEX(Master_Data!$C$152:$L$864,D330,5)</f>
        <v>0</v>
      </c>
      <c r="K330" s="137" t="str">
        <f>INDEX(Master_Data!$C$152:$L$864,D330,6)</f>
        <v>17-043/BKU-004/VI/159</v>
      </c>
      <c r="L330" s="140" t="str">
        <f>INDEX(Master_Data!$C$152:$L$864,D330,7)</f>
        <v>010.018-17.04159666</v>
      </c>
      <c r="M330" s="140">
        <f>INDEX(Master_Data!$C$152:$L$864,D330,8)</f>
        <v>0</v>
      </c>
      <c r="N330" s="264"/>
      <c r="O330" s="245" t="e">
        <f t="shared" si="29"/>
        <v>#VALUE!</v>
      </c>
      <c r="Q330" s="169" t="str">
        <f t="shared" si="27"/>
        <v>HARMONI PANCA UTAMA, PTJUN</v>
      </c>
    </row>
    <row r="331" spans="2:17" s="61" customFormat="1" ht="14.1" customHeight="1">
      <c r="B331" s="338"/>
      <c r="C331" s="268">
        <f>MATCH($B$319,INDEX(Master_Data!$B$152:$B$864,D330+1,1):'Master_Data'!$B$864,0)</f>
        <v>70</v>
      </c>
      <c r="D331" s="268">
        <f t="shared" si="28"/>
        <v>186</v>
      </c>
      <c r="E331" s="24">
        <v>13</v>
      </c>
      <c r="F331" s="22" t="str">
        <f>INDEX(Master_Data!$C$152:$L$864,D331,2)</f>
        <v>HASTA PANCA MANDIRI UTAMA, PT</v>
      </c>
      <c r="G331" s="24" t="str">
        <f>INDEX(Master_Data!$C$152:$L$864,D331,3)</f>
        <v>V</v>
      </c>
      <c r="H331" s="24">
        <f>INDEX(Master_Data!$C$152:$L$864,D331,1)</f>
        <v>2</v>
      </c>
      <c r="I331" s="24">
        <f>INDEX(Master_Data!$C$152:$L$864,D331,4)</f>
        <v>0</v>
      </c>
      <c r="J331" s="24">
        <f>INDEX(Master_Data!$C$152:$L$864,D331,5)</f>
        <v>0</v>
      </c>
      <c r="K331" s="137" t="str">
        <f>INDEX(Master_Data!$C$152:$L$864,D331,6)</f>
        <v>17-020/BKU-004/VI/179</v>
      </c>
      <c r="L331" s="140" t="str">
        <f>INDEX(Master_Data!$C$152:$L$864,D331,7)</f>
        <v>010.018-17.04159653</v>
      </c>
      <c r="M331" s="140">
        <f>INDEX(Master_Data!$C$152:$L$864,D331,8)</f>
        <v>0</v>
      </c>
      <c r="N331" s="264"/>
      <c r="O331" s="245" t="e">
        <f t="shared" si="29"/>
        <v>#VALUE!</v>
      </c>
      <c r="Q331" s="169" t="str">
        <f t="shared" si="27"/>
        <v>HASTA PANCA MANDIRI UTAMA, PTJUN</v>
      </c>
    </row>
    <row r="332" spans="2:17" s="61" customFormat="1" ht="14.1" customHeight="1">
      <c r="B332" s="242"/>
      <c r="C332" s="268">
        <f>MATCH($B$319,INDEX(Master_Data!$B$152:$B$864,D331+1,1):'Master_Data'!$B$864,0)</f>
        <v>1</v>
      </c>
      <c r="D332" s="268">
        <f t="shared" si="28"/>
        <v>187</v>
      </c>
      <c r="E332" s="54">
        <v>14</v>
      </c>
      <c r="F332" s="22" t="str">
        <f>INDEX(Master_Data!$C$152:$L$864,D332,2)</f>
        <v>HASTA PANCA MANDIRI UTAMA, PT</v>
      </c>
      <c r="G332" s="24" t="str">
        <f>INDEX(Master_Data!$C$152:$L$864,D332,3)</f>
        <v>V</v>
      </c>
      <c r="H332" s="24">
        <f>INDEX(Master_Data!$C$152:$L$864,D332,1)</f>
        <v>2</v>
      </c>
      <c r="I332" s="24">
        <f>INDEX(Master_Data!$C$152:$L$864,D332,4)</f>
        <v>0</v>
      </c>
      <c r="J332" s="24">
        <f>INDEX(Master_Data!$C$152:$L$864,D332,5)</f>
        <v>0</v>
      </c>
      <c r="K332" s="137" t="str">
        <f>INDEX(Master_Data!$C$152:$L$864,D332,6)</f>
        <v>17-021/BKU-004/VI/179</v>
      </c>
      <c r="L332" s="140" t="str">
        <f>INDEX(Master_Data!$C$152:$L$864,D332,7)</f>
        <v>010.018-17.04159654</v>
      </c>
      <c r="M332" s="140">
        <f>INDEX(Master_Data!$C$152:$L$864,D332,8)</f>
        <v>0</v>
      </c>
      <c r="N332" s="264"/>
      <c r="O332" s="245" t="e">
        <f t="shared" si="29"/>
        <v>#VALUE!</v>
      </c>
      <c r="Q332" s="169" t="str">
        <f t="shared" si="27"/>
        <v>HASTA PANCA MANDIRI UTAMA, PTJUN</v>
      </c>
    </row>
    <row r="333" spans="2:17" s="61" customFormat="1" ht="14.1" customHeight="1">
      <c r="B333" s="242"/>
      <c r="C333" s="268">
        <f>MATCH($B$319,INDEX(Master_Data!$B$152:$B$864,D332+1,1):'Master_Data'!$B$864,0)</f>
        <v>1</v>
      </c>
      <c r="D333" s="268">
        <f t="shared" si="28"/>
        <v>188</v>
      </c>
      <c r="E333" s="24">
        <v>15</v>
      </c>
      <c r="F333" s="22" t="str">
        <f>INDEX(Master_Data!$C$152:$L$864,D333,2)</f>
        <v>HASTA PANCA MANDIRI UTAMA, PT</v>
      </c>
      <c r="G333" s="24" t="str">
        <f>INDEX(Master_Data!$C$152:$L$864,D333,3)</f>
        <v>V</v>
      </c>
      <c r="H333" s="24">
        <f>INDEX(Master_Data!$C$152:$L$864,D333,1)</f>
        <v>2</v>
      </c>
      <c r="I333" s="24">
        <f>INDEX(Master_Data!$C$152:$L$864,D333,4)</f>
        <v>0</v>
      </c>
      <c r="J333" s="24">
        <f>INDEX(Master_Data!$C$152:$L$864,D333,5)</f>
        <v>0</v>
      </c>
      <c r="K333" s="137" t="str">
        <f>INDEX(Master_Data!$C$152:$L$864,D333,6)</f>
        <v>17-022/BKU-004/VI/179</v>
      </c>
      <c r="L333" s="140" t="str">
        <f>INDEX(Master_Data!$C$152:$L$864,D333,7)</f>
        <v>010.018-17.04159655</v>
      </c>
      <c r="M333" s="140">
        <f>INDEX(Master_Data!$C$152:$L$864,D333,8)</f>
        <v>0</v>
      </c>
      <c r="N333" s="264"/>
      <c r="O333" s="245" t="e">
        <f t="shared" si="29"/>
        <v>#VALUE!</v>
      </c>
      <c r="Q333" s="169" t="str">
        <f t="shared" si="27"/>
        <v>HASTA PANCA MANDIRI UTAMA, PTJUN</v>
      </c>
    </row>
    <row r="334" spans="2:17" s="61" customFormat="1" ht="14.1" customHeight="1">
      <c r="B334" s="242"/>
      <c r="C334" s="268">
        <f>MATCH($B$319,INDEX(Master_Data!$B$152:$B$864,D333+1,1):'Master_Data'!$B$864,0)</f>
        <v>1</v>
      </c>
      <c r="D334" s="268">
        <f t="shared" si="28"/>
        <v>189</v>
      </c>
      <c r="E334" s="54">
        <v>16</v>
      </c>
      <c r="F334" s="22" t="str">
        <f>INDEX(Master_Data!$C$152:$L$864,D334,2)</f>
        <v>HASTA PANCA MANDIRI UTAMA, PT</v>
      </c>
      <c r="G334" s="24" t="str">
        <f>INDEX(Master_Data!$C$152:$L$864,D334,3)</f>
        <v>O</v>
      </c>
      <c r="H334" s="24">
        <f>INDEX(Master_Data!$C$152:$L$864,D334,1)</f>
        <v>2</v>
      </c>
      <c r="I334" s="24">
        <f>INDEX(Master_Data!$C$152:$L$864,D334,4)</f>
        <v>0</v>
      </c>
      <c r="J334" s="24">
        <f>INDEX(Master_Data!$C$152:$L$864,D334,5)</f>
        <v>0</v>
      </c>
      <c r="K334" s="137" t="str">
        <f>INDEX(Master_Data!$C$152:$L$864,D334,6)</f>
        <v>17-023/BKU-004/VI/179</v>
      </c>
      <c r="L334" s="140" t="str">
        <f>INDEX(Master_Data!$C$152:$L$864,D334,7)</f>
        <v>010.018-17.04159656</v>
      </c>
      <c r="M334" s="140">
        <f>INDEX(Master_Data!$C$152:$L$864,D334,8)</f>
        <v>0</v>
      </c>
      <c r="N334" s="264"/>
      <c r="O334" s="245" t="e">
        <f t="shared" si="29"/>
        <v>#VALUE!</v>
      </c>
      <c r="Q334" s="169" t="str">
        <f t="shared" si="27"/>
        <v>HASTA PANCA MANDIRI UTAMA, PTJUN</v>
      </c>
    </row>
    <row r="335" spans="2:17" s="61" customFormat="1" ht="14.1" customHeight="1">
      <c r="B335" s="242"/>
      <c r="C335" s="268">
        <f>MATCH($B$319,INDEX(Master_Data!$B$152:$B$864,D334+1,1):'Master_Data'!$B$864,0)</f>
        <v>41</v>
      </c>
      <c r="D335" s="268">
        <f t="shared" si="28"/>
        <v>230</v>
      </c>
      <c r="E335" s="24">
        <v>17</v>
      </c>
      <c r="F335" s="22" t="str">
        <f>INDEX(Master_Data!$C$152:$L$864,D335,2)</f>
        <v>HUTAN KETAPANG INDUSTRI, PT</v>
      </c>
      <c r="G335" s="24" t="str">
        <f>INDEX(Master_Data!$C$152:$L$864,D335,3)</f>
        <v>V</v>
      </c>
      <c r="H335" s="24">
        <f>INDEX(Master_Data!$C$152:$L$864,D335,1)</f>
        <v>2</v>
      </c>
      <c r="I335" s="24">
        <f>INDEX(Master_Data!$C$152:$L$864,D335,4)</f>
        <v>0</v>
      </c>
      <c r="J335" s="24">
        <f>INDEX(Master_Data!$C$152:$L$864,D335,5)</f>
        <v>0</v>
      </c>
      <c r="K335" s="137" t="str">
        <f>INDEX(Master_Data!$C$152:$L$864,D335,6)</f>
        <v>17-023/BKU-004/VI/204</v>
      </c>
      <c r="L335" s="140" t="str">
        <f>INDEX(Master_Data!$C$152:$L$864,D335,7)</f>
        <v>010.018-17.04159642</v>
      </c>
      <c r="M335" s="140">
        <f>INDEX(Master_Data!$C$152:$L$864,D335,8)</f>
        <v>0</v>
      </c>
      <c r="N335" s="264"/>
      <c r="O335" s="245" t="e">
        <f t="shared" si="29"/>
        <v>#VALUE!</v>
      </c>
      <c r="Q335" s="169" t="str">
        <f t="shared" si="27"/>
        <v>HUTAN KETAPANG INDUSTRI, PTJUN</v>
      </c>
    </row>
    <row r="336" spans="2:17" s="61" customFormat="1" ht="14.1" customHeight="1">
      <c r="B336" s="242"/>
      <c r="C336" s="268">
        <f>MATCH($B$319,INDEX(Master_Data!$B$152:$B$864,D335+1,1):'Master_Data'!$B$864,0)</f>
        <v>1</v>
      </c>
      <c r="D336" s="268">
        <f t="shared" si="28"/>
        <v>231</v>
      </c>
      <c r="E336" s="54">
        <v>18</v>
      </c>
      <c r="F336" s="22" t="str">
        <f>INDEX(Master_Data!$C$152:$L$864,D336,2)</f>
        <v>HUTAN KETAPANG INDUSTRI, PT</v>
      </c>
      <c r="G336" s="24" t="str">
        <f>INDEX(Master_Data!$C$152:$L$864,D336,3)</f>
        <v>V</v>
      </c>
      <c r="H336" s="24">
        <f>INDEX(Master_Data!$C$152:$L$864,D336,1)</f>
        <v>2</v>
      </c>
      <c r="I336" s="24">
        <f>INDEX(Master_Data!$C$152:$L$864,D336,4)</f>
        <v>0</v>
      </c>
      <c r="J336" s="24">
        <f>INDEX(Master_Data!$C$152:$L$864,D336,5)</f>
        <v>0</v>
      </c>
      <c r="K336" s="137" t="str">
        <f>INDEX(Master_Data!$C$152:$L$864,D336,6)</f>
        <v>17-024/BKU-004/VI/204</v>
      </c>
      <c r="L336" s="140" t="str">
        <f>INDEX(Master_Data!$C$152:$L$864,D336,7)</f>
        <v>010.018-17.04159643</v>
      </c>
      <c r="M336" s="140">
        <f>INDEX(Master_Data!$C$152:$L$864,D336,8)</f>
        <v>0</v>
      </c>
      <c r="N336" s="264"/>
      <c r="O336" s="245" t="e">
        <f t="shared" si="29"/>
        <v>#VALUE!</v>
      </c>
      <c r="Q336" s="169" t="str">
        <f t="shared" si="27"/>
        <v>HUTAN KETAPANG INDUSTRI, PTJUN</v>
      </c>
    </row>
    <row r="337" spans="2:17" s="61" customFormat="1" ht="14.1" customHeight="1">
      <c r="B337" s="242"/>
      <c r="C337" s="268">
        <f>MATCH($B$319,INDEX(Master_Data!$B$152:$B$864,D336+1,1):'Master_Data'!$B$864,0)</f>
        <v>1</v>
      </c>
      <c r="D337" s="268">
        <f t="shared" si="28"/>
        <v>232</v>
      </c>
      <c r="E337" s="24">
        <v>19</v>
      </c>
      <c r="F337" s="22" t="str">
        <f>INDEX(Master_Data!$C$152:$L$864,D337,2)</f>
        <v>HUTAN KETAPANG INDUSTRI, PT</v>
      </c>
      <c r="G337" s="24" t="str">
        <f>INDEX(Master_Data!$C$152:$L$864,D337,3)</f>
        <v>V</v>
      </c>
      <c r="H337" s="24">
        <f>INDEX(Master_Data!$C$152:$L$864,D337,1)</f>
        <v>2</v>
      </c>
      <c r="I337" s="24">
        <f>INDEX(Master_Data!$C$152:$L$864,D337,4)</f>
        <v>0</v>
      </c>
      <c r="J337" s="24">
        <f>INDEX(Master_Data!$C$152:$L$864,D337,5)</f>
        <v>0</v>
      </c>
      <c r="K337" s="137" t="str">
        <f>INDEX(Master_Data!$C$152:$L$864,D337,6)</f>
        <v>17-025/BKU-004/VI/204</v>
      </c>
      <c r="L337" s="140" t="str">
        <f>INDEX(Master_Data!$C$152:$L$864,D337,7)</f>
        <v>010.018-17.04159644</v>
      </c>
      <c r="M337" s="140">
        <f>INDEX(Master_Data!$C$152:$L$864,D337,8)</f>
        <v>0</v>
      </c>
      <c r="N337" s="264"/>
      <c r="O337" s="245" t="e">
        <f t="shared" si="29"/>
        <v>#VALUE!</v>
      </c>
      <c r="Q337" s="169" t="str">
        <f t="shared" si="27"/>
        <v>HUTAN KETAPANG INDUSTRI, PTJUN</v>
      </c>
    </row>
    <row r="338" spans="2:17" s="61" customFormat="1" ht="14.1" customHeight="1">
      <c r="B338" s="242"/>
      <c r="C338" s="268">
        <f>MATCH($B$319,INDEX(Master_Data!$B$152:$B$864,D337+1,1):'Master_Data'!$B$864,0)</f>
        <v>1</v>
      </c>
      <c r="D338" s="268">
        <f t="shared" si="28"/>
        <v>233</v>
      </c>
      <c r="E338" s="54">
        <v>20</v>
      </c>
      <c r="F338" s="22" t="str">
        <f>INDEX(Master_Data!$C$152:$L$864,D338,2)</f>
        <v>HUTAN KETAPANG INDUSTRI, PT</v>
      </c>
      <c r="G338" s="24" t="str">
        <f>INDEX(Master_Data!$C$152:$L$864,D338,3)</f>
        <v>V</v>
      </c>
      <c r="H338" s="24">
        <f>INDEX(Master_Data!$C$152:$L$864,D338,1)</f>
        <v>2</v>
      </c>
      <c r="I338" s="24">
        <f>INDEX(Master_Data!$C$152:$L$864,D338,4)</f>
        <v>0</v>
      </c>
      <c r="J338" s="24">
        <f>INDEX(Master_Data!$C$152:$L$864,D338,5)</f>
        <v>0</v>
      </c>
      <c r="K338" s="137" t="str">
        <f>INDEX(Master_Data!$C$152:$L$864,D338,6)</f>
        <v>17-026/BKU-004/VI/204</v>
      </c>
      <c r="L338" s="140" t="str">
        <f>INDEX(Master_Data!$C$152:$L$864,D338,7)</f>
        <v>010.018-17.04159645</v>
      </c>
      <c r="M338" s="140">
        <f>INDEX(Master_Data!$C$152:$L$864,D338,8)</f>
        <v>0</v>
      </c>
      <c r="N338" s="264"/>
      <c r="O338" s="245" t="e">
        <f t="shared" si="29"/>
        <v>#VALUE!</v>
      </c>
      <c r="Q338" s="169" t="str">
        <f t="shared" si="27"/>
        <v>HUTAN KETAPANG INDUSTRI, PTJUN</v>
      </c>
    </row>
    <row r="339" spans="2:17" s="61" customFormat="1" ht="14.1" customHeight="1">
      <c r="B339" s="242"/>
      <c r="C339" s="268">
        <f>MATCH($B$319,INDEX(Master_Data!$B$152:$B$864,D338+1,1):'Master_Data'!$B$864,0)</f>
        <v>36</v>
      </c>
      <c r="D339" s="268">
        <f t="shared" si="28"/>
        <v>269</v>
      </c>
      <c r="E339" s="24">
        <v>21</v>
      </c>
      <c r="F339" s="22" t="str">
        <f>INDEX(Master_Data!$C$152:$L$864,D339,2)</f>
        <v>KALIMANTAN PRIMA PERSADA, PT</v>
      </c>
      <c r="G339" s="24" t="str">
        <f>INDEX(Master_Data!$C$152:$L$864,D339,3)</f>
        <v>L</v>
      </c>
      <c r="H339" s="24">
        <f>INDEX(Master_Data!$C$152:$L$864,D339,1)</f>
        <v>7</v>
      </c>
      <c r="I339" s="24">
        <f>INDEX(Master_Data!$C$152:$L$864,D339,4)</f>
        <v>0</v>
      </c>
      <c r="J339" s="24">
        <f>INDEX(Master_Data!$C$152:$L$864,D339,5)</f>
        <v>0</v>
      </c>
      <c r="K339" s="137" t="str">
        <f>INDEX(Master_Data!$C$152:$L$864,D339,6)</f>
        <v>17-009/BKU-004/V/208 (rev)</v>
      </c>
      <c r="L339" s="140" t="str">
        <f>INDEX(Master_Data!$C$152:$L$864,D339,7)</f>
        <v>-</v>
      </c>
      <c r="M339" s="140">
        <f>INDEX(Master_Data!$C$152:$L$864,D339,8)</f>
        <v>0</v>
      </c>
      <c r="N339" s="264"/>
      <c r="O339" s="245" t="e">
        <f t="shared" si="29"/>
        <v>#VALUE!</v>
      </c>
      <c r="Q339" s="169" t="str">
        <f t="shared" si="27"/>
        <v>KALIMANTAN PRIMA PERSADA, PTJUN</v>
      </c>
    </row>
    <row r="340" spans="2:17" s="61" customFormat="1" ht="14.1" customHeight="1">
      <c r="B340" s="242"/>
      <c r="C340" s="268">
        <f>MATCH($B$319,INDEX(Master_Data!$B$152:$B$864,D339+1,1):'Master_Data'!$B$864,0)</f>
        <v>1</v>
      </c>
      <c r="D340" s="268">
        <f t="shared" si="28"/>
        <v>270</v>
      </c>
      <c r="E340" s="54">
        <v>22</v>
      </c>
      <c r="F340" s="22" t="str">
        <f>INDEX(Master_Data!$C$152:$L$864,D340,2)</f>
        <v>KALIMANTAN PRIMA PERSADA, PT</v>
      </c>
      <c r="G340" s="24" t="str">
        <f>INDEX(Master_Data!$C$152:$L$864,D340,3)</f>
        <v>W</v>
      </c>
      <c r="H340" s="24">
        <f>INDEX(Master_Data!$C$152:$L$864,D340,1)</f>
        <v>2</v>
      </c>
      <c r="I340" s="24">
        <f>INDEX(Master_Data!$C$152:$L$864,D340,4)</f>
        <v>0</v>
      </c>
      <c r="J340" s="24">
        <f>INDEX(Master_Data!$C$152:$L$864,D340,5)</f>
        <v>0</v>
      </c>
      <c r="K340" s="137" t="str">
        <f>INDEX(Master_Data!$C$152:$L$864,D340,6)</f>
        <v>17-010/BKU-004/VI/208</v>
      </c>
      <c r="L340" s="140" t="str">
        <f>INDEX(Master_Data!$C$152:$L$864,D340,7)</f>
        <v>010.018-17.04159635</v>
      </c>
      <c r="M340" s="140">
        <f>INDEX(Master_Data!$C$152:$L$864,D340,8)</f>
        <v>0</v>
      </c>
      <c r="N340" s="149"/>
      <c r="O340" s="245" t="e">
        <f t="shared" si="29"/>
        <v>#VALUE!</v>
      </c>
      <c r="Q340" s="169" t="str">
        <f t="shared" si="27"/>
        <v>KALIMANTAN PRIMA PERSADA, PTJUN</v>
      </c>
    </row>
    <row r="341" spans="2:17" s="61" customFormat="1" ht="14.1" customHeight="1">
      <c r="B341" s="242"/>
      <c r="C341" s="268">
        <f>MATCH($B$319,INDEX(Master_Data!$B$152:$B$864,D340+1,1):'Master_Data'!$B$864,0)</f>
        <v>18</v>
      </c>
      <c r="D341" s="268">
        <f t="shared" si="28"/>
        <v>288</v>
      </c>
      <c r="E341" s="24">
        <v>23</v>
      </c>
      <c r="F341" s="22" t="str">
        <f>INDEX(Master_Data!$C$152:$L$864,D341,2)</f>
        <v>KUSUMA MENTARI MAKMUR, PT</v>
      </c>
      <c r="G341" s="24" t="str">
        <f>INDEX(Master_Data!$C$152:$L$864,D341,3)</f>
        <v>V</v>
      </c>
      <c r="H341" s="24">
        <f>INDEX(Master_Data!$C$152:$L$864,D341,1)</f>
        <v>2</v>
      </c>
      <c r="I341" s="24">
        <f>INDEX(Master_Data!$C$152:$L$864,D341,4)</f>
        <v>0</v>
      </c>
      <c r="J341" s="24">
        <f>INDEX(Master_Data!$C$152:$L$864,D341,5)</f>
        <v>0</v>
      </c>
      <c r="K341" s="137" t="str">
        <f>INDEX(Master_Data!$C$152:$L$864,D341,6)</f>
        <v>17-006/BKU-004/VI/224</v>
      </c>
      <c r="L341" s="140" t="str">
        <f>INDEX(Master_Data!$C$152:$L$864,D341,7)</f>
        <v>010.018-17.04159646</v>
      </c>
      <c r="M341" s="140">
        <f>INDEX(Master_Data!$C$152:$L$864,D341,8)</f>
        <v>0</v>
      </c>
      <c r="N341" s="264"/>
      <c r="O341" s="245" t="e">
        <f t="shared" si="29"/>
        <v>#VALUE!</v>
      </c>
      <c r="Q341" s="169" t="str">
        <f t="shared" si="27"/>
        <v>KUSUMA MENTARI MAKMUR, PTJUN</v>
      </c>
    </row>
    <row r="342" spans="2:17" s="61" customFormat="1" ht="14.1" customHeight="1">
      <c r="B342" s="242"/>
      <c r="C342" s="268">
        <f>MATCH($B$319,INDEX(Master_Data!$B$152:$B$864,D341+1,1):'Master_Data'!$B$864,0)</f>
        <v>19</v>
      </c>
      <c r="D342" s="268">
        <f t="shared" si="28"/>
        <v>307</v>
      </c>
      <c r="E342" s="54">
        <v>24</v>
      </c>
      <c r="F342" s="22" t="str">
        <f>INDEX(Master_Data!$C$152:$L$864,D342,2)</f>
        <v>LANANG AGRO BERSATU, PT</v>
      </c>
      <c r="G342" s="24" t="str">
        <f>INDEX(Master_Data!$C$152:$L$864,D342,3)</f>
        <v>V</v>
      </c>
      <c r="H342" s="24">
        <f>INDEX(Master_Data!$C$152:$L$864,D342,1)</f>
        <v>2</v>
      </c>
      <c r="I342" s="24">
        <f>INDEX(Master_Data!$C$152:$L$864,D342,4)</f>
        <v>0</v>
      </c>
      <c r="J342" s="24">
        <f>INDEX(Master_Data!$C$152:$L$864,D342,5)</f>
        <v>0</v>
      </c>
      <c r="K342" s="137" t="str">
        <f>INDEX(Master_Data!$C$152:$L$864,D342,6)</f>
        <v>17-011/BKU-004/VI/210</v>
      </c>
      <c r="L342" s="140" t="str">
        <f>INDEX(Master_Data!$C$152:$L$864,D342,7)</f>
        <v>010.018-17.04159647</v>
      </c>
      <c r="M342" s="140">
        <f>INDEX(Master_Data!$C$152:$L$864,D342,8)</f>
        <v>0</v>
      </c>
      <c r="N342" s="264"/>
      <c r="O342" s="245" t="e">
        <f t="shared" si="29"/>
        <v>#VALUE!</v>
      </c>
      <c r="Q342" s="169" t="str">
        <f t="shared" si="27"/>
        <v>LANANG AGRO BERSATU, PTJUN</v>
      </c>
    </row>
    <row r="343" spans="2:17" s="61" customFormat="1" ht="14.1" customHeight="1">
      <c r="B343" s="242"/>
      <c r="C343" s="268">
        <f>MATCH($B$319,INDEX(Master_Data!$B$152:$B$864,D342+1,1):'Master_Data'!$B$864,0)</f>
        <v>1</v>
      </c>
      <c r="D343" s="268">
        <f t="shared" si="28"/>
        <v>308</v>
      </c>
      <c r="E343" s="24">
        <v>25</v>
      </c>
      <c r="F343" s="22" t="str">
        <f>INDEX(Master_Data!$C$152:$L$864,D343,2)</f>
        <v>LANANG AGRO BERSATU, PT</v>
      </c>
      <c r="G343" s="24" t="str">
        <f>INDEX(Master_Data!$C$152:$L$864,D343,3)</f>
        <v>V</v>
      </c>
      <c r="H343" s="24">
        <f>INDEX(Master_Data!$C$152:$L$864,D343,1)</f>
        <v>2</v>
      </c>
      <c r="I343" s="24">
        <f>INDEX(Master_Data!$C$152:$L$864,D343,4)</f>
        <v>0</v>
      </c>
      <c r="J343" s="24">
        <f>INDEX(Master_Data!$C$152:$L$864,D343,5)</f>
        <v>0</v>
      </c>
      <c r="K343" s="137" t="str">
        <f>INDEX(Master_Data!$C$152:$L$864,D343,6)</f>
        <v>17-012/BKU-004/VI/210</v>
      </c>
      <c r="L343" s="140" t="str">
        <f>INDEX(Master_Data!$C$152:$L$864,D343,7)</f>
        <v>010.018-17.04159648</v>
      </c>
      <c r="M343" s="140">
        <f>INDEX(Master_Data!$C$152:$L$864,D343,8)</f>
        <v>0</v>
      </c>
      <c r="N343" s="264"/>
      <c r="O343" s="245" t="e">
        <f t="shared" si="29"/>
        <v>#VALUE!</v>
      </c>
      <c r="Q343" s="169" t="str">
        <f t="shared" si="27"/>
        <v>LANANG AGRO BERSATU, PTJUN</v>
      </c>
    </row>
    <row r="344" spans="2:17" s="61" customFormat="1" ht="14.1" customHeight="1">
      <c r="B344" s="242"/>
      <c r="C344" s="268">
        <f>MATCH($B$319,INDEX(Master_Data!$B$152:$B$864,D343+1,1):'Master_Data'!$B$864,0)</f>
        <v>52</v>
      </c>
      <c r="D344" s="268">
        <f t="shared" si="28"/>
        <v>360</v>
      </c>
      <c r="E344" s="54">
        <v>26</v>
      </c>
      <c r="F344" s="22" t="str">
        <f>INDEX(Master_Data!$C$152:$L$864,D344,2)</f>
        <v>MADHANI TALATAH NUSANTARA, PT</v>
      </c>
      <c r="G344" s="24" t="str">
        <f>INDEX(Master_Data!$C$152:$L$864,D344,3)</f>
        <v>V</v>
      </c>
      <c r="H344" s="24">
        <f>INDEX(Master_Data!$C$152:$L$864,D344,1)</f>
        <v>13</v>
      </c>
      <c r="I344" s="24">
        <f>INDEX(Master_Data!$C$152:$L$864,D344,4)</f>
        <v>0</v>
      </c>
      <c r="J344" s="24">
        <f>INDEX(Master_Data!$C$152:$L$864,D344,5)</f>
        <v>0</v>
      </c>
      <c r="K344" s="137" t="str">
        <f>INDEX(Master_Data!$C$152:$L$864,D344,6)</f>
        <v>17-040/BKU-004/VI/057</v>
      </c>
      <c r="L344" s="140" t="str">
        <f>INDEX(Master_Data!$C$152:$L$864,D344,7)</f>
        <v>010.018-17.04159670</v>
      </c>
      <c r="M344" s="140">
        <f>INDEX(Master_Data!$C$152:$L$864,D344,8)</f>
        <v>0</v>
      </c>
      <c r="N344" s="264"/>
      <c r="O344" s="245" t="e">
        <f t="shared" si="29"/>
        <v>#VALUE!</v>
      </c>
      <c r="Q344" s="169" t="str">
        <f t="shared" si="27"/>
        <v>MADHANI TALATAH NUSANTARA, PTJUN</v>
      </c>
    </row>
    <row r="345" spans="2:17" s="61" customFormat="1" ht="14.1" customHeight="1">
      <c r="B345" s="242"/>
      <c r="C345" s="268">
        <f>MATCH($B$319,INDEX(Master_Data!$B$152:$B$864,D344+1,1):'Master_Data'!$B$864,0)</f>
        <v>1</v>
      </c>
      <c r="D345" s="268">
        <f t="shared" si="28"/>
        <v>361</v>
      </c>
      <c r="E345" s="24">
        <v>27</v>
      </c>
      <c r="F345" s="22" t="str">
        <f>INDEX(Master_Data!$C$152:$L$864,D345,2)</f>
        <v>MADHANI TALATAH NUSANTARA, PT</v>
      </c>
      <c r="G345" s="24" t="str">
        <f>INDEX(Master_Data!$C$152:$L$864,D345,3)</f>
        <v>V</v>
      </c>
      <c r="H345" s="24">
        <f>INDEX(Master_Data!$C$152:$L$864,D345,1)</f>
        <v>13</v>
      </c>
      <c r="I345" s="24">
        <f>INDEX(Master_Data!$C$152:$L$864,D345,4)</f>
        <v>0</v>
      </c>
      <c r="J345" s="24">
        <f>INDEX(Master_Data!$C$152:$L$864,D345,5)</f>
        <v>0</v>
      </c>
      <c r="K345" s="137" t="str">
        <f>INDEX(Master_Data!$C$152:$L$864,D345,6)</f>
        <v>17-041/BKU-004/VI/057</v>
      </c>
      <c r="L345" s="140" t="str">
        <f>INDEX(Master_Data!$C$152:$L$864,D345,7)</f>
        <v>010.018-17.04159680</v>
      </c>
      <c r="M345" s="140">
        <f>INDEX(Master_Data!$C$152:$L$864,D345,8)</f>
        <v>0</v>
      </c>
      <c r="N345" s="264"/>
      <c r="O345" s="245" t="e">
        <f t="shared" si="29"/>
        <v>#VALUE!</v>
      </c>
      <c r="Q345" s="169" t="str">
        <f t="shared" si="27"/>
        <v>MADHANI TALATAH NUSANTARA, PTJUN</v>
      </c>
    </row>
    <row r="346" spans="2:17" s="61" customFormat="1" ht="14.1" customHeight="1">
      <c r="B346" s="242"/>
      <c r="C346" s="268">
        <f>MATCH($B$319,INDEX(Master_Data!$B$152:$B$864,D345+1,1):'Master_Data'!$B$864,0)</f>
        <v>1</v>
      </c>
      <c r="D346" s="268">
        <f t="shared" si="28"/>
        <v>362</v>
      </c>
      <c r="E346" s="54">
        <v>28</v>
      </c>
      <c r="F346" s="22" t="str">
        <f>INDEX(Master_Data!$C$152:$L$864,D346,2)</f>
        <v>MADHANI TALATAH NUSANTARA, PT</v>
      </c>
      <c r="G346" s="24" t="str">
        <f>INDEX(Master_Data!$C$152:$L$864,D346,3)</f>
        <v>V</v>
      </c>
      <c r="H346" s="24">
        <f>INDEX(Master_Data!$C$152:$L$864,D346,1)</f>
        <v>13</v>
      </c>
      <c r="I346" s="24">
        <f>INDEX(Master_Data!$C$152:$L$864,D346,4)</f>
        <v>0</v>
      </c>
      <c r="J346" s="24">
        <f>INDEX(Master_Data!$C$152:$L$864,D346,5)</f>
        <v>0</v>
      </c>
      <c r="K346" s="137" t="str">
        <f>INDEX(Master_Data!$C$152:$L$864,D346,6)</f>
        <v>17-042/BKU-004/VI/057</v>
      </c>
      <c r="L346" s="140" t="str">
        <f>INDEX(Master_Data!$C$152:$L$864,D346,7)</f>
        <v>010.018-17.04159672</v>
      </c>
      <c r="M346" s="140">
        <f>INDEX(Master_Data!$C$152:$L$864,D346,8)</f>
        <v>0</v>
      </c>
      <c r="N346" s="264"/>
      <c r="O346" s="245" t="e">
        <f t="shared" si="29"/>
        <v>#VALUE!</v>
      </c>
      <c r="Q346" s="169" t="str">
        <f t="shared" si="27"/>
        <v>MADHANI TALATAH NUSANTARA, PTJUN</v>
      </c>
    </row>
    <row r="347" spans="2:17" s="61" customFormat="1" ht="14.1" customHeight="1">
      <c r="B347" s="242"/>
      <c r="C347" s="268">
        <f>MATCH($B$319,INDEX(Master_Data!$B$152:$B$864,D346+1,1):'Master_Data'!$B$864,0)</f>
        <v>1</v>
      </c>
      <c r="D347" s="268">
        <f t="shared" si="28"/>
        <v>363</v>
      </c>
      <c r="E347" s="24">
        <v>29</v>
      </c>
      <c r="F347" s="22" t="str">
        <f>INDEX(Master_Data!$C$152:$L$864,D347,2)</f>
        <v>MADHANI TALATAH NUSANTARA, PT</v>
      </c>
      <c r="G347" s="24" t="str">
        <f>INDEX(Master_Data!$C$152:$L$864,D347,3)</f>
        <v>V</v>
      </c>
      <c r="H347" s="24">
        <f>INDEX(Master_Data!$C$152:$L$864,D347,1)</f>
        <v>13</v>
      </c>
      <c r="I347" s="24">
        <f>INDEX(Master_Data!$C$152:$L$864,D347,4)</f>
        <v>0</v>
      </c>
      <c r="J347" s="24">
        <f>INDEX(Master_Data!$C$152:$L$864,D347,5)</f>
        <v>0</v>
      </c>
      <c r="K347" s="137" t="str">
        <f>INDEX(Master_Data!$C$152:$L$864,D347,6)</f>
        <v>17-043/BKU-004/VI/057</v>
      </c>
      <c r="L347" s="140" t="str">
        <f>INDEX(Master_Data!$C$152:$L$864,D347,7)</f>
        <v>010.018-17.04159673</v>
      </c>
      <c r="M347" s="140">
        <f>INDEX(Master_Data!$C$152:$L$864,D347,8)</f>
        <v>0</v>
      </c>
      <c r="N347" s="264"/>
      <c r="O347" s="245" t="e">
        <f t="shared" si="29"/>
        <v>#VALUE!</v>
      </c>
      <c r="Q347" s="169" t="str">
        <f t="shared" si="27"/>
        <v>MADHANI TALATAH NUSANTARA, PTJUN</v>
      </c>
    </row>
    <row r="348" spans="2:17" s="61" customFormat="1" ht="14.1" customHeight="1">
      <c r="B348" s="242"/>
      <c r="C348" s="268">
        <f>MATCH($B$319,INDEX(Master_Data!$B$152:$B$864,D347+1,1):'Master_Data'!$B$864,0)</f>
        <v>1</v>
      </c>
      <c r="D348" s="268">
        <f t="shared" si="28"/>
        <v>364</v>
      </c>
      <c r="E348" s="54">
        <v>30</v>
      </c>
      <c r="F348" s="22" t="str">
        <f>INDEX(Master_Data!$C$152:$L$864,D348,2)</f>
        <v>MADHANI TALATAH NUSANTARA, PT</v>
      </c>
      <c r="G348" s="24" t="str">
        <f>INDEX(Master_Data!$C$152:$L$864,D348,3)</f>
        <v>V</v>
      </c>
      <c r="H348" s="24">
        <f>INDEX(Master_Data!$C$152:$L$864,D348,1)</f>
        <v>13</v>
      </c>
      <c r="I348" s="24">
        <f>INDEX(Master_Data!$C$152:$L$864,D348,4)</f>
        <v>0</v>
      </c>
      <c r="J348" s="24">
        <f>INDEX(Master_Data!$C$152:$L$864,D348,5)</f>
        <v>0</v>
      </c>
      <c r="K348" s="137" t="str">
        <f>INDEX(Master_Data!$C$152:$L$864,D348,6)</f>
        <v>17-044/BKU-004/VI/057</v>
      </c>
      <c r="L348" s="140" t="str">
        <f>INDEX(Master_Data!$C$152:$L$864,D348,7)</f>
        <v>010.018-17.04159674</v>
      </c>
      <c r="M348" s="140">
        <f>INDEX(Master_Data!$C$152:$L$864,D348,8)</f>
        <v>0</v>
      </c>
      <c r="N348" s="264"/>
      <c r="O348" s="245" t="e">
        <f t="shared" si="29"/>
        <v>#VALUE!</v>
      </c>
      <c r="Q348" s="169" t="str">
        <f t="shared" si="27"/>
        <v>MADHANI TALATAH NUSANTARA, PTJUN</v>
      </c>
    </row>
    <row r="349" spans="2:17" s="61" customFormat="1" ht="14.1" customHeight="1">
      <c r="B349" s="242"/>
      <c r="C349" s="268">
        <f>MATCH($B$319,INDEX(Master_Data!$B$152:$B$864,D348+1,1):'Master_Data'!$B$864,0)</f>
        <v>1</v>
      </c>
      <c r="D349" s="268">
        <f t="shared" si="28"/>
        <v>365</v>
      </c>
      <c r="E349" s="24">
        <v>31</v>
      </c>
      <c r="F349" s="22" t="str">
        <f>INDEX(Master_Data!$C$152:$L$864,D349,2)</f>
        <v>MADHANI TALATAH NUSANTARA, PT</v>
      </c>
      <c r="G349" s="24" t="str">
        <f>INDEX(Master_Data!$C$152:$L$864,D349,3)</f>
        <v>W</v>
      </c>
      <c r="H349" s="24">
        <f>INDEX(Master_Data!$C$152:$L$864,D349,1)</f>
        <v>13</v>
      </c>
      <c r="I349" s="24">
        <f>INDEX(Master_Data!$C$152:$L$864,D349,4)</f>
        <v>0</v>
      </c>
      <c r="J349" s="24">
        <f>INDEX(Master_Data!$C$152:$L$864,D349,5)</f>
        <v>0</v>
      </c>
      <c r="K349" s="137" t="str">
        <f>INDEX(Master_Data!$C$152:$L$864,D349,6)</f>
        <v>17-045/BKU-004/VI/057</v>
      </c>
      <c r="L349" s="140" t="str">
        <f>INDEX(Master_Data!$C$152:$L$864,D349,7)</f>
        <v>010.018-17.04159675</v>
      </c>
      <c r="M349" s="140">
        <f>INDEX(Master_Data!$C$152:$L$864,D349,8)</f>
        <v>0</v>
      </c>
      <c r="N349" s="264"/>
      <c r="O349" s="245" t="e">
        <f t="shared" si="29"/>
        <v>#VALUE!</v>
      </c>
      <c r="Q349" s="169" t="str">
        <f t="shared" si="27"/>
        <v>MADHANI TALATAH NUSANTARA, PTJUN</v>
      </c>
    </row>
    <row r="350" spans="2:17" s="61" customFormat="1" ht="14.1" customHeight="1">
      <c r="B350" s="242"/>
      <c r="C350" s="268">
        <f>MATCH($B$319,INDEX(Master_Data!$B$152:$B$864,D349+1,1):'Master_Data'!$B$864,0)</f>
        <v>1</v>
      </c>
      <c r="D350" s="268">
        <f t="shared" si="28"/>
        <v>366</v>
      </c>
      <c r="E350" s="54">
        <v>32</v>
      </c>
      <c r="F350" s="22" t="str">
        <f>INDEX(Master_Data!$C$152:$L$864,D350,2)</f>
        <v>MADHANI TALATAH NUSANTARA, PT</v>
      </c>
      <c r="G350" s="24" t="str">
        <f>INDEX(Master_Data!$C$152:$L$864,D350,3)</f>
        <v>W</v>
      </c>
      <c r="H350" s="24">
        <f>INDEX(Master_Data!$C$152:$L$864,D350,1)</f>
        <v>13</v>
      </c>
      <c r="I350" s="24">
        <f>INDEX(Master_Data!$C$152:$L$864,D350,4)</f>
        <v>0</v>
      </c>
      <c r="J350" s="24">
        <f>INDEX(Master_Data!$C$152:$L$864,D350,5)</f>
        <v>0</v>
      </c>
      <c r="K350" s="137" t="str">
        <f>INDEX(Master_Data!$C$152:$L$864,D350,6)</f>
        <v>17-046/BKU-004/VI/057</v>
      </c>
      <c r="L350" s="140" t="str">
        <f>INDEX(Master_Data!$C$152:$L$864,D350,7)</f>
        <v>010.018-17.04159676</v>
      </c>
      <c r="M350" s="140">
        <f>INDEX(Master_Data!$C$152:$L$864,D350,8)</f>
        <v>0</v>
      </c>
      <c r="N350" s="264"/>
      <c r="O350" s="245" t="e">
        <f t="shared" si="29"/>
        <v>#VALUE!</v>
      </c>
      <c r="Q350" s="169" t="str">
        <f t="shared" si="27"/>
        <v>MADHANI TALATAH NUSANTARA, PTJUN</v>
      </c>
    </row>
    <row r="351" spans="2:17" s="61" customFormat="1" ht="14.1" customHeight="1">
      <c r="B351" s="242"/>
      <c r="C351" s="268">
        <f>MATCH($B$319,INDEX(Master_Data!$B$152:$B$864,D350+1,1):'Master_Data'!$B$864,0)</f>
        <v>1</v>
      </c>
      <c r="D351" s="268">
        <f t="shared" si="28"/>
        <v>367</v>
      </c>
      <c r="E351" s="24">
        <v>33</v>
      </c>
      <c r="F351" s="22" t="str">
        <f>INDEX(Master_Data!$C$152:$L$864,D351,2)</f>
        <v>MADHANI TALATAH NUSANTARA, PT</v>
      </c>
      <c r="G351" s="24" t="str">
        <f>INDEX(Master_Data!$C$152:$L$864,D351,3)</f>
        <v>W</v>
      </c>
      <c r="H351" s="24">
        <f>INDEX(Master_Data!$C$152:$L$864,D351,1)</f>
        <v>13</v>
      </c>
      <c r="I351" s="24">
        <f>INDEX(Master_Data!$C$152:$L$864,D351,4)</f>
        <v>0</v>
      </c>
      <c r="J351" s="24">
        <f>INDEX(Master_Data!$C$152:$L$864,D351,5)</f>
        <v>0</v>
      </c>
      <c r="K351" s="137" t="str">
        <f>INDEX(Master_Data!$C$152:$L$864,D351,6)</f>
        <v>17-047/BKU-004/VI/057</v>
      </c>
      <c r="L351" s="140" t="str">
        <f>INDEX(Master_Data!$C$152:$L$864,D351,7)</f>
        <v>010.018-17.04159677</v>
      </c>
      <c r="M351" s="140">
        <f>INDEX(Master_Data!$C$152:$L$864,D351,8)</f>
        <v>0</v>
      </c>
      <c r="N351" s="264"/>
      <c r="O351" s="245" t="e">
        <f t="shared" si="29"/>
        <v>#VALUE!</v>
      </c>
      <c r="Q351" s="169" t="str">
        <f t="shared" si="27"/>
        <v>MADHANI TALATAH NUSANTARA, PTJUN</v>
      </c>
    </row>
    <row r="352" spans="2:17" s="61" customFormat="1" ht="14.1" customHeight="1">
      <c r="B352" s="242"/>
      <c r="C352" s="268">
        <f>MATCH($B$319,INDEX(Master_Data!$B$152:$B$864,D351+1,1):'Master_Data'!$B$864,0)</f>
        <v>1</v>
      </c>
      <c r="D352" s="268">
        <f t="shared" si="28"/>
        <v>368</v>
      </c>
      <c r="E352" s="54">
        <v>34</v>
      </c>
      <c r="F352" s="22" t="str">
        <f>INDEX(Master_Data!$C$152:$L$864,D352,2)</f>
        <v>MADHANI TALATAH NUSANTARA, PT</v>
      </c>
      <c r="G352" s="24" t="str">
        <f>INDEX(Master_Data!$C$152:$L$864,D352,3)</f>
        <v>W</v>
      </c>
      <c r="H352" s="24">
        <f>INDEX(Master_Data!$C$152:$L$864,D352,1)</f>
        <v>13</v>
      </c>
      <c r="I352" s="24">
        <f>INDEX(Master_Data!$C$152:$L$864,D352,4)</f>
        <v>0</v>
      </c>
      <c r="J352" s="24">
        <f>INDEX(Master_Data!$C$152:$L$864,D352,5)</f>
        <v>0</v>
      </c>
      <c r="K352" s="137" t="str">
        <f>INDEX(Master_Data!$C$152:$L$864,D352,6)</f>
        <v>17-048/BKU-004/VI/057</v>
      </c>
      <c r="L352" s="140" t="str">
        <f>INDEX(Master_Data!$C$152:$L$864,D352,7)</f>
        <v>010.018-17.04159678</v>
      </c>
      <c r="M352" s="140">
        <f>INDEX(Master_Data!$C$152:$L$864,D352,8)</f>
        <v>0</v>
      </c>
      <c r="N352" s="264"/>
      <c r="O352" s="245" t="e">
        <f t="shared" si="29"/>
        <v>#VALUE!</v>
      </c>
      <c r="Q352" s="169" t="str">
        <f t="shared" si="27"/>
        <v>MADHANI TALATAH NUSANTARA, PTJUN</v>
      </c>
    </row>
    <row r="353" spans="2:17" s="61" customFormat="1" ht="14.1" customHeight="1">
      <c r="B353" s="242"/>
      <c r="C353" s="268">
        <f>MATCH($B$319,INDEX(Master_Data!$B$152:$B$864,D352+1,1):'Master_Data'!$B$864,0)</f>
        <v>1</v>
      </c>
      <c r="D353" s="268">
        <f t="shared" si="28"/>
        <v>369</v>
      </c>
      <c r="E353" s="24">
        <v>35</v>
      </c>
      <c r="F353" s="22" t="str">
        <f>INDEX(Master_Data!$C$152:$L$864,D353,2)</f>
        <v>MADHANI TALATAH NUSANTARA, PT</v>
      </c>
      <c r="G353" s="24" t="str">
        <f>INDEX(Master_Data!$C$152:$L$864,D353,3)</f>
        <v>W</v>
      </c>
      <c r="H353" s="24">
        <f>INDEX(Master_Data!$C$152:$L$864,D353,1)</f>
        <v>13</v>
      </c>
      <c r="I353" s="24">
        <f>INDEX(Master_Data!$C$152:$L$864,D353,4)</f>
        <v>0</v>
      </c>
      <c r="J353" s="24">
        <f>INDEX(Master_Data!$C$152:$L$864,D353,5)</f>
        <v>0</v>
      </c>
      <c r="K353" s="137" t="str">
        <f>INDEX(Master_Data!$C$152:$L$864,D353,6)</f>
        <v>17-049/BKU-004/VI/057</v>
      </c>
      <c r="L353" s="140" t="str">
        <f>INDEX(Master_Data!$C$152:$L$864,D353,7)</f>
        <v>010.018-17.04159679</v>
      </c>
      <c r="M353" s="140">
        <f>INDEX(Master_Data!$C$152:$L$864,D353,8)</f>
        <v>0</v>
      </c>
      <c r="N353" s="264"/>
      <c r="O353" s="245" t="e">
        <f t="shared" si="29"/>
        <v>#VALUE!</v>
      </c>
      <c r="Q353" s="169" t="str">
        <f t="shared" si="27"/>
        <v>MADHANI TALATAH NUSANTARA, PTJUN</v>
      </c>
    </row>
    <row r="354" spans="2:17" s="61" customFormat="1" ht="14.1" customHeight="1">
      <c r="B354" s="242"/>
      <c r="C354" s="268">
        <f>MATCH($B$319,INDEX(Master_Data!$B$152:$B$864,D353+1,1):'Master_Data'!$B$864,0)</f>
        <v>1</v>
      </c>
      <c r="D354" s="268">
        <f t="shared" si="28"/>
        <v>370</v>
      </c>
      <c r="E354" s="54">
        <v>36</v>
      </c>
      <c r="F354" s="22" t="str">
        <f>INDEX(Master_Data!$C$152:$L$864,D354,2)</f>
        <v>MADHANI TALATAH NUSANTARA, PT</v>
      </c>
      <c r="G354" s="24" t="str">
        <f>INDEX(Master_Data!$C$152:$L$864,D354,3)</f>
        <v>I</v>
      </c>
      <c r="H354" s="24">
        <f>INDEX(Master_Data!$C$152:$L$864,D354,1)</f>
        <v>14</v>
      </c>
      <c r="I354" s="24">
        <f>INDEX(Master_Data!$C$152:$L$864,D354,4)</f>
        <v>0</v>
      </c>
      <c r="J354" s="24">
        <f>INDEX(Master_Data!$C$152:$L$864,D354,5)</f>
        <v>0</v>
      </c>
      <c r="K354" s="137" t="str">
        <f>INDEX(Master_Data!$C$152:$L$864,D354,6)</f>
        <v>17-050/BKU-004/VI/057</v>
      </c>
      <c r="L354" s="140" t="str">
        <f>INDEX(Master_Data!$C$152:$L$864,D354,7)</f>
        <v>010.018-17.04159681</v>
      </c>
      <c r="M354" s="140">
        <f>INDEX(Master_Data!$C$152:$L$864,D354,8)</f>
        <v>0</v>
      </c>
      <c r="N354" s="264"/>
      <c r="O354" s="245" t="e">
        <f t="shared" si="29"/>
        <v>#VALUE!</v>
      </c>
      <c r="Q354" s="169" t="str">
        <f t="shared" si="27"/>
        <v>MADHANI TALATAH NUSANTARA, PTJUN</v>
      </c>
    </row>
    <row r="355" spans="2:17" s="61" customFormat="1" ht="14.1" customHeight="1">
      <c r="B355" s="242"/>
      <c r="C355" s="268">
        <f>MATCH($B$319,INDEX(Master_Data!$B$152:$B$864,D354+1,1):'Master_Data'!$B$864,0)</f>
        <v>75</v>
      </c>
      <c r="D355" s="268">
        <f t="shared" si="28"/>
        <v>445</v>
      </c>
      <c r="E355" s="24">
        <v>37</v>
      </c>
      <c r="F355" s="22" t="str">
        <f>INDEX(Master_Data!$C$152:$L$864,D355,2)</f>
        <v>MANDALA KARYA PRIMA, PT</v>
      </c>
      <c r="G355" s="24" t="str">
        <f>INDEX(Master_Data!$C$152:$L$864,D355,3)</f>
        <v>W, I</v>
      </c>
      <c r="H355" s="24">
        <f>INDEX(Master_Data!$C$152:$L$864,D355,1)</f>
        <v>2</v>
      </c>
      <c r="I355" s="24">
        <f>INDEX(Master_Data!$C$152:$L$864,D355,4)</f>
        <v>0</v>
      </c>
      <c r="J355" s="24">
        <f>INDEX(Master_Data!$C$152:$L$864,D355,5)</f>
        <v>0</v>
      </c>
      <c r="K355" s="137" t="str">
        <f>INDEX(Master_Data!$C$152:$L$864,D355,6)</f>
        <v>17-006/BKU-004/VI/214</v>
      </c>
      <c r="L355" s="140" t="str">
        <f>INDEX(Master_Data!$C$152:$L$864,D355,7)</f>
        <v>010.018-17.04159638</v>
      </c>
      <c r="M355" s="140">
        <f>INDEX(Master_Data!$C$152:$L$864,D355,8)</f>
        <v>0</v>
      </c>
      <c r="N355" s="264"/>
      <c r="O355" s="245" t="e">
        <f t="shared" si="29"/>
        <v>#VALUE!</v>
      </c>
      <c r="Q355" s="169" t="str">
        <f t="shared" si="27"/>
        <v>MANDALA KARYA PRIMA, PTJUN</v>
      </c>
    </row>
    <row r="356" spans="2:17" s="61" customFormat="1" ht="14.1" customHeight="1">
      <c r="B356" s="242"/>
      <c r="C356" s="268">
        <f>MATCH($B$319,INDEX(Master_Data!$B$152:$B$864,D355+1,1):'Master_Data'!$B$864,0)</f>
        <v>55</v>
      </c>
      <c r="D356" s="268">
        <f t="shared" si="28"/>
        <v>500</v>
      </c>
      <c r="E356" s="54">
        <v>38</v>
      </c>
      <c r="F356" s="22" t="str">
        <f>INDEX(Master_Data!$C$152:$L$864,D356,2)</f>
        <v>MANDIRI INTI PERKASA, PT</v>
      </c>
      <c r="G356" s="24" t="str">
        <f>INDEX(Master_Data!$C$152:$L$864,D356,3)</f>
        <v>W, I</v>
      </c>
      <c r="H356" s="24">
        <f>INDEX(Master_Data!$C$152:$L$864,D356,1)</f>
        <v>2</v>
      </c>
      <c r="I356" s="24">
        <f>INDEX(Master_Data!$C$152:$L$864,D356,4)</f>
        <v>0</v>
      </c>
      <c r="J356" s="24">
        <f>INDEX(Master_Data!$C$152:$L$864,D356,5)</f>
        <v>0</v>
      </c>
      <c r="K356" s="137" t="str">
        <f>INDEX(Master_Data!$C$152:$L$864,D356,6)</f>
        <v>17-011/BKU-004/VI/196</v>
      </c>
      <c r="L356" s="140" t="str">
        <f>INDEX(Master_Data!$C$152:$L$864,D356,7)</f>
        <v>010.018-17.04159636</v>
      </c>
      <c r="M356" s="140">
        <f>INDEX(Master_Data!$C$152:$L$864,D356,8)</f>
        <v>0</v>
      </c>
      <c r="N356" s="264"/>
      <c r="O356" s="245" t="e">
        <f t="shared" si="29"/>
        <v>#VALUE!</v>
      </c>
      <c r="Q356" s="169" t="str">
        <f t="shared" si="27"/>
        <v>MANDIRI INTI PERKASA, PTJUN</v>
      </c>
    </row>
    <row r="357" spans="2:17" s="61" customFormat="1" ht="14.1" customHeight="1">
      <c r="B357" s="242"/>
      <c r="C357" s="268">
        <f>MATCH($B$319,INDEX(Master_Data!$B$152:$B$864,D356+1,1):'Master_Data'!$B$864,0)</f>
        <v>1</v>
      </c>
      <c r="D357" s="268">
        <f t="shared" si="28"/>
        <v>501</v>
      </c>
      <c r="E357" s="24">
        <v>39</v>
      </c>
      <c r="F357" s="22" t="str">
        <f>INDEX(Master_Data!$C$152:$L$864,D357,2)</f>
        <v>MANDIRI INTI PERKASA, PT</v>
      </c>
      <c r="G357" s="24" t="str">
        <f>INDEX(Master_Data!$C$152:$L$864,D357,3)</f>
        <v>I</v>
      </c>
      <c r="H357" s="24">
        <f>INDEX(Master_Data!$C$152:$L$864,D357,1)</f>
        <v>2</v>
      </c>
      <c r="I357" s="24">
        <f>INDEX(Master_Data!$C$152:$L$864,D357,4)</f>
        <v>0</v>
      </c>
      <c r="J357" s="24">
        <f>INDEX(Master_Data!$C$152:$L$864,D357,5)</f>
        <v>0</v>
      </c>
      <c r="K357" s="137" t="str">
        <f>INDEX(Master_Data!$C$152:$L$864,D357,6)</f>
        <v>17-012/BKU-004/VI/196</v>
      </c>
      <c r="L357" s="140" t="str">
        <f>INDEX(Master_Data!$C$152:$L$864,D357,7)</f>
        <v>010.018-17.04159637</v>
      </c>
      <c r="M357" s="140">
        <f>INDEX(Master_Data!$C$152:$L$864,D357,8)</f>
        <v>0</v>
      </c>
      <c r="N357" s="264"/>
      <c r="O357" s="245" t="e">
        <f t="shared" si="29"/>
        <v>#VALUE!</v>
      </c>
      <c r="Q357" s="169" t="str">
        <f t="shared" si="27"/>
        <v>MANDIRI INTI PERKASA, PTJUN</v>
      </c>
    </row>
    <row r="358" spans="2:17" s="61" customFormat="1" ht="14.1" customHeight="1">
      <c r="B358" s="242"/>
      <c r="C358" s="268">
        <f>MATCH($B$319,INDEX(Master_Data!$B$152:$B$864,D357+1,1):'Master_Data'!$B$864,0)</f>
        <v>18</v>
      </c>
      <c r="D358" s="268">
        <f t="shared" si="28"/>
        <v>519</v>
      </c>
      <c r="E358" s="54">
        <v>40</v>
      </c>
      <c r="F358" s="22" t="str">
        <f>INDEX(Master_Data!$C$152:$L$864,D358,2)</f>
        <v>MEDCO PAPUA INDUSTRI LESTARI, PT</v>
      </c>
      <c r="G358" s="24" t="str">
        <f>INDEX(Master_Data!$C$152:$L$864,D358,3)</f>
        <v>V</v>
      </c>
      <c r="H358" s="24">
        <f>INDEX(Master_Data!$C$152:$L$864,D358,1)</f>
        <v>2</v>
      </c>
      <c r="I358" s="24">
        <f>INDEX(Master_Data!$C$152:$L$864,D358,4)</f>
        <v>0</v>
      </c>
      <c r="J358" s="24">
        <f>INDEX(Master_Data!$C$152:$L$864,D358,5)</f>
        <v>0</v>
      </c>
      <c r="K358" s="137" t="str">
        <f>INDEX(Master_Data!$C$152:$L$864,D358,6)</f>
        <v>17-006/BKU-004/VI/145</v>
      </c>
      <c r="L358" s="140" t="str">
        <f>INDEX(Master_Data!$C$152:$L$864,D358,7)</f>
        <v>010.018-17.04159634</v>
      </c>
      <c r="M358" s="140">
        <f>INDEX(Master_Data!$C$152:$L$864,D358,8)</f>
        <v>0</v>
      </c>
      <c r="N358" s="264"/>
      <c r="O358" s="245" t="e">
        <f t="shared" si="29"/>
        <v>#VALUE!</v>
      </c>
      <c r="Q358" s="169" t="str">
        <f t="shared" si="27"/>
        <v>MEDCO PAPUA INDUSTRI LESTARI, PTJUN</v>
      </c>
    </row>
    <row r="359" spans="2:17" s="61" customFormat="1" ht="14.1" customHeight="1">
      <c r="B359" s="242"/>
      <c r="C359" s="268">
        <f>MATCH($B$319,INDEX(Master_Data!$B$152:$B$864,D358+1,1):'Master_Data'!$B$864,0)</f>
        <v>12</v>
      </c>
      <c r="D359" s="268">
        <f t="shared" si="28"/>
        <v>531</v>
      </c>
      <c r="E359" s="24">
        <v>41</v>
      </c>
      <c r="F359" s="22" t="str">
        <f>INDEX(Master_Data!$C$152:$L$864,D359,2)</f>
        <v>METALINDO BUMI RAYA, PT</v>
      </c>
      <c r="G359" s="24" t="str">
        <f>INDEX(Master_Data!$C$152:$L$864,D359,3)</f>
        <v>I</v>
      </c>
      <c r="H359" s="24">
        <f>INDEX(Master_Data!$C$152:$L$864,D359,1)</f>
        <v>2</v>
      </c>
      <c r="I359" s="24">
        <f>INDEX(Master_Data!$C$152:$L$864,D359,4)</f>
        <v>0</v>
      </c>
      <c r="J359" s="24">
        <f>INDEX(Master_Data!$C$152:$L$864,D359,5)</f>
        <v>0</v>
      </c>
      <c r="K359" s="137" t="str">
        <f>INDEX(Master_Data!$C$152:$L$864,D359,6)</f>
        <v>17-006/BKU-004/VI/220</v>
      </c>
      <c r="L359" s="140" t="str">
        <f>INDEX(Master_Data!$C$152:$L$864,D359,7)</f>
        <v>010.018-17.04159630</v>
      </c>
      <c r="M359" s="140">
        <f>INDEX(Master_Data!$C$152:$L$864,D359,8)</f>
        <v>0</v>
      </c>
      <c r="N359" s="264"/>
      <c r="O359" s="245" t="e">
        <f t="shared" si="29"/>
        <v>#VALUE!</v>
      </c>
      <c r="Q359" s="169" t="str">
        <f t="shared" si="27"/>
        <v>METALINDO BUMI RAYA, PTJUN</v>
      </c>
    </row>
    <row r="360" spans="2:17" s="61" customFormat="1" ht="14.1" customHeight="1">
      <c r="B360" s="242"/>
      <c r="C360" s="268">
        <f>MATCH($B$319,INDEX(Master_Data!$B$152:$B$864,D359+1,1):'Master_Data'!$B$864,0)</f>
        <v>15</v>
      </c>
      <c r="D360" s="268">
        <f t="shared" si="28"/>
        <v>546</v>
      </c>
      <c r="E360" s="54">
        <v>42</v>
      </c>
      <c r="F360" s="22" t="str">
        <f>INDEX(Master_Data!$C$152:$L$864,D360,2)</f>
        <v>NUSANTARA SARANA ALAM, PT</v>
      </c>
      <c r="G360" s="24" t="str">
        <f>INDEX(Master_Data!$C$152:$L$864,D360,3)</f>
        <v>V</v>
      </c>
      <c r="H360" s="24">
        <f>INDEX(Master_Data!$C$152:$L$864,D360,1)</f>
        <v>2</v>
      </c>
      <c r="I360" s="24">
        <f>INDEX(Master_Data!$C$152:$L$864,D360,4)</f>
        <v>0</v>
      </c>
      <c r="J360" s="24">
        <f>INDEX(Master_Data!$C$152:$L$864,D360,5)</f>
        <v>0</v>
      </c>
      <c r="K360" s="137" t="str">
        <f>INDEX(Master_Data!$C$152:$L$864,D360,6)</f>
        <v>17-008/BKU-004/VI/245</v>
      </c>
      <c r="L360" s="140" t="str">
        <f>INDEX(Master_Data!$C$152:$L$864,D360,7)</f>
        <v>010.018-17.04159649</v>
      </c>
      <c r="M360" s="140">
        <f>INDEX(Master_Data!$C$152:$L$864,D360,8)</f>
        <v>0</v>
      </c>
      <c r="N360" s="264"/>
      <c r="O360" s="245" t="e">
        <f t="shared" si="29"/>
        <v>#VALUE!</v>
      </c>
      <c r="Q360" s="169" t="str">
        <f t="shared" si="27"/>
        <v>NUSANTARA SARANA ALAM, PTJUN</v>
      </c>
    </row>
    <row r="361" spans="2:17" s="61" customFormat="1" ht="14.1" customHeight="1">
      <c r="B361" s="242"/>
      <c r="C361" s="268">
        <f>MATCH($B$319,INDEX(Master_Data!$B$152:$B$864,D360+1,1):'Master_Data'!$B$864,0)</f>
        <v>16</v>
      </c>
      <c r="D361" s="268">
        <f t="shared" si="28"/>
        <v>562</v>
      </c>
      <c r="E361" s="24">
        <v>43</v>
      </c>
      <c r="F361" s="22" t="str">
        <f>INDEX(Master_Data!$C$152:$L$864,D361,2)</f>
        <v>PEMBANGUNAN PERUMAHAN (PERSERO), PT</v>
      </c>
      <c r="G361" s="24" t="str">
        <f>INDEX(Master_Data!$C$152:$L$864,D361,3)</f>
        <v>I</v>
      </c>
      <c r="H361" s="24">
        <f>INDEX(Master_Data!$C$152:$L$864,D361,1)</f>
        <v>2</v>
      </c>
      <c r="I361" s="24">
        <f>INDEX(Master_Data!$C$152:$L$864,D361,4)</f>
        <v>0</v>
      </c>
      <c r="J361" s="24">
        <f>INDEX(Master_Data!$C$152:$L$864,D361,5)</f>
        <v>0</v>
      </c>
      <c r="K361" s="137" t="str">
        <f>INDEX(Master_Data!$C$152:$L$864,D361,6)</f>
        <v>17-006/BKU-004/VI/226</v>
      </c>
      <c r="L361" s="140" t="str">
        <f>INDEX(Master_Data!$C$152:$L$864,D361,7)</f>
        <v>030.018-17.04159631</v>
      </c>
      <c r="M361" s="140">
        <f>INDEX(Master_Data!$C$152:$L$864,D361,8)</f>
        <v>0</v>
      </c>
      <c r="N361" s="264"/>
      <c r="O361" s="245" t="e">
        <f t="shared" si="29"/>
        <v>#VALUE!</v>
      </c>
      <c r="Q361" s="169" t="str">
        <f t="shared" si="27"/>
        <v>PEMBANGUNAN PERUMAHAN (PERSERO), PTJUN</v>
      </c>
    </row>
    <row r="362" spans="2:17" s="61" customFormat="1" ht="14.1" customHeight="1">
      <c r="B362" s="242"/>
      <c r="C362" s="268">
        <f>MATCH($B$319,INDEX(Master_Data!$B$152:$B$864,D361+1,1):'Master_Data'!$B$864,0)</f>
        <v>31</v>
      </c>
      <c r="D362" s="268">
        <f t="shared" si="28"/>
        <v>593</v>
      </c>
      <c r="E362" s="54">
        <v>44</v>
      </c>
      <c r="F362" s="22" t="str">
        <f>INDEX(Master_Data!$C$152:$L$864,D362,2)</f>
        <v>PERTIWI AGRO SEJAHTERA, PT</v>
      </c>
      <c r="G362" s="24" t="str">
        <f>INDEX(Master_Data!$C$152:$L$864,D362,3)</f>
        <v>V</v>
      </c>
      <c r="H362" s="24">
        <f>INDEX(Master_Data!$C$152:$L$864,D362,1)</f>
        <v>2</v>
      </c>
      <c r="I362" s="24">
        <f>INDEX(Master_Data!$C$152:$L$864,D362,4)</f>
        <v>0</v>
      </c>
      <c r="J362" s="24">
        <f>INDEX(Master_Data!$C$152:$L$864,D362,5)</f>
        <v>0</v>
      </c>
      <c r="K362" s="137" t="str">
        <f>INDEX(Master_Data!$C$152:$L$864,D362,6)</f>
        <v>17-006/BKU-004/VI/207</v>
      </c>
      <c r="L362" s="140" t="str">
        <f>INDEX(Master_Data!$C$152:$L$864,D362,7)</f>
        <v>010.018-17.04159650</v>
      </c>
      <c r="M362" s="140">
        <f>INDEX(Master_Data!$C$152:$L$864,D362,8)</f>
        <v>0</v>
      </c>
      <c r="N362" s="264"/>
      <c r="O362" s="245" t="e">
        <f t="shared" si="29"/>
        <v>#VALUE!</v>
      </c>
      <c r="Q362" s="169" t="str">
        <f t="shared" si="27"/>
        <v>PERTIWI AGRO SEJAHTERA, PTJUN</v>
      </c>
    </row>
    <row r="363" spans="2:17" s="61" customFormat="1" ht="14.1" customHeight="1">
      <c r="B363" s="242"/>
      <c r="C363" s="268">
        <f>MATCH($B$319,INDEX(Master_Data!$B$152:$B$864,D362+1,1):'Master_Data'!$B$864,0)</f>
        <v>24</v>
      </c>
      <c r="D363" s="268">
        <f t="shared" si="28"/>
        <v>617</v>
      </c>
      <c r="E363" s="24">
        <v>45</v>
      </c>
      <c r="F363" s="22" t="str">
        <f>INDEX(Master_Data!$C$152:$L$864,D363,2)</f>
        <v>PETROSEA, PT</v>
      </c>
      <c r="G363" s="24" t="str">
        <f>INDEX(Master_Data!$C$152:$L$864,D363,3)</f>
        <v>V</v>
      </c>
      <c r="H363" s="24">
        <f>INDEX(Master_Data!$C$152:$L$864,D363,1)</f>
        <v>2</v>
      </c>
      <c r="I363" s="24">
        <f>INDEX(Master_Data!$C$152:$L$864,D363,4)</f>
        <v>0</v>
      </c>
      <c r="J363" s="24">
        <f>INDEX(Master_Data!$C$152:$L$864,D363,5)</f>
        <v>0</v>
      </c>
      <c r="K363" s="137" t="str">
        <f>INDEX(Master_Data!$C$152:$L$864,D363,6)</f>
        <v>17-016/BKU-004/VI/009</v>
      </c>
      <c r="L363" s="140" t="str">
        <f>INDEX(Master_Data!$C$152:$L$864,D363,7)</f>
        <v>010.018-17.04159657</v>
      </c>
      <c r="M363" s="140">
        <f>INDEX(Master_Data!$C$152:$L$864,D363,8)</f>
        <v>0</v>
      </c>
      <c r="N363" s="264"/>
      <c r="O363" s="245" t="e">
        <f t="shared" si="29"/>
        <v>#VALUE!</v>
      </c>
      <c r="Q363" s="169" t="str">
        <f t="shared" si="27"/>
        <v>PETROSEA, PTJUN</v>
      </c>
    </row>
    <row r="364" spans="2:17" s="61" customFormat="1" ht="14.1" customHeight="1">
      <c r="B364" s="242"/>
      <c r="C364" s="268">
        <f>MATCH($B$319,INDEX(Master_Data!$B$152:$B$864,D363+1,1):'Master_Data'!$B$864,0)</f>
        <v>1</v>
      </c>
      <c r="D364" s="268">
        <f t="shared" si="28"/>
        <v>618</v>
      </c>
      <c r="E364" s="54">
        <v>46</v>
      </c>
      <c r="F364" s="22" t="str">
        <f>INDEX(Master_Data!$C$152:$L$864,D364,2)</f>
        <v>PETROSEA, PT</v>
      </c>
      <c r="G364" s="24" t="str">
        <f>INDEX(Master_Data!$C$152:$L$864,D364,3)</f>
        <v>V</v>
      </c>
      <c r="H364" s="24">
        <f>INDEX(Master_Data!$C$152:$L$864,D364,1)</f>
        <v>2</v>
      </c>
      <c r="I364" s="24">
        <f>INDEX(Master_Data!$C$152:$L$864,D364,4)</f>
        <v>0</v>
      </c>
      <c r="J364" s="24">
        <f>INDEX(Master_Data!$C$152:$L$864,D364,5)</f>
        <v>0</v>
      </c>
      <c r="K364" s="137" t="str">
        <f>INDEX(Master_Data!$C$152:$L$864,D364,6)</f>
        <v>17-017/BKU-004/VI/009</v>
      </c>
      <c r="L364" s="140" t="str">
        <f>INDEX(Master_Data!$C$152:$L$864,D364,7)</f>
        <v>010.018-17.04159658</v>
      </c>
      <c r="M364" s="140">
        <f>INDEX(Master_Data!$C$152:$L$864,D364,8)</f>
        <v>0</v>
      </c>
      <c r="N364" s="264"/>
      <c r="O364" s="245" t="e">
        <f t="shared" si="29"/>
        <v>#VALUE!</v>
      </c>
      <c r="Q364" s="169" t="str">
        <f t="shared" si="27"/>
        <v>PETROSEA, PTJUN</v>
      </c>
    </row>
    <row r="365" spans="2:17" s="61" customFormat="1" ht="14.1" customHeight="1">
      <c r="B365" s="242"/>
      <c r="C365" s="268">
        <f>MATCH($B$319,INDEX(Master_Data!$B$152:$B$864,D364+1,1):'Master_Data'!$B$864,0)</f>
        <v>33</v>
      </c>
      <c r="D365" s="268">
        <f t="shared" si="28"/>
        <v>651</v>
      </c>
      <c r="E365" s="24">
        <v>47</v>
      </c>
      <c r="F365" s="22" t="str">
        <f>INDEX(Master_Data!$C$152:$L$864,D365,2)</f>
        <v>PUNCAK KEEMASAN LUMBUNG DUNIA, PT</v>
      </c>
      <c r="G365" s="24" t="str">
        <f>INDEX(Master_Data!$C$152:$L$864,D365,3)</f>
        <v>I</v>
      </c>
      <c r="H365" s="24">
        <f>INDEX(Master_Data!$C$152:$L$864,D365,1)</f>
        <v>2</v>
      </c>
      <c r="I365" s="24">
        <f>INDEX(Master_Data!$C$152:$L$864,D365,4)</f>
        <v>0</v>
      </c>
      <c r="J365" s="24">
        <f>INDEX(Master_Data!$C$152:$L$864,D365,5)</f>
        <v>0</v>
      </c>
      <c r="K365" s="137" t="str">
        <f>INDEX(Master_Data!$C$152:$L$864,D365,6)</f>
        <v>17-005/BKU-004/VI/225</v>
      </c>
      <c r="L365" s="140" t="str">
        <f>INDEX(Master_Data!$C$152:$L$864,D365,7)</f>
        <v>011.018-17.04159641</v>
      </c>
      <c r="M365" s="140">
        <f>INDEX(Master_Data!$C$152:$L$864,D365,8)</f>
        <v>0</v>
      </c>
      <c r="N365" s="264"/>
      <c r="O365" s="245" t="e">
        <f t="shared" si="29"/>
        <v>#VALUE!</v>
      </c>
      <c r="Q365" s="169" t="str">
        <f t="shared" si="27"/>
        <v>PUNCAK KEEMASAN LUMBUNG DUNIA, PTJUN</v>
      </c>
    </row>
    <row r="366" spans="2:17" s="61" customFormat="1" ht="14.1" customHeight="1">
      <c r="B366" s="242"/>
      <c r="C366" s="268">
        <f>MATCH($B$319,INDEX(Master_Data!$B$152:$B$864,D365+1,1):'Master_Data'!$B$864,0)</f>
        <v>10</v>
      </c>
      <c r="D366" s="268">
        <f t="shared" si="28"/>
        <v>661</v>
      </c>
      <c r="E366" s="54">
        <v>48</v>
      </c>
      <c r="F366" s="22" t="str">
        <f>INDEX(Master_Data!$C$152:$L$864,D366,2)</f>
        <v>RIUNG MITRA LESTARI, PT</v>
      </c>
      <c r="G366" s="24" t="str">
        <f>INDEX(Master_Data!$C$152:$L$864,D366,3)</f>
        <v>M</v>
      </c>
      <c r="H366" s="24">
        <f>INDEX(Master_Data!$C$152:$L$864,D366,1)</f>
        <v>2</v>
      </c>
      <c r="I366" s="24">
        <f>INDEX(Master_Data!$C$152:$L$864,D366,4)</f>
        <v>0</v>
      </c>
      <c r="J366" s="24">
        <f>INDEX(Master_Data!$C$152:$L$864,D366,5)</f>
        <v>0</v>
      </c>
      <c r="K366" s="137" t="str">
        <f>INDEX(Master_Data!$C$152:$L$864,D366,6)</f>
        <v>17-006/BKU-004/VI/149</v>
      </c>
      <c r="L366" s="140" t="str">
        <f>INDEX(Master_Data!$C$152:$L$864,D366,7)</f>
        <v>010.018-17.04159639</v>
      </c>
      <c r="M366" s="140">
        <f>INDEX(Master_Data!$C$152:$L$864,D366,8)</f>
        <v>0</v>
      </c>
      <c r="N366" s="264"/>
      <c r="O366" s="245" t="e">
        <f t="shared" si="29"/>
        <v>#VALUE!</v>
      </c>
      <c r="Q366" s="169" t="str">
        <f t="shared" si="27"/>
        <v>RIUNG MITRA LESTARI, PTJUN</v>
      </c>
    </row>
    <row r="367" spans="2:17" s="61" customFormat="1" ht="14.1" customHeight="1">
      <c r="B367" s="242"/>
      <c r="C367" s="268">
        <f>MATCH($B$319,INDEX(Master_Data!$B$152:$B$864,D366+1,1):'Master_Data'!$B$864,0)</f>
        <v>13</v>
      </c>
      <c r="D367" s="268">
        <f t="shared" si="28"/>
        <v>674</v>
      </c>
      <c r="E367" s="24">
        <v>49</v>
      </c>
      <c r="F367" s="22" t="str">
        <f>INDEX(Master_Data!$C$152:$L$864,D367,2)</f>
        <v>ROKA LANE ASIA, PT</v>
      </c>
      <c r="G367" s="24" t="str">
        <f>INDEX(Master_Data!$C$152:$L$864,D367,3)</f>
        <v>I</v>
      </c>
      <c r="H367" s="24">
        <f>INDEX(Master_Data!$C$152:$L$864,D367,1)</f>
        <v>2</v>
      </c>
      <c r="I367" s="24">
        <f>INDEX(Master_Data!$C$152:$L$864,D367,4)</f>
        <v>0</v>
      </c>
      <c r="J367" s="24">
        <f>INDEX(Master_Data!$C$152:$L$864,D367,5)</f>
        <v>0</v>
      </c>
      <c r="K367" s="137" t="str">
        <f>INDEX(Master_Data!$C$152:$L$864,D367,6)</f>
        <v>17-007/BKU-004/VI/239</v>
      </c>
      <c r="L367" s="140" t="str">
        <f>INDEX(Master_Data!$C$152:$L$864,D367,7)</f>
        <v>010.018-17.04159640</v>
      </c>
      <c r="M367" s="140">
        <f>INDEX(Master_Data!$C$152:$L$864,D367,8)</f>
        <v>0</v>
      </c>
      <c r="N367" s="264"/>
      <c r="O367" s="245" t="e">
        <f t="shared" si="29"/>
        <v>#VALUE!</v>
      </c>
      <c r="Q367" s="169" t="str">
        <f t="shared" si="27"/>
        <v>ROKA LANE ASIA, PTJUN</v>
      </c>
    </row>
    <row r="368" spans="2:17" s="61" customFormat="1" ht="14.1" customHeight="1">
      <c r="B368" s="242"/>
      <c r="C368" s="268">
        <f>MATCH($B$319,INDEX(Master_Data!$B$152:$B$864,D367+1,1):'Master_Data'!$B$864,0)</f>
        <v>3</v>
      </c>
      <c r="D368" s="268">
        <f t="shared" si="28"/>
        <v>677</v>
      </c>
      <c r="E368" s="54">
        <v>50</v>
      </c>
      <c r="F368" s="22" t="str">
        <f>INDEX(Master_Data!$C$152:$L$864,D368,2)</f>
        <v>SELARAS INTI SEMESTA, PT</v>
      </c>
      <c r="G368" s="24" t="str">
        <f>INDEX(Master_Data!$C$152:$L$864,D368,3)</f>
        <v>O &amp; V</v>
      </c>
      <c r="H368" s="24">
        <f>INDEX(Master_Data!$C$152:$L$864,D368,1)</f>
        <v>7</v>
      </c>
      <c r="I368" s="24">
        <f>INDEX(Master_Data!$C$152:$L$864,D368,4)</f>
        <v>0</v>
      </c>
      <c r="J368" s="24">
        <f>INDEX(Master_Data!$C$152:$L$864,D368,5)</f>
        <v>0</v>
      </c>
      <c r="K368" s="137" t="str">
        <f>INDEX(Master_Data!$C$152:$L$864,D368,6)</f>
        <v>17-001/BKU-004/VI/250</v>
      </c>
      <c r="L368" s="140" t="str">
        <f>INDEX(Master_Data!$C$152:$L$864,D368,7)</f>
        <v>010.018-17.04159669</v>
      </c>
      <c r="M368" s="140">
        <f>INDEX(Master_Data!$C$152:$L$864,D368,8)</f>
        <v>0</v>
      </c>
      <c r="N368" s="264"/>
      <c r="O368" s="245" t="e">
        <f t="shared" si="29"/>
        <v>#VALUE!</v>
      </c>
      <c r="Q368" s="169" t="str">
        <f t="shared" si="27"/>
        <v>SELARAS INTI SEMESTA, PTJUN</v>
      </c>
    </row>
    <row r="369" spans="2:17" s="61" customFormat="1" ht="14.1" customHeight="1">
      <c r="B369" s="242"/>
      <c r="C369" s="268">
        <f>MATCH($B$319,INDEX(Master_Data!$B$152:$B$864,D368+1,1):'Master_Data'!$B$864,0)</f>
        <v>1</v>
      </c>
      <c r="D369" s="268">
        <f t="shared" si="28"/>
        <v>678</v>
      </c>
      <c r="E369" s="24">
        <v>51</v>
      </c>
      <c r="F369" s="22" t="str">
        <f>INDEX(Master_Data!$C$152:$L$864,D369,2)</f>
        <v>SELARAS INTI SEMESTA, PT</v>
      </c>
      <c r="G369" s="24" t="str">
        <f>INDEX(Master_Data!$C$152:$L$864,D369,3)</f>
        <v>L</v>
      </c>
      <c r="H369" s="24">
        <f>INDEX(Master_Data!$C$152:$L$864,D369,1)</f>
        <v>7</v>
      </c>
      <c r="I369" s="24">
        <f>INDEX(Master_Data!$C$152:$L$864,D369,4)</f>
        <v>0</v>
      </c>
      <c r="J369" s="24">
        <f>INDEX(Master_Data!$C$152:$L$864,D369,5)</f>
        <v>0</v>
      </c>
      <c r="K369" s="137" t="str">
        <f>INDEX(Master_Data!$C$152:$L$864,D369,6)</f>
        <v>17-002/BKU-004/VI/250</v>
      </c>
      <c r="L369" s="140" t="str">
        <f>INDEX(Master_Data!$C$152:$L$864,D369,7)</f>
        <v>-</v>
      </c>
      <c r="M369" s="140">
        <f>INDEX(Master_Data!$C$152:$L$864,D369,8)</f>
        <v>0</v>
      </c>
      <c r="N369" s="264"/>
      <c r="O369" s="245" t="e">
        <f t="shared" si="29"/>
        <v>#VALUE!</v>
      </c>
      <c r="Q369" s="169" t="str">
        <f t="shared" si="27"/>
        <v>SELARAS INTI SEMESTA, PTJUN</v>
      </c>
    </row>
    <row r="370" spans="2:17" s="61" customFormat="1" ht="14.1" customHeight="1">
      <c r="B370" s="339"/>
      <c r="C370" s="269">
        <f>MATCH($B$319,INDEX(Master_Data!$B$152:$B$864,D369+1,1):'Master_Data'!$B$864,0)</f>
        <v>13</v>
      </c>
      <c r="D370" s="269">
        <f t="shared" si="28"/>
        <v>691</v>
      </c>
      <c r="E370" s="895">
        <v>52</v>
      </c>
      <c r="F370" s="138" t="str">
        <f>INDEX(Master_Data!$C$152:$L$864,D370,2)</f>
        <v>TEBAR TANDAN TENERA, PT</v>
      </c>
      <c r="G370" s="27" t="str">
        <f>INDEX(Master_Data!$C$152:$L$864,D370,3)</f>
        <v>V</v>
      </c>
      <c r="H370" s="27">
        <f>INDEX(Master_Data!$C$152:$L$864,D370,1)</f>
        <v>2</v>
      </c>
      <c r="I370" s="27">
        <f>INDEX(Master_Data!$C$152:$L$864,D370,4)</f>
        <v>0</v>
      </c>
      <c r="J370" s="27">
        <f>INDEX(Master_Data!$C$152:$L$864,D370,5)</f>
        <v>0</v>
      </c>
      <c r="K370" s="1004" t="str">
        <f>INDEX(Master_Data!$C$152:$L$864,D370,6)</f>
        <v>17-006/BKU-004/VI/227</v>
      </c>
      <c r="L370" s="141" t="str">
        <f>INDEX(Master_Data!$C$152:$L$864,D370,7)</f>
        <v>010.018-17.04159651</v>
      </c>
      <c r="M370" s="141">
        <f>INDEX(Master_Data!$C$152:$L$864,D370,8)</f>
        <v>0</v>
      </c>
      <c r="N370" s="265"/>
      <c r="O370" s="305" t="e">
        <f t="shared" si="29"/>
        <v>#VALUE!</v>
      </c>
      <c r="Q370" s="169" t="str">
        <f t="shared" si="27"/>
        <v>TEBAR TANDAN TENERA, PTJUN</v>
      </c>
    </row>
    <row r="371" spans="2:17" ht="20.25" customHeight="1">
      <c r="B371" s="1758" t="s">
        <v>7</v>
      </c>
      <c r="C371" s="1758"/>
      <c r="D371" s="1758"/>
      <c r="E371" s="1758"/>
      <c r="F371" s="1758"/>
      <c r="G371" s="1758"/>
      <c r="H371" s="1758"/>
      <c r="I371" s="1758"/>
      <c r="J371" s="1758"/>
      <c r="K371" s="12">
        <f>SUM(K319:K370)</f>
        <v>0</v>
      </c>
      <c r="L371" s="142">
        <f>SUM(L319:L370)</f>
        <v>0</v>
      </c>
      <c r="M371" s="142">
        <f>SUM(M319:M370)</f>
        <v>0</v>
      </c>
      <c r="N371" s="12">
        <f>SUM(N319:N370)</f>
        <v>0</v>
      </c>
      <c r="O371" s="13" t="e">
        <f>SUM(O319:O370)</f>
        <v>#VALUE!</v>
      </c>
    </row>
    <row r="373" spans="2:17" s="7" customFormat="1" ht="15" customHeight="1">
      <c r="B373" s="1759" t="s">
        <v>198</v>
      </c>
      <c r="C373" s="1760" t="s">
        <v>200</v>
      </c>
      <c r="D373" s="1760"/>
      <c r="E373" s="1759" t="s">
        <v>6</v>
      </c>
      <c r="F373" s="1758" t="s">
        <v>3</v>
      </c>
      <c r="G373" s="1761" t="s">
        <v>141</v>
      </c>
      <c r="H373" s="1758" t="s">
        <v>60</v>
      </c>
      <c r="I373" s="1758"/>
      <c r="J373" s="1758"/>
      <c r="K373" s="1758"/>
      <c r="L373" s="1758"/>
      <c r="M373" s="1758"/>
      <c r="N373" s="1758"/>
      <c r="O373" s="1758"/>
    </row>
    <row r="374" spans="2:17" s="7" customFormat="1" ht="15" customHeight="1">
      <c r="B374" s="1759"/>
      <c r="C374" s="1764" t="s">
        <v>196</v>
      </c>
      <c r="D374" s="1764" t="s">
        <v>197</v>
      </c>
      <c r="E374" s="1759"/>
      <c r="F374" s="1758"/>
      <c r="G374" s="1762"/>
      <c r="H374" s="1766" t="s">
        <v>15</v>
      </c>
      <c r="I374" s="1766" t="s">
        <v>51</v>
      </c>
      <c r="J374" s="1766" t="s">
        <v>12</v>
      </c>
      <c r="K374" s="1768" t="s">
        <v>11</v>
      </c>
      <c r="L374" s="1768" t="s">
        <v>53</v>
      </c>
      <c r="M374" s="1768" t="s">
        <v>1</v>
      </c>
      <c r="N374" s="1770" t="s">
        <v>50</v>
      </c>
      <c r="O374" s="1770"/>
    </row>
    <row r="375" spans="2:17" s="7" customFormat="1">
      <c r="B375" s="1759"/>
      <c r="C375" s="1765"/>
      <c r="D375" s="1765"/>
      <c r="E375" s="1759"/>
      <c r="F375" s="1758"/>
      <c r="G375" s="1763"/>
      <c r="H375" s="1767"/>
      <c r="I375" s="1767"/>
      <c r="J375" s="1767"/>
      <c r="K375" s="1769"/>
      <c r="L375" s="1769"/>
      <c r="M375" s="1769"/>
      <c r="N375" s="370" t="s">
        <v>54</v>
      </c>
      <c r="O375" s="370" t="s">
        <v>55</v>
      </c>
      <c r="Q375" s="168" t="s">
        <v>235</v>
      </c>
    </row>
    <row r="376" spans="2:17" s="7" customFormat="1" ht="14.1" customHeight="1">
      <c r="B376" s="337" t="s">
        <v>242</v>
      </c>
      <c r="C376" s="151">
        <f>MATCH(B376,Master_Data!$B$152:$B$864,0)</f>
        <v>25</v>
      </c>
      <c r="D376" s="151">
        <f>C376</f>
        <v>25</v>
      </c>
      <c r="E376" s="20">
        <v>1</v>
      </c>
      <c r="F376" s="75" t="str">
        <f>INDEX(Master_Data!$C$152:$L$864,D376,2)</f>
        <v>BUKIT MAKMUR MANDIRI UTAMA, PT</v>
      </c>
      <c r="G376" s="20" t="str">
        <f>INDEX(Master_Data!$C$152:$L$864,D376,3)</f>
        <v>V</v>
      </c>
      <c r="H376" s="20">
        <f>INDEX(Master_Data!$C$152:$L$864,D376,1)</f>
        <v>11</v>
      </c>
      <c r="I376" s="20" t="str">
        <f>INDEX(Master_Data!$C$152:$L$864,D376,4)</f>
        <v>VSAT dan MPLS Site Head Office</v>
      </c>
      <c r="J376" s="20" t="str">
        <f>INDEX(Master_Data!$C$152:$L$864,D376,5)</f>
        <v>JUNI</v>
      </c>
      <c r="K376" s="708" t="str">
        <f>INDEX(Master_Data!$C$152:$L$864,D376,6)</f>
        <v>17-011/BKU-004/VII/172</v>
      </c>
      <c r="L376" s="139" t="str">
        <f>INDEX(Master_Data!$C$152:$L$864,D376,7)</f>
        <v>010.018-17.04159722</v>
      </c>
      <c r="M376" s="139">
        <f>INDEX(Master_Data!$C$152:$L$864,D376,8)</f>
        <v>0</v>
      </c>
      <c r="N376" s="266"/>
      <c r="O376" s="272" t="e">
        <f>L376+M376</f>
        <v>#VALUE!</v>
      </c>
      <c r="Q376" s="169" t="str">
        <f>CONCATENATE(F376,$B$376)</f>
        <v>BUKIT MAKMUR MANDIRI UTAMA, PTJUL</v>
      </c>
    </row>
    <row r="377" spans="2:17" s="61" customFormat="1" ht="14.1" customHeight="1">
      <c r="B377" s="338"/>
      <c r="C377" s="268">
        <f>MATCH($B$376,INDEX(Master_Data!$B$152:$B$864,D376+1,1):'Master_Data'!$B$864,0)</f>
        <v>1</v>
      </c>
      <c r="D377" s="268">
        <f>D376+C377</f>
        <v>26</v>
      </c>
      <c r="E377" s="54">
        <v>2</v>
      </c>
      <c r="F377" s="22" t="str">
        <f>INDEX(Master_Data!$C$152:$L$864,D377,2)</f>
        <v>BUKIT MAKMUR MANDIRI UTAMA, PT</v>
      </c>
      <c r="G377" s="24" t="str">
        <f>INDEX(Master_Data!$C$152:$L$864,D377,3)</f>
        <v>HMS</v>
      </c>
      <c r="H377" s="24">
        <f>INDEX(Master_Data!$C$152:$L$864,D377,1)</f>
        <v>3</v>
      </c>
      <c r="I377" s="24" t="str">
        <f>INDEX(Master_Data!$C$152:$L$864,D377,4)</f>
        <v>Hardware Manage Services Riverbed</v>
      </c>
      <c r="J377" s="24" t="str">
        <f>INDEX(Master_Data!$C$152:$L$864,D377,5)</f>
        <v>JUNI</v>
      </c>
      <c r="K377" s="137" t="str">
        <f>INDEX(Master_Data!$C$152:$L$864,D377,6)</f>
        <v>17-012/BKU-004/VII/172</v>
      </c>
      <c r="L377" s="140" t="str">
        <f>INDEX(Master_Data!$C$152:$L$864,D377,7)</f>
        <v>010.018-17.04159721</v>
      </c>
      <c r="M377" s="140">
        <f>INDEX(Master_Data!$C$152:$L$864,D377,8)</f>
        <v>0</v>
      </c>
      <c r="N377" s="264"/>
      <c r="O377" s="245" t="e">
        <f t="shared" ref="O377:O412" si="30">L377+M377</f>
        <v>#VALUE!</v>
      </c>
      <c r="Q377" s="169" t="str">
        <f t="shared" ref="Q377:Q420" si="31">CONCATENATE(F377,$B$376)</f>
        <v>BUKIT MAKMUR MANDIRI UTAMA, PTJUL</v>
      </c>
    </row>
    <row r="378" spans="2:17" s="61" customFormat="1" ht="14.1" customHeight="1">
      <c r="B378" s="338"/>
      <c r="C378" s="268">
        <f>MATCH($B$376,INDEX(Master_Data!$B$152:$B$864,D377+1,1):'Master_Data'!$B$864,0)</f>
        <v>16</v>
      </c>
      <c r="D378" s="268">
        <f t="shared" ref="D378:D418" si="32">D377+C378</f>
        <v>42</v>
      </c>
      <c r="E378" s="24">
        <v>3</v>
      </c>
      <c r="F378" s="22" t="str">
        <f>INDEX(Master_Data!$C$152:$L$864,D378,2)</f>
        <v>CAKRAWALA SEJAHTERA, PT</v>
      </c>
      <c r="G378" s="24" t="str">
        <f>INDEX(Master_Data!$C$152:$L$864,D378,3)</f>
        <v>V</v>
      </c>
      <c r="H378" s="24">
        <f>INDEX(Master_Data!$C$152:$L$864,D378,1)</f>
        <v>3</v>
      </c>
      <c r="I378" s="24" t="str">
        <f>INDEX(Master_Data!$C$152:$L$864,D378,4)</f>
        <v>VSAT SCPC Bandwith 1024 Kbps C-Band Site Malinau</v>
      </c>
      <c r="J378" s="24" t="str">
        <f>INDEX(Master_Data!$C$152:$L$864,D378,5)</f>
        <v>JULI</v>
      </c>
      <c r="K378" s="137" t="str">
        <f>INDEX(Master_Data!$C$152:$L$864,D378,6)</f>
        <v>17-008/BKU-004/VII/198</v>
      </c>
      <c r="L378" s="140" t="str">
        <f>INDEX(Master_Data!$C$152:$L$864,D378,7)</f>
        <v>010.018-17.04159695</v>
      </c>
      <c r="M378" s="140">
        <f>INDEX(Master_Data!$C$152:$L$864,D378,8)</f>
        <v>0</v>
      </c>
      <c r="N378" s="264"/>
      <c r="O378" s="245" t="e">
        <f t="shared" si="30"/>
        <v>#VALUE!</v>
      </c>
      <c r="Q378" s="169" t="str">
        <f t="shared" si="31"/>
        <v>CAKRAWALA SEJAHTERA, PTJUL</v>
      </c>
    </row>
    <row r="379" spans="2:17" s="61" customFormat="1" ht="14.1" customHeight="1">
      <c r="B379" s="338"/>
      <c r="C379" s="268">
        <f>MATCH($B$376,INDEX(Master_Data!$B$152:$B$864,D378+1,1):'Master_Data'!$B$864,0)</f>
        <v>9</v>
      </c>
      <c r="D379" s="268">
        <f t="shared" si="32"/>
        <v>51</v>
      </c>
      <c r="E379" s="54">
        <v>4</v>
      </c>
      <c r="F379" s="22" t="str">
        <f>INDEX(Master_Data!$C$152:$L$864,D379,2)</f>
        <v>CIPTA INFORMATIKA CEMERLANG, PT</v>
      </c>
      <c r="G379" s="24" t="str">
        <f>INDEX(Master_Data!$C$152:$L$864,D379,3)</f>
        <v>P</v>
      </c>
      <c r="H379" s="24">
        <f>INDEX(Master_Data!$C$152:$L$864,D379,1)</f>
        <v>3</v>
      </c>
      <c r="I379" s="24" t="str">
        <f>INDEX(Master_Data!$C$152:$L$864,D379,4)</f>
        <v>Monthly Site PT. Gema Reksa Mekar Sari Pangkalan Bun - Kalteng</v>
      </c>
      <c r="J379" s="24" t="str">
        <f>INDEX(Master_Data!$C$152:$L$864,D379,5)</f>
        <v>JUNI</v>
      </c>
      <c r="K379" s="137" t="str">
        <f>INDEX(Master_Data!$C$152:$L$864,D379,6)</f>
        <v>17-007/BKU-004/VII/097</v>
      </c>
      <c r="L379" s="140" t="str">
        <f>INDEX(Master_Data!$C$152:$L$864,D379,7)</f>
        <v>010.018-17.04159688</v>
      </c>
      <c r="M379" s="140">
        <f>INDEX(Master_Data!$C$152:$L$864,D379,8)</f>
        <v>0</v>
      </c>
      <c r="N379" s="264"/>
      <c r="O379" s="245" t="e">
        <f t="shared" si="30"/>
        <v>#VALUE!</v>
      </c>
      <c r="Q379" s="169" t="str">
        <f t="shared" si="31"/>
        <v>CIPTA INFORMATIKA CEMERLANG, PTJUL</v>
      </c>
    </row>
    <row r="380" spans="2:17" s="61" customFormat="1" ht="14.1" customHeight="1">
      <c r="B380" s="338"/>
      <c r="C380" s="268">
        <f>MATCH($B$376,INDEX(Master_Data!$B$152:$B$864,D379+1,1):'Master_Data'!$B$864,0)</f>
        <v>66</v>
      </c>
      <c r="D380" s="268">
        <f t="shared" si="32"/>
        <v>117</v>
      </c>
      <c r="E380" s="24">
        <v>5</v>
      </c>
      <c r="F380" s="22" t="str">
        <f>INDEX(Master_Data!$C$152:$L$864,D380,2)</f>
        <v>HARMONI PANCA UTAMA, PT</v>
      </c>
      <c r="G380" s="24" t="str">
        <f>INDEX(Master_Data!$C$152:$L$864,D380,3)</f>
        <v>M</v>
      </c>
      <c r="H380" s="24">
        <f>INDEX(Master_Data!$C$152:$L$864,D380,1)</f>
        <v>3</v>
      </c>
      <c r="I380" s="24" t="str">
        <f>INDEX(Master_Data!$C$152:$L$864,D380,4)</f>
        <v>MPLS 5 Mbps Site Head Office</v>
      </c>
      <c r="J380" s="24" t="str">
        <f>INDEX(Master_Data!$C$152:$L$864,D380,5)</f>
        <v>JUNI</v>
      </c>
      <c r="K380" s="137" t="str">
        <f>INDEX(Master_Data!$C$152:$L$864,D380,6)</f>
        <v>17-044/BKU-004/VII/159</v>
      </c>
      <c r="L380" s="140" t="str">
        <f>INDEX(Master_Data!$C$152:$L$864,D380,7)</f>
        <v>010.018-17.04159707</v>
      </c>
      <c r="M380" s="140">
        <f>INDEX(Master_Data!$C$152:$L$864,D380,8)</f>
        <v>0</v>
      </c>
      <c r="N380" s="264"/>
      <c r="O380" s="245" t="e">
        <f t="shared" si="30"/>
        <v>#VALUE!</v>
      </c>
      <c r="Q380" s="169" t="str">
        <f t="shared" si="31"/>
        <v>HARMONI PANCA UTAMA, PTJUL</v>
      </c>
    </row>
    <row r="381" spans="2:17" s="61" customFormat="1" ht="14.1" customHeight="1">
      <c r="B381" s="338"/>
      <c r="C381" s="268">
        <f>MATCH($B$376,INDEX(Master_Data!$B$152:$B$864,D380+1,1):'Master_Data'!$B$864,0)</f>
        <v>1</v>
      </c>
      <c r="D381" s="268">
        <f t="shared" si="32"/>
        <v>118</v>
      </c>
      <c r="E381" s="54">
        <v>6</v>
      </c>
      <c r="F381" s="22" t="str">
        <f>INDEX(Master_Data!$C$152:$L$864,D381,2)</f>
        <v>HARMONI PANCA UTAMA, PT</v>
      </c>
      <c r="G381" s="24" t="str">
        <f>INDEX(Master_Data!$C$152:$L$864,D381,3)</f>
        <v>M</v>
      </c>
      <c r="H381" s="24">
        <f>INDEX(Master_Data!$C$152:$L$864,D381,1)</f>
        <v>3</v>
      </c>
      <c r="I381" s="24" t="str">
        <f>INDEX(Master_Data!$C$152:$L$864,D381,4)</f>
        <v>MPLS 512 Kbps Site PDU</v>
      </c>
      <c r="J381" s="24" t="str">
        <f>INDEX(Master_Data!$C$152:$L$864,D381,5)</f>
        <v>JUNI</v>
      </c>
      <c r="K381" s="137" t="str">
        <f>INDEX(Master_Data!$C$152:$L$864,D381,6)</f>
        <v>17-045/BKU-004/VII/159</v>
      </c>
      <c r="L381" s="140" t="str">
        <f>INDEX(Master_Data!$C$152:$L$864,D381,7)</f>
        <v>010.018-17.04159708</v>
      </c>
      <c r="M381" s="140">
        <f>INDEX(Master_Data!$C$152:$L$864,D381,8)</f>
        <v>0</v>
      </c>
      <c r="N381" s="264"/>
      <c r="O381" s="245" t="e">
        <f t="shared" si="30"/>
        <v>#VALUE!</v>
      </c>
      <c r="Q381" s="169" t="str">
        <f t="shared" si="31"/>
        <v>HARMONI PANCA UTAMA, PTJUL</v>
      </c>
    </row>
    <row r="382" spans="2:17" s="61" customFormat="1" ht="14.1" customHeight="1">
      <c r="B382" s="338"/>
      <c r="C382" s="268">
        <f>MATCH($B$376,INDEX(Master_Data!$B$152:$B$864,D381+1,1):'Master_Data'!$B$864,0)</f>
        <v>1</v>
      </c>
      <c r="D382" s="268">
        <f t="shared" si="32"/>
        <v>119</v>
      </c>
      <c r="E382" s="24">
        <v>7</v>
      </c>
      <c r="F382" s="22" t="str">
        <f>INDEX(Master_Data!$C$152:$L$864,D382,2)</f>
        <v>HARMONI PANCA UTAMA, PT</v>
      </c>
      <c r="G382" s="24" t="str">
        <f>INDEX(Master_Data!$C$152:$L$864,D382,3)</f>
        <v>M</v>
      </c>
      <c r="H382" s="24">
        <f>INDEX(Master_Data!$C$152:$L$864,D382,1)</f>
        <v>3</v>
      </c>
      <c r="I382" s="24" t="str">
        <f>INDEX(Master_Data!$C$152:$L$864,D382,4)</f>
        <v>MPLS 1 Mbps Site DMI</v>
      </c>
      <c r="J382" s="24" t="str">
        <f>INDEX(Master_Data!$C$152:$L$864,D382,5)</f>
        <v>JUNI</v>
      </c>
      <c r="K382" s="137" t="str">
        <f>INDEX(Master_Data!$C$152:$L$864,D382,6)</f>
        <v>17-046/BKU-004/VII/159</v>
      </c>
      <c r="L382" s="140" t="str">
        <f>INDEX(Master_Data!$C$152:$L$864,D382,7)</f>
        <v>010.018-17.04159709</v>
      </c>
      <c r="M382" s="140">
        <f>INDEX(Master_Data!$C$152:$L$864,D382,8)</f>
        <v>0</v>
      </c>
      <c r="N382" s="264"/>
      <c r="O382" s="245" t="e">
        <f t="shared" si="30"/>
        <v>#VALUE!</v>
      </c>
      <c r="Q382" s="169" t="str">
        <f t="shared" si="31"/>
        <v>HARMONI PANCA UTAMA, PTJUL</v>
      </c>
    </row>
    <row r="383" spans="2:17" s="61" customFormat="1" ht="14.1" customHeight="1">
      <c r="B383" s="338"/>
      <c r="C383" s="268">
        <f>MATCH($B$376,INDEX(Master_Data!$B$152:$B$864,D382+1,1):'Master_Data'!$B$864,0)</f>
        <v>1</v>
      </c>
      <c r="D383" s="268">
        <f t="shared" si="32"/>
        <v>120</v>
      </c>
      <c r="E383" s="54">
        <v>8</v>
      </c>
      <c r="F383" s="22" t="str">
        <f>INDEX(Master_Data!$C$152:$L$864,D383,2)</f>
        <v>HARMONI PANCA UTAMA, PT</v>
      </c>
      <c r="G383" s="24" t="str">
        <f>INDEX(Master_Data!$C$152:$L$864,D383,3)</f>
        <v>M</v>
      </c>
      <c r="H383" s="24">
        <f>INDEX(Master_Data!$C$152:$L$864,D383,1)</f>
        <v>3</v>
      </c>
      <c r="I383" s="24" t="str">
        <f>INDEX(Master_Data!$C$152:$L$864,D383,4)</f>
        <v>MPLS 512 Kbps Site Sekayan</v>
      </c>
      <c r="J383" s="24" t="str">
        <f>INDEX(Master_Data!$C$152:$L$864,D383,5)</f>
        <v>JUNI</v>
      </c>
      <c r="K383" s="137" t="str">
        <f>INDEX(Master_Data!$C$152:$L$864,D383,6)</f>
        <v>17-047/BKU-004/VII/159</v>
      </c>
      <c r="L383" s="140" t="str">
        <f>INDEX(Master_Data!$C$152:$L$864,D383,7)</f>
        <v>010.018-17.04159710</v>
      </c>
      <c r="M383" s="140">
        <f>INDEX(Master_Data!$C$152:$L$864,D383,8)</f>
        <v>0</v>
      </c>
      <c r="N383" s="264"/>
      <c r="O383" s="245" t="e">
        <f t="shared" si="30"/>
        <v>#VALUE!</v>
      </c>
      <c r="Q383" s="169" t="str">
        <f t="shared" si="31"/>
        <v>HARMONI PANCA UTAMA, PTJUL</v>
      </c>
    </row>
    <row r="384" spans="2:17" s="61" customFormat="1" ht="14.1" customHeight="1">
      <c r="B384" s="338"/>
      <c r="C384" s="268">
        <f>MATCH($B$376,INDEX(Master_Data!$B$152:$B$864,D383+1,1):'Master_Data'!$B$864,0)</f>
        <v>1</v>
      </c>
      <c r="D384" s="268">
        <f t="shared" si="32"/>
        <v>121</v>
      </c>
      <c r="E384" s="24">
        <v>9</v>
      </c>
      <c r="F384" s="22" t="str">
        <f>INDEX(Master_Data!$C$152:$L$864,D384,2)</f>
        <v>HARMONI PANCA UTAMA, PT</v>
      </c>
      <c r="G384" s="24" t="str">
        <f>INDEX(Master_Data!$C$152:$L$864,D384,3)</f>
        <v>V</v>
      </c>
      <c r="H384" s="24">
        <f>INDEX(Master_Data!$C$152:$L$864,D384,1)</f>
        <v>3</v>
      </c>
      <c r="I384" s="24" t="str">
        <f>INDEX(Master_Data!$C$152:$L$864,D384,4)</f>
        <v>Sewa VSAT SCPC 512/768 Kbps Site MGA Office</v>
      </c>
      <c r="J384" s="24" t="str">
        <f>INDEX(Master_Data!$C$152:$L$864,D384,5)</f>
        <v>JUNI</v>
      </c>
      <c r="K384" s="137" t="str">
        <f>INDEX(Master_Data!$C$152:$L$864,D384,6)</f>
        <v>17-048/BKU-004/VII/159</v>
      </c>
      <c r="L384" s="140" t="str">
        <f>INDEX(Master_Data!$C$152:$L$864,D384,7)</f>
        <v>010.018-17.04159711</v>
      </c>
      <c r="M384" s="140">
        <f>INDEX(Master_Data!$C$152:$L$864,D384,8)</f>
        <v>0</v>
      </c>
      <c r="N384" s="264"/>
      <c r="O384" s="245" t="e">
        <f t="shared" si="30"/>
        <v>#VALUE!</v>
      </c>
      <c r="Q384" s="169" t="str">
        <f t="shared" si="31"/>
        <v>HARMONI PANCA UTAMA, PTJUL</v>
      </c>
    </row>
    <row r="385" spans="2:17" s="61" customFormat="1" ht="14.1" customHeight="1">
      <c r="B385" s="338"/>
      <c r="C385" s="268">
        <f>MATCH($B$376,INDEX(Master_Data!$B$152:$B$864,D384+1,1):'Master_Data'!$B$864,0)</f>
        <v>1</v>
      </c>
      <c r="D385" s="268">
        <f t="shared" si="32"/>
        <v>122</v>
      </c>
      <c r="E385" s="54">
        <v>10</v>
      </c>
      <c r="F385" s="22" t="str">
        <f>INDEX(Master_Data!$C$152:$L$864,D385,2)</f>
        <v>HARMONI PANCA UTAMA, PT</v>
      </c>
      <c r="G385" s="24" t="str">
        <f>INDEX(Master_Data!$C$152:$L$864,D385,3)</f>
        <v>V</v>
      </c>
      <c r="H385" s="24">
        <f>INDEX(Master_Data!$C$152:$L$864,D385,1)</f>
        <v>3</v>
      </c>
      <c r="I385" s="24" t="str">
        <f>INDEX(Master_Data!$C$152:$L$864,D385,4)</f>
        <v>Sewa VSAT 128/256 Kbps Site RUB Ex PPA</v>
      </c>
      <c r="J385" s="24" t="str">
        <f>INDEX(Master_Data!$C$152:$L$864,D385,5)</f>
        <v>JUNI</v>
      </c>
      <c r="K385" s="137" t="str">
        <f>INDEX(Master_Data!$C$152:$L$864,D385,6)</f>
        <v>17-049/BKU-004/VII/159</v>
      </c>
      <c r="L385" s="140" t="str">
        <f>INDEX(Master_Data!$C$152:$L$864,D385,7)</f>
        <v>010.018-17.04159712</v>
      </c>
      <c r="M385" s="140">
        <f>INDEX(Master_Data!$C$152:$L$864,D385,8)</f>
        <v>0</v>
      </c>
      <c r="N385" s="264"/>
      <c r="O385" s="245" t="e">
        <f t="shared" si="30"/>
        <v>#VALUE!</v>
      </c>
      <c r="Q385" s="169" t="str">
        <f t="shared" si="31"/>
        <v>HARMONI PANCA UTAMA, PTJUL</v>
      </c>
    </row>
    <row r="386" spans="2:17" s="61" customFormat="1" ht="14.1" customHeight="1">
      <c r="B386" s="338"/>
      <c r="C386" s="268">
        <f>MATCH($B$376,INDEX(Master_Data!$B$152:$B$864,D385+1,1):'Master_Data'!$B$864,0)</f>
        <v>1</v>
      </c>
      <c r="D386" s="268">
        <f t="shared" si="32"/>
        <v>123</v>
      </c>
      <c r="E386" s="24">
        <v>11</v>
      </c>
      <c r="F386" s="22" t="str">
        <f>INDEX(Master_Data!$C$152:$L$864,D386,2)</f>
        <v>HARMONI PANCA UTAMA, PT</v>
      </c>
      <c r="G386" s="24" t="str">
        <f>INDEX(Master_Data!$C$152:$L$864,D386,3)</f>
        <v>V</v>
      </c>
      <c r="H386" s="24">
        <f>INDEX(Master_Data!$C$152:$L$864,D386,1)</f>
        <v>3</v>
      </c>
      <c r="I386" s="24" t="str">
        <f>INDEX(Master_Data!$C$152:$L$864,D386,4)</f>
        <v>Sewa VSAT SCPC 512/256 Kbps Site KMO</v>
      </c>
      <c r="J386" s="24" t="str">
        <f>INDEX(Master_Data!$C$152:$L$864,D386,5)</f>
        <v>JUNI</v>
      </c>
      <c r="K386" s="137" t="str">
        <f>INDEX(Master_Data!$C$152:$L$864,D386,6)</f>
        <v>17-050/BKU-004/VII/159</v>
      </c>
      <c r="L386" s="140" t="str">
        <f>INDEX(Master_Data!$C$152:$L$864,D386,7)</f>
        <v>010.018-17.04159713</v>
      </c>
      <c r="M386" s="140">
        <f>INDEX(Master_Data!$C$152:$L$864,D386,8)</f>
        <v>0</v>
      </c>
      <c r="N386" s="264"/>
      <c r="O386" s="245" t="e">
        <f t="shared" si="30"/>
        <v>#VALUE!</v>
      </c>
      <c r="Q386" s="169" t="str">
        <f t="shared" si="31"/>
        <v>HARMONI PANCA UTAMA, PTJUL</v>
      </c>
    </row>
    <row r="387" spans="2:17" s="61" customFormat="1" ht="14.1" customHeight="1">
      <c r="B387" s="338"/>
      <c r="C387" s="268">
        <f>MATCH($B$376,INDEX(Master_Data!$B$152:$B$864,D386+1,1):'Master_Data'!$B$864,0)</f>
        <v>1</v>
      </c>
      <c r="D387" s="268">
        <f t="shared" si="32"/>
        <v>124</v>
      </c>
      <c r="E387" s="54">
        <v>12</v>
      </c>
      <c r="F387" s="22" t="str">
        <f>INDEX(Master_Data!$C$152:$L$864,D387,2)</f>
        <v>HARMONI PANCA UTAMA, PT</v>
      </c>
      <c r="G387" s="24" t="str">
        <f>INDEX(Master_Data!$C$152:$L$864,D387,3)</f>
        <v>V</v>
      </c>
      <c r="H387" s="24">
        <f>INDEX(Master_Data!$C$152:$L$864,D387,1)</f>
        <v>3</v>
      </c>
      <c r="I387" s="24" t="str">
        <f>INDEX(Master_Data!$C$152:$L$864,D387,4)</f>
        <v xml:space="preserve">Sewa VSAT 256/128 Kbps Site KMO (PORT) Kelubir </v>
      </c>
      <c r="J387" s="24" t="str">
        <f>INDEX(Master_Data!$C$152:$L$864,D387,5)</f>
        <v>JULI</v>
      </c>
      <c r="K387" s="137" t="str">
        <f>INDEX(Master_Data!$C$152:$L$864,D387,6)</f>
        <v>17-051/BKU-004/VII/159</v>
      </c>
      <c r="L387" s="140" t="str">
        <f>INDEX(Master_Data!$C$152:$L$864,D387,7)</f>
        <v>010.018-17.04159714</v>
      </c>
      <c r="M387" s="140">
        <f>INDEX(Master_Data!$C$152:$L$864,D387,8)</f>
        <v>0</v>
      </c>
      <c r="N387" s="264"/>
      <c r="O387" s="245" t="e">
        <f t="shared" si="30"/>
        <v>#VALUE!</v>
      </c>
      <c r="Q387" s="169" t="str">
        <f t="shared" si="31"/>
        <v>HARMONI PANCA UTAMA, PTJUL</v>
      </c>
    </row>
    <row r="388" spans="2:17" s="61" customFormat="1" ht="14.1" customHeight="1">
      <c r="B388" s="338"/>
      <c r="C388" s="268">
        <f>MATCH($B$376,INDEX(Master_Data!$B$152:$B$864,D387+1,1):'Master_Data'!$B$864,0)</f>
        <v>66</v>
      </c>
      <c r="D388" s="268">
        <f t="shared" si="32"/>
        <v>190</v>
      </c>
      <c r="E388" s="24">
        <v>13</v>
      </c>
      <c r="F388" s="22" t="str">
        <f>INDEX(Master_Data!$C$152:$L$864,D388,2)</f>
        <v>HASTA PANCA MANDIRI UTAMA, PT</v>
      </c>
      <c r="G388" s="24" t="str">
        <f>INDEX(Master_Data!$C$152:$L$864,D388,3)</f>
        <v>V</v>
      </c>
      <c r="H388" s="24">
        <f>INDEX(Master_Data!$C$152:$L$864,D388,1)</f>
        <v>3</v>
      </c>
      <c r="I388" s="24" t="str">
        <f>INDEX(Master_Data!$C$152:$L$864,D388,4)</f>
        <v>Sewa VSAT SCPC 512/256 Kbps Site OBI Halmahera - Maluku</v>
      </c>
      <c r="J388" s="24" t="str">
        <f>INDEX(Master_Data!$C$152:$L$864,D388,5)</f>
        <v>JUNI</v>
      </c>
      <c r="K388" s="137" t="str">
        <f>INDEX(Master_Data!$C$152:$L$864,D388,6)</f>
        <v>17-024/BKU-004/VII/179</v>
      </c>
      <c r="L388" s="140" t="str">
        <f>INDEX(Master_Data!$C$152:$L$864,D388,7)</f>
        <v>010.018-17.04159715</v>
      </c>
      <c r="M388" s="140">
        <f>INDEX(Master_Data!$C$152:$L$864,D388,8)</f>
        <v>0</v>
      </c>
      <c r="N388" s="264"/>
      <c r="O388" s="245" t="e">
        <f t="shared" si="30"/>
        <v>#VALUE!</v>
      </c>
      <c r="Q388" s="169" t="str">
        <f t="shared" si="31"/>
        <v>HASTA PANCA MANDIRI UTAMA, PTJUL</v>
      </c>
    </row>
    <row r="389" spans="2:17" s="61" customFormat="1" ht="14.1" customHeight="1">
      <c r="B389" s="242"/>
      <c r="C389" s="268">
        <f>MATCH($B$376,INDEX(Master_Data!$B$152:$B$864,D388+1,1):'Master_Data'!$B$864,0)</f>
        <v>1</v>
      </c>
      <c r="D389" s="268">
        <f t="shared" si="32"/>
        <v>191</v>
      </c>
      <c r="E389" s="54">
        <v>14</v>
      </c>
      <c r="F389" s="22" t="str">
        <f>INDEX(Master_Data!$C$152:$L$864,D389,2)</f>
        <v>HASTA PANCA MANDIRI UTAMA, PT</v>
      </c>
      <c r="G389" s="24" t="str">
        <f>INDEX(Master_Data!$C$152:$L$864,D389,3)</f>
        <v>V</v>
      </c>
      <c r="H389" s="24">
        <f>INDEX(Master_Data!$C$152:$L$864,D389,1)</f>
        <v>3</v>
      </c>
      <c r="I389" s="24" t="str">
        <f>INDEX(Master_Data!$C$152:$L$864,D389,4)</f>
        <v xml:space="preserve">Sewa VSAT SCPC 512/256 Kbps Site AMO Malinau </v>
      </c>
      <c r="J389" s="24" t="str">
        <f>INDEX(Master_Data!$C$152:$L$864,D389,5)</f>
        <v>JUNI</v>
      </c>
      <c r="K389" s="137" t="str">
        <f>INDEX(Master_Data!$C$152:$L$864,D389,6)</f>
        <v>17-025/BKU-004/VII/179</v>
      </c>
      <c r="L389" s="140" t="str">
        <f>INDEX(Master_Data!$C$152:$L$864,D389,7)</f>
        <v>010.018-17.04159716</v>
      </c>
      <c r="M389" s="140">
        <f>INDEX(Master_Data!$C$152:$L$864,D389,8)</f>
        <v>0</v>
      </c>
      <c r="N389" s="264"/>
      <c r="O389" s="245" t="e">
        <f t="shared" si="30"/>
        <v>#VALUE!</v>
      </c>
      <c r="Q389" s="169" t="str">
        <f t="shared" si="31"/>
        <v>HASTA PANCA MANDIRI UTAMA, PTJUL</v>
      </c>
    </row>
    <row r="390" spans="2:17" s="61" customFormat="1" ht="14.1" customHeight="1">
      <c r="B390" s="242"/>
      <c r="C390" s="268">
        <f>MATCH($B$376,INDEX(Master_Data!$B$152:$B$864,D389+1,1):'Master_Data'!$B$864,0)</f>
        <v>1</v>
      </c>
      <c r="D390" s="268">
        <f t="shared" si="32"/>
        <v>192</v>
      </c>
      <c r="E390" s="24">
        <v>15</v>
      </c>
      <c r="F390" s="22" t="str">
        <f>INDEX(Master_Data!$C$152:$L$864,D390,2)</f>
        <v>HASTA PANCA MANDIRI UTAMA, PT</v>
      </c>
      <c r="G390" s="24" t="str">
        <f>INDEX(Master_Data!$C$152:$L$864,D390,3)</f>
        <v>V</v>
      </c>
      <c r="H390" s="24">
        <f>INDEX(Master_Data!$C$152:$L$864,D390,1)</f>
        <v>3</v>
      </c>
      <c r="I390" s="24" t="str">
        <f>INDEX(Master_Data!$C$152:$L$864,D390,4)</f>
        <v>Sewa VSAT SCPC 512/256 Kbps Site KDA Kalbar</v>
      </c>
      <c r="J390" s="24" t="str">
        <f>INDEX(Master_Data!$C$152:$L$864,D390,5)</f>
        <v>JUNI</v>
      </c>
      <c r="K390" s="137" t="str">
        <f>INDEX(Master_Data!$C$152:$L$864,D390,6)</f>
        <v>17-026/BKU-004/VII/179</v>
      </c>
      <c r="L390" s="140" t="str">
        <f>INDEX(Master_Data!$C$152:$L$864,D390,7)</f>
        <v>010.018-17.04159717</v>
      </c>
      <c r="M390" s="140">
        <f>INDEX(Master_Data!$C$152:$L$864,D390,8)</f>
        <v>0</v>
      </c>
      <c r="N390" s="264"/>
      <c r="O390" s="245" t="e">
        <f t="shared" si="30"/>
        <v>#VALUE!</v>
      </c>
      <c r="Q390" s="169" t="str">
        <f t="shared" si="31"/>
        <v>HASTA PANCA MANDIRI UTAMA, PTJUL</v>
      </c>
    </row>
    <row r="391" spans="2:17" s="61" customFormat="1" ht="14.1" customHeight="1">
      <c r="B391" s="242"/>
      <c r="C391" s="268">
        <f>MATCH($B$376,INDEX(Master_Data!$B$152:$B$864,D390+1,1):'Master_Data'!$B$864,0)</f>
        <v>42</v>
      </c>
      <c r="D391" s="268">
        <f t="shared" si="32"/>
        <v>234</v>
      </c>
      <c r="E391" s="54">
        <v>16</v>
      </c>
      <c r="F391" s="22" t="str">
        <f>INDEX(Master_Data!$C$152:$L$864,D391,2)</f>
        <v>HUTAN KETAPANG INDUSTRI, PT</v>
      </c>
      <c r="G391" s="24" t="str">
        <f>INDEX(Master_Data!$C$152:$L$864,D391,3)</f>
        <v>V</v>
      </c>
      <c r="H391" s="24">
        <f>INDEX(Master_Data!$C$152:$L$864,D391,1)</f>
        <v>3</v>
      </c>
      <c r="I391" s="24" t="str">
        <f>INDEX(Master_Data!$C$152:$L$864,D391,4)</f>
        <v>Sewa VSAT Site HKI 1</v>
      </c>
      <c r="J391" s="24" t="str">
        <f>INDEX(Master_Data!$C$152:$L$864,D391,5)</f>
        <v>JUNI</v>
      </c>
      <c r="K391" s="137" t="str">
        <f>INDEX(Master_Data!$C$152:$L$864,D391,6)</f>
        <v>17-027/BKU-004/VII/204</v>
      </c>
      <c r="L391" s="140" t="str">
        <f>INDEX(Master_Data!$C$152:$L$864,D391,7)</f>
        <v>010.018-17.04159697</v>
      </c>
      <c r="M391" s="140">
        <f>INDEX(Master_Data!$C$152:$L$864,D391,8)</f>
        <v>0</v>
      </c>
      <c r="N391" s="149"/>
      <c r="O391" s="245" t="e">
        <f t="shared" si="30"/>
        <v>#VALUE!</v>
      </c>
      <c r="Q391" s="169" t="str">
        <f t="shared" si="31"/>
        <v>HUTAN KETAPANG INDUSTRI, PTJUL</v>
      </c>
    </row>
    <row r="392" spans="2:17" s="61" customFormat="1" ht="14.1" customHeight="1">
      <c r="B392" s="242"/>
      <c r="C392" s="268">
        <f>MATCH($B$376,INDEX(Master_Data!$B$152:$B$864,D391+1,1):'Master_Data'!$B$864,0)</f>
        <v>1</v>
      </c>
      <c r="D392" s="268">
        <f t="shared" si="32"/>
        <v>235</v>
      </c>
      <c r="E392" s="24">
        <v>17</v>
      </c>
      <c r="F392" s="22" t="str">
        <f>INDEX(Master_Data!$C$152:$L$864,D392,2)</f>
        <v>HUTAN KETAPANG INDUSTRI, PT</v>
      </c>
      <c r="G392" s="24" t="str">
        <f>INDEX(Master_Data!$C$152:$L$864,D392,3)</f>
        <v>V</v>
      </c>
      <c r="H392" s="24">
        <f>INDEX(Master_Data!$C$152:$L$864,D392,1)</f>
        <v>3</v>
      </c>
      <c r="I392" s="24" t="str">
        <f>INDEX(Master_Data!$C$152:$L$864,D392,4)</f>
        <v>Sewa VSAT Site HKI 2</v>
      </c>
      <c r="J392" s="24" t="str">
        <f>INDEX(Master_Data!$C$152:$L$864,D392,5)</f>
        <v>JUNI</v>
      </c>
      <c r="K392" s="137" t="str">
        <f>INDEX(Master_Data!$C$152:$L$864,D392,6)</f>
        <v>17-028/BKU-004/VII/204</v>
      </c>
      <c r="L392" s="140" t="str">
        <f>INDEX(Master_Data!$C$152:$L$864,D392,7)</f>
        <v>010.018-17.04159698</v>
      </c>
      <c r="M392" s="140">
        <f>INDEX(Master_Data!$C$152:$L$864,D392,8)</f>
        <v>0</v>
      </c>
      <c r="N392" s="264"/>
      <c r="O392" s="245" t="e">
        <f t="shared" si="30"/>
        <v>#VALUE!</v>
      </c>
      <c r="Q392" s="169" t="str">
        <f t="shared" si="31"/>
        <v>HUTAN KETAPANG INDUSTRI, PTJUL</v>
      </c>
    </row>
    <row r="393" spans="2:17" s="61" customFormat="1" ht="14.1" customHeight="1">
      <c r="B393" s="242"/>
      <c r="C393" s="268">
        <f>MATCH($B$376,INDEX(Master_Data!$B$152:$B$864,D392+1,1):'Master_Data'!$B$864,0)</f>
        <v>1</v>
      </c>
      <c r="D393" s="268">
        <f t="shared" si="32"/>
        <v>236</v>
      </c>
      <c r="E393" s="54">
        <v>18</v>
      </c>
      <c r="F393" s="22" t="str">
        <f>INDEX(Master_Data!$C$152:$L$864,D393,2)</f>
        <v>HUTAN KETAPANG INDUSTRI, PT</v>
      </c>
      <c r="G393" s="24" t="str">
        <f>INDEX(Master_Data!$C$152:$L$864,D393,3)</f>
        <v>V</v>
      </c>
      <c r="H393" s="24">
        <f>INDEX(Master_Data!$C$152:$L$864,D393,1)</f>
        <v>3</v>
      </c>
      <c r="I393" s="24" t="str">
        <f>INDEX(Master_Data!$C$152:$L$864,D393,4)</f>
        <v>Sewa VSAT Site HKI 5</v>
      </c>
      <c r="J393" s="24" t="str">
        <f>INDEX(Master_Data!$C$152:$L$864,D393,5)</f>
        <v>JUNI</v>
      </c>
      <c r="K393" s="137" t="str">
        <f>INDEX(Master_Data!$C$152:$L$864,D393,6)</f>
        <v>17-029/BKU-004/VII/204</v>
      </c>
      <c r="L393" s="140" t="str">
        <f>INDEX(Master_Data!$C$152:$L$864,D393,7)</f>
        <v>010.018-17.04159699</v>
      </c>
      <c r="M393" s="140">
        <f>INDEX(Master_Data!$C$152:$L$864,D393,8)</f>
        <v>0</v>
      </c>
      <c r="N393" s="264"/>
      <c r="O393" s="245" t="e">
        <f t="shared" si="30"/>
        <v>#VALUE!</v>
      </c>
      <c r="Q393" s="169" t="str">
        <f t="shared" si="31"/>
        <v>HUTAN KETAPANG INDUSTRI, PTJUL</v>
      </c>
    </row>
    <row r="394" spans="2:17" s="61" customFormat="1" ht="14.1" customHeight="1">
      <c r="B394" s="242"/>
      <c r="C394" s="268">
        <f>MATCH($B$376,INDEX(Master_Data!$B$152:$B$864,D393+1,1):'Master_Data'!$B$864,0)</f>
        <v>1</v>
      </c>
      <c r="D394" s="268">
        <f t="shared" si="32"/>
        <v>237</v>
      </c>
      <c r="E394" s="24">
        <v>19</v>
      </c>
      <c r="F394" s="22" t="str">
        <f>INDEX(Master_Data!$C$152:$L$864,D394,2)</f>
        <v>HUTAN KETAPANG INDUSTRI, PT</v>
      </c>
      <c r="G394" s="24" t="str">
        <f>INDEX(Master_Data!$C$152:$L$864,D394,3)</f>
        <v>V</v>
      </c>
      <c r="H394" s="24">
        <f>INDEX(Master_Data!$C$152:$L$864,D394,1)</f>
        <v>3</v>
      </c>
      <c r="I394" s="24" t="str">
        <f>INDEX(Master_Data!$C$152:$L$864,D394,4)</f>
        <v>Sewa VSAT Site HKI 6</v>
      </c>
      <c r="J394" s="24" t="str">
        <f>INDEX(Master_Data!$C$152:$L$864,D394,5)</f>
        <v>JUNI</v>
      </c>
      <c r="K394" s="137" t="str">
        <f>INDEX(Master_Data!$C$152:$L$864,D394,6)</f>
        <v>17-030/BKU-004/VII/204</v>
      </c>
      <c r="L394" s="140" t="str">
        <f>INDEX(Master_Data!$C$152:$L$864,D394,7)</f>
        <v>010.018-17.04159700</v>
      </c>
      <c r="M394" s="140">
        <f>INDEX(Master_Data!$C$152:$L$864,D394,8)</f>
        <v>0</v>
      </c>
      <c r="N394" s="264"/>
      <c r="O394" s="245" t="e">
        <f t="shared" si="30"/>
        <v>#VALUE!</v>
      </c>
      <c r="Q394" s="169" t="str">
        <f t="shared" si="31"/>
        <v>HUTAN KETAPANG INDUSTRI, PTJUL</v>
      </c>
    </row>
    <row r="395" spans="2:17" s="61" customFormat="1" ht="14.1" customHeight="1">
      <c r="B395" s="242"/>
      <c r="C395" s="268">
        <f>MATCH($B$376,INDEX(Master_Data!$B$152:$B$864,D394+1,1):'Master_Data'!$B$864,0)</f>
        <v>34</v>
      </c>
      <c r="D395" s="268">
        <f t="shared" si="32"/>
        <v>271</v>
      </c>
      <c r="E395" s="54">
        <v>20</v>
      </c>
      <c r="F395" s="22" t="str">
        <f>INDEX(Master_Data!$C$152:$L$864,D395,2)</f>
        <v>KALIMANTAN PRIMA PERSADA, PT</v>
      </c>
      <c r="G395" s="24" t="str">
        <f>INDEX(Master_Data!$C$152:$L$864,D395,3)</f>
        <v>W</v>
      </c>
      <c r="H395" s="24">
        <f>INDEX(Master_Data!$C$152:$L$864,D395,1)</f>
        <v>3</v>
      </c>
      <c r="I395" s="24" t="str">
        <f>INDEX(Master_Data!$C$152:$L$864,D395,4)</f>
        <v>WAN 5 Mbps Site Mass, Asto, SPUT, Loa Jana</v>
      </c>
      <c r="J395" s="24" t="str">
        <f>INDEX(Master_Data!$C$152:$L$864,D395,5)</f>
        <v>JUNI</v>
      </c>
      <c r="K395" s="137" t="str">
        <f>INDEX(Master_Data!$C$152:$L$864,D395,6)</f>
        <v>17-011/BKU-004/VII/208</v>
      </c>
      <c r="L395" s="140" t="str">
        <f>INDEX(Master_Data!$C$152:$L$864,D395,7)</f>
        <v>010.018-17-04159720</v>
      </c>
      <c r="M395" s="140">
        <f>INDEX(Master_Data!$C$152:$L$864,D395,8)</f>
        <v>0</v>
      </c>
      <c r="N395" s="264"/>
      <c r="O395" s="245" t="e">
        <f t="shared" si="30"/>
        <v>#VALUE!</v>
      </c>
      <c r="Q395" s="169" t="str">
        <f t="shared" si="31"/>
        <v>KALIMANTAN PRIMA PERSADA, PTJUL</v>
      </c>
    </row>
    <row r="396" spans="2:17" s="61" customFormat="1" ht="14.1" customHeight="1">
      <c r="B396" s="242"/>
      <c r="C396" s="268">
        <f>MATCH($B$376,INDEX(Master_Data!$B$152:$B$864,D395+1,1):'Master_Data'!$B$864,0)</f>
        <v>18</v>
      </c>
      <c r="D396" s="268">
        <f t="shared" si="32"/>
        <v>289</v>
      </c>
      <c r="E396" s="24">
        <v>21</v>
      </c>
      <c r="F396" s="22" t="str">
        <f>INDEX(Master_Data!$C$152:$L$864,D396,2)</f>
        <v>KUSUMA MENTARI MAKMUR, PT</v>
      </c>
      <c r="G396" s="24" t="str">
        <f>INDEX(Master_Data!$C$152:$L$864,D396,3)</f>
        <v>V</v>
      </c>
      <c r="H396" s="24">
        <f>INDEX(Master_Data!$C$152:$L$864,D396,1)</f>
        <v>3</v>
      </c>
      <c r="I396" s="24" t="str">
        <f>INDEX(Master_Data!$C$152:$L$864,D396,4)</f>
        <v>Sewa VSAT Site KMM</v>
      </c>
      <c r="J396" s="24" t="str">
        <f>INDEX(Master_Data!$C$152:$L$864,D396,5)</f>
        <v>JUNI</v>
      </c>
      <c r="K396" s="137" t="str">
        <f>INDEX(Master_Data!$C$152:$L$864,D396,6)</f>
        <v>17-007/BKU-004/VII/224</v>
      </c>
      <c r="L396" s="140" t="str">
        <f>INDEX(Master_Data!$C$152:$L$864,D396,7)</f>
        <v>010.018-17.04159703</v>
      </c>
      <c r="M396" s="140">
        <f>INDEX(Master_Data!$C$152:$L$864,D396,8)</f>
        <v>0</v>
      </c>
      <c r="N396" s="264"/>
      <c r="O396" s="245" t="e">
        <f t="shared" si="30"/>
        <v>#VALUE!</v>
      </c>
      <c r="Q396" s="169" t="str">
        <f t="shared" si="31"/>
        <v>KUSUMA MENTARI MAKMUR, PTJUL</v>
      </c>
    </row>
    <row r="397" spans="2:17" s="61" customFormat="1" ht="14.1" customHeight="1">
      <c r="B397" s="242"/>
      <c r="C397" s="268">
        <f>MATCH($B$376,INDEX(Master_Data!$B$152:$B$864,D396+1,1):'Master_Data'!$B$864,0)</f>
        <v>20</v>
      </c>
      <c r="D397" s="268">
        <f t="shared" si="32"/>
        <v>309</v>
      </c>
      <c r="E397" s="54">
        <v>22</v>
      </c>
      <c r="F397" s="22" t="str">
        <f>INDEX(Master_Data!$C$152:$L$864,D397,2)</f>
        <v>LANANG AGRO BERSATU, PT</v>
      </c>
      <c r="G397" s="24" t="str">
        <f>INDEX(Master_Data!$C$152:$L$864,D397,3)</f>
        <v>V</v>
      </c>
      <c r="H397" s="24">
        <f>INDEX(Master_Data!$C$152:$L$864,D397,1)</f>
        <v>3</v>
      </c>
      <c r="I397" s="24" t="str">
        <f>INDEX(Master_Data!$C$152:$L$864,D397,4)</f>
        <v>Sewa VSAT Site BSE Ketapang - Kalbar</v>
      </c>
      <c r="J397" s="24" t="str">
        <f>INDEX(Master_Data!$C$152:$L$864,D397,5)</f>
        <v>JUNI</v>
      </c>
      <c r="K397" s="137" t="str">
        <f>INDEX(Master_Data!$C$152:$L$864,D397,6)</f>
        <v>17-013/BKU-004/VII/210</v>
      </c>
      <c r="L397" s="140" t="str">
        <f>INDEX(Master_Data!$C$152:$L$864,D397,7)</f>
        <v>010.018-17.04159701</v>
      </c>
      <c r="M397" s="140">
        <f>INDEX(Master_Data!$C$152:$L$864,D397,8)</f>
        <v>0</v>
      </c>
      <c r="N397" s="149"/>
      <c r="O397" s="245" t="e">
        <f t="shared" si="30"/>
        <v>#VALUE!</v>
      </c>
      <c r="Q397" s="169" t="str">
        <f t="shared" si="31"/>
        <v>LANANG AGRO BERSATU, PTJUL</v>
      </c>
    </row>
    <row r="398" spans="2:17" s="61" customFormat="1" ht="14.1" customHeight="1">
      <c r="B398" s="242"/>
      <c r="C398" s="268">
        <f>MATCH($B$376,INDEX(Master_Data!$B$152:$B$864,D397+1,1):'Master_Data'!$B$864,0)</f>
        <v>1</v>
      </c>
      <c r="D398" s="268">
        <f t="shared" si="32"/>
        <v>310</v>
      </c>
      <c r="E398" s="24">
        <v>23</v>
      </c>
      <c r="F398" s="22" t="str">
        <f>INDEX(Master_Data!$C$152:$L$864,D398,2)</f>
        <v>LANANG AGRO BERSATU, PT</v>
      </c>
      <c r="G398" s="24" t="str">
        <f>INDEX(Master_Data!$C$152:$L$864,D398,3)</f>
        <v>V</v>
      </c>
      <c r="H398" s="24">
        <f>INDEX(Master_Data!$C$152:$L$864,D398,1)</f>
        <v>4</v>
      </c>
      <c r="I398" s="24" t="str">
        <f>INDEX(Master_Data!$C$152:$L$864,D398,4)</f>
        <v>Sewa VSAT Site BME Ketapang - Kalbar</v>
      </c>
      <c r="J398" s="24" t="str">
        <f>INDEX(Master_Data!$C$152:$L$864,D398,5)</f>
        <v>JUNI</v>
      </c>
      <c r="K398" s="137" t="str">
        <f>INDEX(Master_Data!$C$152:$L$864,D398,6)</f>
        <v>17-014/BKU-004/VII/210</v>
      </c>
      <c r="L398" s="140" t="str">
        <f>INDEX(Master_Data!$C$152:$L$864,D398,7)</f>
        <v>010.018-17.04159702</v>
      </c>
      <c r="M398" s="140">
        <f>INDEX(Master_Data!$C$152:$L$864,D398,8)</f>
        <v>0</v>
      </c>
      <c r="N398" s="264"/>
      <c r="O398" s="245" t="e">
        <f t="shared" si="30"/>
        <v>#VALUE!</v>
      </c>
      <c r="Q398" s="169" t="str">
        <f t="shared" si="31"/>
        <v>LANANG AGRO BERSATU, PTJUL</v>
      </c>
    </row>
    <row r="399" spans="2:17" s="61" customFormat="1" ht="14.1" customHeight="1">
      <c r="B399" s="242"/>
      <c r="C399" s="268">
        <f>MATCH($B$376,INDEX(Master_Data!$B$152:$B$864,D398+1,1):'Master_Data'!$B$864,0)</f>
        <v>61</v>
      </c>
      <c r="D399" s="268">
        <f t="shared" si="32"/>
        <v>371</v>
      </c>
      <c r="E399" s="54">
        <v>24</v>
      </c>
      <c r="F399" s="22" t="str">
        <f>INDEX(Master_Data!$C$152:$L$864,D399,2)</f>
        <v>MADHANI TALATAH NUSANTARA, PT</v>
      </c>
      <c r="G399" s="24" t="str">
        <f>INDEX(Master_Data!$C$152:$L$864,D399,3)</f>
        <v>PGDN</v>
      </c>
      <c r="H399" s="24">
        <f>INDEX(Master_Data!$C$152:$L$864,D399,1)</f>
        <v>13</v>
      </c>
      <c r="I399" s="24" t="str">
        <f>INDEX(Master_Data!$C$152:$L$864,D399,4)</f>
        <v>Pengadaan Soundwin 2 Port Fxs VoIP Gateway 1 Pcs</v>
      </c>
      <c r="J399" s="24" t="str">
        <f>INDEX(Master_Data!$C$152:$L$864,D399,5)</f>
        <v>-</v>
      </c>
      <c r="K399" s="137" t="str">
        <f>INDEX(Master_Data!$C$152:$L$864,D399,6)</f>
        <v>17-051/BKU-004/VII/057</v>
      </c>
      <c r="L399" s="140" t="str">
        <f>INDEX(Master_Data!$C$152:$L$864,D399,7)</f>
        <v>010.018-17.04159723</v>
      </c>
      <c r="M399" s="140">
        <f>INDEX(Master_Data!$C$152:$L$864,D399,8)</f>
        <v>0</v>
      </c>
      <c r="N399" s="264"/>
      <c r="O399" s="245" t="e">
        <f t="shared" si="30"/>
        <v>#VALUE!</v>
      </c>
      <c r="Q399" s="169" t="str">
        <f t="shared" si="31"/>
        <v>MADHANI TALATAH NUSANTARA, PTJUL</v>
      </c>
    </row>
    <row r="400" spans="2:17" s="61" customFormat="1" ht="14.1" customHeight="1">
      <c r="B400" s="242"/>
      <c r="C400" s="268">
        <f>MATCH($B$376,INDEX(Master_Data!$B$152:$B$864,D399+1,1):'Master_Data'!$B$864,0)</f>
        <v>75</v>
      </c>
      <c r="D400" s="268">
        <f t="shared" si="32"/>
        <v>446</v>
      </c>
      <c r="E400" s="24">
        <v>25</v>
      </c>
      <c r="F400" s="22" t="str">
        <f>INDEX(Master_Data!$C$152:$L$864,D400,2)</f>
        <v>MANDALA KARYA PRIMA, PT</v>
      </c>
      <c r="G400" s="24" t="str">
        <f>INDEX(Master_Data!$C$152:$L$864,D400,3)</f>
        <v>W, I</v>
      </c>
      <c r="H400" s="24">
        <f>INDEX(Master_Data!$C$152:$L$864,D400,1)</f>
        <v>3</v>
      </c>
      <c r="I400" s="24" t="str">
        <f>INDEX(Master_Data!$C$152:$L$864,D400,4)</f>
        <v>WDL &amp; Internet Access 2048 Kbps Site Krassi Sesayap</v>
      </c>
      <c r="J400" s="24" t="str">
        <f>INDEX(Master_Data!$C$152:$L$864,D400,5)</f>
        <v>JUNI</v>
      </c>
      <c r="K400" s="137" t="str">
        <f>INDEX(Master_Data!$C$152:$L$864,D400,6)</f>
        <v>17-007/BKU-004/VII/214</v>
      </c>
      <c r="L400" s="140" t="str">
        <f>INDEX(Master_Data!$C$152:$L$864,D400,7)</f>
        <v>010.018-17.04159696</v>
      </c>
      <c r="M400" s="140">
        <f>INDEX(Master_Data!$C$152:$L$864,D400,8)</f>
        <v>0</v>
      </c>
      <c r="N400" s="264"/>
      <c r="O400" s="245" t="e">
        <f t="shared" si="30"/>
        <v>#VALUE!</v>
      </c>
      <c r="Q400" s="169" t="str">
        <f t="shared" si="31"/>
        <v>MANDALA KARYA PRIMA, PTJUL</v>
      </c>
    </row>
    <row r="401" spans="2:17" s="61" customFormat="1" ht="14.1" customHeight="1">
      <c r="B401" s="242"/>
      <c r="C401" s="268">
        <f>MATCH($B$376,INDEX(Master_Data!$B$152:$B$864,D400+1,1):'Master_Data'!$B$864,0)</f>
        <v>21</v>
      </c>
      <c r="D401" s="268">
        <f t="shared" si="32"/>
        <v>467</v>
      </c>
      <c r="E401" s="54">
        <v>26</v>
      </c>
      <c r="F401" s="22" t="str">
        <f>INDEX(Master_Data!$C$152:$L$864,D401,2)</f>
        <v>MANDIRI HERINDO ADIPERKASA, PT</v>
      </c>
      <c r="G401" s="24" t="str">
        <f>INDEX(Master_Data!$C$152:$L$864,D401,3)</f>
        <v>W</v>
      </c>
      <c r="H401" s="24">
        <f>INDEX(Master_Data!$C$152:$L$864,D401,1)</f>
        <v>3</v>
      </c>
      <c r="I401" s="24" t="str">
        <f>INDEX(Master_Data!$C$152:$L$864,D401,4)</f>
        <v>WDL Site SIMS Batu Kajang - Kaltim</v>
      </c>
      <c r="J401" s="24" t="str">
        <f>INDEX(Master_Data!$C$152:$L$864,D401,5)</f>
        <v>JUNI</v>
      </c>
      <c r="K401" s="137" t="str">
        <f>INDEX(Master_Data!$C$152:$L$864,D401,6)</f>
        <v>17-016/BKU-004/VII/211</v>
      </c>
      <c r="L401" s="140" t="str">
        <f>INDEX(Master_Data!$C$152:$L$864,D401,7)</f>
        <v>010.018-17.04159682</v>
      </c>
      <c r="M401" s="140">
        <f>INDEX(Master_Data!$C$152:$L$864,D401,8)</f>
        <v>0</v>
      </c>
      <c r="N401" s="264"/>
      <c r="O401" s="245" t="e">
        <f t="shared" si="30"/>
        <v>#VALUE!</v>
      </c>
      <c r="Q401" s="169" t="str">
        <f t="shared" si="31"/>
        <v>MANDIRI HERINDO ADIPERKASA, PTJUL</v>
      </c>
    </row>
    <row r="402" spans="2:17" s="61" customFormat="1" ht="14.1" customHeight="1">
      <c r="B402" s="242"/>
      <c r="C402" s="268">
        <f>MATCH($B$376,INDEX(Master_Data!$B$152:$B$864,D401+1,1):'Master_Data'!$B$864,0)</f>
        <v>1</v>
      </c>
      <c r="D402" s="268">
        <f t="shared" si="32"/>
        <v>468</v>
      </c>
      <c r="E402" s="24">
        <v>27</v>
      </c>
      <c r="F402" s="22" t="str">
        <f>INDEX(Master_Data!$C$152:$L$864,D402,2)</f>
        <v>MANDIRI HERINDO ADIPERKASA, PT</v>
      </c>
      <c r="G402" s="24" t="str">
        <f>INDEX(Master_Data!$C$152:$L$864,D402,3)</f>
        <v>I</v>
      </c>
      <c r="H402" s="24">
        <f>INDEX(Master_Data!$C$152:$L$864,D402,1)</f>
        <v>3</v>
      </c>
      <c r="I402" s="24" t="str">
        <f>INDEX(Master_Data!$C$152:$L$864,D402,4)</f>
        <v>VPN IP Site Office Belleza</v>
      </c>
      <c r="J402" s="24" t="str">
        <f>INDEX(Master_Data!$C$152:$L$864,D402,5)</f>
        <v>JUNI</v>
      </c>
      <c r="K402" s="137" t="str">
        <f>INDEX(Master_Data!$C$152:$L$864,D402,6)</f>
        <v>17-017/BKU-004/VII/211</v>
      </c>
      <c r="L402" s="140" t="str">
        <f>INDEX(Master_Data!$C$152:$L$864,D402,7)</f>
        <v>010.018-17.04159683</v>
      </c>
      <c r="M402" s="140">
        <f>INDEX(Master_Data!$C$152:$L$864,D402,8)</f>
        <v>0</v>
      </c>
      <c r="N402" s="264"/>
      <c r="O402" s="245" t="e">
        <f t="shared" si="30"/>
        <v>#VALUE!</v>
      </c>
      <c r="Q402" s="169" t="str">
        <f t="shared" si="31"/>
        <v>MANDIRI HERINDO ADIPERKASA, PTJUL</v>
      </c>
    </row>
    <row r="403" spans="2:17" s="61" customFormat="1" ht="14.1" customHeight="1">
      <c r="B403" s="242"/>
      <c r="C403" s="268">
        <f>MATCH($B$376,INDEX(Master_Data!$B$152:$B$864,D402+1,1):'Master_Data'!$B$864,0)</f>
        <v>1</v>
      </c>
      <c r="D403" s="268">
        <f t="shared" si="32"/>
        <v>469</v>
      </c>
      <c r="E403" s="54">
        <v>28</v>
      </c>
      <c r="F403" s="22" t="str">
        <f>INDEX(Master_Data!$C$152:$L$864,D403,2)</f>
        <v>MANDIRI HERINDO ADIPERKASA, PT</v>
      </c>
      <c r="G403" s="24" t="str">
        <f>INDEX(Master_Data!$C$152:$L$864,D403,3)</f>
        <v>M</v>
      </c>
      <c r="H403" s="24">
        <f>INDEX(Master_Data!$C$152:$L$864,D403,1)</f>
        <v>3</v>
      </c>
      <c r="I403" s="24" t="str">
        <f>INDEX(Master_Data!$C$152:$L$864,D403,4)</f>
        <v>MPLS 512 Kbps Site Krassi Sesayap</v>
      </c>
      <c r="J403" s="24" t="str">
        <f>INDEX(Master_Data!$C$152:$L$864,D403,5)</f>
        <v>JUNI</v>
      </c>
      <c r="K403" s="137" t="str">
        <f>INDEX(Master_Data!$C$152:$L$864,D403,6)</f>
        <v>17-018/BKU-004/VII/211</v>
      </c>
      <c r="L403" s="140" t="str">
        <f>INDEX(Master_Data!$C$152:$L$864,D403,7)</f>
        <v>010.018-17.04159684</v>
      </c>
      <c r="M403" s="140">
        <f>INDEX(Master_Data!$C$152:$L$864,D403,8)</f>
        <v>0</v>
      </c>
      <c r="N403" s="264"/>
      <c r="O403" s="245" t="e">
        <f t="shared" si="30"/>
        <v>#VALUE!</v>
      </c>
      <c r="Q403" s="169" t="str">
        <f t="shared" si="31"/>
        <v>MANDIRI HERINDO ADIPERKASA, PTJUL</v>
      </c>
    </row>
    <row r="404" spans="2:17" s="61" customFormat="1" ht="14.1" customHeight="1">
      <c r="B404" s="242"/>
      <c r="C404" s="268">
        <f>MATCH($B$376,INDEX(Master_Data!$B$152:$B$864,D403+1,1):'Master_Data'!$B$864,0)</f>
        <v>33</v>
      </c>
      <c r="D404" s="268">
        <f t="shared" si="32"/>
        <v>502</v>
      </c>
      <c r="E404" s="24">
        <v>29</v>
      </c>
      <c r="F404" s="22" t="str">
        <f>INDEX(Master_Data!$C$152:$L$864,D404,2)</f>
        <v>MANDIRI INTI PERKASA, PT</v>
      </c>
      <c r="G404" s="24" t="str">
        <f>INDEX(Master_Data!$C$152:$L$864,D404,3)</f>
        <v>W, I</v>
      </c>
      <c r="H404" s="24">
        <f>INDEX(Master_Data!$C$152:$L$864,D404,1)</f>
        <v>3</v>
      </c>
      <c r="I404" s="24" t="str">
        <f>INDEX(Master_Data!$C$152:$L$864,D404,4)</f>
        <v>WDL &amp; Internet Access 1024 Kbps Site Krassi Sebakung</v>
      </c>
      <c r="J404" s="24" t="str">
        <f>INDEX(Master_Data!$C$152:$L$864,D404,5)</f>
        <v>JUNI</v>
      </c>
      <c r="K404" s="137" t="str">
        <f>INDEX(Master_Data!$C$152:$L$864,D404,6)</f>
        <v>17-013/BKU-004/VII/196</v>
      </c>
      <c r="L404" s="140" t="str">
        <f>INDEX(Master_Data!$C$152:$L$864,D404,7)</f>
        <v>010.018-17.04159685</v>
      </c>
      <c r="M404" s="140">
        <f>INDEX(Master_Data!$C$152:$L$864,D404,8)</f>
        <v>0</v>
      </c>
      <c r="N404" s="264"/>
      <c r="O404" s="245" t="e">
        <f t="shared" si="30"/>
        <v>#VALUE!</v>
      </c>
      <c r="Q404" s="169" t="str">
        <f t="shared" si="31"/>
        <v>MANDIRI INTI PERKASA, PTJUL</v>
      </c>
    </row>
    <row r="405" spans="2:17" s="61" customFormat="1" ht="14.1" customHeight="1">
      <c r="B405" s="242"/>
      <c r="C405" s="268">
        <f>MATCH($B$376,INDEX(Master_Data!$B$152:$B$864,D404+1,1):'Master_Data'!$B$864,0)</f>
        <v>1</v>
      </c>
      <c r="D405" s="268">
        <f t="shared" si="32"/>
        <v>503</v>
      </c>
      <c r="E405" s="54">
        <v>30</v>
      </c>
      <c r="F405" s="22" t="str">
        <f>INDEX(Master_Data!$C$152:$L$864,D405,2)</f>
        <v>MANDIRI INTI PERKASA, PT</v>
      </c>
      <c r="G405" s="24" t="str">
        <f>INDEX(Master_Data!$C$152:$L$864,D405,3)</f>
        <v>I</v>
      </c>
      <c r="H405" s="24">
        <f>INDEX(Master_Data!$C$152:$L$864,D405,1)</f>
        <v>3</v>
      </c>
      <c r="I405" s="24" t="str">
        <f>INDEX(Master_Data!$C$152:$L$864,D405,4)</f>
        <v>Internet Bandwith 5 Mbps Site HO Pro Mandiri Building Latumenten</v>
      </c>
      <c r="J405" s="24" t="str">
        <f>INDEX(Master_Data!$C$152:$L$864,D405,5)</f>
        <v>JUNI</v>
      </c>
      <c r="K405" s="137" t="str">
        <f>INDEX(Master_Data!$C$152:$L$864,D405,6)</f>
        <v>17-014/BKU-004/VII/196</v>
      </c>
      <c r="L405" s="140" t="str">
        <f>INDEX(Master_Data!$C$152:$L$864,D405,7)</f>
        <v>010.018-17.04159686</v>
      </c>
      <c r="M405" s="140">
        <f>INDEX(Master_Data!$C$152:$L$864,D405,8)</f>
        <v>0</v>
      </c>
      <c r="N405" s="264"/>
      <c r="O405" s="245" t="e">
        <f t="shared" si="30"/>
        <v>#VALUE!</v>
      </c>
      <c r="Q405" s="169" t="str">
        <f t="shared" si="31"/>
        <v>MANDIRI INTI PERKASA, PTJUL</v>
      </c>
    </row>
    <row r="406" spans="2:17" s="61" customFormat="1" ht="14.1" customHeight="1">
      <c r="B406" s="242"/>
      <c r="C406" s="268">
        <f>MATCH($B$376,INDEX(Master_Data!$B$152:$B$864,D405+1,1):'Master_Data'!$B$864,0)</f>
        <v>17</v>
      </c>
      <c r="D406" s="268">
        <f t="shared" si="32"/>
        <v>520</v>
      </c>
      <c r="E406" s="24">
        <v>31</v>
      </c>
      <c r="F406" s="22" t="str">
        <f>INDEX(Master_Data!$C$152:$L$864,D406,2)</f>
        <v>MEDCO PAPUA INDUSTRI LESTARI, PT</v>
      </c>
      <c r="G406" s="24" t="str">
        <f>INDEX(Master_Data!$C$152:$L$864,D406,3)</f>
        <v>V</v>
      </c>
      <c r="H406" s="24">
        <f>INDEX(Master_Data!$C$152:$L$864,D406,1)</f>
        <v>3</v>
      </c>
      <c r="I406" s="24" t="str">
        <f>INDEX(Master_Data!$C$152:$L$864,D406,4)</f>
        <v>Sewa VSAT 256/512 Kbps Site Wapeko Merauke - Papua</v>
      </c>
      <c r="J406" s="24" t="str">
        <f>INDEX(Master_Data!$C$152:$L$864,D406,5)</f>
        <v>JULI</v>
      </c>
      <c r="K406" s="137" t="str">
        <f>INDEX(Master_Data!$C$152:$L$864,D406,6)</f>
        <v>17-007/BKU-004/VII/145</v>
      </c>
      <c r="L406" s="140" t="str">
        <f>INDEX(Master_Data!$C$152:$L$864,D406,7)</f>
        <v>010.018-17.04159693</v>
      </c>
      <c r="M406" s="140">
        <f>INDEX(Master_Data!$C$152:$L$864,D406,8)</f>
        <v>0</v>
      </c>
      <c r="N406" s="264"/>
      <c r="O406" s="245" t="e">
        <f t="shared" si="30"/>
        <v>#VALUE!</v>
      </c>
      <c r="Q406" s="169" t="str">
        <f t="shared" si="31"/>
        <v>MEDCO PAPUA INDUSTRI LESTARI, PTJUL</v>
      </c>
    </row>
    <row r="407" spans="2:17" s="61" customFormat="1" ht="14.1" customHeight="1">
      <c r="B407" s="242"/>
      <c r="C407" s="268">
        <f>MATCH($B$376,INDEX(Master_Data!$B$152:$B$864,D406+1,1):'Master_Data'!$B$864,0)</f>
        <v>12</v>
      </c>
      <c r="D407" s="268">
        <f t="shared" si="32"/>
        <v>532</v>
      </c>
      <c r="E407" s="54">
        <v>32</v>
      </c>
      <c r="F407" s="22" t="str">
        <f>INDEX(Master_Data!$C$152:$L$864,D407,2)</f>
        <v>METALINDO BUMI RAYA, PT</v>
      </c>
      <c r="G407" s="24" t="str">
        <f>INDEX(Master_Data!$C$152:$L$864,D407,3)</f>
        <v>I</v>
      </c>
      <c r="H407" s="24">
        <f>INDEX(Master_Data!$C$152:$L$864,D407,1)</f>
        <v>3</v>
      </c>
      <c r="I407" s="24" t="str">
        <f>INDEX(Master_Data!$C$152:$L$864,D407,4)</f>
        <v>Internet Access Site Sebuku</v>
      </c>
      <c r="J407" s="24" t="str">
        <f>INDEX(Master_Data!$C$152:$L$864,D407,5)</f>
        <v>JULI</v>
      </c>
      <c r="K407" s="137" t="str">
        <f>INDEX(Master_Data!$C$152:$L$864,D407,6)</f>
        <v>17-007/BKU-004/VII/220</v>
      </c>
      <c r="L407" s="140" t="str">
        <f>INDEX(Master_Data!$C$152:$L$864,D407,7)</f>
        <v>010.018-17.04159689</v>
      </c>
      <c r="M407" s="140">
        <f>INDEX(Master_Data!$C$152:$L$864,D407,8)</f>
        <v>0</v>
      </c>
      <c r="N407" s="264"/>
      <c r="O407" s="245" t="e">
        <f t="shared" si="30"/>
        <v>#VALUE!</v>
      </c>
      <c r="Q407" s="169" t="str">
        <f t="shared" si="31"/>
        <v>METALINDO BUMI RAYA, PTJUL</v>
      </c>
    </row>
    <row r="408" spans="2:17" s="61" customFormat="1" ht="14.1" customHeight="1">
      <c r="B408" s="242"/>
      <c r="C408" s="268">
        <f>MATCH($B$376,INDEX(Master_Data!$B$152:$B$864,D407+1,1):'Master_Data'!$B$864,0)</f>
        <v>15</v>
      </c>
      <c r="D408" s="268">
        <f t="shared" si="32"/>
        <v>547</v>
      </c>
      <c r="E408" s="24">
        <v>33</v>
      </c>
      <c r="F408" s="22" t="str">
        <f>INDEX(Master_Data!$C$152:$L$864,D408,2)</f>
        <v>NUSANTARA SARANA ALAM, PT</v>
      </c>
      <c r="G408" s="24" t="str">
        <f>INDEX(Master_Data!$C$152:$L$864,D408,3)</f>
        <v>V</v>
      </c>
      <c r="H408" s="24">
        <f>INDEX(Master_Data!$C$152:$L$864,D408,1)</f>
        <v>3</v>
      </c>
      <c r="I408" s="24" t="str">
        <f>INDEX(Master_Data!$C$152:$L$864,D408,4)</f>
        <v>Sewa VSAT 512 Kbps Site NSA Sandai - Kalbar</v>
      </c>
      <c r="J408" s="24" t="str">
        <f>INDEX(Master_Data!$C$152:$L$864,D408,5)</f>
        <v>JUNI</v>
      </c>
      <c r="K408" s="137" t="str">
        <f>INDEX(Master_Data!$C$152:$L$864,D408,6)</f>
        <v>17-009/BKU-004/VII/245</v>
      </c>
      <c r="L408" s="140" t="str">
        <f>INDEX(Master_Data!$C$152:$L$864,D408,7)</f>
        <v>010.018-17.04159704</v>
      </c>
      <c r="M408" s="140">
        <f>INDEX(Master_Data!$C$152:$L$864,D408,8)</f>
        <v>0</v>
      </c>
      <c r="N408" s="264"/>
      <c r="O408" s="245" t="e">
        <f t="shared" si="30"/>
        <v>#VALUE!</v>
      </c>
      <c r="Q408" s="169" t="str">
        <f t="shared" si="31"/>
        <v>NUSANTARA SARANA ALAM, PTJUL</v>
      </c>
    </row>
    <row r="409" spans="2:17" s="61" customFormat="1" ht="14.1" customHeight="1">
      <c r="B409" s="242"/>
      <c r="C409" s="268">
        <f>MATCH($B$376,INDEX(Master_Data!$B$152:$B$864,D408+1,1):'Master_Data'!$B$864,0)</f>
        <v>6</v>
      </c>
      <c r="D409" s="268">
        <f t="shared" si="32"/>
        <v>553</v>
      </c>
      <c r="E409" s="54">
        <v>34</v>
      </c>
      <c r="F409" s="22" t="str">
        <f>INDEX(Master_Data!$C$152:$L$864,D409,2)</f>
        <v>PAMA PERSADA NUSANTARA, PT</v>
      </c>
      <c r="G409" s="24" t="str">
        <f>INDEX(Master_Data!$C$152:$L$864,D409,3)</f>
        <v>O</v>
      </c>
      <c r="H409" s="24">
        <f>INDEX(Master_Data!$C$152:$L$864,D409,1)</f>
        <v>19</v>
      </c>
      <c r="I409" s="24" t="str">
        <f>INDEX(Master_Data!$C$152:$L$864,D409,4)</f>
        <v>Jasa Instalasi VPN 30 Mbps Site EPN, ABB, KPP, TTA, PAMA</v>
      </c>
      <c r="J409" s="24" t="str">
        <f>INDEX(Master_Data!$C$152:$L$864,D409,5)</f>
        <v>15 JUNI</v>
      </c>
      <c r="K409" s="137" t="str">
        <f>INDEX(Master_Data!$C$152:$L$864,D409,6)</f>
        <v>17-001/BKU-004/VII/246</v>
      </c>
      <c r="L409" s="140" t="str">
        <f>INDEX(Master_Data!$C$152:$L$864,D409,7)</f>
        <v>010.018-17.04159724</v>
      </c>
      <c r="M409" s="140">
        <f>INDEX(Master_Data!$C$152:$L$864,D409,8)</f>
        <v>0</v>
      </c>
      <c r="N409" s="264"/>
      <c r="O409" s="245" t="e">
        <f t="shared" si="30"/>
        <v>#VALUE!</v>
      </c>
      <c r="Q409" s="169" t="str">
        <f t="shared" si="31"/>
        <v>PAMA PERSADA NUSANTARA, PTJUL</v>
      </c>
    </row>
    <row r="410" spans="2:17" s="61" customFormat="1" ht="14.1" customHeight="1">
      <c r="B410" s="242"/>
      <c r="C410" s="268">
        <f>MATCH($B$376,INDEX(Master_Data!$B$152:$B$864,D409+1,1):'Master_Data'!$B$864,0)</f>
        <v>10</v>
      </c>
      <c r="D410" s="268">
        <f t="shared" si="32"/>
        <v>563</v>
      </c>
      <c r="E410" s="24">
        <v>35</v>
      </c>
      <c r="F410" s="22" t="str">
        <f>INDEX(Master_Data!$C$152:$L$864,D410,2)</f>
        <v>PEMBANGUNAN PERUMAHAN (PERSERO), PT</v>
      </c>
      <c r="G410" s="24" t="str">
        <f>INDEX(Master_Data!$C$152:$L$864,D410,3)</f>
        <v>I</v>
      </c>
      <c r="H410" s="24">
        <f>INDEX(Master_Data!$C$152:$L$864,D410,1)</f>
        <v>3</v>
      </c>
      <c r="I410" s="24" t="str">
        <f>INDEX(Master_Data!$C$152:$L$864,D410,4)</f>
        <v>Internet 1024/256 Kbps Site Lolak</v>
      </c>
      <c r="J410" s="24" t="str">
        <f>INDEX(Master_Data!$C$152:$L$864,D410,5)</f>
        <v>JUNI</v>
      </c>
      <c r="K410" s="137" t="str">
        <f>INDEX(Master_Data!$C$152:$L$864,D410,6)</f>
        <v>17-007/BKU-004/VII/226</v>
      </c>
      <c r="L410" s="140" t="str">
        <f>INDEX(Master_Data!$C$152:$L$864,D410,7)</f>
        <v>030.018-17.04159690</v>
      </c>
      <c r="M410" s="140">
        <f>INDEX(Master_Data!$C$152:$L$864,D410,8)</f>
        <v>0</v>
      </c>
      <c r="N410" s="264"/>
      <c r="O410" s="245" t="e">
        <f t="shared" si="30"/>
        <v>#VALUE!</v>
      </c>
      <c r="Q410" s="169" t="str">
        <f t="shared" si="31"/>
        <v>PEMBANGUNAN PERUMAHAN (PERSERO), PTJUL</v>
      </c>
    </row>
    <row r="411" spans="2:17" s="61" customFormat="1" ht="14.1" customHeight="1">
      <c r="B411" s="242"/>
      <c r="C411" s="268">
        <f>MATCH($B$376,INDEX(Master_Data!$B$152:$B$864,D410+1,1):'Master_Data'!$B$864,0)</f>
        <v>17</v>
      </c>
      <c r="D411" s="268">
        <f t="shared" si="32"/>
        <v>580</v>
      </c>
      <c r="E411" s="54">
        <v>36</v>
      </c>
      <c r="F411" s="22" t="str">
        <f>INDEX(Master_Data!$C$152:$L$864,D411,2)</f>
        <v>PEMERINTAH KABUPATEN SIGI</v>
      </c>
      <c r="G411" s="24" t="str">
        <f>INDEX(Master_Data!$C$152:$L$864,D411,3)</f>
        <v>I</v>
      </c>
      <c r="H411" s="24">
        <f>INDEX(Master_Data!$C$152:$L$864,D411,1)</f>
        <v>19</v>
      </c>
      <c r="I411" s="24">
        <f>INDEX(Master_Data!$C$152:$L$864,D411,4)</f>
        <v>0</v>
      </c>
      <c r="J411" s="24">
        <f>INDEX(Master_Data!$C$152:$L$864,D411,5)</f>
        <v>0</v>
      </c>
      <c r="K411" s="137" t="str">
        <f>INDEX(Master_Data!$C$152:$L$864,D411,6)</f>
        <v>004/BKU-004/VII/184</v>
      </c>
      <c r="L411" s="140" t="str">
        <f>INDEX(Master_Data!$C$152:$L$864,D411,7)</f>
        <v>020.018-17.04159725</v>
      </c>
      <c r="M411" s="140">
        <f>INDEX(Master_Data!$C$152:$L$864,D411,8)</f>
        <v>0</v>
      </c>
      <c r="N411" s="264"/>
      <c r="O411" s="245" t="e">
        <f t="shared" si="30"/>
        <v>#VALUE!</v>
      </c>
      <c r="Q411" s="169" t="str">
        <f t="shared" si="31"/>
        <v>PEMERINTAH KABUPATEN SIGIJUL</v>
      </c>
    </row>
    <row r="412" spans="2:17" s="61" customFormat="1" ht="14.1" customHeight="1">
      <c r="B412" s="242"/>
      <c r="C412" s="268">
        <f>MATCH($B$376,INDEX(Master_Data!$B$152:$B$864,D411+1,1):'Master_Data'!$B$864,0)</f>
        <v>1</v>
      </c>
      <c r="D412" s="268">
        <f t="shared" si="32"/>
        <v>581</v>
      </c>
      <c r="E412" s="24">
        <v>37</v>
      </c>
      <c r="F412" s="22" t="str">
        <f>INDEX(Master_Data!$C$152:$L$864,D412,2)</f>
        <v>PEMERINTAH KABUPATEN SIGI</v>
      </c>
      <c r="G412" s="24" t="str">
        <f>INDEX(Master_Data!$C$152:$L$864,D412,3)</f>
        <v>I</v>
      </c>
      <c r="H412" s="24">
        <f>INDEX(Master_Data!$C$152:$L$864,D412,1)</f>
        <v>19</v>
      </c>
      <c r="I412" s="24">
        <f>INDEX(Master_Data!$C$152:$L$864,D412,4)</f>
        <v>0</v>
      </c>
      <c r="J412" s="24">
        <f>INDEX(Master_Data!$C$152:$L$864,D412,5)</f>
        <v>0</v>
      </c>
      <c r="K412" s="137" t="str">
        <f>INDEX(Master_Data!$C$152:$L$864,D412,6)</f>
        <v>005/BKU-004/VII/184</v>
      </c>
      <c r="L412" s="140" t="str">
        <f>INDEX(Master_Data!$C$152:$L$864,D412,7)</f>
        <v>020.018-17.04159726</v>
      </c>
      <c r="M412" s="140">
        <f>INDEX(Master_Data!$C$152:$L$864,D412,8)</f>
        <v>0</v>
      </c>
      <c r="N412" s="264"/>
      <c r="O412" s="245" t="e">
        <f t="shared" si="30"/>
        <v>#VALUE!</v>
      </c>
      <c r="Q412" s="169" t="str">
        <f t="shared" si="31"/>
        <v>PEMERINTAH KABUPATEN SIGIJUL</v>
      </c>
    </row>
    <row r="413" spans="2:17" s="61" customFormat="1" ht="14.1" customHeight="1">
      <c r="B413" s="242"/>
      <c r="C413" s="268">
        <f>MATCH($B$376,INDEX(Master_Data!$B$152:$B$864,D412+1,1):'Master_Data'!$B$864,0)</f>
        <v>1</v>
      </c>
      <c r="D413" s="268">
        <f t="shared" si="32"/>
        <v>582</v>
      </c>
      <c r="E413" s="54">
        <v>38</v>
      </c>
      <c r="F413" s="22" t="str">
        <f>INDEX(Master_Data!$C$152:$L$864,D413,2)</f>
        <v>PEMERINTAH KABUPATEN SIGI</v>
      </c>
      <c r="G413" s="24" t="str">
        <f>INDEX(Master_Data!$C$152:$L$864,D413,3)</f>
        <v>I</v>
      </c>
      <c r="H413" s="24">
        <f>INDEX(Master_Data!$C$152:$L$864,D413,1)</f>
        <v>19</v>
      </c>
      <c r="I413" s="24">
        <f>INDEX(Master_Data!$C$152:$L$864,D413,4)</f>
        <v>0</v>
      </c>
      <c r="J413" s="24">
        <f>INDEX(Master_Data!$C$152:$L$864,D413,5)</f>
        <v>0</v>
      </c>
      <c r="K413" s="137" t="str">
        <f>INDEX(Master_Data!$C$152:$L$864,D413,6)</f>
        <v>006/BKU-004/VII/184</v>
      </c>
      <c r="L413" s="140" t="str">
        <f>INDEX(Master_Data!$C$152:$L$864,D413,7)</f>
        <v>020.018-17.04159727</v>
      </c>
      <c r="M413" s="140">
        <f>INDEX(Master_Data!$C$152:$L$864,D413,8)</f>
        <v>0</v>
      </c>
      <c r="N413" s="264"/>
      <c r="O413" s="245" t="e">
        <f t="shared" ref="O413:O418" si="33">L413+M413</f>
        <v>#VALUE!</v>
      </c>
      <c r="Q413" s="169" t="str">
        <f t="shared" si="31"/>
        <v>PEMERINTAH KABUPATEN SIGIJUL</v>
      </c>
    </row>
    <row r="414" spans="2:17" s="61" customFormat="1" ht="14.1" customHeight="1">
      <c r="B414" s="242"/>
      <c r="C414" s="268">
        <f>MATCH($B$376,INDEX(Master_Data!$B$152:$B$864,D413+1,1):'Master_Data'!$B$864,0)</f>
        <v>12</v>
      </c>
      <c r="D414" s="268">
        <f t="shared" si="32"/>
        <v>594</v>
      </c>
      <c r="E414" s="24">
        <v>39</v>
      </c>
      <c r="F414" s="22" t="str">
        <f>INDEX(Master_Data!$C$152:$L$864,D414,2)</f>
        <v>PERTIWI AGRO SEJAHTERA, PT</v>
      </c>
      <c r="G414" s="24" t="str">
        <f>INDEX(Master_Data!$C$152:$L$864,D414,3)</f>
        <v>V</v>
      </c>
      <c r="H414" s="24">
        <f>INDEX(Master_Data!$C$152:$L$864,D414,1)</f>
        <v>3</v>
      </c>
      <c r="I414" s="24" t="str">
        <f>INDEX(Master_Data!$C$152:$L$864,D414,4)</f>
        <v>Sewa VSAT Site Landak - Kalbar</v>
      </c>
      <c r="J414" s="24" t="str">
        <f>INDEX(Master_Data!$C$152:$L$864,D414,5)</f>
        <v>JULI</v>
      </c>
      <c r="K414" s="137" t="str">
        <f>INDEX(Master_Data!$C$152:$L$864,D414,6)</f>
        <v>17-007/BKU-004/VII/207</v>
      </c>
      <c r="L414" s="140" t="str">
        <f>INDEX(Master_Data!$C$152:$L$864,D414,7)</f>
        <v>010.018-17.04159705</v>
      </c>
      <c r="M414" s="140">
        <f>INDEX(Master_Data!$C$152:$L$864,D414,8)</f>
        <v>0</v>
      </c>
      <c r="N414" s="264"/>
      <c r="O414" s="245" t="e">
        <f t="shared" si="33"/>
        <v>#VALUE!</v>
      </c>
      <c r="Q414" s="169" t="str">
        <f t="shared" si="31"/>
        <v>PERTIWI AGRO SEJAHTERA, PTJUL</v>
      </c>
    </row>
    <row r="415" spans="2:17" s="61" customFormat="1" ht="14.1" customHeight="1">
      <c r="B415" s="242"/>
      <c r="C415" s="268">
        <f>MATCH($B$376,INDEX(Master_Data!$B$152:$B$864,D414+1,1):'Master_Data'!$B$864,0)</f>
        <v>25</v>
      </c>
      <c r="D415" s="268">
        <f t="shared" si="32"/>
        <v>619</v>
      </c>
      <c r="E415" s="54">
        <v>40</v>
      </c>
      <c r="F415" s="22" t="str">
        <f>INDEX(Master_Data!$C$152:$L$864,D415,2)</f>
        <v>PETROSEA, PT</v>
      </c>
      <c r="G415" s="24" t="str">
        <f>INDEX(Master_Data!$C$152:$L$864,D415,3)</f>
        <v>V</v>
      </c>
      <c r="H415" s="24">
        <f>INDEX(Master_Data!$C$152:$L$864,D415,1)</f>
        <v>12</v>
      </c>
      <c r="I415" s="24" t="str">
        <f>INDEX(Master_Data!$C$152:$L$864,D415,4)</f>
        <v>Sewa VSAT Site IAC Kintap</v>
      </c>
      <c r="J415" s="24" t="str">
        <f>INDEX(Master_Data!$C$152:$L$864,D415,5)</f>
        <v>JUNI</v>
      </c>
      <c r="K415" s="137" t="str">
        <f>INDEX(Master_Data!$C$152:$L$864,D415,6)</f>
        <v>17-018/BKU-004/VII/009</v>
      </c>
      <c r="L415" s="140" t="str">
        <f>INDEX(Master_Data!$C$152:$L$864,D415,7)</f>
        <v>010.018-17.04159718</v>
      </c>
      <c r="M415" s="140">
        <f>INDEX(Master_Data!$C$152:$L$864,D415,8)</f>
        <v>0</v>
      </c>
      <c r="N415" s="264"/>
      <c r="O415" s="245" t="e">
        <f t="shared" si="33"/>
        <v>#VALUE!</v>
      </c>
      <c r="Q415" s="169" t="str">
        <f t="shared" si="31"/>
        <v>PETROSEA, PTJUL</v>
      </c>
    </row>
    <row r="416" spans="2:17" s="61" customFormat="1" ht="14.1" customHeight="1">
      <c r="B416" s="242"/>
      <c r="C416" s="268">
        <f>MATCH($B$376,INDEX(Master_Data!$B$152:$B$864,D415+1,1):'Master_Data'!$B$864,0)</f>
        <v>1</v>
      </c>
      <c r="D416" s="268">
        <f t="shared" si="32"/>
        <v>620</v>
      </c>
      <c r="E416" s="24">
        <v>41</v>
      </c>
      <c r="F416" s="22" t="str">
        <f>INDEX(Master_Data!$C$152:$L$864,D416,2)</f>
        <v>PETROSEA, PT</v>
      </c>
      <c r="G416" s="24" t="str">
        <f>INDEX(Master_Data!$C$152:$L$864,D416,3)</f>
        <v>V</v>
      </c>
      <c r="H416" s="24">
        <f>INDEX(Master_Data!$C$152:$L$864,D416,1)</f>
        <v>12</v>
      </c>
      <c r="I416" s="24" t="str">
        <f>INDEX(Master_Data!$C$152:$L$864,D416,4)</f>
        <v xml:space="preserve">Sewa VSAT Site Timika </v>
      </c>
      <c r="J416" s="24" t="str">
        <f>INDEX(Master_Data!$C$152:$L$864,D416,5)</f>
        <v>JUNI</v>
      </c>
      <c r="K416" s="137" t="str">
        <f>INDEX(Master_Data!$C$152:$L$864,D416,6)</f>
        <v>17-019/BKU-004/VII/009</v>
      </c>
      <c r="L416" s="140" t="str">
        <f>INDEX(Master_Data!$C$152:$L$864,D416,7)</f>
        <v>010.018-17.04159719</v>
      </c>
      <c r="M416" s="140">
        <f>INDEX(Master_Data!$C$152:$L$864,D416,8)</f>
        <v>0</v>
      </c>
      <c r="N416" s="264"/>
      <c r="O416" s="245" t="e">
        <f t="shared" si="33"/>
        <v>#VALUE!</v>
      </c>
      <c r="Q416" s="169" t="str">
        <f t="shared" si="31"/>
        <v>PETROSEA, PTJUL</v>
      </c>
    </row>
    <row r="417" spans="2:17" s="61" customFormat="1" ht="14.1" customHeight="1">
      <c r="B417" s="242"/>
      <c r="C417" s="268">
        <f>MATCH($B$376,INDEX(Master_Data!$B$152:$B$864,D416+1,1):'Master_Data'!$B$864,0)</f>
        <v>32</v>
      </c>
      <c r="D417" s="268">
        <f t="shared" si="32"/>
        <v>652</v>
      </c>
      <c r="E417" s="54">
        <v>42</v>
      </c>
      <c r="F417" s="22" t="str">
        <f>INDEX(Master_Data!$C$152:$L$864,D417,2)</f>
        <v>PUNCAK KEEMASAN LUMBUNG DUNIA, PT</v>
      </c>
      <c r="G417" s="24" t="str">
        <f>INDEX(Master_Data!$C$152:$L$864,D417,3)</f>
        <v>I</v>
      </c>
      <c r="H417" s="24">
        <f>INDEX(Master_Data!$C$152:$L$864,D417,1)</f>
        <v>3</v>
      </c>
      <c r="I417" s="24" t="str">
        <f>INDEX(Master_Data!$C$152:$L$864,D417,4)</f>
        <v>Sewa Akses Internet Simetric 4/4 Mbps &amp; Sewa Tower 60 M Site Nunukan</v>
      </c>
      <c r="J417" s="24" t="str">
        <f>INDEX(Master_Data!$C$152:$L$864,D417,5)</f>
        <v>10 Juni-10 Juli</v>
      </c>
      <c r="K417" s="137" t="str">
        <f>INDEX(Master_Data!$C$152:$L$864,D417,6)</f>
        <v>17-006/BKU-004/VII/225</v>
      </c>
      <c r="L417" s="140" t="str">
        <f>INDEX(Master_Data!$C$152:$L$864,D417,7)</f>
        <v>010.018-17.04159691</v>
      </c>
      <c r="M417" s="140">
        <f>INDEX(Master_Data!$C$152:$L$864,D417,8)</f>
        <v>0</v>
      </c>
      <c r="N417" s="264"/>
      <c r="O417" s="245" t="e">
        <f t="shared" si="33"/>
        <v>#VALUE!</v>
      </c>
      <c r="Q417" s="169" t="str">
        <f t="shared" si="31"/>
        <v>PUNCAK KEEMASAN LUMBUNG DUNIA, PTJUL</v>
      </c>
    </row>
    <row r="418" spans="2:17" s="61" customFormat="1" ht="14.1" customHeight="1">
      <c r="B418" s="242"/>
      <c r="C418" s="268">
        <f>MATCH($B$376,INDEX(Master_Data!$B$152:$B$864,D417+1,1):'Master_Data'!$B$864,0)</f>
        <v>10</v>
      </c>
      <c r="D418" s="268">
        <f t="shared" si="32"/>
        <v>662</v>
      </c>
      <c r="E418" s="24">
        <v>43</v>
      </c>
      <c r="F418" s="22" t="str">
        <f>INDEX(Master_Data!$C$152:$L$864,D418,2)</f>
        <v>RIUNG MITRA LESTARI, PT</v>
      </c>
      <c r="G418" s="24" t="str">
        <f>INDEX(Master_Data!$C$152:$L$864,D418,3)</f>
        <v>M</v>
      </c>
      <c r="H418" s="24">
        <f>INDEX(Master_Data!$C$152:$L$864,D418,1)</f>
        <v>3</v>
      </c>
      <c r="I418" s="24" t="str">
        <f>INDEX(Master_Data!$C$152:$L$864,D418,4)</f>
        <v>MPLS 512 Kbps Site Krassi Sesayap</v>
      </c>
      <c r="J418" s="24" t="str">
        <f>INDEX(Master_Data!$C$152:$L$864,D418,5)</f>
        <v>JUNI</v>
      </c>
      <c r="K418" s="137" t="str">
        <f>INDEX(Master_Data!$C$152:$L$864,D418,6)</f>
        <v>17-007/BKU-004/VII/149</v>
      </c>
      <c r="L418" s="140" t="str">
        <f>INDEX(Master_Data!$C$152:$L$864,D418,7)</f>
        <v>010.018-17.04159687</v>
      </c>
      <c r="M418" s="140">
        <f>INDEX(Master_Data!$C$152:$L$864,D418,8)</f>
        <v>0</v>
      </c>
      <c r="N418" s="264"/>
      <c r="O418" s="245" t="e">
        <f t="shared" si="33"/>
        <v>#VALUE!</v>
      </c>
      <c r="Q418" s="169" t="str">
        <f t="shared" si="31"/>
        <v>RIUNG MITRA LESTARI, PTJUL</v>
      </c>
    </row>
    <row r="419" spans="2:17" s="61" customFormat="1" ht="14.1" customHeight="1">
      <c r="B419" s="242"/>
      <c r="C419" s="268">
        <f>MATCH($B$376,INDEX(Master_Data!$B$152:$B$864,D418+1,1):'Master_Data'!$B$864,0)</f>
        <v>13</v>
      </c>
      <c r="D419" s="268">
        <f>D418+C419</f>
        <v>675</v>
      </c>
      <c r="E419" s="24">
        <v>44</v>
      </c>
      <c r="F419" s="22" t="str">
        <f>INDEX(Master_Data!$C$152:$L$864,D419,2)</f>
        <v>ROKA LANE ASIA, PT</v>
      </c>
      <c r="G419" s="24" t="str">
        <f>INDEX(Master_Data!$C$152:$L$864,D419,3)</f>
        <v>I</v>
      </c>
      <c r="H419" s="24">
        <f>INDEX(Master_Data!$C$152:$L$864,D419,1)</f>
        <v>3</v>
      </c>
      <c r="I419" s="24" t="str">
        <f>INDEX(Master_Data!$C$152:$L$864,D419,4)</f>
        <v>Internet Broadband 128/512 Kbps Site Kab. Waropen</v>
      </c>
      <c r="J419" s="24" t="str">
        <f>INDEX(Master_Data!$C$152:$L$864,D419,5)</f>
        <v>JUNI</v>
      </c>
      <c r="K419" s="137" t="str">
        <f>INDEX(Master_Data!$C$152:$L$864,D419,6)</f>
        <v>17-008/BKU-004/VII/239</v>
      </c>
      <c r="L419" s="140" t="str">
        <f>INDEX(Master_Data!$C$152:$L$864,D419,7)</f>
        <v>010.018-17.04159692</v>
      </c>
      <c r="M419" s="140">
        <f>INDEX(Master_Data!$C$152:$L$864,D419,8)</f>
        <v>0</v>
      </c>
      <c r="N419" s="264"/>
      <c r="O419" s="245" t="e">
        <f>L419+M419</f>
        <v>#VALUE!</v>
      </c>
      <c r="Q419" s="169" t="str">
        <f t="shared" si="31"/>
        <v>ROKA LANE ASIA, PTJUL</v>
      </c>
    </row>
    <row r="420" spans="2:17" s="61" customFormat="1" ht="14.1" customHeight="1">
      <c r="B420" s="242"/>
      <c r="C420" s="268">
        <f>MATCH($B$376,INDEX(Master_Data!$B$152:$B$864,D419+1,1):'Master_Data'!$B$864,0)</f>
        <v>4</v>
      </c>
      <c r="D420" s="268">
        <f>D419+C420</f>
        <v>679</v>
      </c>
      <c r="E420" s="24">
        <v>45</v>
      </c>
      <c r="F420" s="22" t="str">
        <f>INDEX(Master_Data!$C$152:$L$864,D420,2)</f>
        <v>SELARAS INTI SEMESTA, PT</v>
      </c>
      <c r="G420" s="24" t="str">
        <f>INDEX(Master_Data!$C$152:$L$864,D420,3)</f>
        <v>V</v>
      </c>
      <c r="H420" s="24">
        <f>INDEX(Master_Data!$C$152:$L$864,D420,1)</f>
        <v>3</v>
      </c>
      <c r="I420" s="24" t="str">
        <f>INDEX(Master_Data!$C$152:$L$864,D420,4)</f>
        <v>Sewa VSAT 256/512 Kbps Site Tamulik</v>
      </c>
      <c r="J420" s="24" t="str">
        <f>INDEX(Master_Data!$C$152:$L$864,D420,5)</f>
        <v>JUNI</v>
      </c>
      <c r="K420" s="137" t="str">
        <f>INDEX(Master_Data!$C$152:$L$864,D420,6)</f>
        <v>17-003/BKU-004/VII/250</v>
      </c>
      <c r="L420" s="140" t="str">
        <f>INDEX(Master_Data!$C$152:$L$864,D420,7)</f>
        <v>010.018-17.04159694</v>
      </c>
      <c r="M420" s="140">
        <f>INDEX(Master_Data!$C$152:$L$864,D420,8)</f>
        <v>0</v>
      </c>
      <c r="N420" s="264"/>
      <c r="O420" s="245" t="e">
        <f>L420+M420</f>
        <v>#VALUE!</v>
      </c>
      <c r="Q420" s="169" t="str">
        <f t="shared" si="31"/>
        <v>SELARAS INTI SEMESTA, PTJUL</v>
      </c>
    </row>
    <row r="421" spans="2:17" s="61" customFormat="1" ht="14.1" customHeight="1">
      <c r="B421" s="339"/>
      <c r="C421" s="269">
        <f>MATCH($B$376,INDEX(Master_Data!$B$152:$B$864,D420+1,1):'Master_Data'!$B$864,0)</f>
        <v>13</v>
      </c>
      <c r="D421" s="269">
        <f>D420+C421</f>
        <v>692</v>
      </c>
      <c r="E421" s="27">
        <v>46</v>
      </c>
      <c r="F421" s="138" t="str">
        <f>INDEX(Master_Data!$C$152:$L$864,D421,2)</f>
        <v>TEBAR TANDAN TENERA, PT</v>
      </c>
      <c r="G421" s="27" t="str">
        <f>INDEX(Master_Data!$C$152:$L$864,D421,3)</f>
        <v>V</v>
      </c>
      <c r="H421" s="27">
        <f>INDEX(Master_Data!$C$152:$L$864,D421,1)</f>
        <v>3</v>
      </c>
      <c r="I421" s="27" t="str">
        <f>INDEX(Master_Data!$C$152:$L$864,D421,4)</f>
        <v>Sewa VSAT 512 Kbps Site TTT</v>
      </c>
      <c r="J421" s="27" t="str">
        <f>INDEX(Master_Data!$C$152:$L$864,D421,5)</f>
        <v>JUNI</v>
      </c>
      <c r="K421" s="137" t="str">
        <f>INDEX(Master_Data!$C$152:$L$864,D421,6)</f>
        <v>17-007/BKU-004/VII/227</v>
      </c>
      <c r="L421" s="141" t="str">
        <f>INDEX(Master_Data!$C$152:$L$864,D421,7)</f>
        <v>010.018-17.04159706</v>
      </c>
      <c r="M421" s="141">
        <f>INDEX(Master_Data!$C$152:$L$864,D421,8)</f>
        <v>0</v>
      </c>
      <c r="N421" s="265"/>
      <c r="O421" s="305" t="e">
        <f>L421+M421</f>
        <v>#VALUE!</v>
      </c>
      <c r="Q421" s="169" t="str">
        <f>CONCATENATE(F421,$B$376)</f>
        <v>TEBAR TANDAN TENERA, PTJUL</v>
      </c>
    </row>
    <row r="422" spans="2:17" ht="20.25" customHeight="1">
      <c r="B422" s="1758" t="s">
        <v>7</v>
      </c>
      <c r="C422" s="1758"/>
      <c r="D422" s="1758"/>
      <c r="E422" s="1758"/>
      <c r="F422" s="1758"/>
      <c r="G422" s="1758"/>
      <c r="H422" s="1758"/>
      <c r="I422" s="1758"/>
      <c r="J422" s="1758"/>
      <c r="K422" s="12">
        <f>SUM(K376:K421)</f>
        <v>0</v>
      </c>
      <c r="L422" s="142">
        <f>SUM(L376:L421)</f>
        <v>0</v>
      </c>
      <c r="M422" s="142">
        <f>SUM(M376:M421)</f>
        <v>0</v>
      </c>
      <c r="N422" s="12">
        <f>SUM(N376:N421)</f>
        <v>0</v>
      </c>
      <c r="O422" s="13" t="e">
        <f>SUM(O376:O421)</f>
        <v>#VALUE!</v>
      </c>
    </row>
    <row r="424" spans="2:17" s="7" customFormat="1" ht="15" customHeight="1">
      <c r="B424" s="1759" t="s">
        <v>198</v>
      </c>
      <c r="C424" s="1760" t="s">
        <v>200</v>
      </c>
      <c r="D424" s="1760"/>
      <c r="E424" s="1759" t="s">
        <v>6</v>
      </c>
      <c r="F424" s="1758" t="s">
        <v>3</v>
      </c>
      <c r="G424" s="1761" t="s">
        <v>141</v>
      </c>
      <c r="H424" s="1758" t="s">
        <v>559</v>
      </c>
      <c r="I424" s="1758"/>
      <c r="J424" s="1758"/>
      <c r="K424" s="1758"/>
      <c r="L424" s="1758"/>
      <c r="M424" s="1758"/>
      <c r="N424" s="1758"/>
      <c r="O424" s="1758"/>
    </row>
    <row r="425" spans="2:17" s="7" customFormat="1" ht="15" customHeight="1">
      <c r="B425" s="1759"/>
      <c r="C425" s="1764" t="s">
        <v>196</v>
      </c>
      <c r="D425" s="1764" t="s">
        <v>197</v>
      </c>
      <c r="E425" s="1759"/>
      <c r="F425" s="1758"/>
      <c r="G425" s="1762"/>
      <c r="H425" s="1766" t="s">
        <v>15</v>
      </c>
      <c r="I425" s="1766" t="s">
        <v>51</v>
      </c>
      <c r="J425" s="1766" t="s">
        <v>12</v>
      </c>
      <c r="K425" s="1768" t="s">
        <v>11</v>
      </c>
      <c r="L425" s="1768" t="s">
        <v>53</v>
      </c>
      <c r="M425" s="1768" t="s">
        <v>1</v>
      </c>
      <c r="N425" s="1770" t="s">
        <v>50</v>
      </c>
      <c r="O425" s="1770"/>
    </row>
    <row r="426" spans="2:17" s="7" customFormat="1">
      <c r="B426" s="1759"/>
      <c r="C426" s="1765"/>
      <c r="D426" s="1765"/>
      <c r="E426" s="1759"/>
      <c r="F426" s="1758"/>
      <c r="G426" s="1763"/>
      <c r="H426" s="1767"/>
      <c r="I426" s="1767"/>
      <c r="J426" s="1767"/>
      <c r="K426" s="1769"/>
      <c r="L426" s="1769"/>
      <c r="M426" s="1769"/>
      <c r="N426" s="378" t="s">
        <v>54</v>
      </c>
      <c r="O426" s="378" t="s">
        <v>55</v>
      </c>
      <c r="Q426" s="168" t="s">
        <v>235</v>
      </c>
    </row>
    <row r="427" spans="2:17" s="7" customFormat="1" ht="14.1" customHeight="1">
      <c r="B427" s="337" t="s">
        <v>243</v>
      </c>
      <c r="C427" s="151">
        <f>MATCH(B427,Master_Data!$B$152:$B$864,0)</f>
        <v>27</v>
      </c>
      <c r="D427" s="151">
        <f>C427</f>
        <v>27</v>
      </c>
      <c r="E427" s="20">
        <v>1</v>
      </c>
      <c r="F427" s="75" t="str">
        <f>INDEX(Master_Data!$C$152:$L$864,D427,2)</f>
        <v>BUKIT MAKMUR MANDIRI UTAMA, PT</v>
      </c>
      <c r="G427" s="20" t="str">
        <f>INDEX(Master_Data!$C$152:$L$864,D427,3)</f>
        <v>V</v>
      </c>
      <c r="H427" s="20">
        <f>INDEX(Master_Data!$C$152:$L$864,D427,1)</f>
        <v>31</v>
      </c>
      <c r="I427" s="20" t="str">
        <f>INDEX(Master_Data!$C$152:$L$864,D427,4)</f>
        <v>Metro E (Main &amp; Backup) HO; MPLS VSAT</v>
      </c>
      <c r="J427" s="20" t="str">
        <f>INDEX(Master_Data!$C$152:$L$864,D427,5)</f>
        <v>JULI</v>
      </c>
      <c r="K427" s="708" t="str">
        <f>INDEX(Master_Data!$C$152:$L$864,D427,6)</f>
        <v>17-013/BKU-004/VIII/172</v>
      </c>
      <c r="L427" s="139" t="str">
        <f>INDEX(Master_Data!$C$152:$L$864,D427,7)</f>
        <v>010.018-17.04159751</v>
      </c>
      <c r="M427" s="139">
        <f>INDEX(Master_Data!$C$152:$L$864,D427,8)</f>
        <v>0</v>
      </c>
      <c r="N427" s="266"/>
      <c r="O427" s="272" t="e">
        <f>L427+M427</f>
        <v>#VALUE!</v>
      </c>
      <c r="Q427" s="169" t="str">
        <f>CONCATENATE(F427,$B$427)</f>
        <v>BUKIT MAKMUR MANDIRI UTAMA, PTAGS</v>
      </c>
    </row>
    <row r="428" spans="2:17" s="61" customFormat="1" ht="14.1" customHeight="1">
      <c r="B428" s="338"/>
      <c r="C428" s="268">
        <f>MATCH($B$427,INDEX(Master_Data!$B$152:$B$864,D427+1,1):'Master_Data'!$B$864,0)</f>
        <v>1</v>
      </c>
      <c r="D428" s="268">
        <f>D427+C428</f>
        <v>28</v>
      </c>
      <c r="E428" s="54">
        <v>2</v>
      </c>
      <c r="F428" s="22" t="str">
        <f>INDEX(Master_Data!$C$152:$L$864,D428,2)</f>
        <v>BUKIT MAKMUR MANDIRI UTAMA, PT</v>
      </c>
      <c r="G428" s="24" t="str">
        <f>INDEX(Master_Data!$C$152:$L$864,D428,3)</f>
        <v>V</v>
      </c>
      <c r="H428" s="24">
        <f>INDEX(Master_Data!$C$152:$L$864,D428,1)</f>
        <v>31</v>
      </c>
      <c r="I428" s="24" t="str">
        <f>INDEX(Master_Data!$C$152:$L$864,D428,4)</f>
        <v>MPLS dan VSAT</v>
      </c>
      <c r="J428" s="24" t="str">
        <f>INDEX(Master_Data!$C$152:$L$864,D428,5)</f>
        <v>AGUSTUS</v>
      </c>
      <c r="K428" s="137" t="str">
        <f>INDEX(Master_Data!$C$152:$L$864,D428,6)</f>
        <v>17-014/BKU-004/IX/172</v>
      </c>
      <c r="L428" s="140" t="str">
        <f>INDEX(Master_Data!$C$152:$L$864,D428,7)</f>
        <v>010.019-17.53122219</v>
      </c>
      <c r="M428" s="140">
        <f>INDEX(Master_Data!$C$152:$L$864,D428,8)</f>
        <v>0</v>
      </c>
      <c r="N428" s="264"/>
      <c r="O428" s="245" t="e">
        <f t="shared" ref="O428:O471" si="34">L428+M428</f>
        <v>#VALUE!</v>
      </c>
      <c r="Q428" s="169" t="str">
        <f t="shared" ref="Q428:Q469" si="35">CONCATENATE(F428,$B$427)</f>
        <v>BUKIT MAKMUR MANDIRI UTAMA, PTAGS</v>
      </c>
    </row>
    <row r="429" spans="2:17" s="61" customFormat="1" ht="14.1" customHeight="1">
      <c r="B429" s="338"/>
      <c r="C429" s="268">
        <f>MATCH($B$427,INDEX(Master_Data!$B$152:$B$864,D428+1,1):'Master_Data'!$B$864,0)</f>
        <v>25</v>
      </c>
      <c r="D429" s="268">
        <f t="shared" ref="D429:D469" si="36">D428+C429</f>
        <v>53</v>
      </c>
      <c r="E429" s="24">
        <v>3</v>
      </c>
      <c r="F429" s="22" t="str">
        <f>INDEX(Master_Data!$C$152:$L$864,D429,2)</f>
        <v>DUTA TAMBANG REKAYASA, PT</v>
      </c>
      <c r="G429" s="24" t="str">
        <f>INDEX(Master_Data!$C$152:$L$864,D429,3)</f>
        <v>W</v>
      </c>
      <c r="H429" s="24">
        <f>INDEX(Master_Data!$C$152:$L$864,D429,1)</f>
        <v>1</v>
      </c>
      <c r="I429" s="24">
        <f>INDEX(Master_Data!$C$152:$L$864,D429,4)</f>
        <v>0</v>
      </c>
      <c r="J429" s="24">
        <f>INDEX(Master_Data!$C$152:$L$864,D429,5)</f>
        <v>0</v>
      </c>
      <c r="K429" s="137" t="str">
        <f>INDEX(Master_Data!$C$152:$L$864,D429,6)</f>
        <v>17-002/BKU-004/VIII/243</v>
      </c>
      <c r="L429" s="140" t="str">
        <f>INDEX(Master_Data!$C$152:$L$864,D429,7)</f>
        <v>010.018-17.04159728</v>
      </c>
      <c r="M429" s="140">
        <f>INDEX(Master_Data!$C$152:$L$864,D429,8)</f>
        <v>0</v>
      </c>
      <c r="N429" s="264"/>
      <c r="O429" s="245" t="e">
        <f t="shared" si="34"/>
        <v>#VALUE!</v>
      </c>
      <c r="Q429" s="169" t="str">
        <f t="shared" si="35"/>
        <v>DUTA TAMBANG REKAYASA, PTAGS</v>
      </c>
    </row>
    <row r="430" spans="2:17" s="61" customFormat="1" ht="14.1" customHeight="1">
      <c r="B430" s="338"/>
      <c r="C430" s="268">
        <f>MATCH($B$427,INDEX(Master_Data!$B$152:$B$864,D429+1,1):'Master_Data'!$B$864,0)</f>
        <v>1</v>
      </c>
      <c r="D430" s="268">
        <f t="shared" si="36"/>
        <v>54</v>
      </c>
      <c r="E430" s="54">
        <v>4</v>
      </c>
      <c r="F430" s="22" t="str">
        <f>INDEX(Master_Data!$C$152:$L$864,D430,2)</f>
        <v>DUTA TAMBANG REKAYASA, PT</v>
      </c>
      <c r="G430" s="24" t="str">
        <f>INDEX(Master_Data!$C$152:$L$864,D430,3)</f>
        <v>W</v>
      </c>
      <c r="H430" s="24">
        <f>INDEX(Master_Data!$C$152:$L$864,D430,1)</f>
        <v>1</v>
      </c>
      <c r="I430" s="24">
        <f>INDEX(Master_Data!$C$152:$L$864,D430,4)</f>
        <v>0</v>
      </c>
      <c r="J430" s="24">
        <f>INDEX(Master_Data!$C$152:$L$864,D430,5)</f>
        <v>0</v>
      </c>
      <c r="K430" s="137" t="str">
        <f>INDEX(Master_Data!$C$152:$L$864,D430,6)</f>
        <v>17-003/BKU-004/VIII/243</v>
      </c>
      <c r="L430" s="140" t="str">
        <f>INDEX(Master_Data!$C$152:$L$864,D430,7)</f>
        <v>010.018-17.04159747</v>
      </c>
      <c r="M430" s="140">
        <f>INDEX(Master_Data!$C$152:$L$864,D430,8)</f>
        <v>0</v>
      </c>
      <c r="N430" s="264"/>
      <c r="O430" s="245" t="e">
        <f t="shared" si="34"/>
        <v>#VALUE!</v>
      </c>
      <c r="Q430" s="169" t="str">
        <f t="shared" si="35"/>
        <v>DUTA TAMBANG REKAYASA, PTAGS</v>
      </c>
    </row>
    <row r="431" spans="2:17" s="61" customFormat="1" ht="14.1" customHeight="1">
      <c r="B431" s="338"/>
      <c r="C431" s="268">
        <f>MATCH($B$427,INDEX(Master_Data!$B$152:$B$864,D430+1,1):'Master_Data'!$B$864,0)</f>
        <v>71</v>
      </c>
      <c r="D431" s="268">
        <f t="shared" si="36"/>
        <v>125</v>
      </c>
      <c r="E431" s="24">
        <v>5</v>
      </c>
      <c r="F431" s="22" t="str">
        <f>INDEX(Master_Data!$C$152:$L$864,D431,2)</f>
        <v>HARMONI PANCA UTAMA, PT</v>
      </c>
      <c r="G431" s="24" t="str">
        <f>INDEX(Master_Data!$C$152:$L$864,D431,3)</f>
        <v>M</v>
      </c>
      <c r="H431" s="24">
        <f>INDEX(Master_Data!$C$152:$L$864,D431,1)</f>
        <v>1</v>
      </c>
      <c r="I431" s="24" t="str">
        <f>INDEX(Master_Data!$C$152:$L$864,D431,4)</f>
        <v>MPLS 5 Mbps Site Head Office</v>
      </c>
      <c r="J431" s="24" t="str">
        <f>INDEX(Master_Data!$C$152:$L$864,D431,5)</f>
        <v>JULI</v>
      </c>
      <c r="K431" s="137" t="str">
        <f>INDEX(Master_Data!$C$152:$L$864,D431,6)</f>
        <v>17-052/BKU-004/VIII/159</v>
      </c>
      <c r="L431" s="140" t="str">
        <f>INDEX(Master_Data!$C$152:$L$864,D431,7)</f>
        <v>010.019-17.53122129</v>
      </c>
      <c r="M431" s="140">
        <f>INDEX(Master_Data!$C$152:$L$864,D431,8)</f>
        <v>0</v>
      </c>
      <c r="N431" s="264"/>
      <c r="O431" s="245" t="e">
        <f t="shared" si="34"/>
        <v>#VALUE!</v>
      </c>
      <c r="Q431" s="169" t="str">
        <f t="shared" si="35"/>
        <v>HARMONI PANCA UTAMA, PTAGS</v>
      </c>
    </row>
    <row r="432" spans="2:17" s="61" customFormat="1" ht="14.1" customHeight="1">
      <c r="B432" s="338"/>
      <c r="C432" s="268">
        <f>MATCH($B$427,INDEX(Master_Data!$B$152:$B$864,D431+1,1):'Master_Data'!$B$864,0)</f>
        <v>1</v>
      </c>
      <c r="D432" s="268">
        <f t="shared" si="36"/>
        <v>126</v>
      </c>
      <c r="E432" s="54">
        <v>6</v>
      </c>
      <c r="F432" s="22" t="str">
        <f>INDEX(Master_Data!$C$152:$L$864,D432,2)</f>
        <v>HARMONI PANCA UTAMA, PT</v>
      </c>
      <c r="G432" s="24" t="str">
        <f>INDEX(Master_Data!$C$152:$L$864,D432,3)</f>
        <v>M</v>
      </c>
      <c r="H432" s="24">
        <f>INDEX(Master_Data!$C$152:$L$864,D432,1)</f>
        <v>1</v>
      </c>
      <c r="I432" s="24" t="str">
        <f>INDEX(Master_Data!$C$152:$L$864,D432,4)</f>
        <v>MPLS 512 Kbps Site PDU</v>
      </c>
      <c r="J432" s="24" t="str">
        <f>INDEX(Master_Data!$C$152:$L$864,D432,5)</f>
        <v>JULI</v>
      </c>
      <c r="K432" s="137" t="str">
        <f>INDEX(Master_Data!$C$152:$L$864,D432,6)</f>
        <v>17-053/BKU-004/VIII/159</v>
      </c>
      <c r="L432" s="140" t="str">
        <f>INDEX(Master_Data!$C$152:$L$864,D432,7)</f>
        <v>010.019-17.53122130</v>
      </c>
      <c r="M432" s="140">
        <f>INDEX(Master_Data!$C$152:$L$864,D432,8)</f>
        <v>0</v>
      </c>
      <c r="N432" s="264"/>
      <c r="O432" s="245" t="e">
        <f t="shared" si="34"/>
        <v>#VALUE!</v>
      </c>
      <c r="Q432" s="169" t="str">
        <f t="shared" si="35"/>
        <v>HARMONI PANCA UTAMA, PTAGS</v>
      </c>
    </row>
    <row r="433" spans="2:17" s="61" customFormat="1" ht="14.1" customHeight="1">
      <c r="B433" s="338"/>
      <c r="C433" s="268">
        <f>MATCH($B$427,INDEX(Master_Data!$B$152:$B$864,D432+1,1):'Master_Data'!$B$864,0)</f>
        <v>1</v>
      </c>
      <c r="D433" s="268">
        <f t="shared" si="36"/>
        <v>127</v>
      </c>
      <c r="E433" s="24">
        <v>7</v>
      </c>
      <c r="F433" s="22" t="str">
        <f>INDEX(Master_Data!$C$152:$L$864,D433,2)</f>
        <v>HARMONI PANCA UTAMA, PT</v>
      </c>
      <c r="G433" s="24" t="str">
        <f>INDEX(Master_Data!$C$152:$L$864,D433,3)</f>
        <v>M</v>
      </c>
      <c r="H433" s="24">
        <f>INDEX(Master_Data!$C$152:$L$864,D433,1)</f>
        <v>1</v>
      </c>
      <c r="I433" s="24" t="str">
        <f>INDEX(Master_Data!$C$152:$L$864,D433,4)</f>
        <v>MPLS 1 Mbps Site DMI</v>
      </c>
      <c r="J433" s="24" t="str">
        <f>INDEX(Master_Data!$C$152:$L$864,D433,5)</f>
        <v>JULI</v>
      </c>
      <c r="K433" s="137" t="str">
        <f>INDEX(Master_Data!$C$152:$L$864,D433,6)</f>
        <v>17-054/BKU-004/VIII/159</v>
      </c>
      <c r="L433" s="140" t="str">
        <f>INDEX(Master_Data!$C$152:$L$864,D433,7)</f>
        <v>010.019-17.53122131</v>
      </c>
      <c r="M433" s="140">
        <f>INDEX(Master_Data!$C$152:$L$864,D433,8)</f>
        <v>0</v>
      </c>
      <c r="N433" s="264"/>
      <c r="O433" s="245" t="e">
        <f t="shared" si="34"/>
        <v>#VALUE!</v>
      </c>
      <c r="Q433" s="169" t="str">
        <f t="shared" si="35"/>
        <v>HARMONI PANCA UTAMA, PTAGS</v>
      </c>
    </row>
    <row r="434" spans="2:17" s="61" customFormat="1" ht="14.1" customHeight="1">
      <c r="B434" s="338"/>
      <c r="C434" s="268">
        <f>MATCH($B$427,INDEX(Master_Data!$B$152:$B$864,D433+1,1):'Master_Data'!$B$864,0)</f>
        <v>1</v>
      </c>
      <c r="D434" s="268">
        <f t="shared" si="36"/>
        <v>128</v>
      </c>
      <c r="E434" s="54">
        <v>8</v>
      </c>
      <c r="F434" s="22" t="str">
        <f>INDEX(Master_Data!$C$152:$L$864,D434,2)</f>
        <v>HARMONI PANCA UTAMA, PT</v>
      </c>
      <c r="G434" s="24" t="str">
        <f>INDEX(Master_Data!$C$152:$L$864,D434,3)</f>
        <v>M</v>
      </c>
      <c r="H434" s="24">
        <f>INDEX(Master_Data!$C$152:$L$864,D434,1)</f>
        <v>1</v>
      </c>
      <c r="I434" s="24" t="str">
        <f>INDEX(Master_Data!$C$152:$L$864,D434,4)</f>
        <v>MPLS 512 Kbps Site Sekayan</v>
      </c>
      <c r="J434" s="24" t="str">
        <f>INDEX(Master_Data!$C$152:$L$864,D434,5)</f>
        <v>JULI</v>
      </c>
      <c r="K434" s="137" t="str">
        <f>INDEX(Master_Data!$C$152:$L$864,D434,6)</f>
        <v>17-055/BKU-004/VIII/159</v>
      </c>
      <c r="L434" s="140" t="str">
        <f>INDEX(Master_Data!$C$152:$L$864,D434,7)</f>
        <v>010.019-17.53122132</v>
      </c>
      <c r="M434" s="140">
        <f>INDEX(Master_Data!$C$152:$L$864,D434,8)</f>
        <v>0</v>
      </c>
      <c r="N434" s="264"/>
      <c r="O434" s="245" t="e">
        <f t="shared" si="34"/>
        <v>#VALUE!</v>
      </c>
      <c r="Q434" s="169" t="str">
        <f t="shared" si="35"/>
        <v>HARMONI PANCA UTAMA, PTAGS</v>
      </c>
    </row>
    <row r="435" spans="2:17" s="61" customFormat="1" ht="14.1" customHeight="1">
      <c r="B435" s="338"/>
      <c r="C435" s="268">
        <f>MATCH($B$427,INDEX(Master_Data!$B$152:$B$864,D434+1,1):'Master_Data'!$B$864,0)</f>
        <v>1</v>
      </c>
      <c r="D435" s="268">
        <f t="shared" si="36"/>
        <v>129</v>
      </c>
      <c r="E435" s="24">
        <v>9</v>
      </c>
      <c r="F435" s="22" t="str">
        <f>INDEX(Master_Data!$C$152:$L$864,D435,2)</f>
        <v>HARMONI PANCA UTAMA, PT</v>
      </c>
      <c r="G435" s="24" t="str">
        <f>INDEX(Master_Data!$C$152:$L$864,D435,3)</f>
        <v>V</v>
      </c>
      <c r="H435" s="24">
        <f>INDEX(Master_Data!$C$152:$L$864,D435,1)</f>
        <v>1</v>
      </c>
      <c r="I435" s="24" t="str">
        <f>INDEX(Master_Data!$C$152:$L$864,D435,4)</f>
        <v>Sewa VSAT SCPC 512/768 Kbps Site MGA Office</v>
      </c>
      <c r="J435" s="24" t="str">
        <f>INDEX(Master_Data!$C$152:$L$864,D435,5)</f>
        <v>JULI</v>
      </c>
      <c r="K435" s="137" t="str">
        <f>INDEX(Master_Data!$C$152:$L$864,D435,6)</f>
        <v>17-056/BKU-004/VIII/159</v>
      </c>
      <c r="L435" s="140" t="str">
        <f>INDEX(Master_Data!$C$152:$L$864,D435,7)</f>
        <v>010.019-17.53122133</v>
      </c>
      <c r="M435" s="140">
        <f>INDEX(Master_Data!$C$152:$L$864,D435,8)</f>
        <v>0</v>
      </c>
      <c r="N435" s="264"/>
      <c r="O435" s="245" t="e">
        <f t="shared" si="34"/>
        <v>#VALUE!</v>
      </c>
      <c r="Q435" s="169" t="str">
        <f t="shared" si="35"/>
        <v>HARMONI PANCA UTAMA, PTAGS</v>
      </c>
    </row>
    <row r="436" spans="2:17" s="61" customFormat="1" ht="14.1" customHeight="1">
      <c r="B436" s="338"/>
      <c r="C436" s="268">
        <f>MATCH($B$427,INDEX(Master_Data!$B$152:$B$864,D435+1,1):'Master_Data'!$B$864,0)</f>
        <v>1</v>
      </c>
      <c r="D436" s="268">
        <f t="shared" si="36"/>
        <v>130</v>
      </c>
      <c r="E436" s="54">
        <v>10</v>
      </c>
      <c r="F436" s="22" t="str">
        <f>INDEX(Master_Data!$C$152:$L$864,D436,2)</f>
        <v>HARMONI PANCA UTAMA, PT</v>
      </c>
      <c r="G436" s="24" t="str">
        <f>INDEX(Master_Data!$C$152:$L$864,D436,3)</f>
        <v>V</v>
      </c>
      <c r="H436" s="24">
        <f>INDEX(Master_Data!$C$152:$L$864,D436,1)</f>
        <v>1</v>
      </c>
      <c r="I436" s="24" t="str">
        <f>INDEX(Master_Data!$C$152:$L$864,D436,4)</f>
        <v>Sewa VSAT 128/256 Kbps Site RUB Ex PPA</v>
      </c>
      <c r="J436" s="24" t="str">
        <f>INDEX(Master_Data!$C$152:$L$864,D436,5)</f>
        <v>JULI</v>
      </c>
      <c r="K436" s="137" t="str">
        <f>INDEX(Master_Data!$C$152:$L$864,D436,6)</f>
        <v>17-057/BKU-004/VIII/159</v>
      </c>
      <c r="L436" s="140" t="str">
        <f>INDEX(Master_Data!$C$152:$L$864,D436,7)</f>
        <v>010.019-17.53122134</v>
      </c>
      <c r="M436" s="140">
        <f>INDEX(Master_Data!$C$152:$L$864,D436,8)</f>
        <v>0</v>
      </c>
      <c r="N436" s="264"/>
      <c r="O436" s="245" t="e">
        <f t="shared" si="34"/>
        <v>#VALUE!</v>
      </c>
      <c r="Q436" s="169" t="str">
        <f t="shared" si="35"/>
        <v>HARMONI PANCA UTAMA, PTAGS</v>
      </c>
    </row>
    <row r="437" spans="2:17" s="61" customFormat="1" ht="14.1" customHeight="1">
      <c r="B437" s="338"/>
      <c r="C437" s="268">
        <f>MATCH($B$427,INDEX(Master_Data!$B$152:$B$864,D436+1,1):'Master_Data'!$B$864,0)</f>
        <v>1</v>
      </c>
      <c r="D437" s="268">
        <f t="shared" si="36"/>
        <v>131</v>
      </c>
      <c r="E437" s="24">
        <v>11</v>
      </c>
      <c r="F437" s="22" t="str">
        <f>INDEX(Master_Data!$C$152:$L$864,D437,2)</f>
        <v>HARMONI PANCA UTAMA, PT</v>
      </c>
      <c r="G437" s="24" t="str">
        <f>INDEX(Master_Data!$C$152:$L$864,D437,3)</f>
        <v>V</v>
      </c>
      <c r="H437" s="24">
        <f>INDEX(Master_Data!$C$152:$L$864,D437,1)</f>
        <v>1</v>
      </c>
      <c r="I437" s="24" t="str">
        <f>INDEX(Master_Data!$C$152:$L$864,D437,4)</f>
        <v>Sewa VSAT SCPC 512/256 Kbps Site KMO</v>
      </c>
      <c r="J437" s="24" t="str">
        <f>INDEX(Master_Data!$C$152:$L$864,D437,5)</f>
        <v>JULI</v>
      </c>
      <c r="K437" s="137" t="str">
        <f>INDEX(Master_Data!$C$152:$L$864,D437,6)</f>
        <v>17-058/BKU-004/VIII/159</v>
      </c>
      <c r="L437" s="140" t="str">
        <f>INDEX(Master_Data!$C$152:$L$864,D437,7)</f>
        <v>010.019-17.53122135</v>
      </c>
      <c r="M437" s="140">
        <f>INDEX(Master_Data!$C$152:$L$864,D437,8)</f>
        <v>0</v>
      </c>
      <c r="N437" s="264"/>
      <c r="O437" s="245" t="e">
        <f t="shared" si="34"/>
        <v>#VALUE!</v>
      </c>
      <c r="Q437" s="169" t="str">
        <f t="shared" si="35"/>
        <v>HARMONI PANCA UTAMA, PTAGS</v>
      </c>
    </row>
    <row r="438" spans="2:17" s="61" customFormat="1" ht="14.1" customHeight="1">
      <c r="B438" s="338"/>
      <c r="C438" s="268">
        <f>MATCH($B$427,INDEX(Master_Data!$B$152:$B$864,D437+1,1):'Master_Data'!$B$864,0)</f>
        <v>1</v>
      </c>
      <c r="D438" s="268">
        <f t="shared" si="36"/>
        <v>132</v>
      </c>
      <c r="E438" s="54">
        <v>12</v>
      </c>
      <c r="F438" s="22" t="str">
        <f>INDEX(Master_Data!$C$152:$L$864,D438,2)</f>
        <v>HARMONI PANCA UTAMA, PT</v>
      </c>
      <c r="G438" s="24" t="str">
        <f>INDEX(Master_Data!$C$152:$L$864,D438,3)</f>
        <v>V</v>
      </c>
      <c r="H438" s="24">
        <f>INDEX(Master_Data!$C$152:$L$864,D438,1)</f>
        <v>1</v>
      </c>
      <c r="I438" s="24" t="str">
        <f>INDEX(Master_Data!$C$152:$L$864,D438,4)</f>
        <v xml:space="preserve">Sewa VSAT 256/128 Kbps Site KMO (PORT) Kelubir </v>
      </c>
      <c r="J438" s="24" t="str">
        <f>INDEX(Master_Data!$C$152:$L$864,D438,5)</f>
        <v>AGUSTUS</v>
      </c>
      <c r="K438" s="137" t="str">
        <f>INDEX(Master_Data!$C$152:$L$864,D438,6)</f>
        <v>17-059/BKU-004/VIII/159</v>
      </c>
      <c r="L438" s="140" t="str">
        <f>INDEX(Master_Data!$C$152:$L$864,D438,7)</f>
        <v>010.019-17.53122136</v>
      </c>
      <c r="M438" s="140">
        <f>INDEX(Master_Data!$C$152:$L$864,D438,8)</f>
        <v>0</v>
      </c>
      <c r="N438" s="149"/>
      <c r="O438" s="245" t="e">
        <f t="shared" si="34"/>
        <v>#VALUE!</v>
      </c>
      <c r="Q438" s="169" t="str">
        <f t="shared" si="35"/>
        <v>HARMONI PANCA UTAMA, PTAGS</v>
      </c>
    </row>
    <row r="439" spans="2:17" s="61" customFormat="1" ht="14.1" customHeight="1">
      <c r="B439" s="338"/>
      <c r="C439" s="268">
        <f>MATCH($B$427,INDEX(Master_Data!$B$152:$B$864,D438+1,1):'Master_Data'!$B$864,0)</f>
        <v>61</v>
      </c>
      <c r="D439" s="268">
        <f t="shared" si="36"/>
        <v>193</v>
      </c>
      <c r="E439" s="24">
        <v>13</v>
      </c>
      <c r="F439" s="22" t="str">
        <f>INDEX(Master_Data!$C$152:$L$864,D439,2)</f>
        <v>HASTA PANCA MANDIRI UTAMA, PT</v>
      </c>
      <c r="G439" s="24" t="str">
        <f>INDEX(Master_Data!$C$152:$L$864,D439,3)</f>
        <v>V</v>
      </c>
      <c r="H439" s="24">
        <f>INDEX(Master_Data!$C$152:$L$864,D439,1)</f>
        <v>1</v>
      </c>
      <c r="I439" s="24" t="str">
        <f>INDEX(Master_Data!$C$152:$L$864,D439,4)</f>
        <v>Sewa VSAT SCPC 512/256 Kbps Site OBI Halmahera - Maluku</v>
      </c>
      <c r="J439" s="24" t="str">
        <f>INDEX(Master_Data!$C$152:$L$864,D439,5)</f>
        <v>JULI</v>
      </c>
      <c r="K439" s="137" t="str">
        <f>INDEX(Master_Data!$C$152:$L$864,D439,6)</f>
        <v>17-027/BKU-004/VIII/179</v>
      </c>
      <c r="L439" s="140" t="str">
        <f>INDEX(Master_Data!$C$152:$L$864,D439,7)</f>
        <v>010.018-17.04159755</v>
      </c>
      <c r="M439" s="140">
        <f>INDEX(Master_Data!$C$152:$L$864,D439,8)</f>
        <v>0</v>
      </c>
      <c r="N439" s="264"/>
      <c r="O439" s="245" t="e">
        <f t="shared" si="34"/>
        <v>#VALUE!</v>
      </c>
      <c r="Q439" s="169" t="str">
        <f t="shared" si="35"/>
        <v>HASTA PANCA MANDIRI UTAMA, PTAGS</v>
      </c>
    </row>
    <row r="440" spans="2:17" s="61" customFormat="1" ht="14.1" customHeight="1">
      <c r="B440" s="242"/>
      <c r="C440" s="268">
        <f>MATCH($B$427,INDEX(Master_Data!$B$152:$B$864,D439+1,1):'Master_Data'!$B$864,0)</f>
        <v>1</v>
      </c>
      <c r="D440" s="268">
        <f t="shared" si="36"/>
        <v>194</v>
      </c>
      <c r="E440" s="54">
        <v>14</v>
      </c>
      <c r="F440" s="22" t="str">
        <f>INDEX(Master_Data!$C$152:$L$864,D440,2)</f>
        <v>HASTA PANCA MANDIRI UTAMA, PT</v>
      </c>
      <c r="G440" s="24" t="str">
        <f>INDEX(Master_Data!$C$152:$L$864,D440,3)</f>
        <v>V</v>
      </c>
      <c r="H440" s="24">
        <f>INDEX(Master_Data!$C$152:$L$864,D440,1)</f>
        <v>1</v>
      </c>
      <c r="I440" s="24" t="str">
        <f>INDEX(Master_Data!$C$152:$L$864,D440,4)</f>
        <v xml:space="preserve">Sewa VSAT SCPC 512/256 Kbps Site AMO Malinau </v>
      </c>
      <c r="J440" s="24" t="str">
        <f>INDEX(Master_Data!$C$152:$L$864,D440,5)</f>
        <v>JULI</v>
      </c>
      <c r="K440" s="137" t="str">
        <f>INDEX(Master_Data!$C$152:$L$864,D440,6)</f>
        <v>17-028/BKU-004/VIII/179</v>
      </c>
      <c r="L440" s="140" t="str">
        <f>INDEX(Master_Data!$C$152:$L$864,D440,7)</f>
        <v>010.018-17.04159756</v>
      </c>
      <c r="M440" s="140">
        <f>INDEX(Master_Data!$C$152:$L$864,D440,8)</f>
        <v>0</v>
      </c>
      <c r="N440" s="149"/>
      <c r="O440" s="245" t="e">
        <f t="shared" si="34"/>
        <v>#VALUE!</v>
      </c>
      <c r="Q440" s="169" t="str">
        <f t="shared" si="35"/>
        <v>HASTA PANCA MANDIRI UTAMA, PTAGS</v>
      </c>
    </row>
    <row r="441" spans="2:17" s="61" customFormat="1" ht="14.1" customHeight="1">
      <c r="B441" s="242"/>
      <c r="C441" s="268">
        <f>MATCH($B$427,INDEX(Master_Data!$B$152:$B$864,D440+1,1):'Master_Data'!$B$864,0)</f>
        <v>1</v>
      </c>
      <c r="D441" s="268">
        <f t="shared" si="36"/>
        <v>195</v>
      </c>
      <c r="E441" s="24">
        <v>15</v>
      </c>
      <c r="F441" s="22" t="str">
        <f>INDEX(Master_Data!$C$152:$L$864,D441,2)</f>
        <v>HASTA PANCA MANDIRI UTAMA, PT</v>
      </c>
      <c r="G441" s="24" t="str">
        <f>INDEX(Master_Data!$C$152:$L$864,D441,3)</f>
        <v>V</v>
      </c>
      <c r="H441" s="24">
        <f>INDEX(Master_Data!$C$152:$L$864,D441,1)</f>
        <v>1</v>
      </c>
      <c r="I441" s="24" t="str">
        <f>INDEX(Master_Data!$C$152:$L$864,D441,4)</f>
        <v>Sewa VSAT SCPC 512/256 Kbps Site KDA Kalbar</v>
      </c>
      <c r="J441" s="24" t="str">
        <f>INDEX(Master_Data!$C$152:$L$864,D441,5)</f>
        <v>JULI</v>
      </c>
      <c r="K441" s="137" t="str">
        <f>INDEX(Master_Data!$C$152:$L$864,D441,6)</f>
        <v>17-029/BKU-004/VIII/179</v>
      </c>
      <c r="L441" s="140" t="str">
        <f>INDEX(Master_Data!$C$152:$L$864,D441,7)</f>
        <v>010.019-17.53122128</v>
      </c>
      <c r="M441" s="140">
        <f>INDEX(Master_Data!$C$152:$L$864,D441,8)</f>
        <v>0</v>
      </c>
      <c r="N441" s="264"/>
      <c r="O441" s="245" t="e">
        <f t="shared" si="34"/>
        <v>#VALUE!</v>
      </c>
      <c r="Q441" s="169" t="str">
        <f t="shared" si="35"/>
        <v>HASTA PANCA MANDIRI UTAMA, PTAGS</v>
      </c>
    </row>
    <row r="442" spans="2:17" s="61" customFormat="1" ht="14.1" customHeight="1">
      <c r="B442" s="242"/>
      <c r="C442" s="268">
        <f>MATCH($B$427,INDEX(Master_Data!$B$152:$B$864,D441+1,1):'Master_Data'!$B$864,0)</f>
        <v>43</v>
      </c>
      <c r="D442" s="268">
        <f t="shared" si="36"/>
        <v>238</v>
      </c>
      <c r="E442" s="54">
        <v>16</v>
      </c>
      <c r="F442" s="22" t="str">
        <f>INDEX(Master_Data!$C$152:$L$864,D442,2)</f>
        <v>HUTAN KETAPANG INDUSTRI, PT</v>
      </c>
      <c r="G442" s="24" t="str">
        <f>INDEX(Master_Data!$C$152:$L$864,D442,3)</f>
        <v>V</v>
      </c>
      <c r="H442" s="24">
        <f>INDEX(Master_Data!$C$152:$L$864,D442,1)</f>
        <v>1</v>
      </c>
      <c r="I442" s="24" t="str">
        <f>INDEX(Master_Data!$C$152:$L$864,D442,4)</f>
        <v>Site HKI 1</v>
      </c>
      <c r="J442" s="24" t="str">
        <f>INDEX(Master_Data!$C$152:$L$864,D442,5)</f>
        <v>JULI</v>
      </c>
      <c r="K442" s="137" t="str">
        <f>INDEX(Master_Data!$C$152:$L$864,D442,6)</f>
        <v>17-031/BKU-004/VIII/204</v>
      </c>
      <c r="L442" s="140" t="str">
        <f>INDEX(Master_Data!$C$152:$L$864,D442,7)</f>
        <v>010.018-17.04159743</v>
      </c>
      <c r="M442" s="140">
        <f>INDEX(Master_Data!$C$152:$L$864,D442,8)</f>
        <v>0</v>
      </c>
      <c r="N442" s="149"/>
      <c r="O442" s="245" t="e">
        <f t="shared" si="34"/>
        <v>#VALUE!</v>
      </c>
      <c r="Q442" s="169" t="str">
        <f t="shared" si="35"/>
        <v>HUTAN KETAPANG INDUSTRI, PTAGS</v>
      </c>
    </row>
    <row r="443" spans="2:17" s="61" customFormat="1" ht="14.1" customHeight="1">
      <c r="B443" s="242"/>
      <c r="C443" s="268">
        <f>MATCH($B$427,INDEX(Master_Data!$B$152:$B$864,D442+1,1):'Master_Data'!$B$864,0)</f>
        <v>1</v>
      </c>
      <c r="D443" s="268">
        <f t="shared" si="36"/>
        <v>239</v>
      </c>
      <c r="E443" s="24">
        <v>17</v>
      </c>
      <c r="F443" s="22" t="str">
        <f>INDEX(Master_Data!$C$152:$L$864,D443,2)</f>
        <v>HUTAN KETAPANG INDUSTRI, PT</v>
      </c>
      <c r="G443" s="24" t="str">
        <f>INDEX(Master_Data!$C$152:$L$864,D443,3)</f>
        <v>V</v>
      </c>
      <c r="H443" s="24">
        <f>INDEX(Master_Data!$C$152:$L$864,D443,1)</f>
        <v>1</v>
      </c>
      <c r="I443" s="24" t="str">
        <f>INDEX(Master_Data!$C$152:$L$864,D443,4)</f>
        <v>Site HKI 2</v>
      </c>
      <c r="J443" s="24" t="str">
        <f>INDEX(Master_Data!$C$152:$L$864,D443,5)</f>
        <v>JULI</v>
      </c>
      <c r="K443" s="137" t="str">
        <f>INDEX(Master_Data!$C$152:$L$864,D443,6)</f>
        <v>17-032/BKU-004/VIII/204</v>
      </c>
      <c r="L443" s="140" t="str">
        <f>INDEX(Master_Data!$C$152:$L$864,D443,7)</f>
        <v>010.018-17.04159744</v>
      </c>
      <c r="M443" s="140">
        <f>INDEX(Master_Data!$C$152:$L$864,D443,8)</f>
        <v>0</v>
      </c>
      <c r="N443" s="264"/>
      <c r="O443" s="245" t="e">
        <f t="shared" si="34"/>
        <v>#VALUE!</v>
      </c>
      <c r="Q443" s="169" t="str">
        <f t="shared" si="35"/>
        <v>HUTAN KETAPANG INDUSTRI, PTAGS</v>
      </c>
    </row>
    <row r="444" spans="2:17" s="61" customFormat="1" ht="14.1" customHeight="1">
      <c r="B444" s="242"/>
      <c r="C444" s="268">
        <f>MATCH($B$427,INDEX(Master_Data!$B$152:$B$864,D443+1,1):'Master_Data'!$B$864,0)</f>
        <v>1</v>
      </c>
      <c r="D444" s="268">
        <f t="shared" si="36"/>
        <v>240</v>
      </c>
      <c r="E444" s="54">
        <v>18</v>
      </c>
      <c r="F444" s="22" t="str">
        <f>INDEX(Master_Data!$C$152:$L$864,D444,2)</f>
        <v>HUTAN KETAPANG INDUSTRI, PT</v>
      </c>
      <c r="G444" s="24" t="str">
        <f>INDEX(Master_Data!$C$152:$L$864,D444,3)</f>
        <v>V</v>
      </c>
      <c r="H444" s="24">
        <f>INDEX(Master_Data!$C$152:$L$864,D444,1)</f>
        <v>1</v>
      </c>
      <c r="I444" s="24" t="str">
        <f>INDEX(Master_Data!$C$152:$L$864,D444,4)</f>
        <v>Site HKI 5</v>
      </c>
      <c r="J444" s="24" t="str">
        <f>INDEX(Master_Data!$C$152:$L$864,D444,5)</f>
        <v>JULI</v>
      </c>
      <c r="K444" s="137" t="str">
        <f>INDEX(Master_Data!$C$152:$L$864,D444,6)</f>
        <v>17-033/BKU-004/VIII/204</v>
      </c>
      <c r="L444" s="140" t="str">
        <f>INDEX(Master_Data!$C$152:$L$864,D444,7)</f>
        <v>010.018-17.04159745</v>
      </c>
      <c r="M444" s="140">
        <f>INDEX(Master_Data!$C$152:$L$864,D444,8)</f>
        <v>22000000</v>
      </c>
      <c r="N444" s="264"/>
      <c r="O444" s="245" t="e">
        <f t="shared" si="34"/>
        <v>#VALUE!</v>
      </c>
      <c r="Q444" s="169" t="str">
        <f t="shared" si="35"/>
        <v>HUTAN KETAPANG INDUSTRI, PTAGS</v>
      </c>
    </row>
    <row r="445" spans="2:17" s="61" customFormat="1" ht="14.1" customHeight="1">
      <c r="B445" s="242"/>
      <c r="C445" s="268">
        <f>MATCH($B$427,INDEX(Master_Data!$B$152:$B$864,D444+1,1):'Master_Data'!$B$864,0)</f>
        <v>1</v>
      </c>
      <c r="D445" s="268">
        <f t="shared" si="36"/>
        <v>241</v>
      </c>
      <c r="E445" s="24">
        <v>19</v>
      </c>
      <c r="F445" s="22" t="str">
        <f>INDEX(Master_Data!$C$152:$L$864,D445,2)</f>
        <v>HUTAN KETAPANG INDUSTRI, PT</v>
      </c>
      <c r="G445" s="24" t="str">
        <f>INDEX(Master_Data!$C$152:$L$864,D445,3)</f>
        <v>V</v>
      </c>
      <c r="H445" s="24">
        <f>INDEX(Master_Data!$C$152:$L$864,D445,1)</f>
        <v>1</v>
      </c>
      <c r="I445" s="24" t="str">
        <f>INDEX(Master_Data!$C$152:$L$864,D445,4)</f>
        <v>Site HKI 6</v>
      </c>
      <c r="J445" s="24" t="str">
        <f>INDEX(Master_Data!$C$152:$L$864,D445,5)</f>
        <v>JULI</v>
      </c>
      <c r="K445" s="137" t="str">
        <f>INDEX(Master_Data!$C$152:$L$864,D445,6)</f>
        <v>17-034/BKU-004/VIII/204</v>
      </c>
      <c r="L445" s="140" t="str">
        <f>INDEX(Master_Data!$C$152:$L$864,D445,7)</f>
        <v>010.018-17.04159746</v>
      </c>
      <c r="M445" s="140">
        <f>INDEX(Master_Data!$C$152:$L$864,D445,8)</f>
        <v>22000000</v>
      </c>
      <c r="N445" s="264"/>
      <c r="O445" s="245" t="e">
        <f t="shared" si="34"/>
        <v>#VALUE!</v>
      </c>
      <c r="Q445" s="169" t="str">
        <f t="shared" si="35"/>
        <v>HUTAN KETAPANG INDUSTRI, PTAGS</v>
      </c>
    </row>
    <row r="446" spans="2:17" s="61" customFormat="1" ht="14.1" customHeight="1">
      <c r="B446" s="242"/>
      <c r="C446" s="268">
        <f>MATCH($B$427,INDEX(Master_Data!$B$152:$B$864,D445+1,1):'Master_Data'!$B$864,0)</f>
        <v>19</v>
      </c>
      <c r="D446" s="268">
        <f t="shared" si="36"/>
        <v>260</v>
      </c>
      <c r="E446" s="54">
        <v>20</v>
      </c>
      <c r="F446" s="22" t="str">
        <f>INDEX(Master_Data!$C$152:$L$864,D446,2)</f>
        <v>INTICOM SENTRALINDO, PT</v>
      </c>
      <c r="G446" s="24" t="str">
        <f>INDEX(Master_Data!$C$152:$L$864,D446,3)</f>
        <v>S</v>
      </c>
      <c r="H446" s="24">
        <f>INDEX(Master_Data!$C$152:$L$864,D446,1)</f>
        <v>1</v>
      </c>
      <c r="I446" s="24">
        <f>INDEX(Master_Data!$C$152:$L$864,D446,4)</f>
        <v>0</v>
      </c>
      <c r="J446" s="24">
        <f>INDEX(Master_Data!$C$152:$L$864,D446,5)</f>
        <v>0</v>
      </c>
      <c r="K446" s="137" t="str">
        <f>INDEX(Master_Data!$C$152:$L$864,D446,6)</f>
        <v>17-002/BKU-004/VIII/249</v>
      </c>
      <c r="L446" s="140" t="str">
        <f>INDEX(Master_Data!$C$152:$L$864,D446,7)</f>
        <v>010.019-17.53122140</v>
      </c>
      <c r="M446" s="140">
        <f>INDEX(Master_Data!$C$152:$L$864,D446,8)</f>
        <v>0</v>
      </c>
      <c r="N446" s="264"/>
      <c r="O446" s="245" t="e">
        <f t="shared" si="34"/>
        <v>#VALUE!</v>
      </c>
      <c r="Q446" s="169" t="str">
        <f t="shared" si="35"/>
        <v>INTICOM SENTRALINDO, PTAGS</v>
      </c>
    </row>
    <row r="447" spans="2:17" s="61" customFormat="1" ht="14.1" customHeight="1">
      <c r="B447" s="242"/>
      <c r="C447" s="268">
        <f>MATCH($B$427,INDEX(Master_Data!$B$152:$B$864,D446+1,1):'Master_Data'!$B$864,0)</f>
        <v>12</v>
      </c>
      <c r="D447" s="268">
        <f t="shared" si="36"/>
        <v>272</v>
      </c>
      <c r="E447" s="24">
        <v>21</v>
      </c>
      <c r="F447" s="22" t="str">
        <f>INDEX(Master_Data!$C$152:$L$864,D447,2)</f>
        <v>KALIMANTAN PRIMA PERSADA, PT</v>
      </c>
      <c r="G447" s="24" t="str">
        <f>INDEX(Master_Data!$C$152:$L$864,D447,3)</f>
        <v>W</v>
      </c>
      <c r="H447" s="24">
        <f>INDEX(Master_Data!$C$152:$L$864,D447,1)</f>
        <v>1</v>
      </c>
      <c r="I447" s="24" t="str">
        <f>INDEX(Master_Data!$C$152:$L$864,D447,4)</f>
        <v>WAN 5 Mbps Site Mass, SPUT, Loa Jana</v>
      </c>
      <c r="J447" s="24" t="str">
        <f>INDEX(Master_Data!$C$152:$L$864,D447,5)</f>
        <v>JULI</v>
      </c>
      <c r="K447" s="137" t="str">
        <f>INDEX(Master_Data!$C$152:$L$864,D447,6)</f>
        <v>17-012/BKU-004/VIII/208</v>
      </c>
      <c r="L447" s="140" t="str">
        <f>INDEX(Master_Data!$C$152:$L$864,D447,7)</f>
        <v>010.019-17.53122137</v>
      </c>
      <c r="M447" s="140">
        <f>INDEX(Master_Data!$C$152:$L$864,D447,8)</f>
        <v>0</v>
      </c>
      <c r="N447" s="264"/>
      <c r="O447" s="245" t="e">
        <f t="shared" si="34"/>
        <v>#VALUE!</v>
      </c>
      <c r="Q447" s="169" t="str">
        <f t="shared" si="35"/>
        <v>KALIMANTAN PRIMA PERSADA, PTAGS</v>
      </c>
    </row>
    <row r="448" spans="2:17" s="61" customFormat="1" ht="14.1" customHeight="1">
      <c r="B448" s="242"/>
      <c r="C448" s="268">
        <f>MATCH($B$427,INDEX(Master_Data!$B$152:$B$864,D447+1,1):'Master_Data'!$B$864,0)</f>
        <v>18</v>
      </c>
      <c r="D448" s="268">
        <f t="shared" si="36"/>
        <v>290</v>
      </c>
      <c r="E448" s="54">
        <v>22</v>
      </c>
      <c r="F448" s="22" t="str">
        <f>INDEX(Master_Data!$C$152:$L$864,D448,2)</f>
        <v>KUSUMA MENTARI MAKMUR, PT</v>
      </c>
      <c r="G448" s="24" t="str">
        <f>INDEX(Master_Data!$C$152:$L$864,D448,3)</f>
        <v>V</v>
      </c>
      <c r="H448" s="24">
        <f>INDEX(Master_Data!$C$152:$L$864,D448,1)</f>
        <v>1</v>
      </c>
      <c r="I448" s="24" t="str">
        <f>INDEX(Master_Data!$C$152:$L$864,D448,4)</f>
        <v>Rental VSAT Site KMM</v>
      </c>
      <c r="J448" s="24" t="str">
        <f>INDEX(Master_Data!$C$152:$L$864,D448,5)</f>
        <v>JULI</v>
      </c>
      <c r="K448" s="137" t="str">
        <f>INDEX(Master_Data!$C$152:$L$864,D448,6)</f>
        <v>17-008/BKU-004/VIII/224</v>
      </c>
      <c r="L448" s="140" t="str">
        <f>INDEX(Master_Data!$C$152:$L$864,D448,7)</f>
        <v>010.018-17.04159748</v>
      </c>
      <c r="M448" s="140">
        <f>INDEX(Master_Data!$C$152:$L$864,D448,8)</f>
        <v>0</v>
      </c>
      <c r="N448" s="149"/>
      <c r="O448" s="245" t="e">
        <f t="shared" si="34"/>
        <v>#VALUE!</v>
      </c>
      <c r="Q448" s="169" t="str">
        <f t="shared" si="35"/>
        <v>KUSUMA MENTARI MAKMUR, PTAGS</v>
      </c>
    </row>
    <row r="449" spans="2:17" s="61" customFormat="1" ht="14.1" customHeight="1">
      <c r="B449" s="242"/>
      <c r="C449" s="268">
        <f>MATCH($B$427,INDEX(Master_Data!$B$152:$B$864,D448+1,1):'Master_Data'!$B$864,0)</f>
        <v>21</v>
      </c>
      <c r="D449" s="268">
        <f t="shared" si="36"/>
        <v>311</v>
      </c>
      <c r="E449" s="24">
        <v>23</v>
      </c>
      <c r="F449" s="22" t="str">
        <f>INDEX(Master_Data!$C$152:$L$864,D449,2)</f>
        <v>LANANG AGRO BERSATU, PT</v>
      </c>
      <c r="G449" s="24" t="str">
        <f>INDEX(Master_Data!$C$152:$L$864,D449,3)</f>
        <v>V</v>
      </c>
      <c r="H449" s="24">
        <f>INDEX(Master_Data!$C$152:$L$864,D449,1)</f>
        <v>1</v>
      </c>
      <c r="I449" s="24" t="str">
        <f>INDEX(Master_Data!$C$152:$L$864,D449,4)</f>
        <v>Monthly Charges VSAT LAB BSE</v>
      </c>
      <c r="J449" s="24" t="str">
        <f>INDEX(Master_Data!$C$152:$L$864,D449,5)</f>
        <v>JULI</v>
      </c>
      <c r="K449" s="137" t="str">
        <f>INDEX(Master_Data!$C$152:$L$864,D449,6)</f>
        <v>17-015/BKU-004/VIII/210</v>
      </c>
      <c r="L449" s="140" t="str">
        <f>INDEX(Master_Data!$C$152:$L$864,D449,7)</f>
        <v>010.018-17.04159749</v>
      </c>
      <c r="M449" s="140">
        <f>INDEX(Master_Data!$C$152:$L$864,D449,8)</f>
        <v>0</v>
      </c>
      <c r="N449" s="264"/>
      <c r="O449" s="245" t="e">
        <f t="shared" si="34"/>
        <v>#VALUE!</v>
      </c>
      <c r="Q449" s="169" t="str">
        <f t="shared" si="35"/>
        <v>LANANG AGRO BERSATU, PTAGS</v>
      </c>
    </row>
    <row r="450" spans="2:17" s="61" customFormat="1" ht="14.1" customHeight="1">
      <c r="B450" s="242"/>
      <c r="C450" s="268">
        <f>MATCH($B$427,INDEX(Master_Data!$B$152:$B$864,D449+1,1):'Master_Data'!$B$864,0)</f>
        <v>1</v>
      </c>
      <c r="D450" s="268">
        <f t="shared" si="36"/>
        <v>312</v>
      </c>
      <c r="E450" s="54">
        <v>24</v>
      </c>
      <c r="F450" s="22" t="str">
        <f>INDEX(Master_Data!$C$152:$L$864,D450,2)</f>
        <v>LANANG AGRO BERSATU, PT</v>
      </c>
      <c r="G450" s="24" t="str">
        <f>INDEX(Master_Data!$C$152:$L$864,D450,3)</f>
        <v>V</v>
      </c>
      <c r="H450" s="24">
        <f>INDEX(Master_Data!$C$152:$L$864,D450,1)</f>
        <v>1</v>
      </c>
      <c r="I450" s="24" t="str">
        <f>INDEX(Master_Data!$C$152:$L$864,D450,4)</f>
        <v>Monthly Charges VSAT LAB BME</v>
      </c>
      <c r="J450" s="24" t="str">
        <f>INDEX(Master_Data!$C$152:$L$864,D450,5)</f>
        <v>JULI</v>
      </c>
      <c r="K450" s="137" t="str">
        <f>INDEX(Master_Data!$C$152:$L$864,D450,6)</f>
        <v>17-016/BKU-004/VIII/210</v>
      </c>
      <c r="L450" s="140" t="str">
        <f>INDEX(Master_Data!$C$152:$L$864,D450,7)</f>
        <v>010.018-17.04159750</v>
      </c>
      <c r="M450" s="140">
        <f>INDEX(Master_Data!$C$152:$L$864,D450,8)</f>
        <v>22000000</v>
      </c>
      <c r="N450" s="264"/>
      <c r="O450" s="245" t="e">
        <f t="shared" si="34"/>
        <v>#VALUE!</v>
      </c>
      <c r="Q450" s="169" t="str">
        <f t="shared" si="35"/>
        <v>LANANG AGRO BERSATU, PTAGS</v>
      </c>
    </row>
    <row r="451" spans="2:17" s="61" customFormat="1" ht="14.1" customHeight="1">
      <c r="B451" s="242"/>
      <c r="C451" s="268">
        <f>MATCH($B$427,INDEX(Master_Data!$B$152:$B$864,D450+1,1):'Master_Data'!$B$864,0)</f>
        <v>135</v>
      </c>
      <c r="D451" s="268">
        <f t="shared" si="36"/>
        <v>447</v>
      </c>
      <c r="E451" s="24">
        <v>25</v>
      </c>
      <c r="F451" s="22" t="str">
        <f>INDEX(Master_Data!$C$152:$L$864,D451,2)</f>
        <v>MANDALA KARYA PRIMA, PT</v>
      </c>
      <c r="G451" s="24" t="str">
        <f>INDEX(Master_Data!$C$152:$L$864,D451,3)</f>
        <v>W, I</v>
      </c>
      <c r="H451" s="24">
        <f>INDEX(Master_Data!$C$152:$L$864,D451,1)</f>
        <v>1</v>
      </c>
      <c r="I451" s="24" t="str">
        <f>INDEX(Master_Data!$C$152:$L$864,D451,4)</f>
        <v>WDL &amp; Internet Access 2048 Kbps Site Krassi Sesayap</v>
      </c>
      <c r="J451" s="24" t="str">
        <f>INDEX(Master_Data!$C$152:$L$864,D451,5)</f>
        <v>JULI</v>
      </c>
      <c r="K451" s="137" t="str">
        <f>INDEX(Master_Data!$C$152:$L$864,D451,6)</f>
        <v>17-008/BKU-004/VIII/214</v>
      </c>
      <c r="L451" s="140" t="str">
        <f>INDEX(Master_Data!$C$152:$L$864,D451,7)</f>
        <v>010.018-17.04159734</v>
      </c>
      <c r="M451" s="140">
        <f>INDEX(Master_Data!$C$152:$L$864,D451,8)</f>
        <v>0</v>
      </c>
      <c r="N451" s="264"/>
      <c r="O451" s="245" t="e">
        <f t="shared" si="34"/>
        <v>#VALUE!</v>
      </c>
      <c r="Q451" s="169" t="str">
        <f t="shared" si="35"/>
        <v>MANDALA KARYA PRIMA, PTAGS</v>
      </c>
    </row>
    <row r="452" spans="2:17" s="61" customFormat="1" ht="14.1" customHeight="1">
      <c r="B452" s="242"/>
      <c r="C452" s="268">
        <f>MATCH($B$427,INDEX(Master_Data!$B$152:$B$864,D451+1,1):'Master_Data'!$B$864,0)</f>
        <v>23</v>
      </c>
      <c r="D452" s="268">
        <f t="shared" si="36"/>
        <v>470</v>
      </c>
      <c r="E452" s="54">
        <v>26</v>
      </c>
      <c r="F452" s="22" t="str">
        <f>INDEX(Master_Data!$C$152:$L$864,D452,2)</f>
        <v>MANDIRI HERINDO ADIPERKASA, PT</v>
      </c>
      <c r="G452" s="24" t="str">
        <f>INDEX(Master_Data!$C$152:$L$864,D452,3)</f>
        <v>W</v>
      </c>
      <c r="H452" s="24">
        <f>INDEX(Master_Data!$C$152:$L$864,D452,1)</f>
        <v>1</v>
      </c>
      <c r="I452" s="24" t="str">
        <f>INDEX(Master_Data!$C$152:$L$864,D452,4)</f>
        <v>WDL Site SIMS Batu Kajang - Kaltim</v>
      </c>
      <c r="J452" s="24" t="str">
        <f>INDEX(Master_Data!$C$152:$L$864,D452,5)</f>
        <v>JULI</v>
      </c>
      <c r="K452" s="137" t="str">
        <f>INDEX(Master_Data!$C$152:$L$864,D452,6)</f>
        <v>17-019/BKU-004/VIII/211</v>
      </c>
      <c r="L452" s="140" t="str">
        <f>INDEX(Master_Data!$C$152:$L$864,D452,7)</f>
        <v>010.018-17.04159729</v>
      </c>
      <c r="M452" s="140">
        <f>INDEX(Master_Data!$C$152:$L$864,D452,8)</f>
        <v>0</v>
      </c>
      <c r="N452" s="264"/>
      <c r="O452" s="245" t="e">
        <f t="shared" si="34"/>
        <v>#VALUE!</v>
      </c>
      <c r="Q452" s="169" t="str">
        <f t="shared" si="35"/>
        <v>MANDIRI HERINDO ADIPERKASA, PTAGS</v>
      </c>
    </row>
    <row r="453" spans="2:17" s="61" customFormat="1" ht="14.1" customHeight="1">
      <c r="B453" s="242"/>
      <c r="C453" s="268">
        <f>MATCH($B$427,INDEX(Master_Data!$B$152:$B$864,D452+1,1):'Master_Data'!$B$864,0)</f>
        <v>1</v>
      </c>
      <c r="D453" s="268">
        <f t="shared" si="36"/>
        <v>471</v>
      </c>
      <c r="E453" s="24">
        <v>27</v>
      </c>
      <c r="F453" s="22" t="str">
        <f>INDEX(Master_Data!$C$152:$L$864,D453,2)</f>
        <v>MANDIRI HERINDO ADIPERKASA, PT</v>
      </c>
      <c r="G453" s="24" t="str">
        <f>INDEX(Master_Data!$C$152:$L$864,D453,3)</f>
        <v>I</v>
      </c>
      <c r="H453" s="24">
        <f>INDEX(Master_Data!$C$152:$L$864,D453,1)</f>
        <v>1</v>
      </c>
      <c r="I453" s="24" t="str">
        <f>INDEX(Master_Data!$C$152:$L$864,D453,4)</f>
        <v>VPN IP Site Office Belleza</v>
      </c>
      <c r="J453" s="24" t="str">
        <f>INDEX(Master_Data!$C$152:$L$864,D453,5)</f>
        <v>JULI</v>
      </c>
      <c r="K453" s="137" t="str">
        <f>INDEX(Master_Data!$C$152:$L$864,D453,6)</f>
        <v>17-020/BKU-004/VIII/211</v>
      </c>
      <c r="L453" s="140" t="str">
        <f>INDEX(Master_Data!$C$152:$L$864,D453,7)</f>
        <v>010.018-17.04159730</v>
      </c>
      <c r="M453" s="140">
        <f>INDEX(Master_Data!$C$152:$L$864,D453,8)</f>
        <v>0</v>
      </c>
      <c r="N453" s="264"/>
      <c r="O453" s="245" t="e">
        <f t="shared" si="34"/>
        <v>#VALUE!</v>
      </c>
      <c r="Q453" s="169" t="str">
        <f t="shared" si="35"/>
        <v>MANDIRI HERINDO ADIPERKASA, PTAGS</v>
      </c>
    </row>
    <row r="454" spans="2:17" s="61" customFormat="1" ht="14.1" customHeight="1">
      <c r="B454" s="242"/>
      <c r="C454" s="268">
        <f>MATCH($B$427,INDEX(Master_Data!$B$152:$B$864,D453+1,1):'Master_Data'!$B$864,0)</f>
        <v>1</v>
      </c>
      <c r="D454" s="268">
        <f t="shared" si="36"/>
        <v>472</v>
      </c>
      <c r="E454" s="54">
        <v>28</v>
      </c>
      <c r="F454" s="22" t="str">
        <f>INDEX(Master_Data!$C$152:$L$864,D454,2)</f>
        <v>MANDIRI HERINDO ADIPERKASA, PT</v>
      </c>
      <c r="G454" s="24" t="str">
        <f>INDEX(Master_Data!$C$152:$L$864,D454,3)</f>
        <v>M</v>
      </c>
      <c r="H454" s="24">
        <f>INDEX(Master_Data!$C$152:$L$864,D454,1)</f>
        <v>1</v>
      </c>
      <c r="I454" s="24" t="str">
        <f>INDEX(Master_Data!$C$152:$L$864,D454,4)</f>
        <v>MPLS 512 Kbps Site Krassi Sesayap</v>
      </c>
      <c r="J454" s="24" t="str">
        <f>INDEX(Master_Data!$C$152:$L$864,D454,5)</f>
        <v>JULI</v>
      </c>
      <c r="K454" s="137" t="str">
        <f>INDEX(Master_Data!$C$152:$L$864,D454,6)</f>
        <v>17-021/BKU-004/VIII/211</v>
      </c>
      <c r="L454" s="140" t="str">
        <f>INDEX(Master_Data!$C$152:$L$864,D454,7)</f>
        <v>010.018-17.04159731</v>
      </c>
      <c r="M454" s="140">
        <f>INDEX(Master_Data!$C$152:$L$864,D454,8)</f>
        <v>0</v>
      </c>
      <c r="N454" s="264"/>
      <c r="O454" s="245" t="e">
        <f t="shared" si="34"/>
        <v>#VALUE!</v>
      </c>
      <c r="Q454" s="169" t="str">
        <f t="shared" si="35"/>
        <v>MANDIRI HERINDO ADIPERKASA, PTAGS</v>
      </c>
    </row>
    <row r="455" spans="2:17" s="61" customFormat="1" ht="14.1" customHeight="1">
      <c r="B455" s="242"/>
      <c r="C455" s="268">
        <f>MATCH($B$427,INDEX(Master_Data!$B$152:$B$864,D454+1,1):'Master_Data'!$B$864,0)</f>
        <v>32</v>
      </c>
      <c r="D455" s="268">
        <f t="shared" si="36"/>
        <v>504</v>
      </c>
      <c r="E455" s="24">
        <v>29</v>
      </c>
      <c r="F455" s="22" t="str">
        <f>INDEX(Master_Data!$C$152:$L$864,D455,2)</f>
        <v>MANDIRI INTI PERKASA, PT</v>
      </c>
      <c r="G455" s="24" t="str">
        <f>INDEX(Master_Data!$C$152:$L$864,D455,3)</f>
        <v>W, I</v>
      </c>
      <c r="H455" s="24">
        <f>INDEX(Master_Data!$C$152:$L$864,D455,1)</f>
        <v>1</v>
      </c>
      <c r="I455" s="24" t="str">
        <f>INDEX(Master_Data!$C$152:$L$864,D455,4)</f>
        <v>WDL &amp; Internet Access 1024 Kbps Site Krassi Sebakung</v>
      </c>
      <c r="J455" s="24" t="str">
        <f>INDEX(Master_Data!$C$152:$L$864,D455,5)</f>
        <v>JULI</v>
      </c>
      <c r="K455" s="137" t="str">
        <f>INDEX(Master_Data!$C$152:$L$864,D455,6)</f>
        <v>17-015/BKU-004/VIII/196</v>
      </c>
      <c r="L455" s="140" t="str">
        <f>INDEX(Master_Data!$C$152:$L$864,D455,7)</f>
        <v>010.018-17.04159732</v>
      </c>
      <c r="M455" s="140">
        <f>INDEX(Master_Data!$C$152:$L$864,D455,8)</f>
        <v>0</v>
      </c>
      <c r="N455" s="264"/>
      <c r="O455" s="245" t="e">
        <f t="shared" si="34"/>
        <v>#VALUE!</v>
      </c>
      <c r="Q455" s="169" t="str">
        <f t="shared" si="35"/>
        <v>MANDIRI INTI PERKASA, PTAGS</v>
      </c>
    </row>
    <row r="456" spans="2:17" s="61" customFormat="1" ht="14.1" customHeight="1">
      <c r="B456" s="242"/>
      <c r="C456" s="268">
        <f>MATCH($B$427,INDEX(Master_Data!$B$152:$B$864,D455+1,1):'Master_Data'!$B$864,0)</f>
        <v>1</v>
      </c>
      <c r="D456" s="268">
        <f t="shared" si="36"/>
        <v>505</v>
      </c>
      <c r="E456" s="54">
        <v>30</v>
      </c>
      <c r="F456" s="22" t="str">
        <f>INDEX(Master_Data!$C$152:$L$864,D456,2)</f>
        <v>MANDIRI INTI PERKASA, PT</v>
      </c>
      <c r="G456" s="24" t="str">
        <f>INDEX(Master_Data!$C$152:$L$864,D456,3)</f>
        <v>I</v>
      </c>
      <c r="H456" s="24">
        <f>INDEX(Master_Data!$C$152:$L$864,D456,1)</f>
        <v>1</v>
      </c>
      <c r="I456" s="24" t="str">
        <f>INDEX(Master_Data!$C$152:$L$864,D456,4)</f>
        <v>Internet Bandwith 5 Mbps Site HO Pro Mandiri Building Latumenten</v>
      </c>
      <c r="J456" s="24" t="str">
        <f>INDEX(Master_Data!$C$152:$L$864,D456,5)</f>
        <v>JULI</v>
      </c>
      <c r="K456" s="137" t="str">
        <f>INDEX(Master_Data!$C$152:$L$864,D456,6)</f>
        <v>17-016/BKU-004/VIII/196</v>
      </c>
      <c r="L456" s="140" t="str">
        <f>INDEX(Master_Data!$C$152:$L$864,D456,7)</f>
        <v>010.018-17.04159733</v>
      </c>
      <c r="M456" s="140">
        <f>INDEX(Master_Data!$C$152:$L$864,D456,8)</f>
        <v>0</v>
      </c>
      <c r="N456" s="264"/>
      <c r="O456" s="245" t="e">
        <f t="shared" si="34"/>
        <v>#VALUE!</v>
      </c>
      <c r="Q456" s="169" t="str">
        <f t="shared" si="35"/>
        <v>MANDIRI INTI PERKASA, PTAGS</v>
      </c>
    </row>
    <row r="457" spans="2:17" s="61" customFormat="1" ht="14.1" customHeight="1">
      <c r="B457" s="242"/>
      <c r="C457" s="268">
        <f>MATCH($B$427,INDEX(Master_Data!$B$152:$B$864,D456+1,1):'Master_Data'!$B$864,0)</f>
        <v>16</v>
      </c>
      <c r="D457" s="268">
        <f t="shared" si="36"/>
        <v>521</v>
      </c>
      <c r="E457" s="24">
        <v>31</v>
      </c>
      <c r="F457" s="22" t="str">
        <f>INDEX(Master_Data!$C$152:$L$864,D457,2)</f>
        <v>MEDCO PAPUA INDUSTRI LESTARI, PT</v>
      </c>
      <c r="G457" s="24" t="str">
        <f>INDEX(Master_Data!$C$152:$L$864,D457,3)</f>
        <v>V</v>
      </c>
      <c r="H457" s="24">
        <f>INDEX(Master_Data!$C$152:$L$864,D457,1)</f>
        <v>1</v>
      </c>
      <c r="I457" s="24" t="str">
        <f>INDEX(Master_Data!$C$152:$L$864,D457,4)</f>
        <v>Rental VSAT Medco Wapeko</v>
      </c>
      <c r="J457" s="24" t="str">
        <f>INDEX(Master_Data!$C$152:$L$864,D457,5)</f>
        <v>AGUSTUS</v>
      </c>
      <c r="K457" s="137" t="str">
        <f>INDEX(Master_Data!$C$152:$L$864,D457,6)</f>
        <v>17-008/BKU-004/VIII/145</v>
      </c>
      <c r="L457" s="140" t="str">
        <f>INDEX(Master_Data!$C$152:$L$864,D457,7)</f>
        <v>010.018-17.04159737</v>
      </c>
      <c r="M457" s="140">
        <f>INDEX(Master_Data!$C$152:$L$864,D457,8)</f>
        <v>0</v>
      </c>
      <c r="N457" s="264"/>
      <c r="O457" s="245" t="e">
        <f t="shared" si="34"/>
        <v>#VALUE!</v>
      </c>
      <c r="Q457" s="169" t="str">
        <f t="shared" si="35"/>
        <v>MEDCO PAPUA INDUSTRI LESTARI, PTAGS</v>
      </c>
    </row>
    <row r="458" spans="2:17" s="61" customFormat="1" ht="14.1" customHeight="1">
      <c r="B458" s="242"/>
      <c r="C458" s="268">
        <f>MATCH($B$427,INDEX(Master_Data!$B$152:$B$864,D457+1,1):'Master_Data'!$B$864,0)</f>
        <v>12</v>
      </c>
      <c r="D458" s="268">
        <f t="shared" si="36"/>
        <v>533</v>
      </c>
      <c r="E458" s="54">
        <v>32</v>
      </c>
      <c r="F458" s="22" t="str">
        <f>INDEX(Master_Data!$C$152:$L$864,D458,2)</f>
        <v>METALINDO BUMI RAYA, PT</v>
      </c>
      <c r="G458" s="24" t="str">
        <f>INDEX(Master_Data!$C$152:$L$864,D458,3)</f>
        <v>I</v>
      </c>
      <c r="H458" s="24">
        <f>INDEX(Master_Data!$C$152:$L$864,D458,1)</f>
        <v>1</v>
      </c>
      <c r="I458" s="24" t="str">
        <f>INDEX(Master_Data!$C$152:$L$864,D458,4)</f>
        <v>Internet Access Site Sebuku</v>
      </c>
      <c r="J458" s="24" t="str">
        <f>INDEX(Master_Data!$C$152:$L$864,D458,5)</f>
        <v>AGUSTUS</v>
      </c>
      <c r="K458" s="137" t="str">
        <f>INDEX(Master_Data!$C$152:$L$864,D458,6)</f>
        <v>17-008/BKU-004/VIII/220</v>
      </c>
      <c r="L458" s="140" t="str">
        <f>INDEX(Master_Data!$C$152:$L$864,D458,7)</f>
        <v>010.018-17.04159738</v>
      </c>
      <c r="M458" s="140">
        <f>INDEX(Master_Data!$C$152:$L$864,D458,8)</f>
        <v>0</v>
      </c>
      <c r="N458" s="264"/>
      <c r="O458" s="245" t="e">
        <f t="shared" si="34"/>
        <v>#VALUE!</v>
      </c>
      <c r="Q458" s="169" t="str">
        <f t="shared" si="35"/>
        <v>METALINDO BUMI RAYA, PTAGS</v>
      </c>
    </row>
    <row r="459" spans="2:17" s="61" customFormat="1" ht="14.1" customHeight="1">
      <c r="B459" s="242"/>
      <c r="C459" s="268">
        <f>MATCH($B$427,INDEX(Master_Data!$B$152:$B$864,D458+1,1):'Master_Data'!$B$864,0)</f>
        <v>15</v>
      </c>
      <c r="D459" s="268">
        <f t="shared" si="36"/>
        <v>548</v>
      </c>
      <c r="E459" s="24">
        <v>33</v>
      </c>
      <c r="F459" s="22" t="str">
        <f>INDEX(Master_Data!$C$152:$L$864,D459,2)</f>
        <v>NUSANTARA SARANA ALAM, PT</v>
      </c>
      <c r="G459" s="24" t="str">
        <f>INDEX(Master_Data!$C$152:$L$864,D459,3)</f>
        <v>V</v>
      </c>
      <c r="H459" s="24">
        <f>INDEX(Master_Data!$C$152:$L$864,D459,1)</f>
        <v>1</v>
      </c>
      <c r="I459" s="24" t="str">
        <f>INDEX(Master_Data!$C$152:$L$864,D459,4)</f>
        <v>Rental VSAT Site NSA Sandai</v>
      </c>
      <c r="J459" s="24" t="str">
        <f>INDEX(Master_Data!$C$152:$L$864,D459,5)</f>
        <v>JULI</v>
      </c>
      <c r="K459" s="137" t="str">
        <f>INDEX(Master_Data!$C$152:$L$864,D459,6)</f>
        <v>17-010/BKU-004/VIII/245</v>
      </c>
      <c r="L459" s="140" t="str">
        <f>INDEX(Master_Data!$C$152:$L$864,D459,7)</f>
        <v>010.018-17.04159752</v>
      </c>
      <c r="M459" s="140">
        <f>INDEX(Master_Data!$C$152:$L$864,D459,8)</f>
        <v>0</v>
      </c>
      <c r="N459" s="264"/>
      <c r="O459" s="245" t="e">
        <f t="shared" si="34"/>
        <v>#VALUE!</v>
      </c>
      <c r="Q459" s="169" t="str">
        <f t="shared" si="35"/>
        <v>NUSANTARA SARANA ALAM, PTAGS</v>
      </c>
    </row>
    <row r="460" spans="2:17" s="61" customFormat="1" ht="14.1" customHeight="1">
      <c r="B460" s="242"/>
      <c r="C460" s="268">
        <f>MATCH($B$427,INDEX(Master_Data!$B$152:$B$864,D459+1,1):'Master_Data'!$B$864,0)</f>
        <v>8</v>
      </c>
      <c r="D460" s="268">
        <f t="shared" si="36"/>
        <v>556</v>
      </c>
      <c r="E460" s="54">
        <v>34</v>
      </c>
      <c r="F460" s="22" t="str">
        <f>INDEX(Master_Data!$C$152:$L$864,D460,2)</f>
        <v>PAMA PERSADA NUSANTARA, PT</v>
      </c>
      <c r="G460" s="24">
        <f>INDEX(Master_Data!$C$152:$L$864,D460,3)</f>
        <v>0</v>
      </c>
      <c r="H460" s="24">
        <f>INDEX(Master_Data!$C$152:$L$864,D460,1)</f>
        <v>0</v>
      </c>
      <c r="I460" s="24">
        <f>INDEX(Master_Data!$C$152:$L$864,D460,4)</f>
        <v>0</v>
      </c>
      <c r="J460" s="24">
        <f>INDEX(Master_Data!$C$152:$L$864,D460,5)</f>
        <v>0</v>
      </c>
      <c r="K460" s="137">
        <f>INDEX(Master_Data!$C$152:$L$864,D460,6)</f>
        <v>0</v>
      </c>
      <c r="L460" s="140">
        <f>INDEX(Master_Data!$C$152:$L$864,D460,7)</f>
        <v>0</v>
      </c>
      <c r="M460" s="140">
        <f>INDEX(Master_Data!$C$152:$L$864,D460,8)</f>
        <v>0</v>
      </c>
      <c r="N460" s="264"/>
      <c r="O460" s="245">
        <f t="shared" si="34"/>
        <v>0</v>
      </c>
      <c r="Q460" s="169" t="str">
        <f t="shared" si="35"/>
        <v>PAMA PERSADA NUSANTARA, PTAGS</v>
      </c>
    </row>
    <row r="461" spans="2:17" s="61" customFormat="1" ht="14.1" customHeight="1">
      <c r="B461" s="242"/>
      <c r="C461" s="268">
        <f>MATCH($B$427,INDEX(Master_Data!$B$152:$B$864,D460+1,1):'Master_Data'!$B$864,0)</f>
        <v>8</v>
      </c>
      <c r="D461" s="268">
        <f t="shared" si="36"/>
        <v>564</v>
      </c>
      <c r="E461" s="24">
        <v>35</v>
      </c>
      <c r="F461" s="22" t="str">
        <f>INDEX(Master_Data!$C$152:$L$864,D461,2)</f>
        <v>PEMBANGUNAN PERUMAHAN (PERSERO), PT</v>
      </c>
      <c r="G461" s="24" t="str">
        <f>INDEX(Master_Data!$C$152:$L$864,D461,3)</f>
        <v>I</v>
      </c>
      <c r="H461" s="24">
        <f>INDEX(Master_Data!$C$152:$L$864,D461,1)</f>
        <v>1</v>
      </c>
      <c r="I461" s="24" t="str">
        <f>INDEX(Master_Data!$C$152:$L$864,D461,4)</f>
        <v>Internet 1024/256 Kbps Site Lolak</v>
      </c>
      <c r="J461" s="24" t="str">
        <f>INDEX(Master_Data!$C$152:$L$864,D461,5)</f>
        <v>JULI</v>
      </c>
      <c r="K461" s="137" t="str">
        <f>INDEX(Master_Data!$C$152:$L$864,D461,6)</f>
        <v>17-008/BKU-004/VIII/226</v>
      </c>
      <c r="L461" s="140" t="str">
        <f>INDEX(Master_Data!$C$152:$L$864,D461,7)</f>
        <v>030.018-17.04159739</v>
      </c>
      <c r="M461" s="140">
        <f>INDEX(Master_Data!$C$152:$L$864,D461,8)</f>
        <v>0</v>
      </c>
      <c r="N461" s="264"/>
      <c r="O461" s="245" t="e">
        <f t="shared" si="34"/>
        <v>#VALUE!</v>
      </c>
      <c r="Q461" s="169" t="str">
        <f t="shared" si="35"/>
        <v>PEMBANGUNAN PERUMAHAN (PERSERO), PTAGS</v>
      </c>
    </row>
    <row r="462" spans="2:17" s="61" customFormat="1" ht="14.1" customHeight="1">
      <c r="B462" s="242"/>
      <c r="C462" s="268">
        <f>MATCH($B$427,INDEX(Master_Data!$B$152:$B$864,D461+1,1):'Master_Data'!$B$864,0)</f>
        <v>1</v>
      </c>
      <c r="D462" s="268">
        <f t="shared" si="36"/>
        <v>565</v>
      </c>
      <c r="E462" s="54">
        <v>36</v>
      </c>
      <c r="F462" s="22" t="str">
        <f>INDEX(Master_Data!$C$152:$L$864,D462,2)</f>
        <v>PEMBANGUNAN PERUMAHAN (PERSERO), PT</v>
      </c>
      <c r="G462" s="24" t="str">
        <f>INDEX(Master_Data!$C$152:$L$864,D462,3)</f>
        <v>I</v>
      </c>
      <c r="H462" s="24">
        <f>INDEX(Master_Data!$C$152:$L$864,D462,1)</f>
        <v>24</v>
      </c>
      <c r="I462" s="24" t="str">
        <f>INDEX(Master_Data!$C$152:$L$864,D462,4)</f>
        <v>Internet 1024/256 Kbps Site Lolak</v>
      </c>
      <c r="J462" s="24" t="str">
        <f>INDEX(Master_Data!$C$152:$L$864,D462,5)</f>
        <v>AGUSTUS</v>
      </c>
      <c r="K462" s="137" t="str">
        <f>INDEX(Master_Data!$C$152:$L$864,D462,6)</f>
        <v>17-009/BKU-004/VIII/226</v>
      </c>
      <c r="L462" s="140" t="str">
        <f>INDEX(Master_Data!$C$152:$L$864,D462,7)</f>
        <v>030.019-17.53122148</v>
      </c>
      <c r="M462" s="140">
        <f>INDEX(Master_Data!$C$152:$L$864,D462,8)</f>
        <v>0</v>
      </c>
      <c r="N462" s="264"/>
      <c r="O462" s="245" t="e">
        <f t="shared" si="34"/>
        <v>#VALUE!</v>
      </c>
      <c r="Q462" s="169" t="str">
        <f t="shared" si="35"/>
        <v>PEMBANGUNAN PERUMAHAN (PERSERO), PTAGS</v>
      </c>
    </row>
    <row r="463" spans="2:17" s="61" customFormat="1" ht="14.1" customHeight="1">
      <c r="B463" s="242"/>
      <c r="C463" s="268">
        <f>MATCH($B$427,INDEX(Master_Data!$B$152:$B$864,D462+1,1):'Master_Data'!$B$864,0)</f>
        <v>10</v>
      </c>
      <c r="D463" s="268">
        <f t="shared" si="36"/>
        <v>575</v>
      </c>
      <c r="E463" s="24">
        <v>37</v>
      </c>
      <c r="F463" s="22" t="str">
        <f>INDEX(Master_Data!$C$152:$L$864,D463,2)</f>
        <v>PEMERINTAH KABUPATEN SIGI</v>
      </c>
      <c r="G463" s="24" t="str">
        <f>INDEX(Master_Data!$C$152:$L$864,D463,3)</f>
        <v>I</v>
      </c>
      <c r="H463" s="24">
        <f>INDEX(Master_Data!$C$152:$L$864,D463,1)</f>
        <v>1</v>
      </c>
      <c r="I463" s="24">
        <f>INDEX(Master_Data!$C$152:$L$864,D463,4)</f>
        <v>0</v>
      </c>
      <c r="J463" s="24" t="str">
        <f>INDEX(Master_Data!$C$152:$L$864,D463,5)</f>
        <v>JUNI</v>
      </c>
      <c r="K463" s="137" t="str">
        <f>INDEX(Master_Data!$C$152:$L$864,D463,6)</f>
        <v>17-006/BKU-004/VIII/184</v>
      </c>
      <c r="L463" s="140" t="str">
        <f>INDEX(Master_Data!$C$152:$L$864,D463,7)</f>
        <v>020.018-17.04159741</v>
      </c>
      <c r="M463" s="140">
        <f>INDEX(Master_Data!$C$152:$L$864,D463,8)</f>
        <v>0</v>
      </c>
      <c r="N463" s="264"/>
      <c r="O463" s="245" t="e">
        <f t="shared" si="34"/>
        <v>#VALUE!</v>
      </c>
      <c r="Q463" s="169" t="str">
        <f t="shared" si="35"/>
        <v>PEMERINTAH KABUPATEN SIGIAGS</v>
      </c>
    </row>
    <row r="464" spans="2:17" s="61" customFormat="1" ht="14.1" customHeight="1">
      <c r="B464" s="242"/>
      <c r="C464" s="268">
        <f>MATCH($B$427,INDEX(Master_Data!$B$152:$B$864,D463+1,1):'Master_Data'!$B$864,0)</f>
        <v>1</v>
      </c>
      <c r="D464" s="268">
        <f t="shared" si="36"/>
        <v>576</v>
      </c>
      <c r="E464" s="54">
        <v>38</v>
      </c>
      <c r="F464" s="22" t="str">
        <f>INDEX(Master_Data!$C$152:$L$864,D464,2)</f>
        <v>PEMERINTAH KABUPATEN SIGI</v>
      </c>
      <c r="G464" s="24" t="str">
        <f>INDEX(Master_Data!$C$152:$L$864,D464,3)</f>
        <v>I</v>
      </c>
      <c r="H464" s="24">
        <f>INDEX(Master_Data!$C$152:$L$864,D464,1)</f>
        <v>1</v>
      </c>
      <c r="I464" s="24">
        <f>INDEX(Master_Data!$C$152:$L$864,D464,4)</f>
        <v>0</v>
      </c>
      <c r="J464" s="24" t="str">
        <f>INDEX(Master_Data!$C$152:$L$864,D464,5)</f>
        <v>JULI</v>
      </c>
      <c r="K464" s="137" t="str">
        <f>INDEX(Master_Data!$C$152:$L$864,D464,6)</f>
        <v>17-007/BKU-004/VIII/184</v>
      </c>
      <c r="L464" s="140" t="str">
        <f>INDEX(Master_Data!$C$152:$L$864,D464,7)</f>
        <v>020.018-17.04159742</v>
      </c>
      <c r="M464" s="140">
        <f>INDEX(Master_Data!$C$152:$L$864,D464,8)</f>
        <v>0</v>
      </c>
      <c r="N464" s="264"/>
      <c r="O464" s="245" t="e">
        <f t="shared" si="34"/>
        <v>#VALUE!</v>
      </c>
      <c r="Q464" s="169" t="str">
        <f t="shared" si="35"/>
        <v>PEMERINTAH KABUPATEN SIGIAGS</v>
      </c>
    </row>
    <row r="465" spans="2:17" s="61" customFormat="1" ht="14.1" customHeight="1">
      <c r="B465" s="242"/>
      <c r="C465" s="268">
        <f>MATCH($B$427,INDEX(Master_Data!$B$152:$B$864,D464+1,1):'Master_Data'!$B$864,0)</f>
        <v>19</v>
      </c>
      <c r="D465" s="268">
        <f t="shared" si="36"/>
        <v>595</v>
      </c>
      <c r="E465" s="24">
        <v>39</v>
      </c>
      <c r="F465" s="22" t="str">
        <f>INDEX(Master_Data!$C$152:$L$864,D465,2)</f>
        <v>PERTIWI AGRO SEJAHTERA, PT</v>
      </c>
      <c r="G465" s="24" t="str">
        <f>INDEX(Master_Data!$C$152:$L$864,D465,3)</f>
        <v>V</v>
      </c>
      <c r="H465" s="24">
        <f>INDEX(Master_Data!$C$152:$L$864,D465,1)</f>
        <v>1</v>
      </c>
      <c r="I465" s="24" t="str">
        <f>INDEX(Master_Data!$C$152:$L$864,D465,4)</f>
        <v>Monthly Charges VSAT</v>
      </c>
      <c r="J465" s="24" t="str">
        <f>INDEX(Master_Data!$C$152:$L$864,D465,5)</f>
        <v>AGUSTUS</v>
      </c>
      <c r="K465" s="137" t="str">
        <f>INDEX(Master_Data!$C$152:$L$864,D465,6)</f>
        <v>17-008/BKU-004/VIII/207</v>
      </c>
      <c r="L465" s="140" t="str">
        <f>INDEX(Master_Data!$C$152:$L$864,D465,7)</f>
        <v>010.018-17.04159753</v>
      </c>
      <c r="M465" s="140">
        <f>INDEX(Master_Data!$C$152:$L$864,D465,8)</f>
        <v>22000000</v>
      </c>
      <c r="N465" s="264"/>
      <c r="O465" s="245" t="e">
        <f t="shared" si="34"/>
        <v>#VALUE!</v>
      </c>
      <c r="Q465" s="169" t="str">
        <f t="shared" si="35"/>
        <v>PERTIWI AGRO SEJAHTERA, PTAGS</v>
      </c>
    </row>
    <row r="466" spans="2:17" s="61" customFormat="1" ht="14.1" customHeight="1">
      <c r="B466" s="242"/>
      <c r="C466" s="268">
        <f>MATCH($B$427,INDEX(Master_Data!$B$152:$B$864,D465+1,1):'Master_Data'!$B$864,0)</f>
        <v>26</v>
      </c>
      <c r="D466" s="268">
        <f t="shared" si="36"/>
        <v>621</v>
      </c>
      <c r="E466" s="54">
        <v>40</v>
      </c>
      <c r="F466" s="22" t="str">
        <f>INDEX(Master_Data!$C$152:$L$864,D466,2)</f>
        <v>PETROSEA, PT</v>
      </c>
      <c r="G466" s="24" t="str">
        <f>INDEX(Master_Data!$C$152:$L$864,D466,3)</f>
        <v>V</v>
      </c>
      <c r="H466" s="24">
        <f>INDEX(Master_Data!$C$152:$L$864,D466,1)</f>
        <v>1</v>
      </c>
      <c r="I466" s="24" t="str">
        <f>INDEX(Master_Data!$C$152:$L$864,D466,4)</f>
        <v>Site IAC KINTAP JULI</v>
      </c>
      <c r="J466" s="24" t="str">
        <f>INDEX(Master_Data!$C$152:$L$864,D466,5)</f>
        <v>JULI</v>
      </c>
      <c r="K466" s="137" t="str">
        <f>INDEX(Master_Data!$C$152:$L$864,D466,6)</f>
        <v>17-020/BKU-004/VIII/009</v>
      </c>
      <c r="L466" s="140" t="str">
        <f>INDEX(Master_Data!$C$152:$L$864,D466,7)</f>
        <v>010.019-17.53122138</v>
      </c>
      <c r="M466" s="140">
        <f>INDEX(Master_Data!$C$152:$L$864,D466,8)</f>
        <v>0</v>
      </c>
      <c r="N466" s="264"/>
      <c r="O466" s="245" t="e">
        <f t="shared" si="34"/>
        <v>#VALUE!</v>
      </c>
      <c r="Q466" s="169" t="str">
        <f t="shared" si="35"/>
        <v>PETROSEA, PTAGS</v>
      </c>
    </row>
    <row r="467" spans="2:17" s="61" customFormat="1" ht="14.1" customHeight="1">
      <c r="B467" s="242"/>
      <c r="C467" s="268">
        <f>MATCH($B$427,INDEX(Master_Data!$B$152:$B$864,D466+1,1):'Master_Data'!$B$864,0)</f>
        <v>1</v>
      </c>
      <c r="D467" s="268">
        <f t="shared" si="36"/>
        <v>622</v>
      </c>
      <c r="E467" s="24">
        <v>41</v>
      </c>
      <c r="F467" s="22" t="str">
        <f>INDEX(Master_Data!$C$152:$L$864,D467,2)</f>
        <v>PETROSEA, PT</v>
      </c>
      <c r="G467" s="24" t="str">
        <f>INDEX(Master_Data!$C$152:$L$864,D467,3)</f>
        <v>V</v>
      </c>
      <c r="H467" s="24">
        <f>INDEX(Master_Data!$C$152:$L$864,D467,1)</f>
        <v>1</v>
      </c>
      <c r="I467" s="24" t="str">
        <f>INDEX(Master_Data!$C$152:$L$864,D467,4)</f>
        <v>SITE TIMIKA JULI</v>
      </c>
      <c r="J467" s="24" t="str">
        <f>INDEX(Master_Data!$C$152:$L$864,D467,5)</f>
        <v>JULI</v>
      </c>
      <c r="K467" s="137" t="str">
        <f>INDEX(Master_Data!$C$152:$L$864,D467,6)</f>
        <v>17-021/BKU-004/VIII/009</v>
      </c>
      <c r="L467" s="140" t="str">
        <f>INDEX(Master_Data!$C$152:$L$864,D467,7)</f>
        <v>010.019-17.53122139</v>
      </c>
      <c r="M467" s="140">
        <f>INDEX(Master_Data!$C$152:$L$864,D467,8)</f>
        <v>0</v>
      </c>
      <c r="N467" s="264"/>
      <c r="O467" s="245" t="e">
        <f t="shared" si="34"/>
        <v>#VALUE!</v>
      </c>
      <c r="Q467" s="169" t="str">
        <f t="shared" si="35"/>
        <v>PETROSEA, PTAGS</v>
      </c>
    </row>
    <row r="468" spans="2:17" s="61" customFormat="1" ht="14.1" customHeight="1">
      <c r="B468" s="242"/>
      <c r="C468" s="268">
        <f>MATCH($B$427,INDEX(Master_Data!$B$152:$B$864,D467+1,1):'Master_Data'!$B$864,0)</f>
        <v>1</v>
      </c>
      <c r="D468" s="268">
        <f t="shared" si="36"/>
        <v>623</v>
      </c>
      <c r="E468" s="24">
        <v>42</v>
      </c>
      <c r="F468" s="22" t="str">
        <f>INDEX(Master_Data!$C$152:$L$864,D468,2)</f>
        <v>PETROSEA, PT</v>
      </c>
      <c r="G468" s="24" t="str">
        <f>INDEX(Master_Data!$C$152:$L$864,D468,3)</f>
        <v>W</v>
      </c>
      <c r="H468" s="24">
        <f>INDEX(Master_Data!$C$152:$L$864,D468,1)</f>
        <v>1</v>
      </c>
      <c r="I468" s="24" t="str">
        <f>INDEX(Master_Data!$C$152:$L$864,D468,4)</f>
        <v>Installation Charges &amp; Monthly Charges POSB Sorong ( 14 - 31 Juli 2017 )</v>
      </c>
      <c r="J468" s="24" t="str">
        <f>INDEX(Master_Data!$C$152:$L$864,D468,5)</f>
        <v>14-31 JULI</v>
      </c>
      <c r="K468" s="137" t="str">
        <f>INDEX(Master_Data!$C$152:$L$864,D468,6)</f>
        <v>17-022/BKU-004/VIII/009</v>
      </c>
      <c r="L468" s="140" t="str">
        <f>INDEX(Master_Data!$C$152:$L$864,D468,7)</f>
        <v>010.019-17.53122150</v>
      </c>
      <c r="M468" s="140">
        <f>INDEX(Master_Data!$C$152:$L$864,D468,8)</f>
        <v>0</v>
      </c>
      <c r="N468" s="264"/>
      <c r="O468" s="245" t="e">
        <f t="shared" si="34"/>
        <v>#VALUE!</v>
      </c>
      <c r="Q468" s="169" t="str">
        <f t="shared" si="35"/>
        <v>PETROSEA, PTAGS</v>
      </c>
    </row>
    <row r="469" spans="2:17" s="61" customFormat="1" ht="14.1" customHeight="1">
      <c r="B469" s="242"/>
      <c r="C469" s="268">
        <f>MATCH($B$427,INDEX(Master_Data!$B$152:$B$864,D468+1,1):'Master_Data'!$B$864,0)</f>
        <v>1</v>
      </c>
      <c r="D469" s="268">
        <f t="shared" si="36"/>
        <v>624</v>
      </c>
      <c r="E469" s="24">
        <v>43</v>
      </c>
      <c r="F469" s="22" t="str">
        <f>INDEX(Master_Data!$C$152:$L$864,D469,2)</f>
        <v>PETROSEA, PT</v>
      </c>
      <c r="G469" s="24" t="str">
        <f>INDEX(Master_Data!$C$152:$L$864,D469,3)</f>
        <v>I</v>
      </c>
      <c r="H469" s="24">
        <f>INDEX(Master_Data!$C$152:$L$864,D469,1)</f>
        <v>1</v>
      </c>
      <c r="I469" s="24" t="str">
        <f>INDEX(Master_Data!$C$152:$L$864,D469,4)</f>
        <v>Monthly Charges ( Proporsional ) POSB Sorong ( 14 - 31 Juli 2017 )</v>
      </c>
      <c r="J469" s="24" t="str">
        <f>INDEX(Master_Data!$C$152:$L$864,D469,5)</f>
        <v>14-31 JULI</v>
      </c>
      <c r="K469" s="137" t="str">
        <f>INDEX(Master_Data!$C$152:$L$864,D469,6)</f>
        <v>17-023/BKU-004/VIII/009</v>
      </c>
      <c r="L469" s="140" t="str">
        <f>INDEX(Master_Data!$C$152:$L$864,D469,7)</f>
        <v>010.019-17.53122151</v>
      </c>
      <c r="M469" s="140">
        <f>INDEX(Master_Data!$C$152:$L$864,D469,8)</f>
        <v>0</v>
      </c>
      <c r="N469" s="264"/>
      <c r="O469" s="245" t="e">
        <f t="shared" si="34"/>
        <v>#VALUE!</v>
      </c>
      <c r="Q469" s="169" t="str">
        <f t="shared" si="35"/>
        <v>PETROSEA, PTAGS</v>
      </c>
    </row>
    <row r="470" spans="2:17" s="61" customFormat="1" ht="14.1" customHeight="1">
      <c r="B470" s="242"/>
      <c r="C470" s="268">
        <f>MATCH($B$427,INDEX(Master_Data!$B$152:$B$864,D469+1,1):'Master_Data'!$B$864,0)</f>
        <v>29</v>
      </c>
      <c r="D470" s="268">
        <f t="shared" ref="D470" si="37">D469+C470</f>
        <v>653</v>
      </c>
      <c r="E470" s="24">
        <v>44</v>
      </c>
      <c r="F470" s="22" t="str">
        <f>INDEX(Master_Data!$C$152:$L$864,D470,2)</f>
        <v>PUNCAK KEEMASAN LUMBUNG DUNIA, PT</v>
      </c>
      <c r="G470" s="24" t="str">
        <f>INDEX(Master_Data!$C$152:$L$864,D470,3)</f>
        <v>I</v>
      </c>
      <c r="H470" s="24">
        <f>INDEX(Master_Data!$C$152:$L$864,D470,1)</f>
        <v>1</v>
      </c>
      <c r="I470" s="24">
        <f>INDEX(Master_Data!$C$152:$L$864,D470,4)</f>
        <v>0</v>
      </c>
      <c r="J470" s="24">
        <f>INDEX(Master_Data!$C$152:$L$864,D470,5)</f>
        <v>0</v>
      </c>
      <c r="K470" s="137" t="str">
        <f>INDEX(Master_Data!$C$152:$L$864,D470,6)</f>
        <v>17-007/BKU-004/VIII/225</v>
      </c>
      <c r="L470" s="140" t="str">
        <f>INDEX(Master_Data!$C$152:$L$864,D470,7)</f>
        <v>010.018-17.04159740</v>
      </c>
      <c r="M470" s="140">
        <f>INDEX(Master_Data!$C$152:$L$864,D470,8)</f>
        <v>0</v>
      </c>
      <c r="N470" s="264"/>
      <c r="O470" s="245" t="e">
        <f t="shared" si="34"/>
        <v>#VALUE!</v>
      </c>
      <c r="Q470" s="169" t="str">
        <f t="shared" ref="Q470:Q471" si="38">CONCATENATE(F470,$B$427)</f>
        <v>PUNCAK KEEMASAN LUMBUNG DUNIA, PTAGS</v>
      </c>
    </row>
    <row r="471" spans="2:17" s="61" customFormat="1" ht="14.1" customHeight="1">
      <c r="B471" s="339"/>
      <c r="C471" s="269">
        <f>MATCH($B$427,INDEX(Master_Data!$B$152:$B$864,D470+1,1):'Master_Data'!$B$864,0)</f>
        <v>1</v>
      </c>
      <c r="D471" s="269">
        <f t="shared" ref="D471" si="39">D470+C471</f>
        <v>654</v>
      </c>
      <c r="E471" s="27">
        <v>45</v>
      </c>
      <c r="F471" s="138" t="str">
        <f>INDEX(Master_Data!$C$152:$L$864,D471,2)</f>
        <v>PUNCAK KEEMASAN LUMBUNG DUNIA, PT</v>
      </c>
      <c r="G471" s="27">
        <f>INDEX(Master_Data!$C$152:$L$864,D471,3)</f>
        <v>0</v>
      </c>
      <c r="H471" s="27">
        <f>INDEX(Master_Data!$C$152:$L$864,D471,1)</f>
        <v>28</v>
      </c>
      <c r="I471" s="27">
        <f>INDEX(Master_Data!$C$152:$L$864,D471,4)</f>
        <v>0</v>
      </c>
      <c r="J471" s="27">
        <f>INDEX(Master_Data!$C$152:$L$864,D471,5)</f>
        <v>0</v>
      </c>
      <c r="K471" s="1004" t="str">
        <f>INDEX(Master_Data!$C$152:$L$864,D471,6)</f>
        <v>17-008/BKU-004/VIII/225</v>
      </c>
      <c r="L471" s="141" t="str">
        <f>INDEX(Master_Data!$C$152:$L$864,D471,7)</f>
        <v>010.019-17.53122149</v>
      </c>
      <c r="M471" s="141">
        <f>INDEX(Master_Data!$C$152:$L$864,D471,8)</f>
        <v>0</v>
      </c>
      <c r="N471" s="265"/>
      <c r="O471" s="305" t="e">
        <f t="shared" si="34"/>
        <v>#VALUE!</v>
      </c>
      <c r="Q471" s="169" t="str">
        <f t="shared" si="38"/>
        <v>PUNCAK KEEMASAN LUMBUNG DUNIA, PTAGS</v>
      </c>
    </row>
    <row r="472" spans="2:17" ht="20.25" customHeight="1">
      <c r="B472" s="1758" t="s">
        <v>7</v>
      </c>
      <c r="C472" s="1758"/>
      <c r="D472" s="1758"/>
      <c r="E472" s="1758"/>
      <c r="F472" s="1758"/>
      <c r="G472" s="1758"/>
      <c r="H472" s="1758"/>
      <c r="I472" s="1758"/>
      <c r="J472" s="1758"/>
      <c r="K472" s="12">
        <f>SUM(K427:K471)</f>
        <v>0</v>
      </c>
      <c r="L472" s="142">
        <f>SUM(L427:L471)</f>
        <v>0</v>
      </c>
      <c r="M472" s="142">
        <f>SUM(M427:M471)</f>
        <v>88000000</v>
      </c>
      <c r="N472" s="12">
        <f>SUM(N427:N471)</f>
        <v>0</v>
      </c>
      <c r="O472" s="13" t="e">
        <f>SUM(O427:O471)</f>
        <v>#VALUE!</v>
      </c>
    </row>
    <row r="474" spans="2:17" s="7" customFormat="1" ht="15" customHeight="1">
      <c r="B474" s="1759" t="s">
        <v>198</v>
      </c>
      <c r="C474" s="1760" t="s">
        <v>200</v>
      </c>
      <c r="D474" s="1760"/>
      <c r="E474" s="1759" t="s">
        <v>6</v>
      </c>
      <c r="F474" s="1758" t="s">
        <v>3</v>
      </c>
      <c r="G474" s="1761" t="s">
        <v>141</v>
      </c>
      <c r="H474" s="1758" t="s">
        <v>602</v>
      </c>
      <c r="I474" s="1758"/>
      <c r="J474" s="1758"/>
      <c r="K474" s="1758"/>
      <c r="L474" s="1758"/>
      <c r="M474" s="1758"/>
      <c r="N474" s="1758"/>
      <c r="O474" s="1758"/>
    </row>
    <row r="475" spans="2:17" s="7" customFormat="1" ht="15" customHeight="1">
      <c r="B475" s="1759"/>
      <c r="C475" s="1764" t="s">
        <v>196</v>
      </c>
      <c r="D475" s="1764" t="s">
        <v>197</v>
      </c>
      <c r="E475" s="1759"/>
      <c r="F475" s="1758"/>
      <c r="G475" s="1762"/>
      <c r="H475" s="1766" t="s">
        <v>15</v>
      </c>
      <c r="I475" s="1766" t="s">
        <v>51</v>
      </c>
      <c r="J475" s="1766" t="s">
        <v>12</v>
      </c>
      <c r="K475" s="1768" t="s">
        <v>11</v>
      </c>
      <c r="L475" s="1768" t="s">
        <v>53</v>
      </c>
      <c r="M475" s="1768" t="s">
        <v>1</v>
      </c>
      <c r="N475" s="1770" t="s">
        <v>50</v>
      </c>
      <c r="O475" s="1770"/>
    </row>
    <row r="476" spans="2:17" s="7" customFormat="1">
      <c r="B476" s="1759"/>
      <c r="C476" s="1765"/>
      <c r="D476" s="1765"/>
      <c r="E476" s="1759"/>
      <c r="F476" s="1758"/>
      <c r="G476" s="1763"/>
      <c r="H476" s="1767"/>
      <c r="I476" s="1767"/>
      <c r="J476" s="1767"/>
      <c r="K476" s="1769"/>
      <c r="L476" s="1769"/>
      <c r="M476" s="1769"/>
      <c r="N476" s="397" t="s">
        <v>54</v>
      </c>
      <c r="O476" s="397" t="s">
        <v>55</v>
      </c>
      <c r="Q476" s="168" t="s">
        <v>235</v>
      </c>
    </row>
    <row r="477" spans="2:17" s="7" customFormat="1" ht="14.1" customHeight="1">
      <c r="B477" s="337" t="s">
        <v>244</v>
      </c>
      <c r="C477" s="151">
        <f>MATCH(B477,Master_Data!$B$186:$B$864,0)</f>
        <v>21</v>
      </c>
      <c r="D477" s="151">
        <f>C477</f>
        <v>21</v>
      </c>
      <c r="E477" s="20">
        <v>1</v>
      </c>
      <c r="F477" s="75" t="str">
        <f>INDEX(Master_Data!$C$186:$L$864,D477,2)</f>
        <v>DUTA TAMBANG REKAYASA, PT</v>
      </c>
      <c r="G477" s="20" t="str">
        <f>INDEX(Master_Data!$C$186:$L$864,D477,3)</f>
        <v>W</v>
      </c>
      <c r="H477" s="20">
        <f>INDEX(Master_Data!$C$186:$L$864,D477,1)</f>
        <v>7</v>
      </c>
      <c r="I477" s="20" t="str">
        <f>INDEX(Master_Data!$C$186:$L$864,D477,4)</f>
        <v>WDL 4 Mbps Site Sebakis Nunukan</v>
      </c>
      <c r="J477" s="20" t="str">
        <f>INDEX(Master_Data!$C$186:$L$864,D477,5)</f>
        <v>AGUSTUS</v>
      </c>
      <c r="K477" s="134" t="str">
        <f>INDEX(Master_Data!$C$186:$L$864,D477,6)</f>
        <v>17-004/BKU-004/IX/243</v>
      </c>
      <c r="L477" s="139" t="str">
        <f>INDEX(Master_Data!$C$186:$L$864,D477,7)</f>
        <v>010.019-17.53122200</v>
      </c>
      <c r="M477" s="139">
        <f>INDEX(Master_Data!$C$186:$L$864,D477,8)</f>
        <v>0</v>
      </c>
      <c r="N477" s="266"/>
      <c r="O477" s="272" t="e">
        <f>L477+M477</f>
        <v>#VALUE!</v>
      </c>
      <c r="Q477" s="169" t="str">
        <f>CONCATENATE(F477,$B$477)</f>
        <v>DUTA TAMBANG REKAYASA, PTSEP</v>
      </c>
    </row>
    <row r="478" spans="2:17" s="61" customFormat="1" ht="14.1" customHeight="1">
      <c r="B478" s="338"/>
      <c r="C478" s="268">
        <f>MATCH($B$477,INDEX(Master_Data!$B$186:$B$864,D477+1,1):'Master_Data'!$B$864,0)</f>
        <v>78</v>
      </c>
      <c r="D478" s="268">
        <f>D477+C478</f>
        <v>99</v>
      </c>
      <c r="E478" s="54">
        <v>2</v>
      </c>
      <c r="F478" s="22" t="str">
        <f>INDEX(Master_Data!$C$186:$L$864,D478,2)</f>
        <v>HARMONI PANCA UTAMA, PT</v>
      </c>
      <c r="G478" s="24" t="str">
        <f>INDEX(Master_Data!$C$186:$L$864,D478,3)</f>
        <v>M</v>
      </c>
      <c r="H478" s="24">
        <f>INDEX(Master_Data!$C$186:$L$864,D478,1)</f>
        <v>11</v>
      </c>
      <c r="I478" s="24" t="str">
        <f>INDEX(Master_Data!$C$186:$L$864,D478,4)</f>
        <v>MPLS 5 Mbps Site Head Office</v>
      </c>
      <c r="J478" s="24" t="str">
        <f>INDEX(Master_Data!$C$186:$L$864,D478,5)</f>
        <v>AGUSTUS</v>
      </c>
      <c r="K478" s="136" t="str">
        <f>INDEX(Master_Data!$C$186:$L$864,D478,6)</f>
        <v>17-060/BKU-004/IX/159</v>
      </c>
      <c r="L478" s="140" t="str">
        <f>INDEX(Master_Data!$C$186:$L$864,D478,7)</f>
        <v>010.019-17.53122207</v>
      </c>
      <c r="M478" s="140">
        <f>INDEX(Master_Data!$C$186:$L$864,D478,8)</f>
        <v>0</v>
      </c>
      <c r="N478" s="264"/>
      <c r="O478" s="245" t="e">
        <f t="shared" ref="O478:O487" si="40">L478+M478</f>
        <v>#VALUE!</v>
      </c>
      <c r="Q478" s="169" t="str">
        <f t="shared" ref="Q478:Q528" si="41">CONCATENATE(F478,$B$477)</f>
        <v>HARMONI PANCA UTAMA, PTSEP</v>
      </c>
    </row>
    <row r="479" spans="2:17" s="61" customFormat="1" ht="14.1" customHeight="1">
      <c r="B479" s="338"/>
      <c r="C479" s="268">
        <f>MATCH($B$477,INDEX(Master_Data!$B$186:$B$864,D478+1,1):'Master_Data'!$B$864,0)</f>
        <v>1</v>
      </c>
      <c r="D479" s="268">
        <f t="shared" ref="D479:D528" si="42">D478+C479</f>
        <v>100</v>
      </c>
      <c r="E479" s="24">
        <v>3</v>
      </c>
      <c r="F479" s="22" t="str">
        <f>INDEX(Master_Data!$C$186:$L$864,D479,2)</f>
        <v>HARMONI PANCA UTAMA, PT</v>
      </c>
      <c r="G479" s="24" t="str">
        <f>INDEX(Master_Data!$C$186:$L$864,D479,3)</f>
        <v>M</v>
      </c>
      <c r="H479" s="24">
        <f>INDEX(Master_Data!$C$186:$L$864,D479,1)</f>
        <v>11</v>
      </c>
      <c r="I479" s="24" t="str">
        <f>INDEX(Master_Data!$C$186:$L$864,D479,4)</f>
        <v>MPLS 512 Kbps Site PDU</v>
      </c>
      <c r="J479" s="24" t="str">
        <f>INDEX(Master_Data!$C$186:$L$864,D479,5)</f>
        <v>AGUSTUS</v>
      </c>
      <c r="K479" s="136" t="str">
        <f>INDEX(Master_Data!$C$186:$L$864,D479,6)</f>
        <v>17-061/BKU-004/IX/159</v>
      </c>
      <c r="L479" s="140" t="str">
        <f>INDEX(Master_Data!$C$186:$L$864,D479,7)</f>
        <v>010.019-17.53122208</v>
      </c>
      <c r="M479" s="140">
        <f>INDEX(Master_Data!$C$186:$L$864,D479,8)</f>
        <v>0</v>
      </c>
      <c r="N479" s="264"/>
      <c r="O479" s="245" t="e">
        <f t="shared" si="40"/>
        <v>#VALUE!</v>
      </c>
      <c r="Q479" s="169" t="str">
        <f t="shared" si="41"/>
        <v>HARMONI PANCA UTAMA, PTSEP</v>
      </c>
    </row>
    <row r="480" spans="2:17" s="61" customFormat="1" ht="14.1" customHeight="1">
      <c r="B480" s="338"/>
      <c r="C480" s="268">
        <f>MATCH($B$477,INDEX(Master_Data!$B$186:$B$864,D479+1,1):'Master_Data'!$B$864,0)</f>
        <v>1</v>
      </c>
      <c r="D480" s="268">
        <f t="shared" si="42"/>
        <v>101</v>
      </c>
      <c r="E480" s="54">
        <v>4</v>
      </c>
      <c r="F480" s="22" t="str">
        <f>INDEX(Master_Data!$C$186:$L$864,D480,2)</f>
        <v>HARMONI PANCA UTAMA, PT</v>
      </c>
      <c r="G480" s="24" t="str">
        <f>INDEX(Master_Data!$C$186:$L$864,D480,3)</f>
        <v>M</v>
      </c>
      <c r="H480" s="24">
        <f>INDEX(Master_Data!$C$186:$L$864,D480,1)</f>
        <v>11</v>
      </c>
      <c r="I480" s="24" t="str">
        <f>INDEX(Master_Data!$C$186:$L$864,D480,4)</f>
        <v>MPLS 1 Mbps Site DMI</v>
      </c>
      <c r="J480" s="24" t="str">
        <f>INDEX(Master_Data!$C$186:$L$864,D480,5)</f>
        <v>AGUSTUS</v>
      </c>
      <c r="K480" s="136" t="str">
        <f>INDEX(Master_Data!$C$186:$L$864,D480,6)</f>
        <v>17-062/BKU-004/IX/159</v>
      </c>
      <c r="L480" s="140" t="str">
        <f>INDEX(Master_Data!$C$186:$L$864,D480,7)</f>
        <v>010.019-17.53122209</v>
      </c>
      <c r="M480" s="140">
        <f>INDEX(Master_Data!$C$186:$L$864,D480,8)</f>
        <v>0</v>
      </c>
      <c r="N480" s="264"/>
      <c r="O480" s="245" t="e">
        <f t="shared" si="40"/>
        <v>#VALUE!</v>
      </c>
      <c r="Q480" s="169" t="str">
        <f t="shared" si="41"/>
        <v>HARMONI PANCA UTAMA, PTSEP</v>
      </c>
    </row>
    <row r="481" spans="2:17" s="61" customFormat="1" ht="14.1" customHeight="1">
      <c r="B481" s="338"/>
      <c r="C481" s="268">
        <f>MATCH($B$477,INDEX(Master_Data!$B$186:$B$864,D480+1,1):'Master_Data'!$B$864,0)</f>
        <v>1</v>
      </c>
      <c r="D481" s="268">
        <f t="shared" si="42"/>
        <v>102</v>
      </c>
      <c r="E481" s="24">
        <v>5</v>
      </c>
      <c r="F481" s="22" t="str">
        <f>INDEX(Master_Data!$C$186:$L$864,D481,2)</f>
        <v>HARMONI PANCA UTAMA, PT</v>
      </c>
      <c r="G481" s="24" t="str">
        <f>INDEX(Master_Data!$C$186:$L$864,D481,3)</f>
        <v>M</v>
      </c>
      <c r="H481" s="24">
        <f>INDEX(Master_Data!$C$186:$L$864,D481,1)</f>
        <v>11</v>
      </c>
      <c r="I481" s="24" t="str">
        <f>INDEX(Master_Data!$C$186:$L$864,D481,4)</f>
        <v>MPLS 512 Kbps Site Sekayan</v>
      </c>
      <c r="J481" s="24" t="str">
        <f>INDEX(Master_Data!$C$186:$L$864,D481,5)</f>
        <v>AGUSTUS</v>
      </c>
      <c r="K481" s="136" t="str">
        <f>INDEX(Master_Data!$C$186:$L$864,D481,6)</f>
        <v>17-063/BKU-004/IX/159</v>
      </c>
      <c r="L481" s="140" t="str">
        <f>INDEX(Master_Data!$C$186:$L$864,D481,7)</f>
        <v>010.019-17.53122210</v>
      </c>
      <c r="M481" s="140">
        <f>INDEX(Master_Data!$C$186:$L$864,D481,8)</f>
        <v>0</v>
      </c>
      <c r="N481" s="264"/>
      <c r="O481" s="245" t="e">
        <f t="shared" si="40"/>
        <v>#VALUE!</v>
      </c>
      <c r="Q481" s="169" t="str">
        <f t="shared" si="41"/>
        <v>HARMONI PANCA UTAMA, PTSEP</v>
      </c>
    </row>
    <row r="482" spans="2:17" s="61" customFormat="1" ht="14.1" customHeight="1">
      <c r="B482" s="338"/>
      <c r="C482" s="268">
        <f>MATCH($B$477,INDEX(Master_Data!$B$186:$B$864,D481+1,1):'Master_Data'!$B$864,0)</f>
        <v>1</v>
      </c>
      <c r="D482" s="268">
        <f t="shared" si="42"/>
        <v>103</v>
      </c>
      <c r="E482" s="54">
        <v>6</v>
      </c>
      <c r="F482" s="22" t="str">
        <f>INDEX(Master_Data!$C$186:$L$864,D482,2)</f>
        <v>HARMONI PANCA UTAMA, PT</v>
      </c>
      <c r="G482" s="24" t="str">
        <f>INDEX(Master_Data!$C$186:$L$864,D482,3)</f>
        <v>V</v>
      </c>
      <c r="H482" s="24">
        <f>INDEX(Master_Data!$C$186:$L$864,D482,1)</f>
        <v>11</v>
      </c>
      <c r="I482" s="24" t="str">
        <f>INDEX(Master_Data!$C$186:$L$864,D482,4)</f>
        <v>Sewa VSAT SCPC 512/768 Kbps Site MGA Office</v>
      </c>
      <c r="J482" s="24" t="str">
        <f>INDEX(Master_Data!$C$186:$L$864,D482,5)</f>
        <v>AGUSTUS</v>
      </c>
      <c r="K482" s="136" t="str">
        <f>INDEX(Master_Data!$C$186:$L$864,D482,6)</f>
        <v>17-064/BKU-004/IX/159</v>
      </c>
      <c r="L482" s="140" t="str">
        <f>INDEX(Master_Data!$C$186:$L$864,D482,7)</f>
        <v>010.019-17.53122211</v>
      </c>
      <c r="M482" s="140">
        <f>INDEX(Master_Data!$C$186:$L$864,D482,8)</f>
        <v>0</v>
      </c>
      <c r="N482" s="264"/>
      <c r="O482" s="245" t="e">
        <f t="shared" si="40"/>
        <v>#VALUE!</v>
      </c>
      <c r="Q482" s="169" t="str">
        <f t="shared" si="41"/>
        <v>HARMONI PANCA UTAMA, PTSEP</v>
      </c>
    </row>
    <row r="483" spans="2:17" s="61" customFormat="1" ht="14.1" customHeight="1">
      <c r="B483" s="338"/>
      <c r="C483" s="268">
        <f>MATCH($B$477,INDEX(Master_Data!$B$186:$B$864,D482+1,1):'Master_Data'!$B$864,0)</f>
        <v>1</v>
      </c>
      <c r="D483" s="268">
        <f t="shared" si="42"/>
        <v>104</v>
      </c>
      <c r="E483" s="24">
        <v>7</v>
      </c>
      <c r="F483" s="22" t="str">
        <f>INDEX(Master_Data!$C$186:$L$864,D483,2)</f>
        <v>HARMONI PANCA UTAMA, PT</v>
      </c>
      <c r="G483" s="24" t="str">
        <f>INDEX(Master_Data!$C$186:$L$864,D483,3)</f>
        <v>V</v>
      </c>
      <c r="H483" s="24">
        <f>INDEX(Master_Data!$C$186:$L$864,D483,1)</f>
        <v>11</v>
      </c>
      <c r="I483" s="24" t="str">
        <f>INDEX(Master_Data!$C$186:$L$864,D483,4)</f>
        <v>Sewa VSAT 128/256 Kbps Site RUB Ex PPA</v>
      </c>
      <c r="J483" s="24" t="str">
        <f>INDEX(Master_Data!$C$186:$L$864,D483,5)</f>
        <v>AGUSTUS</v>
      </c>
      <c r="K483" s="136" t="str">
        <f>INDEX(Master_Data!$C$186:$L$864,D483,6)</f>
        <v>17-065/BKU-004/IX/159</v>
      </c>
      <c r="L483" s="140" t="str">
        <f>INDEX(Master_Data!$C$186:$L$864,D483,7)</f>
        <v>010.019-17.53122212</v>
      </c>
      <c r="M483" s="140">
        <f>INDEX(Master_Data!$C$186:$L$864,D483,8)</f>
        <v>0</v>
      </c>
      <c r="N483" s="264"/>
      <c r="O483" s="245" t="e">
        <f t="shared" si="40"/>
        <v>#VALUE!</v>
      </c>
      <c r="Q483" s="169" t="str">
        <f t="shared" si="41"/>
        <v>HARMONI PANCA UTAMA, PTSEP</v>
      </c>
    </row>
    <row r="484" spans="2:17" s="61" customFormat="1" ht="14.1" customHeight="1">
      <c r="B484" s="338"/>
      <c r="C484" s="268">
        <f>MATCH($B$477,INDEX(Master_Data!$B$186:$B$864,D483+1,1):'Master_Data'!$B$864,0)</f>
        <v>1</v>
      </c>
      <c r="D484" s="268">
        <f t="shared" si="42"/>
        <v>105</v>
      </c>
      <c r="E484" s="54">
        <v>8</v>
      </c>
      <c r="F484" s="22" t="str">
        <f>INDEX(Master_Data!$C$186:$L$864,D484,2)</f>
        <v>HARMONI PANCA UTAMA, PT</v>
      </c>
      <c r="G484" s="24" t="str">
        <f>INDEX(Master_Data!$C$186:$L$864,D484,3)</f>
        <v>V</v>
      </c>
      <c r="H484" s="24">
        <f>INDEX(Master_Data!$C$186:$L$864,D484,1)</f>
        <v>11</v>
      </c>
      <c r="I484" s="24" t="str">
        <f>INDEX(Master_Data!$C$186:$L$864,D484,4)</f>
        <v>Sewa VSAT SCPC 512/256 Kbps Site KMO</v>
      </c>
      <c r="J484" s="24" t="str">
        <f>INDEX(Master_Data!$C$186:$L$864,D484,5)</f>
        <v>AGUSTUS</v>
      </c>
      <c r="K484" s="136" t="str">
        <f>INDEX(Master_Data!$C$186:$L$864,D484,6)</f>
        <v>17-066/BKU-004/IX/159</v>
      </c>
      <c r="L484" s="140" t="str">
        <f>INDEX(Master_Data!$C$186:$L$864,D484,7)</f>
        <v>010.019-17.53122213</v>
      </c>
      <c r="M484" s="140">
        <f>INDEX(Master_Data!$C$186:$L$864,D484,8)</f>
        <v>0</v>
      </c>
      <c r="N484" s="264"/>
      <c r="O484" s="245" t="e">
        <f t="shared" si="40"/>
        <v>#VALUE!</v>
      </c>
      <c r="Q484" s="169" t="str">
        <f t="shared" si="41"/>
        <v>HARMONI PANCA UTAMA, PTSEP</v>
      </c>
    </row>
    <row r="485" spans="2:17" s="61" customFormat="1" ht="14.1" customHeight="1">
      <c r="B485" s="338"/>
      <c r="C485" s="268">
        <f>MATCH($B$477,INDEX(Master_Data!$B$186:$B$864,D484+1,1):'Master_Data'!$B$864,0)</f>
        <v>1</v>
      </c>
      <c r="D485" s="268">
        <f t="shared" si="42"/>
        <v>106</v>
      </c>
      <c r="E485" s="24">
        <v>9</v>
      </c>
      <c r="F485" s="22" t="str">
        <f>INDEX(Master_Data!$C$186:$L$864,D485,2)</f>
        <v>HARMONI PANCA UTAMA, PT</v>
      </c>
      <c r="G485" s="24" t="str">
        <f>INDEX(Master_Data!$C$186:$L$864,D485,3)</f>
        <v>V</v>
      </c>
      <c r="H485" s="24">
        <f>INDEX(Master_Data!$C$186:$L$864,D485,1)</f>
        <v>11</v>
      </c>
      <c r="I485" s="24" t="str">
        <f>INDEX(Master_Data!$C$186:$L$864,D485,4)</f>
        <v xml:space="preserve">Sewa VSAT 256/128 Kbps Site KMO (PORT) Kelubir </v>
      </c>
      <c r="J485" s="24" t="str">
        <f>INDEX(Master_Data!$C$186:$L$864,D485,5)</f>
        <v>SEPTEMBER</v>
      </c>
      <c r="K485" s="136" t="str">
        <f>INDEX(Master_Data!$C$186:$L$864,D485,6)</f>
        <v>17-067/BKU-004/IX/159</v>
      </c>
      <c r="L485" s="140" t="str">
        <f>INDEX(Master_Data!$C$186:$L$864,D485,7)</f>
        <v>010.019-17.53122214</v>
      </c>
      <c r="M485" s="140">
        <f>INDEX(Master_Data!$C$186:$L$864,D485,8)</f>
        <v>0</v>
      </c>
      <c r="N485" s="264"/>
      <c r="O485" s="245" t="e">
        <f t="shared" si="40"/>
        <v>#VALUE!</v>
      </c>
      <c r="Q485" s="169" t="str">
        <f t="shared" si="41"/>
        <v>HARMONI PANCA UTAMA, PTSEP</v>
      </c>
    </row>
    <row r="486" spans="2:17" s="61" customFormat="1" ht="14.1" customHeight="1">
      <c r="B486" s="338"/>
      <c r="C486" s="268">
        <f>MATCH($B$477,INDEX(Master_Data!$B$186:$B$864,D485+1,1):'Master_Data'!$B$864,0)</f>
        <v>102</v>
      </c>
      <c r="D486" s="268">
        <f t="shared" si="42"/>
        <v>208</v>
      </c>
      <c r="E486" s="54">
        <v>10</v>
      </c>
      <c r="F486" s="22" t="str">
        <f>INDEX(Master_Data!$C$186:$L$864,D486,2)</f>
        <v>HUTAN KETAPANG INDUSTRI, PT</v>
      </c>
      <c r="G486" s="24" t="str">
        <f>INDEX(Master_Data!$C$186:$L$864,D486,3)</f>
        <v>V</v>
      </c>
      <c r="H486" s="24">
        <f>INDEX(Master_Data!$C$186:$L$864,D486,1)</f>
        <v>4</v>
      </c>
      <c r="I486" s="24" t="str">
        <f>INDEX(Master_Data!$C$186:$L$864,D486,4)</f>
        <v>Site HKI 1</v>
      </c>
      <c r="J486" s="24" t="str">
        <f>INDEX(Master_Data!$C$186:$L$864,D486,5)</f>
        <v>AGUSTUS</v>
      </c>
      <c r="K486" s="136" t="str">
        <f>INDEX(Master_Data!$C$186:$L$864,D486,6)</f>
        <v>17-035/BKU-004/IX/204</v>
      </c>
      <c r="L486" s="140" t="str">
        <f>INDEX(Master_Data!$C$186:$L$864,D486,7)</f>
        <v>010.019-17.53122153</v>
      </c>
      <c r="M486" s="140">
        <f>INDEX(Master_Data!$C$186:$L$864,D486,8)</f>
        <v>0</v>
      </c>
      <c r="N486" s="264"/>
      <c r="O486" s="245" t="e">
        <f t="shared" si="40"/>
        <v>#VALUE!</v>
      </c>
      <c r="Q486" s="169" t="str">
        <f t="shared" si="41"/>
        <v>HUTAN KETAPANG INDUSTRI, PTSEP</v>
      </c>
    </row>
    <row r="487" spans="2:17" s="61" customFormat="1" ht="14.1" customHeight="1">
      <c r="B487" s="338"/>
      <c r="C487" s="268">
        <f>MATCH($B$477,INDEX(Master_Data!$B$186:$B$864,D486+1,1):'Master_Data'!$B$864,0)</f>
        <v>1</v>
      </c>
      <c r="D487" s="268">
        <f t="shared" si="42"/>
        <v>209</v>
      </c>
      <c r="E487" s="24">
        <v>11</v>
      </c>
      <c r="F487" s="22" t="str">
        <f>INDEX(Master_Data!$C$186:$L$864,D487,2)</f>
        <v>HUTAN KETAPANG INDUSTRI, PT</v>
      </c>
      <c r="G487" s="24" t="str">
        <f>INDEX(Master_Data!$C$186:$L$864,D487,3)</f>
        <v>V</v>
      </c>
      <c r="H487" s="24">
        <f>INDEX(Master_Data!$C$186:$L$864,D487,1)</f>
        <v>4</v>
      </c>
      <c r="I487" s="24" t="str">
        <f>INDEX(Master_Data!$C$186:$L$864,D487,4)</f>
        <v>Site HKI 2</v>
      </c>
      <c r="J487" s="24" t="str">
        <f>INDEX(Master_Data!$C$186:$L$864,D487,5)</f>
        <v>AGUSTUS</v>
      </c>
      <c r="K487" s="136" t="str">
        <f>INDEX(Master_Data!$C$186:$L$864,D487,6)</f>
        <v>17-036/BKU-004/IX/204</v>
      </c>
      <c r="L487" s="140" t="str">
        <f>INDEX(Master_Data!$C$186:$L$864,D487,7)</f>
        <v>010.019-17.53122154</v>
      </c>
      <c r="M487" s="140">
        <f>INDEX(Master_Data!$C$186:$L$864,D487,8)</f>
        <v>0</v>
      </c>
      <c r="N487" s="264"/>
      <c r="O487" s="245" t="e">
        <f t="shared" si="40"/>
        <v>#VALUE!</v>
      </c>
      <c r="Q487" s="169" t="str">
        <f t="shared" si="41"/>
        <v>HUTAN KETAPANG INDUSTRI, PTSEP</v>
      </c>
    </row>
    <row r="488" spans="2:17" s="61" customFormat="1" ht="14.1" customHeight="1">
      <c r="B488" s="338"/>
      <c r="C488" s="268">
        <f>MATCH($B$477,INDEX(Master_Data!$B$186:$B$864,D487+1,1):'Master_Data'!$B$864,0)</f>
        <v>1</v>
      </c>
      <c r="D488" s="268">
        <f t="shared" si="42"/>
        <v>210</v>
      </c>
      <c r="E488" s="54">
        <v>12</v>
      </c>
      <c r="F488" s="22" t="str">
        <f>INDEX(Master_Data!$C$186:$L$864,D488,2)</f>
        <v>HUTAN KETAPANG INDUSTRI, PT</v>
      </c>
      <c r="G488" s="24" t="str">
        <f>INDEX(Master_Data!$C$186:$L$864,D488,3)</f>
        <v>V</v>
      </c>
      <c r="H488" s="24">
        <f>INDEX(Master_Data!$C$186:$L$864,D488,1)</f>
        <v>4</v>
      </c>
      <c r="I488" s="24" t="str">
        <f>INDEX(Master_Data!$C$186:$L$864,D488,4)</f>
        <v>Site HKI 5</v>
      </c>
      <c r="J488" s="24" t="str">
        <f>INDEX(Master_Data!$C$186:$L$864,D488,5)</f>
        <v>AGUSTUS</v>
      </c>
      <c r="K488" s="136" t="str">
        <f>INDEX(Master_Data!$C$186:$L$864,D488,6)</f>
        <v>17-037/BKU-004/IX/204</v>
      </c>
      <c r="L488" s="140" t="str">
        <f>INDEX(Master_Data!$C$186:$L$864,D488,7)</f>
        <v>010.019-17.53122155</v>
      </c>
      <c r="M488" s="140">
        <f>INDEX(Master_Data!$C$186:$L$864,D488,8)</f>
        <v>0</v>
      </c>
      <c r="N488" s="149"/>
      <c r="O488" s="245" t="e">
        <f>L488+M488</f>
        <v>#VALUE!</v>
      </c>
      <c r="Q488" s="169" t="str">
        <f t="shared" si="41"/>
        <v>HUTAN KETAPANG INDUSTRI, PTSEP</v>
      </c>
    </row>
    <row r="489" spans="2:17" s="61" customFormat="1" ht="14.1" customHeight="1">
      <c r="B489" s="338"/>
      <c r="C489" s="268">
        <f>MATCH($B$477,INDEX(Master_Data!$B$186:$B$864,D488+1,1):'Master_Data'!$B$864,0)</f>
        <v>1</v>
      </c>
      <c r="D489" s="268">
        <f t="shared" si="42"/>
        <v>211</v>
      </c>
      <c r="E489" s="24">
        <v>13</v>
      </c>
      <c r="F489" s="22" t="str">
        <f>INDEX(Master_Data!$C$186:$L$864,D489,2)</f>
        <v>HUTAN KETAPANG INDUSTRI, PT</v>
      </c>
      <c r="G489" s="24" t="str">
        <f>INDEX(Master_Data!$C$186:$L$864,D489,3)</f>
        <v>V</v>
      </c>
      <c r="H489" s="24">
        <f>INDEX(Master_Data!$C$186:$L$864,D489,1)</f>
        <v>4</v>
      </c>
      <c r="I489" s="24" t="str">
        <f>INDEX(Master_Data!$C$186:$L$864,D489,4)</f>
        <v>Site HKI 6</v>
      </c>
      <c r="J489" s="24" t="str">
        <f>INDEX(Master_Data!$C$186:$L$864,D489,5)</f>
        <v>AGUSTUS</v>
      </c>
      <c r="K489" s="136" t="str">
        <f>INDEX(Master_Data!$C$186:$L$864,D489,6)</f>
        <v>17-038/BKU-004/IX/204</v>
      </c>
      <c r="L489" s="140" t="str">
        <f>INDEX(Master_Data!$C$186:$L$864,D489,7)</f>
        <v>010.019-17.53122156</v>
      </c>
      <c r="M489" s="140">
        <f>INDEX(Master_Data!$C$186:$L$864,D489,8)</f>
        <v>0</v>
      </c>
      <c r="N489" s="264"/>
      <c r="O489" s="245" t="e">
        <f>L489+M489</f>
        <v>#VALUE!</v>
      </c>
      <c r="Q489" s="169" t="str">
        <f t="shared" si="41"/>
        <v>HUTAN KETAPANG INDUSTRI, PTSEP</v>
      </c>
    </row>
    <row r="490" spans="2:17" s="61" customFormat="1" ht="14.1" customHeight="1">
      <c r="B490" s="242"/>
      <c r="C490" s="268">
        <f>MATCH($B$477,INDEX(Master_Data!$B$186:$B$864,D489+1,1):'Master_Data'!$B$864,0)</f>
        <v>28</v>
      </c>
      <c r="D490" s="268">
        <f t="shared" si="42"/>
        <v>239</v>
      </c>
      <c r="E490" s="54">
        <v>14</v>
      </c>
      <c r="F490" s="22" t="str">
        <f>INDEX(Master_Data!$C$186:$L$864,D490,2)</f>
        <v>KALIMANTAN PRIMA PERSADA, PT</v>
      </c>
      <c r="G490" s="24" t="str">
        <f>INDEX(Master_Data!$C$186:$L$864,D490,3)</f>
        <v>W</v>
      </c>
      <c r="H490" s="24">
        <f>INDEX(Master_Data!$C$186:$L$864,D490,1)</f>
        <v>8</v>
      </c>
      <c r="I490" s="24" t="str">
        <f>INDEX(Master_Data!$C$186:$L$864,D490,4)</f>
        <v>WAN 5 Mbps Site KPP Asto Muara Teweh-Kalteng</v>
      </c>
      <c r="J490" s="24" t="str">
        <f>INDEX(Master_Data!$C$186:$L$864,D490,5)</f>
        <v>JULI</v>
      </c>
      <c r="K490" s="136" t="str">
        <f>INDEX(Master_Data!$C$186:$L$864,D490,6)</f>
        <v>17-013/BKU-004/IX/208</v>
      </c>
      <c r="L490" s="140" t="str">
        <f>INDEX(Master_Data!$C$186:$L$864,D490,7)</f>
        <v>010.019-17.53122215</v>
      </c>
      <c r="M490" s="140">
        <f>INDEX(Master_Data!$C$186:$L$864,D490,8)</f>
        <v>0</v>
      </c>
      <c r="N490" s="149"/>
      <c r="O490" s="245" t="e">
        <f>L490+M490</f>
        <v>#VALUE!</v>
      </c>
      <c r="Q490" s="169" t="str">
        <f t="shared" si="41"/>
        <v>KALIMANTAN PRIMA PERSADA, PTSEP</v>
      </c>
    </row>
    <row r="491" spans="2:17" s="61" customFormat="1" ht="14.1" customHeight="1">
      <c r="B491" s="242"/>
      <c r="C491" s="268">
        <f>MATCH($B$477,INDEX(Master_Data!$B$186:$B$864,D490+1,1):'Master_Data'!$B$864,0)</f>
        <v>1</v>
      </c>
      <c r="D491" s="268">
        <f t="shared" si="42"/>
        <v>240</v>
      </c>
      <c r="E491" s="24">
        <v>15</v>
      </c>
      <c r="F491" s="22" t="str">
        <f>INDEX(Master_Data!$C$186:$L$864,D491,2)</f>
        <v>KALIMANTAN PRIMA PERSADA, PT</v>
      </c>
      <c r="G491" s="24" t="str">
        <f>INDEX(Master_Data!$C$186:$L$864,D491,3)</f>
        <v>W</v>
      </c>
      <c r="H491" s="24">
        <f>INDEX(Master_Data!$C$186:$L$864,D491,1)</f>
        <v>8</v>
      </c>
      <c r="I491" s="24" t="str">
        <f>INDEX(Master_Data!$C$186:$L$864,D491,4)</f>
        <v>WAN 5 Mbps Site Mass, SPUT, Loa Jana</v>
      </c>
      <c r="J491" s="24" t="str">
        <f>INDEX(Master_Data!$C$186:$L$864,D491,5)</f>
        <v>AGUSTUS</v>
      </c>
      <c r="K491" s="136" t="str">
        <f>INDEX(Master_Data!$C$186:$L$864,D491,6)</f>
        <v>17-014/BKU-004/IX/208</v>
      </c>
      <c r="L491" s="140" t="str">
        <f>INDEX(Master_Data!$C$186:$L$864,D491,7)</f>
        <v>010.019-17.53122216</v>
      </c>
      <c r="M491" s="140">
        <f>INDEX(Master_Data!$C$186:$L$864,D491,8)</f>
        <v>0</v>
      </c>
      <c r="N491" s="264"/>
      <c r="O491" s="245" t="e">
        <f>L491+M491</f>
        <v>#VALUE!</v>
      </c>
      <c r="Q491" s="169" t="str">
        <f t="shared" si="41"/>
        <v>KALIMANTAN PRIMA PERSADA, PTSEP</v>
      </c>
    </row>
    <row r="492" spans="2:17" s="61" customFormat="1" ht="14.1" customHeight="1">
      <c r="B492" s="242"/>
      <c r="C492" s="268">
        <f>MATCH($B$477,INDEX(Master_Data!$B$186:$B$864,D491+1,1):'Master_Data'!$B$864,0)</f>
        <v>17</v>
      </c>
      <c r="D492" s="268">
        <f t="shared" si="42"/>
        <v>257</v>
      </c>
      <c r="E492" s="54">
        <v>16</v>
      </c>
      <c r="F492" s="22" t="str">
        <f>INDEX(Master_Data!$C$186:$L$864,D492,2)</f>
        <v>KUSUMA MENTARI MAKMUR, PT</v>
      </c>
      <c r="G492" s="24" t="str">
        <f>INDEX(Master_Data!$C$186:$L$864,D492,3)</f>
        <v>V</v>
      </c>
      <c r="H492" s="24">
        <f>INDEX(Master_Data!$C$186:$L$864,D492,1)</f>
        <v>4</v>
      </c>
      <c r="I492" s="24" t="str">
        <f>INDEX(Master_Data!$C$186:$L$864,D492,4)</f>
        <v>Rental VSAT Site KMM</v>
      </c>
      <c r="J492" s="24" t="str">
        <f>INDEX(Master_Data!$C$186:$L$864,D492,5)</f>
        <v>AGUSTUS</v>
      </c>
      <c r="K492" s="136" t="str">
        <f>INDEX(Master_Data!$C$186:$L$864,D492,6)</f>
        <v>17-009/BKU-004/IX/224</v>
      </c>
      <c r="L492" s="140" t="str">
        <f>INDEX(Master_Data!$C$186:$L$864,D492,7)</f>
        <v>010.019-17.53122162</v>
      </c>
      <c r="M492" s="140">
        <f>INDEX(Master_Data!$C$186:$L$864,D492,8)</f>
        <v>0</v>
      </c>
      <c r="N492" s="149"/>
      <c r="O492" s="245" t="e">
        <f t="shared" ref="O492:O528" si="43">L492+M492</f>
        <v>#VALUE!</v>
      </c>
      <c r="Q492" s="169" t="str">
        <f t="shared" si="41"/>
        <v>KUSUMA MENTARI MAKMUR, PTSEP</v>
      </c>
    </row>
    <row r="493" spans="2:17" s="61" customFormat="1" ht="14.1" customHeight="1">
      <c r="B493" s="242"/>
      <c r="C493" s="268">
        <f>MATCH($B$477,INDEX(Master_Data!$B$186:$B$864,D492+1,1):'Master_Data'!$B$864,0)</f>
        <v>22</v>
      </c>
      <c r="D493" s="268">
        <f t="shared" si="42"/>
        <v>279</v>
      </c>
      <c r="E493" s="24">
        <v>17</v>
      </c>
      <c r="F493" s="22" t="str">
        <f>INDEX(Master_Data!$C$186:$L$864,D493,2)</f>
        <v>LANANG AGRO BERSATU, PT</v>
      </c>
      <c r="G493" s="24" t="str">
        <f>INDEX(Master_Data!$C$186:$L$864,D493,3)</f>
        <v>V</v>
      </c>
      <c r="H493" s="24">
        <f>INDEX(Master_Data!$C$186:$L$864,D493,1)</f>
        <v>4</v>
      </c>
      <c r="I493" s="24" t="str">
        <f>INDEX(Master_Data!$C$186:$L$864,D493,4)</f>
        <v>Monthly Charges VSAT LAB BSE</v>
      </c>
      <c r="J493" s="24" t="str">
        <f>INDEX(Master_Data!$C$186:$L$864,D493,5)</f>
        <v>AGUSTUS</v>
      </c>
      <c r="K493" s="136" t="str">
        <f>INDEX(Master_Data!$C$186:$L$864,D493,6)</f>
        <v>17-017/BKU-004/IX/210</v>
      </c>
      <c r="L493" s="140" t="str">
        <f>INDEX(Master_Data!$C$186:$L$864,D493,7)</f>
        <v>010.019-17.53122157</v>
      </c>
      <c r="M493" s="140">
        <f>INDEX(Master_Data!$C$186:$L$864,D493,8)</f>
        <v>22000000</v>
      </c>
      <c r="N493" s="264"/>
      <c r="O493" s="245" t="e">
        <f t="shared" si="43"/>
        <v>#VALUE!</v>
      </c>
      <c r="Q493" s="169" t="str">
        <f t="shared" si="41"/>
        <v>LANANG AGRO BERSATU, PTSEP</v>
      </c>
    </row>
    <row r="494" spans="2:17" s="61" customFormat="1" ht="14.1" customHeight="1">
      <c r="B494" s="242"/>
      <c r="C494" s="268">
        <f>MATCH($B$477,INDEX(Master_Data!$B$186:$B$864,D493+1,1):'Master_Data'!$B$864,0)</f>
        <v>1</v>
      </c>
      <c r="D494" s="268">
        <f t="shared" si="42"/>
        <v>280</v>
      </c>
      <c r="E494" s="54">
        <v>18</v>
      </c>
      <c r="F494" s="22" t="str">
        <f>INDEX(Master_Data!$C$186:$L$864,D494,2)</f>
        <v>LANANG AGRO BERSATU, PT</v>
      </c>
      <c r="G494" s="24" t="str">
        <f>INDEX(Master_Data!$C$186:$L$864,D494,3)</f>
        <v>V</v>
      </c>
      <c r="H494" s="24">
        <f>INDEX(Master_Data!$C$186:$L$864,D494,1)</f>
        <v>4</v>
      </c>
      <c r="I494" s="24" t="str">
        <f>INDEX(Master_Data!$C$186:$L$864,D494,4)</f>
        <v>Monthly Charges VSAT LAB BME</v>
      </c>
      <c r="J494" s="24" t="str">
        <f>INDEX(Master_Data!$C$186:$L$864,D494,5)</f>
        <v>AGUSTUS</v>
      </c>
      <c r="K494" s="136" t="str">
        <f>INDEX(Master_Data!$C$186:$L$864,D494,6)</f>
        <v>17-018/BKU-004/IX/210</v>
      </c>
      <c r="L494" s="140" t="str">
        <f>INDEX(Master_Data!$C$186:$L$864,D494,7)</f>
        <v>010.019-17.53122158</v>
      </c>
      <c r="M494" s="140">
        <f>INDEX(Master_Data!$C$186:$L$864,D494,8)</f>
        <v>0</v>
      </c>
      <c r="N494" s="264"/>
      <c r="O494" s="245" t="e">
        <f t="shared" si="43"/>
        <v>#VALUE!</v>
      </c>
      <c r="Q494" s="169" t="str">
        <f t="shared" si="41"/>
        <v>LANANG AGRO BERSATU, PTSEP</v>
      </c>
    </row>
    <row r="495" spans="2:17" s="61" customFormat="1" ht="14.1" customHeight="1">
      <c r="B495" s="242"/>
      <c r="C495" s="268">
        <f>MATCH($B$477,INDEX(Master_Data!$B$186:$B$864,D494+1,1):'Master_Data'!$B$864,0)</f>
        <v>58</v>
      </c>
      <c r="D495" s="268">
        <f t="shared" si="42"/>
        <v>338</v>
      </c>
      <c r="E495" s="24">
        <v>19</v>
      </c>
      <c r="F495" s="22" t="str">
        <f>INDEX(Master_Data!$C$186:$L$864,D495,2)</f>
        <v>MADHANI TALATAH NUSANTARA, PT</v>
      </c>
      <c r="G495" s="24" t="str">
        <f>INDEX(Master_Data!$C$186:$L$864,D495,3)</f>
        <v>W</v>
      </c>
      <c r="H495" s="24">
        <f>INDEX(Master_Data!$C$186:$L$864,D495,1)</f>
        <v>6</v>
      </c>
      <c r="I495" s="24" t="str">
        <f>INDEX(Master_Data!$C$186:$L$864,D495,4)</f>
        <v xml:space="preserve">Asam asam Project </v>
      </c>
      <c r="J495" s="24" t="str">
        <f>INDEX(Master_Data!$C$186:$L$864,D495,5)</f>
        <v>AGUSTUS</v>
      </c>
      <c r="K495" s="136" t="str">
        <f>INDEX(Master_Data!$C$186:$L$864,D495,6)</f>
        <v>17-052/BKU-004/IX/057</v>
      </c>
      <c r="L495" s="140" t="str">
        <f>INDEX(Master_Data!$C$186:$L$864,D495,7)</f>
        <v>010.019-17.53122178</v>
      </c>
      <c r="M495" s="140">
        <f>INDEX(Master_Data!$C$186:$L$864,D495,8)</f>
        <v>0</v>
      </c>
      <c r="N495" s="264"/>
      <c r="O495" s="245" t="e">
        <f t="shared" si="43"/>
        <v>#VALUE!</v>
      </c>
      <c r="Q495" s="169" t="str">
        <f t="shared" si="41"/>
        <v>MADHANI TALATAH NUSANTARA, PTSEP</v>
      </c>
    </row>
    <row r="496" spans="2:17" s="61" customFormat="1" ht="14.1" customHeight="1">
      <c r="B496" s="242"/>
      <c r="C496" s="268">
        <f>MATCH($B$477,INDEX(Master_Data!$B$186:$B$864,D495+1,1):'Master_Data'!$B$864,0)</f>
        <v>1</v>
      </c>
      <c r="D496" s="268">
        <f t="shared" si="42"/>
        <v>339</v>
      </c>
      <c r="E496" s="54">
        <v>20</v>
      </c>
      <c r="F496" s="22" t="str">
        <f>INDEX(Master_Data!$C$186:$L$864,D496,2)</f>
        <v>MADHANI TALATAH NUSANTARA, PT</v>
      </c>
      <c r="G496" s="24" t="str">
        <f>INDEX(Master_Data!$C$186:$L$864,D496,3)</f>
        <v>I</v>
      </c>
      <c r="H496" s="24">
        <f>INDEX(Master_Data!$C$186:$L$864,D496,1)</f>
        <v>6</v>
      </c>
      <c r="I496" s="24" t="str">
        <f>INDEX(Master_Data!$C$186:$L$864,D496,4)</f>
        <v>HO MTN Jakarta</v>
      </c>
      <c r="J496" s="24" t="str">
        <f>INDEX(Master_Data!$C$186:$L$864,D496,5)</f>
        <v>AGUSTUS</v>
      </c>
      <c r="K496" s="136" t="str">
        <f>INDEX(Master_Data!$C$186:$L$864,D496,6)</f>
        <v>17-053/BKU-004/IX/057</v>
      </c>
      <c r="L496" s="140" t="str">
        <f>INDEX(Master_Data!$C$186:$L$864,D496,7)</f>
        <v>010.019-17.53122179</v>
      </c>
      <c r="M496" s="140">
        <f>INDEX(Master_Data!$C$186:$L$864,D496,8)</f>
        <v>0</v>
      </c>
      <c r="N496" s="264"/>
      <c r="O496" s="245" t="e">
        <f t="shared" si="43"/>
        <v>#VALUE!</v>
      </c>
      <c r="Q496" s="169" t="str">
        <f t="shared" si="41"/>
        <v>MADHANI TALATAH NUSANTARA, PTSEP</v>
      </c>
    </row>
    <row r="497" spans="2:17" s="61" customFormat="1" ht="14.1" customHeight="1">
      <c r="B497" s="242"/>
      <c r="C497" s="268">
        <f>MATCH($B$477,INDEX(Master_Data!$B$186:$B$864,D496+1,1):'Master_Data'!$B$864,0)</f>
        <v>1</v>
      </c>
      <c r="D497" s="268">
        <f t="shared" si="42"/>
        <v>340</v>
      </c>
      <c r="E497" s="24">
        <v>21</v>
      </c>
      <c r="F497" s="22" t="str">
        <f>INDEX(Master_Data!$C$186:$L$864,D497,2)</f>
        <v>MADHANI TALATAH NUSANTARA, PT</v>
      </c>
      <c r="G497" s="24" t="str">
        <f>INDEX(Master_Data!$C$186:$L$864,D497,3)</f>
        <v>W</v>
      </c>
      <c r="H497" s="24">
        <f>INDEX(Master_Data!$C$186:$L$864,D497,1)</f>
        <v>6</v>
      </c>
      <c r="I497" s="24" t="str">
        <f>INDEX(Master_Data!$C$186:$L$864,D497,4)</f>
        <v>MTN KEL</v>
      </c>
      <c r="J497" s="24" t="str">
        <f>INDEX(Master_Data!$C$186:$L$864,D497,5)</f>
        <v>AGUSTUS</v>
      </c>
      <c r="K497" s="136" t="str">
        <f>INDEX(Master_Data!$C$186:$L$864,D497,6)</f>
        <v>17-054/BKU-004/IX/057</v>
      </c>
      <c r="L497" s="140" t="str">
        <f>INDEX(Master_Data!$C$186:$L$864,D497,7)</f>
        <v>010.019-17.53122180</v>
      </c>
      <c r="M497" s="140">
        <f>INDEX(Master_Data!$C$186:$L$864,D497,8)</f>
        <v>0</v>
      </c>
      <c r="N497" s="264"/>
      <c r="O497" s="245" t="e">
        <f t="shared" si="43"/>
        <v>#VALUE!</v>
      </c>
      <c r="Q497" s="169" t="str">
        <f t="shared" si="41"/>
        <v>MADHANI TALATAH NUSANTARA, PTSEP</v>
      </c>
    </row>
    <row r="498" spans="2:17" s="61" customFormat="1" ht="14.1" customHeight="1">
      <c r="B498" s="242"/>
      <c r="C498" s="268">
        <f>MATCH($B$477,INDEX(Master_Data!$B$186:$B$864,D497+1,1):'Master_Data'!$B$864,0)</f>
        <v>1</v>
      </c>
      <c r="D498" s="268">
        <f t="shared" si="42"/>
        <v>341</v>
      </c>
      <c r="E498" s="54">
        <v>22</v>
      </c>
      <c r="F498" s="22" t="str">
        <f>INDEX(Master_Data!$C$186:$L$864,D498,2)</f>
        <v>MADHANI TALATAH NUSANTARA, PT</v>
      </c>
      <c r="G498" s="24" t="str">
        <f>INDEX(Master_Data!$C$186:$L$864,D498,3)</f>
        <v>V</v>
      </c>
      <c r="H498" s="24">
        <f>INDEX(Master_Data!$C$186:$L$864,D498,1)</f>
        <v>6</v>
      </c>
      <c r="I498" s="24" t="str">
        <f>INDEX(Master_Data!$C$186:$L$864,D498,4)</f>
        <v>MUTU Ampah - Kalteng Project</v>
      </c>
      <c r="J498" s="24" t="str">
        <f>INDEX(Master_Data!$C$186:$L$864,D498,5)</f>
        <v>AGUSTUS</v>
      </c>
      <c r="K498" s="136" t="str">
        <f>INDEX(Master_Data!$C$186:$L$864,D498,6)</f>
        <v>17-055/BKU-004/IX/057</v>
      </c>
      <c r="L498" s="140" t="str">
        <f>INDEX(Master_Data!$C$186:$L$864,D498,7)</f>
        <v>010.019-17.53122181</v>
      </c>
      <c r="M498" s="140">
        <f>INDEX(Master_Data!$C$186:$L$864,D498,8)</f>
        <v>0</v>
      </c>
      <c r="N498" s="149"/>
      <c r="O498" s="245" t="e">
        <f t="shared" si="43"/>
        <v>#VALUE!</v>
      </c>
      <c r="Q498" s="169" t="str">
        <f t="shared" si="41"/>
        <v>MADHANI TALATAH NUSANTARA, PTSEP</v>
      </c>
    </row>
    <row r="499" spans="2:17" s="61" customFormat="1" ht="14.1" customHeight="1">
      <c r="B499" s="242"/>
      <c r="C499" s="268">
        <f>MATCH($B$477,INDEX(Master_Data!$B$186:$B$864,D498+1,1):'Master_Data'!$B$864,0)</f>
        <v>1</v>
      </c>
      <c r="D499" s="268">
        <f t="shared" si="42"/>
        <v>342</v>
      </c>
      <c r="E499" s="24">
        <v>23</v>
      </c>
      <c r="F499" s="22" t="str">
        <f>INDEX(Master_Data!$C$186:$L$864,D499,2)</f>
        <v>MADHANI TALATAH NUSANTARA, PT</v>
      </c>
      <c r="G499" s="24" t="str">
        <f>INDEX(Master_Data!$C$186:$L$864,D499,3)</f>
        <v>V</v>
      </c>
      <c r="H499" s="24">
        <f>INDEX(Master_Data!$C$186:$L$864,D499,1)</f>
        <v>6</v>
      </c>
      <c r="I499" s="24" t="str">
        <f>INDEX(Master_Data!$C$186:$L$864,D499,4)</f>
        <v>Site Bengalon</v>
      </c>
      <c r="J499" s="24" t="str">
        <f>INDEX(Master_Data!$C$186:$L$864,D499,5)</f>
        <v>AGUSTUS</v>
      </c>
      <c r="K499" s="136" t="str">
        <f>INDEX(Master_Data!$C$186:$L$864,D499,6)</f>
        <v>17-056/BKU-004/IX/057</v>
      </c>
      <c r="L499" s="140" t="str">
        <f>INDEX(Master_Data!$C$186:$L$864,D499,7)</f>
        <v>010.019-17.53122182</v>
      </c>
      <c r="M499" s="140">
        <f>INDEX(Master_Data!$C$186:$L$864,D499,8)</f>
        <v>0</v>
      </c>
      <c r="N499" s="264"/>
      <c r="O499" s="245" t="e">
        <f t="shared" si="43"/>
        <v>#VALUE!</v>
      </c>
      <c r="Q499" s="169" t="str">
        <f t="shared" si="41"/>
        <v>MADHANI TALATAH NUSANTARA, PTSEP</v>
      </c>
    </row>
    <row r="500" spans="2:17" s="61" customFormat="1" ht="14.1" customHeight="1">
      <c r="B500" s="242"/>
      <c r="C500" s="268">
        <f>MATCH($B$477,INDEX(Master_Data!$B$186:$B$864,D499+1,1):'Master_Data'!$B$864,0)</f>
        <v>1</v>
      </c>
      <c r="D500" s="268">
        <f t="shared" si="42"/>
        <v>343</v>
      </c>
      <c r="E500" s="54">
        <v>24</v>
      </c>
      <c r="F500" s="22" t="str">
        <f>INDEX(Master_Data!$C$186:$L$864,D500,2)</f>
        <v>MADHANI TALATAH NUSANTARA, PT</v>
      </c>
      <c r="G500" s="24" t="str">
        <f>INDEX(Master_Data!$C$186:$L$864,D500,3)</f>
        <v>W,R</v>
      </c>
      <c r="H500" s="24">
        <f>INDEX(Master_Data!$C$186:$L$864,D500,1)</f>
        <v>6</v>
      </c>
      <c r="I500" s="24" t="str">
        <f>INDEX(Master_Data!$C$186:$L$864,D500,4)</f>
        <v>KPUC</v>
      </c>
      <c r="J500" s="24" t="str">
        <f>INDEX(Master_Data!$C$186:$L$864,D500,5)</f>
        <v>AGUSTUS</v>
      </c>
      <c r="K500" s="136" t="str">
        <f>INDEX(Master_Data!$C$186:$L$864,D500,6)</f>
        <v>17-057/BKU-004/IX/057</v>
      </c>
      <c r="L500" s="140" t="str">
        <f>INDEX(Master_Data!$C$186:$L$864,D500,7)</f>
        <v>010.019-17.53122183</v>
      </c>
      <c r="M500" s="140">
        <f>INDEX(Master_Data!$C$186:$L$864,D500,8)</f>
        <v>0</v>
      </c>
      <c r="N500" s="264"/>
      <c r="O500" s="245" t="e">
        <f t="shared" si="43"/>
        <v>#VALUE!</v>
      </c>
      <c r="Q500" s="169" t="str">
        <f t="shared" si="41"/>
        <v>MADHANI TALATAH NUSANTARA, PTSEP</v>
      </c>
    </row>
    <row r="501" spans="2:17" s="61" customFormat="1" ht="14.1" customHeight="1">
      <c r="B501" s="242"/>
      <c r="C501" s="268">
        <f>MATCH($B$477,INDEX(Master_Data!$B$186:$B$864,D500+1,1):'Master_Data'!$B$864,0)</f>
        <v>1</v>
      </c>
      <c r="D501" s="268">
        <f t="shared" si="42"/>
        <v>344</v>
      </c>
      <c r="E501" s="24">
        <v>25</v>
      </c>
      <c r="F501" s="22" t="str">
        <f>INDEX(Master_Data!$C$186:$L$864,D501,2)</f>
        <v>MADHANI TALATAH NUSANTARA, PT</v>
      </c>
      <c r="G501" s="24" t="str">
        <f>INDEX(Master_Data!$C$186:$L$864,D501,3)</f>
        <v>V</v>
      </c>
      <c r="H501" s="24">
        <f>INDEX(Master_Data!$C$186:$L$864,D501,1)</f>
        <v>6</v>
      </c>
      <c r="I501" s="24" t="str">
        <f>INDEX(Master_Data!$C$186:$L$864,D501,4)</f>
        <v>P. Wetar</v>
      </c>
      <c r="J501" s="24" t="str">
        <f>INDEX(Master_Data!$C$186:$L$864,D501,5)</f>
        <v>AGUSTUS</v>
      </c>
      <c r="K501" s="136" t="str">
        <f>INDEX(Master_Data!$C$186:$L$864,D501,6)</f>
        <v>17-058/BKU-004/IX/057</v>
      </c>
      <c r="L501" s="140" t="str">
        <f>INDEX(Master_Data!$C$186:$L$864,D501,7)</f>
        <v>010.019-17.53122184</v>
      </c>
      <c r="M501" s="140">
        <f>INDEX(Master_Data!$C$186:$L$864,D501,8)</f>
        <v>0</v>
      </c>
      <c r="N501" s="264"/>
      <c r="O501" s="245" t="e">
        <f t="shared" si="43"/>
        <v>#VALUE!</v>
      </c>
      <c r="Q501" s="169" t="str">
        <f t="shared" si="41"/>
        <v>MADHANI TALATAH NUSANTARA, PTSEP</v>
      </c>
    </row>
    <row r="502" spans="2:17" s="61" customFormat="1" ht="14.1" customHeight="1">
      <c r="B502" s="242"/>
      <c r="C502" s="268">
        <f>MATCH($B$477,INDEX(Master_Data!$B$186:$B$864,D501+1,1):'Master_Data'!$B$864,0)</f>
        <v>1</v>
      </c>
      <c r="D502" s="268">
        <f t="shared" si="42"/>
        <v>345</v>
      </c>
      <c r="E502" s="54">
        <v>26</v>
      </c>
      <c r="F502" s="22" t="str">
        <f>INDEX(Master_Data!$C$186:$L$864,D502,2)</f>
        <v>MADHANI TALATAH NUSANTARA, PT</v>
      </c>
      <c r="G502" s="24" t="str">
        <f>INDEX(Master_Data!$C$186:$L$864,D502,3)</f>
        <v>W</v>
      </c>
      <c r="H502" s="24">
        <f>INDEX(Master_Data!$C$186:$L$864,D502,1)</f>
        <v>6</v>
      </c>
      <c r="I502" s="24" t="str">
        <f>INDEX(Master_Data!$C$186:$L$864,D502,4)</f>
        <v>Tembang</v>
      </c>
      <c r="J502" s="24" t="str">
        <f>INDEX(Master_Data!$C$186:$L$864,D502,5)</f>
        <v>AGUSTUS</v>
      </c>
      <c r="K502" s="136" t="str">
        <f>INDEX(Master_Data!$C$186:$L$864,D502,6)</f>
        <v>17-059/BKU-004/IX/057</v>
      </c>
      <c r="L502" s="140" t="str">
        <f>INDEX(Master_Data!$C$186:$L$864,D502,7)</f>
        <v>010.019-17.53122185</v>
      </c>
      <c r="M502" s="140">
        <f>INDEX(Master_Data!$C$186:$L$864,D502,8)</f>
        <v>0</v>
      </c>
      <c r="N502" s="264"/>
      <c r="O502" s="245" t="e">
        <f t="shared" si="43"/>
        <v>#VALUE!</v>
      </c>
      <c r="Q502" s="169" t="str">
        <f t="shared" si="41"/>
        <v>MADHANI TALATAH NUSANTARA, PTSEP</v>
      </c>
    </row>
    <row r="503" spans="2:17" s="61" customFormat="1" ht="14.1" customHeight="1">
      <c r="B503" s="242"/>
      <c r="C503" s="268">
        <f>MATCH($B$477,INDEX(Master_Data!$B$186:$B$864,D502+1,1):'Master_Data'!$B$864,0)</f>
        <v>1</v>
      </c>
      <c r="D503" s="268">
        <f t="shared" si="42"/>
        <v>346</v>
      </c>
      <c r="E503" s="24">
        <v>27</v>
      </c>
      <c r="F503" s="22" t="str">
        <f>INDEX(Master_Data!$C$186:$L$864,D503,2)</f>
        <v>MADHANI TALATAH NUSANTARA, PT</v>
      </c>
      <c r="G503" s="24" t="str">
        <f>INDEX(Master_Data!$C$186:$L$864,D503,3)</f>
        <v>W</v>
      </c>
      <c r="H503" s="24">
        <f>INDEX(Master_Data!$C$186:$L$864,D503,1)</f>
        <v>6</v>
      </c>
      <c r="I503" s="24" t="str">
        <f>INDEX(Master_Data!$C$186:$L$864,D503,4)</f>
        <v>IPC</v>
      </c>
      <c r="J503" s="24" t="str">
        <f>INDEX(Master_Data!$C$186:$L$864,D503,5)</f>
        <v>AGUSTUS</v>
      </c>
      <c r="K503" s="136" t="str">
        <f>INDEX(Master_Data!$C$186:$L$864,D503,6)</f>
        <v>17-060/BKU-004/IX/057</v>
      </c>
      <c r="L503" s="140" t="str">
        <f>INDEX(Master_Data!$C$186:$L$864,D503,7)</f>
        <v>010.019-17.53122186</v>
      </c>
      <c r="M503" s="140">
        <f>INDEX(Master_Data!$C$186:$L$864,D503,8)</f>
        <v>0</v>
      </c>
      <c r="N503" s="264"/>
      <c r="O503" s="245" t="e">
        <f t="shared" si="43"/>
        <v>#VALUE!</v>
      </c>
      <c r="Q503" s="169" t="str">
        <f t="shared" si="41"/>
        <v>MADHANI TALATAH NUSANTARA, PTSEP</v>
      </c>
    </row>
    <row r="504" spans="2:17" s="61" customFormat="1" ht="14.1" customHeight="1">
      <c r="B504" s="242"/>
      <c r="C504" s="268">
        <f>MATCH($B$477,INDEX(Master_Data!$B$186:$B$864,D503+1,1):'Master_Data'!$B$864,0)</f>
        <v>1</v>
      </c>
      <c r="D504" s="268">
        <f t="shared" si="42"/>
        <v>347</v>
      </c>
      <c r="E504" s="54">
        <v>28</v>
      </c>
      <c r="F504" s="22" t="str">
        <f>INDEX(Master_Data!$C$186:$L$864,D504,2)</f>
        <v>MADHANI TALATAH NUSANTARA, PT</v>
      </c>
      <c r="G504" s="24" t="str">
        <f>INDEX(Master_Data!$C$186:$L$864,D504,3)</f>
        <v>V</v>
      </c>
      <c r="H504" s="24">
        <f>INDEX(Master_Data!$C$186:$L$864,D504,1)</f>
        <v>6</v>
      </c>
      <c r="I504" s="24" t="str">
        <f>INDEX(Master_Data!$C$186:$L$864,D504,4)</f>
        <v>BSI Pulau Merah - Kab. Banyuwangi</v>
      </c>
      <c r="J504" s="24" t="str">
        <f>INDEX(Master_Data!$C$186:$L$864,D504,5)</f>
        <v>AGUSTUS</v>
      </c>
      <c r="K504" s="136" t="str">
        <f>INDEX(Master_Data!$C$186:$L$864,D504,6)</f>
        <v>17-061/BKU-004/IX/057</v>
      </c>
      <c r="L504" s="140" t="str">
        <f>INDEX(Master_Data!$C$186:$L$864,D504,7)</f>
        <v>010.019-17.53122187</v>
      </c>
      <c r="M504" s="140">
        <f>INDEX(Master_Data!$C$186:$L$864,D504,8)</f>
        <v>0</v>
      </c>
      <c r="N504" s="264"/>
      <c r="O504" s="245" t="e">
        <f t="shared" si="43"/>
        <v>#VALUE!</v>
      </c>
      <c r="Q504" s="169" t="str">
        <f t="shared" si="41"/>
        <v>MADHANI TALATAH NUSANTARA, PTSEP</v>
      </c>
    </row>
    <row r="505" spans="2:17" s="61" customFormat="1" ht="14.1" customHeight="1">
      <c r="B505" s="242"/>
      <c r="C505" s="268">
        <f>MATCH($B$477,INDEX(Master_Data!$B$186:$B$864,D504+1,1):'Master_Data'!$B$864,0)</f>
        <v>1</v>
      </c>
      <c r="D505" s="268">
        <f t="shared" si="42"/>
        <v>348</v>
      </c>
      <c r="E505" s="24">
        <v>29</v>
      </c>
      <c r="F505" s="22" t="str">
        <f>INDEX(Master_Data!$C$186:$L$864,D505,2)</f>
        <v>MADHANI TALATAH NUSANTARA, PT</v>
      </c>
      <c r="G505" s="24" t="str">
        <f>INDEX(Master_Data!$C$186:$L$864,D505,3)</f>
        <v>V</v>
      </c>
      <c r="H505" s="24">
        <f>INDEX(Master_Data!$C$186:$L$864,D505,1)</f>
        <v>6</v>
      </c>
      <c r="I505" s="24" t="str">
        <f>INDEX(Master_Data!$C$186:$L$864,D505,4)</f>
        <v>West Pit</v>
      </c>
      <c r="J505" s="24" t="str">
        <f>INDEX(Master_Data!$C$186:$L$864,D505,5)</f>
        <v>AGUSTUS</v>
      </c>
      <c r="K505" s="136" t="str">
        <f>INDEX(Master_Data!$C$186:$L$864,D505,6)</f>
        <v>17-062/BKU-004/IX/057</v>
      </c>
      <c r="L505" s="140" t="str">
        <f>INDEX(Master_Data!$C$186:$L$864,D505,7)</f>
        <v>010.019-17.53122188</v>
      </c>
      <c r="M505" s="140">
        <f>INDEX(Master_Data!$C$186:$L$864,D505,8)</f>
        <v>0</v>
      </c>
      <c r="N505" s="264"/>
      <c r="O505" s="245" t="e">
        <f t="shared" si="43"/>
        <v>#VALUE!</v>
      </c>
      <c r="Q505" s="169" t="str">
        <f t="shared" si="41"/>
        <v>MADHANI TALATAH NUSANTARA, PTSEP</v>
      </c>
    </row>
    <row r="506" spans="2:17" s="61" customFormat="1" ht="14.1" customHeight="1">
      <c r="B506" s="242"/>
      <c r="C506" s="268">
        <f>MATCH($B$477,INDEX(Master_Data!$B$186:$B$864,D505+1,1):'Master_Data'!$B$864,0)</f>
        <v>1</v>
      </c>
      <c r="D506" s="268">
        <f t="shared" si="42"/>
        <v>349</v>
      </c>
      <c r="E506" s="54">
        <v>30</v>
      </c>
      <c r="F506" s="22" t="str">
        <f>INDEX(Master_Data!$C$186:$L$864,D506,2)</f>
        <v>MADHANI TALATAH NUSANTARA, PT</v>
      </c>
      <c r="G506" s="24" t="str">
        <f>INDEX(Master_Data!$C$186:$L$864,D506,3)</f>
        <v>W</v>
      </c>
      <c r="H506" s="24">
        <f>INDEX(Master_Data!$C$186:$L$864,D506,1)</f>
        <v>6</v>
      </c>
      <c r="I506" s="24" t="str">
        <f>INDEX(Master_Data!$C$186:$L$864,D506,4)</f>
        <v xml:space="preserve">Asam asam Project </v>
      </c>
      <c r="J506" s="24" t="str">
        <f>INDEX(Master_Data!$C$186:$L$864,D506,5)</f>
        <v>SEPTEMBER</v>
      </c>
      <c r="K506" s="136" t="str">
        <f>INDEX(Master_Data!$C$186:$L$864,D506,6)</f>
        <v>17-063/BKU-004/IX/057</v>
      </c>
      <c r="L506" s="140" t="str">
        <f>INDEX(Master_Data!$C$186:$L$864,D506,7)</f>
        <v>010.019-17.53122189</v>
      </c>
      <c r="M506" s="140">
        <f>INDEX(Master_Data!$C$186:$L$864,D506,8)</f>
        <v>0</v>
      </c>
      <c r="N506" s="264"/>
      <c r="O506" s="245" t="e">
        <f t="shared" si="43"/>
        <v>#VALUE!</v>
      </c>
      <c r="Q506" s="169" t="str">
        <f t="shared" si="41"/>
        <v>MADHANI TALATAH NUSANTARA, PTSEP</v>
      </c>
    </row>
    <row r="507" spans="2:17" s="61" customFormat="1" ht="14.1" customHeight="1">
      <c r="B507" s="242"/>
      <c r="C507" s="268">
        <f>MATCH($B$477,INDEX(Master_Data!$B$186:$B$864,D506+1,1):'Master_Data'!$B$864,0)</f>
        <v>1</v>
      </c>
      <c r="D507" s="268">
        <f t="shared" si="42"/>
        <v>350</v>
      </c>
      <c r="E507" s="24">
        <v>31</v>
      </c>
      <c r="F507" s="22" t="str">
        <f>INDEX(Master_Data!$C$186:$L$864,D507,2)</f>
        <v>MADHANI TALATAH NUSANTARA, PT</v>
      </c>
      <c r="G507" s="24" t="str">
        <f>INDEX(Master_Data!$C$186:$L$864,D507,3)</f>
        <v>I</v>
      </c>
      <c r="H507" s="24">
        <f>INDEX(Master_Data!$C$186:$L$864,D507,1)</f>
        <v>6</v>
      </c>
      <c r="I507" s="24" t="str">
        <f>INDEX(Master_Data!$C$186:$L$864,D507,4)</f>
        <v>HO MTN Jakarta</v>
      </c>
      <c r="J507" s="24" t="str">
        <f>INDEX(Master_Data!$C$186:$L$864,D507,5)</f>
        <v>SEPTEMBER</v>
      </c>
      <c r="K507" s="136" t="str">
        <f>INDEX(Master_Data!$C$186:$L$864,D507,6)</f>
        <v>17-064/BKU-004/IX/057</v>
      </c>
      <c r="L507" s="140" t="str">
        <f>INDEX(Master_Data!$C$186:$L$864,D507,7)</f>
        <v>010.019-17.53122190</v>
      </c>
      <c r="M507" s="140">
        <v>0</v>
      </c>
      <c r="N507" s="264"/>
      <c r="O507" s="245" t="e">
        <f t="shared" si="43"/>
        <v>#VALUE!</v>
      </c>
      <c r="Q507" s="169" t="str">
        <f t="shared" si="41"/>
        <v>MADHANI TALATAH NUSANTARA, PTSEP</v>
      </c>
    </row>
    <row r="508" spans="2:17" s="61" customFormat="1" ht="14.1" customHeight="1">
      <c r="B508" s="242"/>
      <c r="C508" s="268">
        <f>MATCH($B$477,INDEX(Master_Data!$B$186:$B$864,D507+1,1):'Master_Data'!$B$864,0)</f>
        <v>1</v>
      </c>
      <c r="D508" s="268">
        <f t="shared" si="42"/>
        <v>351</v>
      </c>
      <c r="E508" s="54">
        <v>32</v>
      </c>
      <c r="F508" s="22" t="str">
        <f>INDEX(Master_Data!$C$186:$L$864,D508,2)</f>
        <v>MADHANI TALATAH NUSANTARA, PT</v>
      </c>
      <c r="G508" s="24" t="str">
        <f>INDEX(Master_Data!$C$186:$L$864,D508,3)</f>
        <v>W</v>
      </c>
      <c r="H508" s="24">
        <f>INDEX(Master_Data!$C$186:$L$864,D508,1)</f>
        <v>6</v>
      </c>
      <c r="I508" s="24" t="str">
        <f>INDEX(Master_Data!$C$186:$L$864,D508,4)</f>
        <v>MTN KEL</v>
      </c>
      <c r="J508" s="24" t="str">
        <f>INDEX(Master_Data!$C$186:$L$864,D508,5)</f>
        <v>SEPTEMBER</v>
      </c>
      <c r="K508" s="136" t="str">
        <f>INDEX(Master_Data!$C$186:$L$864,D508,6)</f>
        <v>17-065/BKU-004/IX/057</v>
      </c>
      <c r="L508" s="140" t="str">
        <f>INDEX(Master_Data!$C$186:$L$864,D508,7)</f>
        <v>010.019-17.53122191</v>
      </c>
      <c r="M508" s="140">
        <f>INDEX(Master_Data!$C$186:$L$864,D508,8)</f>
        <v>0</v>
      </c>
      <c r="N508" s="264"/>
      <c r="O508" s="245" t="e">
        <f t="shared" si="43"/>
        <v>#VALUE!</v>
      </c>
      <c r="Q508" s="169" t="str">
        <f t="shared" si="41"/>
        <v>MADHANI TALATAH NUSANTARA, PTSEP</v>
      </c>
    </row>
    <row r="509" spans="2:17" s="61" customFormat="1" ht="14.1" customHeight="1">
      <c r="B509" s="242"/>
      <c r="C509" s="268">
        <f>MATCH($B$477,INDEX(Master_Data!$B$186:$B$864,D508+1,1):'Master_Data'!$B$864,0)</f>
        <v>1</v>
      </c>
      <c r="D509" s="268">
        <f t="shared" si="42"/>
        <v>352</v>
      </c>
      <c r="E509" s="24">
        <v>33</v>
      </c>
      <c r="F509" s="22" t="str">
        <f>INDEX(Master_Data!$C$186:$L$864,D509,2)</f>
        <v>MADHANI TALATAH NUSANTARA, PT</v>
      </c>
      <c r="G509" s="24" t="str">
        <f>INDEX(Master_Data!$C$186:$L$864,D509,3)</f>
        <v>V</v>
      </c>
      <c r="H509" s="24">
        <f>INDEX(Master_Data!$C$186:$L$864,D509,1)</f>
        <v>6</v>
      </c>
      <c r="I509" s="24" t="str">
        <f>INDEX(Master_Data!$C$186:$L$864,D509,4)</f>
        <v>MUTU Ampah - Kalteng Project</v>
      </c>
      <c r="J509" s="24" t="str">
        <f>INDEX(Master_Data!$C$186:$L$864,D509,5)</f>
        <v>SEPTEMBER</v>
      </c>
      <c r="K509" s="136" t="str">
        <f>INDEX(Master_Data!$C$186:$L$864,D509,6)</f>
        <v>17-066/BKU-004/IX/057</v>
      </c>
      <c r="L509" s="140" t="str">
        <f>INDEX(Master_Data!$C$186:$L$864,D509,7)</f>
        <v>010.019-17.53122192</v>
      </c>
      <c r="M509" s="140">
        <f>INDEX(Master_Data!$C$186:$L$864,D509,8)</f>
        <v>0</v>
      </c>
      <c r="N509" s="264"/>
      <c r="O509" s="245" t="e">
        <f t="shared" si="43"/>
        <v>#VALUE!</v>
      </c>
      <c r="Q509" s="169" t="str">
        <f t="shared" si="41"/>
        <v>MADHANI TALATAH NUSANTARA, PTSEP</v>
      </c>
    </row>
    <row r="510" spans="2:17" s="61" customFormat="1" ht="14.1" customHeight="1">
      <c r="B510" s="242"/>
      <c r="C510" s="268">
        <f>MATCH($B$477,INDEX(Master_Data!$B$186:$B$864,D509+1,1):'Master_Data'!$B$864,0)</f>
        <v>1</v>
      </c>
      <c r="D510" s="268">
        <f t="shared" si="42"/>
        <v>353</v>
      </c>
      <c r="E510" s="54">
        <v>34</v>
      </c>
      <c r="F510" s="22" t="str">
        <f>INDEX(Master_Data!$C$186:$L$864,D510,2)</f>
        <v>MADHANI TALATAH NUSANTARA, PT</v>
      </c>
      <c r="G510" s="24" t="str">
        <f>INDEX(Master_Data!$C$186:$L$864,D510,3)</f>
        <v>V</v>
      </c>
      <c r="H510" s="24">
        <f>INDEX(Master_Data!$C$186:$L$864,D510,1)</f>
        <v>6</v>
      </c>
      <c r="I510" s="24" t="str">
        <f>INDEX(Master_Data!$C$186:$L$864,D510,4)</f>
        <v>Site Bengalon</v>
      </c>
      <c r="J510" s="24" t="str">
        <f>INDEX(Master_Data!$C$186:$L$864,D510,5)</f>
        <v>SEPTEMBER</v>
      </c>
      <c r="K510" s="136" t="str">
        <f>INDEX(Master_Data!$C$186:$L$864,D510,6)</f>
        <v>17-067/BKU-004/IX/057</v>
      </c>
      <c r="L510" s="140" t="str">
        <f>INDEX(Master_Data!$C$186:$L$864,D510,7)</f>
        <v>010.019-17.53122193</v>
      </c>
      <c r="M510" s="140">
        <f>INDEX(Master_Data!$C$186:$L$864,D510,8)</f>
        <v>0</v>
      </c>
      <c r="N510" s="264"/>
      <c r="O510" s="245" t="e">
        <f t="shared" si="43"/>
        <v>#VALUE!</v>
      </c>
      <c r="Q510" s="169" t="str">
        <f t="shared" si="41"/>
        <v>MADHANI TALATAH NUSANTARA, PTSEP</v>
      </c>
    </row>
    <row r="511" spans="2:17" s="61" customFormat="1" ht="14.1" customHeight="1">
      <c r="B511" s="242"/>
      <c r="C511" s="268">
        <f>MATCH($B$477,INDEX(Master_Data!$B$186:$B$864,D510+1,1):'Master_Data'!$B$864,0)</f>
        <v>1</v>
      </c>
      <c r="D511" s="268">
        <f t="shared" si="42"/>
        <v>354</v>
      </c>
      <c r="E511" s="24">
        <v>35</v>
      </c>
      <c r="F511" s="22" t="str">
        <f>INDEX(Master_Data!$C$186:$L$864,D511,2)</f>
        <v>MADHANI TALATAH NUSANTARA, PT</v>
      </c>
      <c r="G511" s="24" t="str">
        <f>INDEX(Master_Data!$C$186:$L$864,D511,3)</f>
        <v>W,R</v>
      </c>
      <c r="H511" s="24">
        <f>INDEX(Master_Data!$C$186:$L$864,D511,1)</f>
        <v>6</v>
      </c>
      <c r="I511" s="24" t="str">
        <f>INDEX(Master_Data!$C$186:$L$864,D511,4)</f>
        <v>KPUC</v>
      </c>
      <c r="J511" s="24" t="str">
        <f>INDEX(Master_Data!$C$186:$L$864,D511,5)</f>
        <v>SEPTEMBER</v>
      </c>
      <c r="K511" s="136" t="str">
        <f>INDEX(Master_Data!$C$186:$L$864,D511,6)</f>
        <v>17-068/BKU-004/IX/057</v>
      </c>
      <c r="L511" s="140" t="str">
        <f>INDEX(Master_Data!$C$186:$L$864,D511,7)</f>
        <v>010.019-17.53122194</v>
      </c>
      <c r="M511" s="140">
        <f>INDEX(Master_Data!$C$186:$L$864,D511,8)</f>
        <v>0</v>
      </c>
      <c r="N511" s="264"/>
      <c r="O511" s="245" t="e">
        <f t="shared" si="43"/>
        <v>#VALUE!</v>
      </c>
      <c r="Q511" s="169" t="str">
        <f t="shared" si="41"/>
        <v>MADHANI TALATAH NUSANTARA, PTSEP</v>
      </c>
    </row>
    <row r="512" spans="2:17" s="61" customFormat="1" ht="14.1" customHeight="1">
      <c r="B512" s="242"/>
      <c r="C512" s="268">
        <f>MATCH($B$477,INDEX(Master_Data!$B$186:$B$864,D511+1,1):'Master_Data'!$B$864,0)</f>
        <v>1</v>
      </c>
      <c r="D512" s="268">
        <f t="shared" si="42"/>
        <v>355</v>
      </c>
      <c r="E512" s="54">
        <v>36</v>
      </c>
      <c r="F512" s="22" t="str">
        <f>INDEX(Master_Data!$C$186:$L$864,D512,2)</f>
        <v>MADHANI TALATAH NUSANTARA, PT</v>
      </c>
      <c r="G512" s="24" t="str">
        <f>INDEX(Master_Data!$C$186:$L$864,D512,3)</f>
        <v>V</v>
      </c>
      <c r="H512" s="24">
        <f>INDEX(Master_Data!$C$186:$L$864,D512,1)</f>
        <v>6</v>
      </c>
      <c r="I512" s="24" t="str">
        <f>INDEX(Master_Data!$C$186:$L$864,D512,4)</f>
        <v>P. Wetar</v>
      </c>
      <c r="J512" s="24" t="str">
        <f>INDEX(Master_Data!$C$186:$L$864,D512,5)</f>
        <v>SEPTEMBER</v>
      </c>
      <c r="K512" s="136" t="str">
        <f>INDEX(Master_Data!$C$186:$L$864,D512,6)</f>
        <v>17-069/BKU-004/IX/057</v>
      </c>
      <c r="L512" s="140" t="str">
        <f>INDEX(Master_Data!$C$186:$L$864,D512,7)</f>
        <v>010.019-17.53122195</v>
      </c>
      <c r="M512" s="140">
        <f>INDEX(Master_Data!$C$186:$L$864,D512,8)</f>
        <v>0</v>
      </c>
      <c r="N512" s="264"/>
      <c r="O512" s="245" t="e">
        <f t="shared" si="43"/>
        <v>#VALUE!</v>
      </c>
      <c r="Q512" s="169" t="str">
        <f t="shared" si="41"/>
        <v>MADHANI TALATAH NUSANTARA, PTSEP</v>
      </c>
    </row>
    <row r="513" spans="2:17" s="61" customFormat="1" ht="14.1" customHeight="1">
      <c r="B513" s="242"/>
      <c r="C513" s="268">
        <f>MATCH($B$477,INDEX(Master_Data!$B$186:$B$864,D512+1,1):'Master_Data'!$B$864,0)</f>
        <v>1</v>
      </c>
      <c r="D513" s="268">
        <f t="shared" si="42"/>
        <v>356</v>
      </c>
      <c r="E513" s="24">
        <v>37</v>
      </c>
      <c r="F513" s="22" t="str">
        <f>INDEX(Master_Data!$C$186:$L$864,D513,2)</f>
        <v>MADHANI TALATAH NUSANTARA, PT</v>
      </c>
      <c r="G513" s="24" t="str">
        <f>INDEX(Master_Data!$C$186:$L$864,D513,3)</f>
        <v>W</v>
      </c>
      <c r="H513" s="24">
        <f>INDEX(Master_Data!$C$186:$L$864,D513,1)</f>
        <v>6</v>
      </c>
      <c r="I513" s="24" t="str">
        <f>INDEX(Master_Data!$C$186:$L$864,D513,4)</f>
        <v>Tembang</v>
      </c>
      <c r="J513" s="24" t="str">
        <f>INDEX(Master_Data!$C$186:$L$864,D513,5)</f>
        <v>SEPTEMBER</v>
      </c>
      <c r="K513" s="136" t="str">
        <f>INDEX(Master_Data!$C$186:$L$864,D513,6)</f>
        <v>17-070/BKU-004/IX/057</v>
      </c>
      <c r="L513" s="140" t="str">
        <f>INDEX(Master_Data!$C$186:$L$864,D513,7)</f>
        <v>010.019-17.53122196</v>
      </c>
      <c r="M513" s="140">
        <f>INDEX(Master_Data!$C$186:$L$864,D513,8)</f>
        <v>0</v>
      </c>
      <c r="N513" s="264"/>
      <c r="O513" s="245" t="e">
        <f t="shared" si="43"/>
        <v>#VALUE!</v>
      </c>
      <c r="Q513" s="169" t="str">
        <f t="shared" si="41"/>
        <v>MADHANI TALATAH NUSANTARA, PTSEP</v>
      </c>
    </row>
    <row r="514" spans="2:17" s="61" customFormat="1" ht="14.1" customHeight="1">
      <c r="B514" s="242"/>
      <c r="C514" s="268">
        <f>MATCH($B$477,INDEX(Master_Data!$B$186:$B$864,D513+1,1):'Master_Data'!$B$864,0)</f>
        <v>1</v>
      </c>
      <c r="D514" s="268">
        <f t="shared" si="42"/>
        <v>357</v>
      </c>
      <c r="E514" s="54">
        <v>38</v>
      </c>
      <c r="F514" s="22" t="str">
        <f>INDEX(Master_Data!$C$186:$L$864,D514,2)</f>
        <v>MADHANI TALATAH NUSANTARA, PT</v>
      </c>
      <c r="G514" s="24" t="str">
        <f>INDEX(Master_Data!$C$186:$L$864,D514,3)</f>
        <v>W</v>
      </c>
      <c r="H514" s="24">
        <f>INDEX(Master_Data!$C$186:$L$864,D514,1)</f>
        <v>7</v>
      </c>
      <c r="I514" s="24" t="str">
        <f>INDEX(Master_Data!$C$186:$L$864,D514,4)</f>
        <v>IPC</v>
      </c>
      <c r="J514" s="24" t="str">
        <f>INDEX(Master_Data!$C$186:$L$864,D514,5)</f>
        <v>SEPTEMBER</v>
      </c>
      <c r="K514" s="136" t="str">
        <f>INDEX(Master_Data!$C$186:$L$864,D514,6)</f>
        <v>17-071/BKU-004/IX/057</v>
      </c>
      <c r="L514" s="140" t="str">
        <f>INDEX(Master_Data!$C$186:$L$864,D514,7)</f>
        <v>010.019-17.53122197</v>
      </c>
      <c r="M514" s="140">
        <f>INDEX(Master_Data!$C$186:$L$864,D514,8)</f>
        <v>0</v>
      </c>
      <c r="N514" s="264"/>
      <c r="O514" s="245" t="e">
        <f t="shared" si="43"/>
        <v>#VALUE!</v>
      </c>
      <c r="Q514" s="169" t="str">
        <f t="shared" si="41"/>
        <v>MADHANI TALATAH NUSANTARA, PTSEP</v>
      </c>
    </row>
    <row r="515" spans="2:17" s="61" customFormat="1" ht="14.1" customHeight="1">
      <c r="B515" s="242"/>
      <c r="C515" s="268">
        <f>MATCH($B$477,INDEX(Master_Data!$B$186:$B$864,D514+1,1):'Master_Data'!$B$864,0)</f>
        <v>1</v>
      </c>
      <c r="D515" s="268">
        <f t="shared" si="42"/>
        <v>358</v>
      </c>
      <c r="E515" s="24">
        <v>39</v>
      </c>
      <c r="F515" s="22" t="str">
        <f>INDEX(Master_Data!$C$186:$L$864,D515,2)</f>
        <v>MADHANI TALATAH NUSANTARA, PT</v>
      </c>
      <c r="G515" s="24" t="str">
        <f>INDEX(Master_Data!$C$186:$L$864,D515,3)</f>
        <v>V</v>
      </c>
      <c r="H515" s="24">
        <f>INDEX(Master_Data!$C$186:$L$864,D515,1)</f>
        <v>6</v>
      </c>
      <c r="I515" s="24" t="str">
        <f>INDEX(Master_Data!$C$186:$L$864,D515,4)</f>
        <v>BSI Pulau Merah - Kab. Banyuwangi</v>
      </c>
      <c r="J515" s="24" t="str">
        <f>INDEX(Master_Data!$C$186:$L$864,D515,5)</f>
        <v>SEPTEMBER</v>
      </c>
      <c r="K515" s="136" t="str">
        <f>INDEX(Master_Data!$C$186:$L$864,D515,6)</f>
        <v>17-072/BKU-004/IX/057</v>
      </c>
      <c r="L515" s="140" t="str">
        <f>INDEX(Master_Data!$C$186:$L$864,D515,7)</f>
        <v>010.019-17.53122198</v>
      </c>
      <c r="M515" s="140">
        <f>INDEX(Master_Data!$C$186:$L$864,D515,8)</f>
        <v>0</v>
      </c>
      <c r="N515" s="264"/>
      <c r="O515" s="245" t="e">
        <f t="shared" si="43"/>
        <v>#VALUE!</v>
      </c>
      <c r="Q515" s="169" t="str">
        <f t="shared" si="41"/>
        <v>MADHANI TALATAH NUSANTARA, PTSEP</v>
      </c>
    </row>
    <row r="516" spans="2:17" s="61" customFormat="1" ht="14.1" customHeight="1">
      <c r="B516" s="242"/>
      <c r="C516" s="268">
        <f>MATCH($B$477,INDEX(Master_Data!$B$186:$B$864,D515+1,1):'Master_Data'!$B$864,0)</f>
        <v>1</v>
      </c>
      <c r="D516" s="268">
        <f t="shared" si="42"/>
        <v>359</v>
      </c>
      <c r="E516" s="54">
        <v>40</v>
      </c>
      <c r="F516" s="22" t="str">
        <f>INDEX(Master_Data!$C$186:$L$864,D516,2)</f>
        <v>MADHANI TALATAH NUSANTARA, PT</v>
      </c>
      <c r="G516" s="24" t="str">
        <f>INDEX(Master_Data!$C$186:$L$864,D516,3)</f>
        <v>V</v>
      </c>
      <c r="H516" s="24">
        <f>INDEX(Master_Data!$C$186:$L$864,D516,1)</f>
        <v>6</v>
      </c>
      <c r="I516" s="24" t="str">
        <f>INDEX(Master_Data!$C$186:$L$864,D516,4)</f>
        <v>West Pit</v>
      </c>
      <c r="J516" s="24" t="str">
        <f>INDEX(Master_Data!$C$186:$L$864,D516,5)</f>
        <v>SEPTEMBER</v>
      </c>
      <c r="K516" s="136" t="str">
        <f>INDEX(Master_Data!$C$186:$L$864,D516,6)</f>
        <v>17-073/BKU-004/IX/057</v>
      </c>
      <c r="L516" s="140" t="str">
        <f>INDEX(Master_Data!$C$186:$L$864,D516,7)</f>
        <v>010.019-17.53122199</v>
      </c>
      <c r="M516" s="140">
        <f>INDEX(Master_Data!$C$186:$L$864,D516,8)</f>
        <v>0</v>
      </c>
      <c r="N516" s="264"/>
      <c r="O516" s="245" t="e">
        <f t="shared" si="43"/>
        <v>#VALUE!</v>
      </c>
      <c r="Q516" s="169" t="str">
        <f t="shared" si="41"/>
        <v>MADHANI TALATAH NUSANTARA, PTSEP</v>
      </c>
    </row>
    <row r="517" spans="2:17" s="61" customFormat="1" ht="14.1" customHeight="1">
      <c r="B517" s="242"/>
      <c r="C517" s="268">
        <f>MATCH($B$477,INDEX(Master_Data!$B$186:$B$864,D516+1,1):'Master_Data'!$B$864,0)</f>
        <v>1</v>
      </c>
      <c r="D517" s="268">
        <f t="shared" si="42"/>
        <v>360</v>
      </c>
      <c r="E517" s="24">
        <v>41</v>
      </c>
      <c r="F517" s="22" t="str">
        <f>INDEX(Master_Data!$C$186:$L$864,D517,2)</f>
        <v>MADHANI TALATAH NUSANTARA, PT</v>
      </c>
      <c r="G517" s="24" t="str">
        <f>INDEX(Master_Data!$C$186:$L$864,D517,3)</f>
        <v>W</v>
      </c>
      <c r="H517" s="24">
        <f>INDEX(Master_Data!$C$186:$L$864,D517,1)</f>
        <v>18</v>
      </c>
      <c r="I517" s="24" t="str">
        <f>INDEX(Master_Data!$C$186:$L$864,D517,4)</f>
        <v>Reimbursement Transport Site Tembang</v>
      </c>
      <c r="J517" s="24" t="str">
        <f>INDEX(Master_Data!$C$186:$L$864,D517,5)</f>
        <v>15 Mar-21 Mar</v>
      </c>
      <c r="K517" s="136" t="str">
        <f>INDEX(Master_Data!$C$186:$L$864,D517,6)</f>
        <v>17-074/BKU-004/IX/057</v>
      </c>
      <c r="L517" s="140" t="str">
        <f>INDEX(Master_Data!$C$186:$L$864,D517,7)</f>
        <v>-</v>
      </c>
      <c r="M517" s="140">
        <f>INDEX(Master_Data!$C$186:$L$864,D517,8)</f>
        <v>0</v>
      </c>
      <c r="N517" s="264"/>
      <c r="O517" s="245" t="e">
        <f t="shared" si="43"/>
        <v>#VALUE!</v>
      </c>
      <c r="Q517" s="169" t="str">
        <f t="shared" si="41"/>
        <v>MADHANI TALATAH NUSANTARA, PTSEP</v>
      </c>
    </row>
    <row r="518" spans="2:17" s="61" customFormat="1" ht="14.1" customHeight="1">
      <c r="B518" s="242"/>
      <c r="C518" s="268">
        <f>MATCH($B$477,INDEX(Master_Data!$B$186:$B$864,D517+1,1):'Master_Data'!$B$864,0)</f>
        <v>1</v>
      </c>
      <c r="D518" s="268">
        <f t="shared" si="42"/>
        <v>361</v>
      </c>
      <c r="E518" s="54">
        <v>42</v>
      </c>
      <c r="F518" s="22" t="str">
        <f>INDEX(Master_Data!$C$186:$L$864,D518,2)</f>
        <v>MADHANI TALATAH NUSANTARA, PT</v>
      </c>
      <c r="G518" s="24" t="str">
        <f>INDEX(Master_Data!$C$186:$L$864,D518,3)</f>
        <v>W</v>
      </c>
      <c r="H518" s="24">
        <f>INDEX(Master_Data!$C$186:$L$864,D518,1)</f>
        <v>18</v>
      </c>
      <c r="I518" s="24" t="str">
        <f>INDEX(Master_Data!$C$186:$L$864,D518,4)</f>
        <v>Reimbursement Transport Site KPUC</v>
      </c>
      <c r="J518" s="24" t="str">
        <f>INDEX(Master_Data!$C$186:$L$864,D518,5)</f>
        <v>23 Mei-25Mei</v>
      </c>
      <c r="K518" s="136" t="str">
        <f>INDEX(Master_Data!$C$186:$L$864,D518,6)</f>
        <v>17-075/BKU-004/IX/057</v>
      </c>
      <c r="L518" s="140" t="str">
        <f>INDEX(Master_Data!$C$186:$L$864,D518,7)</f>
        <v>-</v>
      </c>
      <c r="M518" s="140">
        <f>INDEX(Master_Data!$C$186:$L$864,D518,8)</f>
        <v>0</v>
      </c>
      <c r="N518" s="264"/>
      <c r="O518" s="245" t="e">
        <f t="shared" si="43"/>
        <v>#VALUE!</v>
      </c>
      <c r="Q518" s="169" t="str">
        <f t="shared" si="41"/>
        <v>MADHANI TALATAH NUSANTARA, PTSEP</v>
      </c>
    </row>
    <row r="519" spans="2:17" s="61" customFormat="1" ht="14.1" customHeight="1">
      <c r="B519" s="242"/>
      <c r="C519" s="268">
        <f>MATCH($B$477,INDEX(Master_Data!$B$186:$B$864,D518+1,1):'Master_Data'!$B$864,0)</f>
        <v>1</v>
      </c>
      <c r="D519" s="268">
        <f t="shared" si="42"/>
        <v>362</v>
      </c>
      <c r="E519" s="24">
        <v>43</v>
      </c>
      <c r="F519" s="22" t="str">
        <f>INDEX(Master_Data!$C$186:$L$864,D519,2)</f>
        <v>MADHANI TALATAH NUSANTARA, PT</v>
      </c>
      <c r="G519" s="24" t="str">
        <f>INDEX(Master_Data!$C$186:$L$864,D519,3)</f>
        <v>VCON</v>
      </c>
      <c r="H519" s="24">
        <f>INDEX(Master_Data!$C$186:$L$864,D519,1)</f>
        <v>18</v>
      </c>
      <c r="I519" s="24" t="str">
        <f>INDEX(Master_Data!$C$186:$L$864,D519,4)</f>
        <v>Reimbursement Transport Site Wira</v>
      </c>
      <c r="J519" s="24" t="str">
        <f>INDEX(Master_Data!$C$186:$L$864,D519,5)</f>
        <v>12 Jun-15 Jun</v>
      </c>
      <c r="K519" s="136" t="str">
        <f>INDEX(Master_Data!$C$186:$L$864,D519,6)</f>
        <v>17-076/BKU-004/IX/057</v>
      </c>
      <c r="L519" s="140" t="str">
        <f>INDEX(Master_Data!$C$186:$L$864,D519,7)</f>
        <v>-</v>
      </c>
      <c r="M519" s="140">
        <f>INDEX(Master_Data!$C$186:$L$864,D519,8)</f>
        <v>0</v>
      </c>
      <c r="N519" s="264"/>
      <c r="O519" s="245" t="e">
        <f t="shared" si="43"/>
        <v>#VALUE!</v>
      </c>
      <c r="Q519" s="169" t="str">
        <f t="shared" si="41"/>
        <v>MADHANI TALATAH NUSANTARA, PTSEP</v>
      </c>
    </row>
    <row r="520" spans="2:17" s="61" customFormat="1" ht="14.1" customHeight="1">
      <c r="B520" s="242"/>
      <c r="C520" s="268">
        <f>MATCH($B$477,INDEX(Master_Data!$B$186:$B$864,D519+1,1):'Master_Data'!$B$864,0)</f>
        <v>1</v>
      </c>
      <c r="D520" s="268">
        <f t="shared" si="42"/>
        <v>363</v>
      </c>
      <c r="E520" s="54">
        <v>44</v>
      </c>
      <c r="F520" s="22" t="str">
        <f>INDEX(Master_Data!$C$186:$L$864,D520,2)</f>
        <v>MADHANI TALATAH NUSANTARA, PT</v>
      </c>
      <c r="G520" s="24" t="str">
        <f>INDEX(Master_Data!$C$186:$L$864,D520,3)</f>
        <v>W</v>
      </c>
      <c r="H520" s="24">
        <f>INDEX(Master_Data!$C$186:$L$864,D520,1)</f>
        <v>18</v>
      </c>
      <c r="I520" s="24" t="str">
        <f>INDEX(Master_Data!$C$186:$L$864,D520,4)</f>
        <v>Reimbursement Transport Site Tembang</v>
      </c>
      <c r="J520" s="24" t="str">
        <f>INDEX(Master_Data!$C$186:$L$864,D520,5)</f>
        <v>4 Jul-8 Jul</v>
      </c>
      <c r="K520" s="136" t="str">
        <f>INDEX(Master_Data!$C$186:$L$864,D520,6)</f>
        <v>17-077/BKU-004/IX/057</v>
      </c>
      <c r="L520" s="140" t="str">
        <f>INDEX(Master_Data!$C$186:$L$864,D520,7)</f>
        <v>-</v>
      </c>
      <c r="M520" s="140">
        <f>INDEX(Master_Data!$C$186:$L$864,D520,8)</f>
        <v>0</v>
      </c>
      <c r="N520" s="264"/>
      <c r="O520" s="245" t="e">
        <f t="shared" si="43"/>
        <v>#VALUE!</v>
      </c>
      <c r="Q520" s="169" t="str">
        <f t="shared" si="41"/>
        <v>MADHANI TALATAH NUSANTARA, PTSEP</v>
      </c>
    </row>
    <row r="521" spans="2:17" s="61" customFormat="1" ht="14.1" customHeight="1">
      <c r="B521" s="242"/>
      <c r="C521" s="268">
        <f>MATCH($B$477,INDEX(Master_Data!$B$186:$B$864,D520+1,1):'Master_Data'!$B$864,0)</f>
        <v>1</v>
      </c>
      <c r="D521" s="268">
        <f t="shared" si="42"/>
        <v>364</v>
      </c>
      <c r="E521" s="24">
        <v>45</v>
      </c>
      <c r="F521" s="22" t="str">
        <f>INDEX(Master_Data!$C$186:$L$864,D521,2)</f>
        <v>MADHANI TALATAH NUSANTARA, PT</v>
      </c>
      <c r="G521" s="24" t="str">
        <f>INDEX(Master_Data!$C$186:$L$864,D521,3)</f>
        <v>M</v>
      </c>
      <c r="H521" s="24">
        <f>INDEX(Master_Data!$C$186:$L$864,D521,1)</f>
        <v>18</v>
      </c>
      <c r="I521" s="24" t="str">
        <f>INDEX(Master_Data!$C$186:$L$864,D521,4)</f>
        <v>Reimbursement Transport Site MTN KEL</v>
      </c>
      <c r="J521" s="24" t="str">
        <f>INDEX(Master_Data!$C$186:$L$864,D521,5)</f>
        <v>25 Jul-30 Jul</v>
      </c>
      <c r="K521" s="136" t="str">
        <f>INDEX(Master_Data!$C$186:$L$864,D521,6)</f>
        <v>17-078/BKU-004/IX/057</v>
      </c>
      <c r="L521" s="140" t="str">
        <f>INDEX(Master_Data!$C$186:$L$864,D521,7)</f>
        <v>-</v>
      </c>
      <c r="M521" s="140">
        <f>INDEX(Master_Data!$C$186:$L$864,D521,8)</f>
        <v>0</v>
      </c>
      <c r="N521" s="264"/>
      <c r="O521" s="245" t="e">
        <f t="shared" si="43"/>
        <v>#VALUE!</v>
      </c>
      <c r="Q521" s="169" t="str">
        <f t="shared" si="41"/>
        <v>MADHANI TALATAH NUSANTARA, PTSEP</v>
      </c>
    </row>
    <row r="522" spans="2:17" s="61" customFormat="1" ht="14.1" customHeight="1">
      <c r="B522" s="242"/>
      <c r="C522" s="268">
        <f>MATCH($B$477,INDEX(Master_Data!$B$186:$B$864,D521+1,1):'Master_Data'!$B$864,0)</f>
        <v>1</v>
      </c>
      <c r="D522" s="268">
        <f t="shared" si="42"/>
        <v>365</v>
      </c>
      <c r="E522" s="54">
        <v>46</v>
      </c>
      <c r="F522" s="22" t="str">
        <f>INDEX(Master_Data!$C$186:$L$864,D522,2)</f>
        <v>MADHANI TALATAH NUSANTARA, PT</v>
      </c>
      <c r="G522" s="24" t="str">
        <f>INDEX(Master_Data!$C$186:$L$864,D522,3)</f>
        <v>M</v>
      </c>
      <c r="H522" s="24">
        <f>INDEX(Master_Data!$C$186:$L$864,D522,1)</f>
        <v>18</v>
      </c>
      <c r="I522" s="24" t="str">
        <f>INDEX(Master_Data!$C$186:$L$864,D522,4)</f>
        <v>Reimbursement Transport Site Batutua Wetar</v>
      </c>
      <c r="J522" s="24" t="str">
        <f>INDEX(Master_Data!$C$186:$L$864,D522,5)</f>
        <v>24 Jul-4 Aug</v>
      </c>
      <c r="K522" s="136" t="str">
        <f>INDEX(Master_Data!$C$186:$L$864,D522,6)</f>
        <v>17-079/BKU-004/IX/057</v>
      </c>
      <c r="L522" s="140" t="str">
        <f>INDEX(Master_Data!$C$186:$L$864,D522,7)</f>
        <v>-</v>
      </c>
      <c r="M522" s="140">
        <f>INDEX(Master_Data!$C$186:$L$864,D522,8)</f>
        <v>0</v>
      </c>
      <c r="N522" s="264"/>
      <c r="O522" s="245" t="e">
        <f t="shared" si="43"/>
        <v>#VALUE!</v>
      </c>
      <c r="Q522" s="169" t="str">
        <f t="shared" si="41"/>
        <v>MADHANI TALATAH NUSANTARA, PTSEP</v>
      </c>
    </row>
    <row r="523" spans="2:17" s="61" customFormat="1" ht="14.1" customHeight="1">
      <c r="B523" s="242"/>
      <c r="C523" s="268">
        <f>MATCH($B$477,INDEX(Master_Data!$B$186:$B$864,D522+1,1):'Master_Data'!$B$864,0)</f>
        <v>49</v>
      </c>
      <c r="D523" s="268">
        <f t="shared" si="42"/>
        <v>414</v>
      </c>
      <c r="E523" s="24">
        <v>47</v>
      </c>
      <c r="F523" s="22" t="str">
        <f>INDEX(Master_Data!$C$186:$L$864,D523,2)</f>
        <v>MANDALA KARYA PRIMA, PT</v>
      </c>
      <c r="G523" s="24" t="str">
        <f>INDEX(Master_Data!$C$186:$L$864,D523,3)</f>
        <v>W, I</v>
      </c>
      <c r="H523" s="24">
        <f>INDEX(Master_Data!$C$186:$L$864,D523,1)</f>
        <v>4</v>
      </c>
      <c r="I523" s="24" t="str">
        <f>INDEX(Master_Data!$C$186:$L$864,D523,4)</f>
        <v>WDL &amp; Internet Access 2048 Kbps Site Krassi Sesayap</v>
      </c>
      <c r="J523" s="24" t="str">
        <f>INDEX(Master_Data!$C$186:$L$864,D523,5)</f>
        <v>AGUSTUS</v>
      </c>
      <c r="K523" s="136" t="str">
        <f>INDEX(Master_Data!$C$186:$L$864,D523,6)</f>
        <v>17-009/BKU-004/IX/214</v>
      </c>
      <c r="L523" s="140" t="str">
        <f>INDEX(Master_Data!$C$186:$L$864,D523,7)</f>
        <v>010.019-17.53122171</v>
      </c>
      <c r="M523" s="140">
        <f>INDEX(Master_Data!$C$186:$L$864,D523,8)</f>
        <v>0</v>
      </c>
      <c r="N523" s="264"/>
      <c r="O523" s="245" t="e">
        <f t="shared" si="43"/>
        <v>#VALUE!</v>
      </c>
      <c r="Q523" s="169" t="str">
        <f t="shared" si="41"/>
        <v>MANDALA KARYA PRIMA, PTSEP</v>
      </c>
    </row>
    <row r="524" spans="2:17" s="61" customFormat="1" ht="14.1" customHeight="1">
      <c r="B524" s="242"/>
      <c r="C524" s="268">
        <f>MATCH($B$477,INDEX(Master_Data!$B$186:$B$864,D523+1,1):'Master_Data'!$B$864,0)</f>
        <v>25</v>
      </c>
      <c r="D524" s="268">
        <f t="shared" si="42"/>
        <v>439</v>
      </c>
      <c r="E524" s="54">
        <v>48</v>
      </c>
      <c r="F524" s="22" t="str">
        <f>INDEX(Master_Data!$C$186:$L$864,D524,2)</f>
        <v>MANDIRI HERINDO ADIPERKASA, PT</v>
      </c>
      <c r="G524" s="24" t="str">
        <f>INDEX(Master_Data!$C$186:$L$864,D524,3)</f>
        <v>W</v>
      </c>
      <c r="H524" s="24">
        <f>INDEX(Master_Data!$C$186:$L$864,D524,1)</f>
        <v>4</v>
      </c>
      <c r="I524" s="24" t="str">
        <f>INDEX(Master_Data!$C$186:$L$864,D524,4)</f>
        <v>WDL Site SIMS Batu Kajang - Kaltim</v>
      </c>
      <c r="J524" s="24" t="str">
        <f>INDEX(Master_Data!$C$186:$L$864,D524,5)</f>
        <v>AGUSTUS</v>
      </c>
      <c r="K524" s="136" t="str">
        <f>INDEX(Master_Data!$C$186:$L$864,D524,6)</f>
        <v>17-022/BKU-004/IX/211</v>
      </c>
      <c r="L524" s="140" t="str">
        <f>INDEX(Master_Data!$C$186:$L$864,D524,7)</f>
        <v>010.019-17.53122164</v>
      </c>
      <c r="M524" s="140">
        <f>INDEX(Master_Data!$C$186:$L$864,D524,8)</f>
        <v>0</v>
      </c>
      <c r="N524" s="264"/>
      <c r="O524" s="245" t="e">
        <f t="shared" si="43"/>
        <v>#VALUE!</v>
      </c>
      <c r="Q524" s="169" t="str">
        <f t="shared" si="41"/>
        <v>MANDIRI HERINDO ADIPERKASA, PTSEP</v>
      </c>
    </row>
    <row r="525" spans="2:17" s="61" customFormat="1" ht="14.1" customHeight="1">
      <c r="B525" s="242"/>
      <c r="C525" s="268">
        <f>MATCH($B$477,INDEX(Master_Data!$B$186:$B$864,D524+1,1):'Master_Data'!$B$864,0)</f>
        <v>1</v>
      </c>
      <c r="D525" s="268">
        <f t="shared" si="42"/>
        <v>440</v>
      </c>
      <c r="E525" s="24">
        <v>49</v>
      </c>
      <c r="F525" s="22" t="str">
        <f>INDEX(Master_Data!$C$186:$L$864,D525,2)</f>
        <v>MANDIRI HERINDO ADIPERKASA, PT</v>
      </c>
      <c r="G525" s="24" t="str">
        <f>INDEX(Master_Data!$C$186:$L$864,D525,3)</f>
        <v>I</v>
      </c>
      <c r="H525" s="24">
        <f>INDEX(Master_Data!$C$186:$L$864,D525,1)</f>
        <v>4</v>
      </c>
      <c r="I525" s="24" t="str">
        <f>INDEX(Master_Data!$C$186:$L$864,D525,4)</f>
        <v>VPN IP Site Office Belleza</v>
      </c>
      <c r="J525" s="24" t="str">
        <f>INDEX(Master_Data!$C$186:$L$864,D525,5)</f>
        <v>AGUSTUS</v>
      </c>
      <c r="K525" s="136" t="str">
        <f>INDEX(Master_Data!$C$186:$L$864,D525,6)</f>
        <v>17-023/BKU-004/IX/211</v>
      </c>
      <c r="L525" s="140" t="str">
        <f>INDEX(Master_Data!$C$186:$L$864,D525,7)</f>
        <v>010.019-17.53122165</v>
      </c>
      <c r="M525" s="140">
        <f>INDEX(Master_Data!$C$186:$L$864,D525,8)</f>
        <v>0</v>
      </c>
      <c r="N525" s="264"/>
      <c r="O525" s="245" t="e">
        <f t="shared" si="43"/>
        <v>#VALUE!</v>
      </c>
      <c r="Q525" s="169" t="str">
        <f t="shared" si="41"/>
        <v>MANDIRI HERINDO ADIPERKASA, PTSEP</v>
      </c>
    </row>
    <row r="526" spans="2:17" s="61" customFormat="1" ht="14.1" customHeight="1">
      <c r="B526" s="242"/>
      <c r="C526" s="268">
        <f>MATCH($B$477,INDEX(Master_Data!$B$186:$B$864,D525+1,1):'Master_Data'!$B$864,0)</f>
        <v>1</v>
      </c>
      <c r="D526" s="268">
        <f t="shared" si="42"/>
        <v>441</v>
      </c>
      <c r="E526" s="54">
        <v>50</v>
      </c>
      <c r="F526" s="22" t="str">
        <f>INDEX(Master_Data!$C$186:$L$864,D526,2)</f>
        <v>MANDIRI HERINDO ADIPERKASA, PT</v>
      </c>
      <c r="G526" s="24" t="str">
        <f>INDEX(Master_Data!$C$186:$L$864,D526,3)</f>
        <v>M</v>
      </c>
      <c r="H526" s="24">
        <f>INDEX(Master_Data!$C$186:$L$864,D526,1)</f>
        <v>4</v>
      </c>
      <c r="I526" s="24" t="str">
        <f>INDEX(Master_Data!$C$186:$L$864,D526,4)</f>
        <v>MPLS 512 Kbps Site Krassi Sesayap</v>
      </c>
      <c r="J526" s="24" t="str">
        <f>INDEX(Master_Data!$C$186:$L$864,D526,5)</f>
        <v>AGUSTUS</v>
      </c>
      <c r="K526" s="136" t="str">
        <f>INDEX(Master_Data!$C$186:$L$864,D526,6)</f>
        <v>17-024/BKU-004/IX/211</v>
      </c>
      <c r="L526" s="140" t="str">
        <f>INDEX(Master_Data!$C$186:$L$864,D526,7)</f>
        <v>010.019-17.53122166</v>
      </c>
      <c r="M526" s="140">
        <f>INDEX(Master_Data!$C$186:$L$864,D526,8)</f>
        <v>0</v>
      </c>
      <c r="N526" s="264"/>
      <c r="O526" s="245" t="e">
        <f t="shared" si="43"/>
        <v>#VALUE!</v>
      </c>
      <c r="Q526" s="169" t="str">
        <f t="shared" si="41"/>
        <v>MANDIRI HERINDO ADIPERKASA, PTSEP</v>
      </c>
    </row>
    <row r="527" spans="2:17" s="61" customFormat="1" ht="14.1" customHeight="1">
      <c r="B527" s="242"/>
      <c r="C527" s="268">
        <f>MATCH($B$477,INDEX(Master_Data!$B$186:$B$864,D526+1,1):'Master_Data'!$B$864,0)</f>
        <v>1</v>
      </c>
      <c r="D527" s="268">
        <f t="shared" si="42"/>
        <v>442</v>
      </c>
      <c r="E527" s="24">
        <v>51</v>
      </c>
      <c r="F527" s="22" t="str">
        <f>INDEX(Master_Data!$C$186:$L$864,D527,2)</f>
        <v>MANDIRI HERINDO ADIPERKASA, PT</v>
      </c>
      <c r="G527" s="24" t="str">
        <f>INDEX(Master_Data!$C$186:$L$864,D527,3)</f>
        <v>V,I</v>
      </c>
      <c r="H527" s="24">
        <f>INDEX(Master_Data!$C$186:$L$864,D527,1)</f>
        <v>4</v>
      </c>
      <c r="I527" s="24" t="str">
        <f>INDEX(Master_Data!$C$186:$L$864,D527,4)</f>
        <v>Jasa Instalasi VSAT Weekly Charges Bandwidth Site Tabang</v>
      </c>
      <c r="J527" s="24" t="str">
        <f>INDEX(Master_Data!$C$186:$L$864,D527,5)</f>
        <v>AGUSTUS</v>
      </c>
      <c r="K527" s="136" t="str">
        <f>INDEX(Master_Data!$C$186:$L$864,D527,6)</f>
        <v>17-025/BKU-004/IX/211</v>
      </c>
      <c r="L527" s="140" t="str">
        <f>INDEX(Master_Data!$C$186:$L$864,D527,7)</f>
        <v>010.019-17.53122167</v>
      </c>
      <c r="M527" s="140">
        <f>INDEX(Master_Data!$C$186:$L$864,D527,8)</f>
        <v>0</v>
      </c>
      <c r="N527" s="264"/>
      <c r="O527" s="245" t="e">
        <f t="shared" si="43"/>
        <v>#VALUE!</v>
      </c>
      <c r="Q527" s="169" t="str">
        <f t="shared" si="41"/>
        <v>MANDIRI HERINDO ADIPERKASA, PTSEP</v>
      </c>
    </row>
    <row r="528" spans="2:17" s="61" customFormat="1" ht="14.1" customHeight="1">
      <c r="B528" s="242"/>
      <c r="C528" s="268">
        <f>MATCH($B$477,INDEX(Master_Data!$B$186:$B$864,D527+1,1):'Master_Data'!$B$864,0)</f>
        <v>1</v>
      </c>
      <c r="D528" s="268">
        <f t="shared" si="42"/>
        <v>443</v>
      </c>
      <c r="E528" s="54">
        <v>52</v>
      </c>
      <c r="F528" s="22" t="str">
        <f>INDEX(Master_Data!$C$186:$L$864,D528,2)</f>
        <v>MANDIRI HERINDO ADIPERKASA, PT</v>
      </c>
      <c r="G528" s="24" t="str">
        <f>INDEX(Master_Data!$C$186:$L$864,D528,3)</f>
        <v>I</v>
      </c>
      <c r="H528" s="24">
        <f>INDEX(Master_Data!$C$186:$L$864,D528,1)</f>
        <v>4</v>
      </c>
      <c r="I528" s="24" t="str">
        <f>INDEX(Master_Data!$C$186:$L$864,D528,4)</f>
        <v>Jasa Instalasi Radio Link</v>
      </c>
      <c r="J528" s="24" t="str">
        <f>INDEX(Master_Data!$C$186:$L$864,D528,5)</f>
        <v>AGUSTUS</v>
      </c>
      <c r="K528" s="136" t="str">
        <f>INDEX(Master_Data!$C$186:$L$864,D528,6)</f>
        <v>17-026/BKU-004/IX/211</v>
      </c>
      <c r="L528" s="140" t="str">
        <f>INDEX(Master_Data!$C$186:$L$864,D528,7)</f>
        <v>010.019-17.53122168</v>
      </c>
      <c r="M528" s="140">
        <f>INDEX(Master_Data!$C$186:$L$864,D528,8)</f>
        <v>0</v>
      </c>
      <c r="N528" s="264"/>
      <c r="O528" s="245" t="e">
        <f t="shared" si="43"/>
        <v>#VALUE!</v>
      </c>
      <c r="Q528" s="169" t="str">
        <f t="shared" si="41"/>
        <v>MANDIRI HERINDO ADIPERKASA, PTSEP</v>
      </c>
    </row>
    <row r="529" spans="2:17" s="61" customFormat="1" ht="14.1" customHeight="1">
      <c r="B529" s="242"/>
      <c r="C529" s="268">
        <f>MATCH($B$477,INDEX(Master_Data!$B$186:$B$864,D528+1,1):'Master_Data'!$B$864,0)</f>
        <v>29</v>
      </c>
      <c r="D529" s="268">
        <f>D528+C529</f>
        <v>472</v>
      </c>
      <c r="E529" s="24">
        <v>53</v>
      </c>
      <c r="F529" s="22" t="str">
        <f>INDEX(Master_Data!$C$186:$L$864,D529,2)</f>
        <v>MANDIRI INTI PERKASA, PT</v>
      </c>
      <c r="G529" s="24" t="str">
        <f>INDEX(Master_Data!$C$186:$L$864,D529,3)</f>
        <v>W, I</v>
      </c>
      <c r="H529" s="24">
        <f>INDEX(Master_Data!$C$186:$L$864,D529,1)</f>
        <v>4</v>
      </c>
      <c r="I529" s="24" t="str">
        <f>INDEX(Master_Data!$C$186:$L$864,D529,4)</f>
        <v>WDL &amp; Internet Access 1024 Kbps Site Krassi Sebakung</v>
      </c>
      <c r="J529" s="24" t="str">
        <f>INDEX(Master_Data!$C$186:$L$864,D529,5)</f>
        <v>AGUSTUS</v>
      </c>
      <c r="K529" s="136" t="str">
        <f>INDEX(Master_Data!$C$186:$L$864,D529,6)</f>
        <v>17-017/BKU-004/IX/196</v>
      </c>
      <c r="L529" s="140" t="str">
        <f>INDEX(Master_Data!$C$186:$L$864,D529,7)</f>
        <v>010.019-17.53122169</v>
      </c>
      <c r="M529" s="140">
        <f>INDEX(Master_Data!$C$186:$L$864,D529,8)</f>
        <v>0</v>
      </c>
      <c r="N529" s="264"/>
      <c r="O529" s="245" t="e">
        <f>L529+M529</f>
        <v>#VALUE!</v>
      </c>
      <c r="Q529" s="169" t="str">
        <f>CONCATENATE(F529,$B$477)</f>
        <v>MANDIRI INTI PERKASA, PTSEP</v>
      </c>
    </row>
    <row r="530" spans="2:17" ht="20.25" customHeight="1">
      <c r="B530" s="1758" t="s">
        <v>7</v>
      </c>
      <c r="C530" s="1758"/>
      <c r="D530" s="1758"/>
      <c r="E530" s="1758"/>
      <c r="F530" s="1758"/>
      <c r="G530" s="1758"/>
      <c r="H530" s="1758"/>
      <c r="I530" s="1758"/>
      <c r="J530" s="1758"/>
      <c r="K530" s="12">
        <f>SUM(K477:K529)</f>
        <v>0</v>
      </c>
      <c r="L530" s="142">
        <f>SUM(L477:L529)</f>
        <v>0</v>
      </c>
      <c r="M530" s="142">
        <f>SUM(M477:M529)</f>
        <v>22000000</v>
      </c>
      <c r="N530" s="12">
        <f>SUM(N477:N529)</f>
        <v>0</v>
      </c>
      <c r="O530" s="13" t="e">
        <f>SUM(O477:O529)</f>
        <v>#VALUE!</v>
      </c>
    </row>
    <row r="532" spans="2:17" s="7" customFormat="1" ht="15" customHeight="1">
      <c r="B532" s="1759" t="s">
        <v>198</v>
      </c>
      <c r="C532" s="1760" t="s">
        <v>200</v>
      </c>
      <c r="D532" s="1760"/>
      <c r="E532" s="1759" t="s">
        <v>6</v>
      </c>
      <c r="F532" s="1758" t="s">
        <v>3</v>
      </c>
      <c r="G532" s="1761" t="s">
        <v>141</v>
      </c>
      <c r="H532" s="1758" t="s">
        <v>641</v>
      </c>
      <c r="I532" s="1758"/>
      <c r="J532" s="1758"/>
      <c r="K532" s="1758"/>
      <c r="L532" s="1758"/>
      <c r="M532" s="1758"/>
      <c r="N532" s="1758"/>
      <c r="O532" s="1758"/>
    </row>
    <row r="533" spans="2:17" s="7" customFormat="1" ht="15" customHeight="1">
      <c r="B533" s="1759"/>
      <c r="C533" s="1764" t="s">
        <v>196</v>
      </c>
      <c r="D533" s="1764" t="s">
        <v>197</v>
      </c>
      <c r="E533" s="1759"/>
      <c r="F533" s="1758"/>
      <c r="G533" s="1762"/>
      <c r="H533" s="1766" t="s">
        <v>15</v>
      </c>
      <c r="I533" s="1766" t="s">
        <v>51</v>
      </c>
      <c r="J533" s="1766" t="s">
        <v>12</v>
      </c>
      <c r="K533" s="1768" t="s">
        <v>11</v>
      </c>
      <c r="L533" s="1768" t="s">
        <v>53</v>
      </c>
      <c r="M533" s="1768" t="s">
        <v>1</v>
      </c>
      <c r="N533" s="1770" t="s">
        <v>50</v>
      </c>
      <c r="O533" s="1770"/>
    </row>
    <row r="534" spans="2:17" s="7" customFormat="1">
      <c r="B534" s="1759"/>
      <c r="C534" s="1765"/>
      <c r="D534" s="1765"/>
      <c r="E534" s="1759"/>
      <c r="F534" s="1758"/>
      <c r="G534" s="1763"/>
      <c r="H534" s="1767"/>
      <c r="I534" s="1767"/>
      <c r="J534" s="1767"/>
      <c r="K534" s="1769"/>
      <c r="L534" s="1769"/>
      <c r="M534" s="1769"/>
      <c r="N534" s="405" t="s">
        <v>54</v>
      </c>
      <c r="O534" s="405" t="s">
        <v>55</v>
      </c>
      <c r="Q534" s="168" t="s">
        <v>235</v>
      </c>
    </row>
    <row r="535" spans="2:17" s="7" customFormat="1" ht="14.1" customHeight="1">
      <c r="B535" s="337" t="s">
        <v>245</v>
      </c>
      <c r="C535" s="151">
        <f>MATCH(B535,Master_Data!$B$186:$B$864,0)</f>
        <v>22</v>
      </c>
      <c r="D535" s="151">
        <f>C535</f>
        <v>22</v>
      </c>
      <c r="E535" s="20">
        <v>1</v>
      </c>
      <c r="F535" s="75" t="str">
        <f>INDEX(Master_Data!$C$186:$L$864,D535,2)</f>
        <v>DUTA TAMBANG REKAYASA, PT</v>
      </c>
      <c r="G535" s="20" t="str">
        <f>INDEX(Master_Data!$C$186:$L$864,D535,3)</f>
        <v>W</v>
      </c>
      <c r="H535" s="20">
        <f>INDEX(Master_Data!$C$186:$L$864,D535,1)</f>
        <v>10</v>
      </c>
      <c r="I535" s="20" t="str">
        <f>INDEX(Master_Data!$C$186:$L$864,D535,4)</f>
        <v>WDL 4 Mbps Site Sebakis Nunukan</v>
      </c>
      <c r="J535" s="20" t="str">
        <f>INDEX(Master_Data!$C$186:$L$864,D535,5)</f>
        <v>SEPTEMBER</v>
      </c>
      <c r="K535" s="134" t="str">
        <f>INDEX(Master_Data!$C$186:$L$864,D535,6)</f>
        <v>17-005/BKU-004/X/243</v>
      </c>
      <c r="L535" s="139" t="str">
        <f>INDEX(Master_Data!$C$186:$L$864,D535,7)</f>
        <v>010.019-17.53122267</v>
      </c>
      <c r="M535" s="139">
        <f>INDEX(Master_Data!$C$186:$L$864,D535,8)</f>
        <v>0</v>
      </c>
      <c r="N535" s="266"/>
      <c r="O535" s="272" t="e">
        <f>L535+M535</f>
        <v>#VALUE!</v>
      </c>
      <c r="Q535" s="169" t="str">
        <f>CONCATENATE(F535,$B$535)</f>
        <v>DUTA TAMBANG REKAYASA, PTOKT</v>
      </c>
    </row>
    <row r="536" spans="2:17" s="61" customFormat="1" ht="14.1" customHeight="1">
      <c r="B536" s="338"/>
      <c r="C536" s="268">
        <f>MATCH($B$535,INDEX(Master_Data!$B$186:$B$864,D535+1,1):'Master_Data'!$B$864,0)</f>
        <v>16</v>
      </c>
      <c r="D536" s="268">
        <f>D535+C536</f>
        <v>38</v>
      </c>
      <c r="E536" s="54">
        <v>2</v>
      </c>
      <c r="F536" s="22" t="str">
        <f>INDEX(Master_Data!$C$186:$L$864,D536,2)</f>
        <v>EXPANS PETROGAS INTRANUSA, PT</v>
      </c>
      <c r="G536" s="24">
        <f>INDEX(Master_Data!$C$186:$L$864,D536,3)</f>
        <v>0</v>
      </c>
      <c r="H536" s="24">
        <f>INDEX(Master_Data!$C$186:$L$864,D536,1)</f>
        <v>30</v>
      </c>
      <c r="I536" s="24" t="str">
        <f>INDEX(Master_Data!$C$186:$L$864,D536,4)</f>
        <v>Jasa Instalasi VSAT</v>
      </c>
      <c r="J536" s="24" t="str">
        <f>INDEX(Master_Data!$C$186:$L$864,D536,5)</f>
        <v>15 Oktober' 17</v>
      </c>
      <c r="K536" s="136" t="str">
        <f>INDEX(Master_Data!$C$186:$L$864,D536,6)</f>
        <v>17-007/BKU-004/X/189</v>
      </c>
      <c r="L536" s="140" t="str">
        <f>INDEX(Master_Data!$C$186:$L$864,D536,7)</f>
        <v>010.019-17.53122281</v>
      </c>
      <c r="M536" s="140">
        <f>INDEX(Master_Data!$C$186:$L$864,D536,8)</f>
        <v>0</v>
      </c>
      <c r="N536" s="264"/>
      <c r="O536" s="245" t="e">
        <f t="shared" ref="O536:O545" si="44">L536+M536</f>
        <v>#VALUE!</v>
      </c>
      <c r="Q536" s="169" t="str">
        <f t="shared" ref="Q536:Q597" si="45">CONCATENATE(F536,$B$535)</f>
        <v>EXPANS PETROGAS INTRANUSA, PTOKT</v>
      </c>
    </row>
    <row r="537" spans="2:17" s="61" customFormat="1" ht="14.1" customHeight="1">
      <c r="B537" s="338"/>
      <c r="C537" s="268">
        <f>MATCH($B$535,INDEX(Master_Data!$B$186:$B$864,D536+1,1):'Master_Data'!$B$864,0)</f>
        <v>69</v>
      </c>
      <c r="D537" s="268">
        <f t="shared" ref="D537:D597" si="46">D536+C537</f>
        <v>107</v>
      </c>
      <c r="E537" s="24">
        <v>3</v>
      </c>
      <c r="F537" s="22" t="str">
        <f>INDEX(Master_Data!$C$186:$L$864,D537,2)</f>
        <v>HARMONI PANCA UTAMA, PT</v>
      </c>
      <c r="G537" s="24" t="str">
        <f>INDEX(Master_Data!$C$186:$L$864,D537,3)</f>
        <v>M</v>
      </c>
      <c r="H537" s="24">
        <f>INDEX(Master_Data!$C$186:$L$864,D537,1)</f>
        <v>3</v>
      </c>
      <c r="I537" s="24" t="str">
        <f>INDEX(Master_Data!$C$186:$L$864,D537,4)</f>
        <v>MPLS 5 Mbps Site Head Office</v>
      </c>
      <c r="J537" s="24" t="str">
        <f>INDEX(Master_Data!$C$186:$L$864,D537,5)</f>
        <v>SEPTEMBER</v>
      </c>
      <c r="K537" s="136" t="str">
        <f>INDEX(Master_Data!$C$186:$L$864,D537,6)</f>
        <v>17-068/BKU-004/X/159</v>
      </c>
      <c r="L537" s="140" t="str">
        <f>INDEX(Master_Data!$C$186:$L$864,D537,7)</f>
        <v>010.019-17.53122242</v>
      </c>
      <c r="M537" s="140">
        <f>INDEX(Master_Data!$C$186:$L$864,D537,8)</f>
        <v>0</v>
      </c>
      <c r="N537" s="264"/>
      <c r="O537" s="245" t="e">
        <f t="shared" si="44"/>
        <v>#VALUE!</v>
      </c>
      <c r="Q537" s="169" t="str">
        <f t="shared" si="45"/>
        <v>HARMONI PANCA UTAMA, PTOKT</v>
      </c>
    </row>
    <row r="538" spans="2:17" s="61" customFormat="1" ht="14.1" customHeight="1">
      <c r="B538" s="338"/>
      <c r="C538" s="268">
        <f>MATCH($B$535,INDEX(Master_Data!$B$186:$B$864,D537+1,1):'Master_Data'!$B$864,0)</f>
        <v>1</v>
      </c>
      <c r="D538" s="268">
        <f t="shared" si="46"/>
        <v>108</v>
      </c>
      <c r="E538" s="54">
        <v>4</v>
      </c>
      <c r="F538" s="22" t="str">
        <f>INDEX(Master_Data!$C$186:$L$864,D538,2)</f>
        <v>HARMONI PANCA UTAMA, PT</v>
      </c>
      <c r="G538" s="24" t="str">
        <f>INDEX(Master_Data!$C$186:$L$864,D538,3)</f>
        <v>M</v>
      </c>
      <c r="H538" s="24">
        <f>INDEX(Master_Data!$C$186:$L$864,D538,1)</f>
        <v>3</v>
      </c>
      <c r="I538" s="24" t="str">
        <f>INDEX(Master_Data!$C$186:$L$864,D538,4)</f>
        <v>MPLS 512 Kbps Site PDU</v>
      </c>
      <c r="J538" s="24" t="str">
        <f>INDEX(Master_Data!$C$186:$L$864,D538,5)</f>
        <v>SEPTEMBER</v>
      </c>
      <c r="K538" s="136" t="str">
        <f>INDEX(Master_Data!$C$186:$L$864,D538,6)</f>
        <v>17-069/BKU-004/X/159</v>
      </c>
      <c r="L538" s="140" t="str">
        <f>INDEX(Master_Data!$C$186:$L$864,D538,7)</f>
        <v>010.019-17.53122243</v>
      </c>
      <c r="M538" s="140">
        <f>INDEX(Master_Data!$C$186:$L$864,D538,8)</f>
        <v>0</v>
      </c>
      <c r="N538" s="264"/>
      <c r="O538" s="245" t="e">
        <f t="shared" si="44"/>
        <v>#VALUE!</v>
      </c>
      <c r="Q538" s="169" t="str">
        <f t="shared" si="45"/>
        <v>HARMONI PANCA UTAMA, PTOKT</v>
      </c>
    </row>
    <row r="539" spans="2:17" s="61" customFormat="1" ht="14.1" customHeight="1">
      <c r="B539" s="338"/>
      <c r="C539" s="268">
        <f>MATCH($B$535,INDEX(Master_Data!$B$186:$B$864,D538+1,1):'Master_Data'!$B$864,0)</f>
        <v>1</v>
      </c>
      <c r="D539" s="268">
        <f t="shared" si="46"/>
        <v>109</v>
      </c>
      <c r="E539" s="24">
        <v>5</v>
      </c>
      <c r="F539" s="22" t="str">
        <f>INDEX(Master_Data!$C$186:$L$864,D539,2)</f>
        <v>HARMONI PANCA UTAMA, PT</v>
      </c>
      <c r="G539" s="24" t="str">
        <f>INDEX(Master_Data!$C$186:$L$864,D539,3)</f>
        <v>M</v>
      </c>
      <c r="H539" s="24">
        <f>INDEX(Master_Data!$C$186:$L$864,D539,1)</f>
        <v>3</v>
      </c>
      <c r="I539" s="24" t="str">
        <f>INDEX(Master_Data!$C$186:$L$864,D539,4)</f>
        <v>MPLS 1 Mbps Site DMI</v>
      </c>
      <c r="J539" s="24" t="str">
        <f>INDEX(Master_Data!$C$186:$L$864,D539,5)</f>
        <v>SEPTEMBER</v>
      </c>
      <c r="K539" s="136" t="str">
        <f>INDEX(Master_Data!$C$186:$L$864,D539,6)</f>
        <v>17-070/BKU-004/X/159</v>
      </c>
      <c r="L539" s="140" t="str">
        <f>INDEX(Master_Data!$C$186:$L$864,D539,7)</f>
        <v>010.019-17.53122244</v>
      </c>
      <c r="M539" s="140">
        <f>INDEX(Master_Data!$C$186:$L$864,D539,8)</f>
        <v>0</v>
      </c>
      <c r="N539" s="264"/>
      <c r="O539" s="245" t="e">
        <f t="shared" si="44"/>
        <v>#VALUE!</v>
      </c>
      <c r="Q539" s="169" t="str">
        <f t="shared" si="45"/>
        <v>HARMONI PANCA UTAMA, PTOKT</v>
      </c>
    </row>
    <row r="540" spans="2:17" s="61" customFormat="1" ht="14.1" customHeight="1">
      <c r="B540" s="338"/>
      <c r="C540" s="268">
        <f>MATCH($B$535,INDEX(Master_Data!$B$186:$B$864,D539+1,1):'Master_Data'!$B$864,0)</f>
        <v>1</v>
      </c>
      <c r="D540" s="268">
        <f t="shared" si="46"/>
        <v>110</v>
      </c>
      <c r="E540" s="54">
        <v>6</v>
      </c>
      <c r="F540" s="22" t="str">
        <f>INDEX(Master_Data!$C$186:$L$864,D540,2)</f>
        <v>HARMONI PANCA UTAMA, PT</v>
      </c>
      <c r="G540" s="24" t="str">
        <f>INDEX(Master_Data!$C$186:$L$864,D540,3)</f>
        <v>M</v>
      </c>
      <c r="H540" s="24">
        <f>INDEX(Master_Data!$C$186:$L$864,D540,1)</f>
        <v>3</v>
      </c>
      <c r="I540" s="24" t="str">
        <f>INDEX(Master_Data!$C$186:$L$864,D540,4)</f>
        <v>MPLS 512 Kbps Site Sekayan</v>
      </c>
      <c r="J540" s="24" t="str">
        <f>INDEX(Master_Data!$C$186:$L$864,D540,5)</f>
        <v>SEPTEMBER</v>
      </c>
      <c r="K540" s="136" t="str">
        <f>INDEX(Master_Data!$C$186:$L$864,D540,6)</f>
        <v>17-071/BKU-004/X/159</v>
      </c>
      <c r="L540" s="140" t="str">
        <f>INDEX(Master_Data!$C$186:$L$864,D540,7)</f>
        <v>010.019-17.53122245</v>
      </c>
      <c r="M540" s="140">
        <f>INDEX(Master_Data!$C$186:$L$864,D540,8)</f>
        <v>0</v>
      </c>
      <c r="N540" s="264"/>
      <c r="O540" s="245" t="e">
        <f t="shared" si="44"/>
        <v>#VALUE!</v>
      </c>
      <c r="Q540" s="169" t="str">
        <f t="shared" si="45"/>
        <v>HARMONI PANCA UTAMA, PTOKT</v>
      </c>
    </row>
    <row r="541" spans="2:17" s="61" customFormat="1" ht="14.1" customHeight="1">
      <c r="B541" s="338"/>
      <c r="C541" s="268">
        <f>MATCH($B$535,INDEX(Master_Data!$B$186:$B$864,D540+1,1):'Master_Data'!$B$864,0)</f>
        <v>1</v>
      </c>
      <c r="D541" s="268">
        <f t="shared" si="46"/>
        <v>111</v>
      </c>
      <c r="E541" s="24">
        <v>7</v>
      </c>
      <c r="F541" s="22" t="str">
        <f>INDEX(Master_Data!$C$186:$L$864,D541,2)</f>
        <v>HARMONI PANCA UTAMA, PT</v>
      </c>
      <c r="G541" s="24" t="str">
        <f>INDEX(Master_Data!$C$186:$L$864,D541,3)</f>
        <v>V</v>
      </c>
      <c r="H541" s="24">
        <f>INDEX(Master_Data!$C$186:$L$864,D541,1)</f>
        <v>3</v>
      </c>
      <c r="I541" s="24" t="str">
        <f>INDEX(Master_Data!$C$186:$L$864,D541,4)</f>
        <v>Sewa VSAT SCPC 512/768 Kbps Site MGA Office</v>
      </c>
      <c r="J541" s="24" t="str">
        <f>INDEX(Master_Data!$C$186:$L$864,D541,5)</f>
        <v>SEPTEMBER</v>
      </c>
      <c r="K541" s="136" t="str">
        <f>INDEX(Master_Data!$C$186:$L$864,D541,6)</f>
        <v>17-072/BKU-004/X/159</v>
      </c>
      <c r="L541" s="140" t="str">
        <f>INDEX(Master_Data!$C$186:$L$864,D541,7)</f>
        <v>010.019-17.53122246</v>
      </c>
      <c r="M541" s="140">
        <f>INDEX(Master_Data!$C$186:$L$864,D541,8)</f>
        <v>0</v>
      </c>
      <c r="N541" s="264"/>
      <c r="O541" s="245" t="e">
        <f t="shared" si="44"/>
        <v>#VALUE!</v>
      </c>
      <c r="Q541" s="169" t="str">
        <f t="shared" si="45"/>
        <v>HARMONI PANCA UTAMA, PTOKT</v>
      </c>
    </row>
    <row r="542" spans="2:17" s="61" customFormat="1" ht="14.1" customHeight="1">
      <c r="B542" s="338"/>
      <c r="C542" s="268">
        <f>MATCH($B$535,INDEX(Master_Data!$B$186:$B$864,D541+1,1):'Master_Data'!$B$864,0)</f>
        <v>1</v>
      </c>
      <c r="D542" s="268">
        <f t="shared" si="46"/>
        <v>112</v>
      </c>
      <c r="E542" s="54">
        <v>8</v>
      </c>
      <c r="F542" s="22" t="str">
        <f>INDEX(Master_Data!$C$186:$L$864,D542,2)</f>
        <v>HARMONI PANCA UTAMA, PT</v>
      </c>
      <c r="G542" s="24" t="str">
        <f>INDEX(Master_Data!$C$186:$L$864,D542,3)</f>
        <v>V</v>
      </c>
      <c r="H542" s="24">
        <f>INDEX(Master_Data!$C$186:$L$864,D542,1)</f>
        <v>3</v>
      </c>
      <c r="I542" s="24" t="str">
        <f>INDEX(Master_Data!$C$186:$L$864,D542,4)</f>
        <v>Sewa VSAT 128/256 Kbps Site RUB Ex PPA</v>
      </c>
      <c r="J542" s="24" t="str">
        <f>INDEX(Master_Data!$C$186:$L$864,D542,5)</f>
        <v>SEPTEMBER</v>
      </c>
      <c r="K542" s="136" t="str">
        <f>INDEX(Master_Data!$C$186:$L$864,D542,6)</f>
        <v>17-073/BKU-004/X/159</v>
      </c>
      <c r="L542" s="140" t="str">
        <f>INDEX(Master_Data!$C$186:$L$864,D542,7)</f>
        <v>010.019-17.53122247</v>
      </c>
      <c r="M542" s="140">
        <f>INDEX(Master_Data!$C$186:$L$864,D542,8)</f>
        <v>0</v>
      </c>
      <c r="N542" s="264"/>
      <c r="O542" s="245" t="e">
        <f t="shared" si="44"/>
        <v>#VALUE!</v>
      </c>
      <c r="Q542" s="169" t="str">
        <f t="shared" si="45"/>
        <v>HARMONI PANCA UTAMA, PTOKT</v>
      </c>
    </row>
    <row r="543" spans="2:17" s="61" customFormat="1" ht="14.1" customHeight="1">
      <c r="B543" s="338"/>
      <c r="C543" s="268">
        <f>MATCH($B$535,INDEX(Master_Data!$B$186:$B$864,D542+1,1):'Master_Data'!$B$864,0)</f>
        <v>1</v>
      </c>
      <c r="D543" s="268">
        <f t="shared" si="46"/>
        <v>113</v>
      </c>
      <c r="E543" s="24">
        <v>9</v>
      </c>
      <c r="F543" s="22" t="str">
        <f>INDEX(Master_Data!$C$186:$L$864,D543,2)</f>
        <v>HARMONI PANCA UTAMA, PT</v>
      </c>
      <c r="G543" s="24" t="str">
        <f>INDEX(Master_Data!$C$186:$L$864,D543,3)</f>
        <v>V</v>
      </c>
      <c r="H543" s="24">
        <f>INDEX(Master_Data!$C$186:$L$864,D543,1)</f>
        <v>3</v>
      </c>
      <c r="I543" s="24" t="str">
        <f>INDEX(Master_Data!$C$186:$L$864,D543,4)</f>
        <v>Sewa VSAT SCPC 512/256 Kbps Site KMO</v>
      </c>
      <c r="J543" s="24" t="str">
        <f>INDEX(Master_Data!$C$186:$L$864,D543,5)</f>
        <v>SEPTEMBER</v>
      </c>
      <c r="K543" s="136" t="str">
        <f>INDEX(Master_Data!$C$186:$L$864,D543,6)</f>
        <v>17-074/BKU-004/X/159</v>
      </c>
      <c r="L543" s="140" t="str">
        <f>INDEX(Master_Data!$C$186:$L$864,D543,7)</f>
        <v>010.019-17.53122248</v>
      </c>
      <c r="M543" s="140">
        <f>INDEX(Master_Data!$C$186:$L$864,D543,8)</f>
        <v>0</v>
      </c>
      <c r="N543" s="264"/>
      <c r="O543" s="245" t="e">
        <f t="shared" si="44"/>
        <v>#VALUE!</v>
      </c>
      <c r="Q543" s="169" t="str">
        <f t="shared" si="45"/>
        <v>HARMONI PANCA UTAMA, PTOKT</v>
      </c>
    </row>
    <row r="544" spans="2:17" s="61" customFormat="1" ht="14.1" customHeight="1">
      <c r="B544" s="338"/>
      <c r="C544" s="268">
        <f>MATCH($B$535,INDEX(Master_Data!$B$186:$B$864,D543+1,1):'Master_Data'!$B$864,0)</f>
        <v>1</v>
      </c>
      <c r="D544" s="268">
        <f t="shared" si="46"/>
        <v>114</v>
      </c>
      <c r="E544" s="54">
        <v>10</v>
      </c>
      <c r="F544" s="22" t="str">
        <f>INDEX(Master_Data!$C$186:$L$864,D544,2)</f>
        <v>HARMONI PANCA UTAMA, PT</v>
      </c>
      <c r="G544" s="24" t="str">
        <f>INDEX(Master_Data!$C$186:$L$864,D544,3)</f>
        <v>V</v>
      </c>
      <c r="H544" s="24">
        <f>INDEX(Master_Data!$C$186:$L$864,D544,1)</f>
        <v>3</v>
      </c>
      <c r="I544" s="24" t="str">
        <f>INDEX(Master_Data!$C$186:$L$864,D544,4)</f>
        <v xml:space="preserve">Sewa VSAT 256/128 Kbps Site KMO (PORT) Kelubir </v>
      </c>
      <c r="J544" s="24" t="str">
        <f>INDEX(Master_Data!$C$186:$L$864,D544,5)</f>
        <v>OKTOBER</v>
      </c>
      <c r="K544" s="136" t="str">
        <f>INDEX(Master_Data!$C$186:$L$864,D544,6)</f>
        <v>17-075/BKU-004/X/159</v>
      </c>
      <c r="L544" s="140" t="str">
        <f>INDEX(Master_Data!$C$186:$L$864,D544,7)</f>
        <v>010.019-17.53122249</v>
      </c>
      <c r="M544" s="140">
        <f>INDEX(Master_Data!$C$186:$L$864,D544,8)</f>
        <v>0</v>
      </c>
      <c r="N544" s="264"/>
      <c r="O544" s="245" t="e">
        <f t="shared" si="44"/>
        <v>#VALUE!</v>
      </c>
      <c r="Q544" s="169" t="str">
        <f t="shared" si="45"/>
        <v>HARMONI PANCA UTAMA, PTOKT</v>
      </c>
    </row>
    <row r="545" spans="2:17" s="61" customFormat="1" ht="14.1" customHeight="1">
      <c r="B545" s="338"/>
      <c r="C545" s="268">
        <f>MATCH($B$535,INDEX(Master_Data!$B$186:$B$864,D544+1,1):'Master_Data'!$B$864,0)</f>
        <v>51</v>
      </c>
      <c r="D545" s="268">
        <f t="shared" si="46"/>
        <v>165</v>
      </c>
      <c r="E545" s="24">
        <v>11</v>
      </c>
      <c r="F545" s="22" t="str">
        <f>INDEX(Master_Data!$C$186:$L$864,D545,2)</f>
        <v>HASTA PANCA MANDIRI UTAMA, PT</v>
      </c>
      <c r="G545" s="24" t="str">
        <f>INDEX(Master_Data!$C$186:$L$864,D545,3)</f>
        <v>V</v>
      </c>
      <c r="H545" s="24">
        <f>INDEX(Master_Data!$C$186:$L$864,D545,1)</f>
        <v>3</v>
      </c>
      <c r="I545" s="24" t="str">
        <f>INDEX(Master_Data!$C$186:$L$864,D545,4)</f>
        <v>Sewa VSAT SCPC 512/256 up 896/384 Kbps Site OBI Halmahera</v>
      </c>
      <c r="J545" s="24" t="str">
        <f>INDEX(Master_Data!$C$186:$L$864,D545,5)</f>
        <v>SEPTEMBER</v>
      </c>
      <c r="K545" s="136" t="str">
        <f>INDEX(Master_Data!$C$186:$L$864,D545,6)</f>
        <v>17-033/BKU-004/X/179</v>
      </c>
      <c r="L545" s="140" t="str">
        <f>INDEX(Master_Data!$C$186:$L$864,D545,7)</f>
        <v>010.019-17.53122250</v>
      </c>
      <c r="M545" s="140">
        <f>INDEX(Master_Data!$C$186:$L$864,D545,8)</f>
        <v>0</v>
      </c>
      <c r="N545" s="264"/>
      <c r="O545" s="245" t="e">
        <f t="shared" si="44"/>
        <v>#VALUE!</v>
      </c>
      <c r="Q545" s="169" t="str">
        <f t="shared" si="45"/>
        <v>HASTA PANCA MANDIRI UTAMA, PTOKT</v>
      </c>
    </row>
    <row r="546" spans="2:17" s="61" customFormat="1" ht="14.1" customHeight="1">
      <c r="B546" s="338"/>
      <c r="C546" s="268">
        <f>MATCH($B$535,INDEX(Master_Data!$B$186:$B$864,D545+1,1):'Master_Data'!$B$864,0)</f>
        <v>1</v>
      </c>
      <c r="D546" s="268">
        <f t="shared" si="46"/>
        <v>166</v>
      </c>
      <c r="E546" s="54">
        <v>12</v>
      </c>
      <c r="F546" s="22" t="str">
        <f>INDEX(Master_Data!$C$186:$L$864,D546,2)</f>
        <v>HASTA PANCA MANDIRI UTAMA, PT</v>
      </c>
      <c r="G546" s="24" t="str">
        <f>INDEX(Master_Data!$C$186:$L$864,D546,3)</f>
        <v>V</v>
      </c>
      <c r="H546" s="24">
        <f>INDEX(Master_Data!$C$186:$L$864,D546,1)</f>
        <v>3</v>
      </c>
      <c r="I546" s="24" t="str">
        <f>INDEX(Master_Data!$C$186:$L$864,D546,4)</f>
        <v xml:space="preserve">Sewa VSAT SCPC 512/256 Kbps Site AMO Malinau </v>
      </c>
      <c r="J546" s="24" t="str">
        <f>INDEX(Master_Data!$C$186:$L$864,D546,5)</f>
        <v>SEPTEMBER</v>
      </c>
      <c r="K546" s="136" t="str">
        <f>INDEX(Master_Data!$C$186:$L$864,D546,6)</f>
        <v>17-034/BKU-004/X/179</v>
      </c>
      <c r="L546" s="140" t="str">
        <f>INDEX(Master_Data!$C$186:$L$864,D546,7)</f>
        <v>010.019-17.53122251</v>
      </c>
      <c r="M546" s="140">
        <f>INDEX(Master_Data!$C$186:$L$864,D546,8)</f>
        <v>0</v>
      </c>
      <c r="N546" s="149"/>
      <c r="O546" s="245" t="e">
        <f>L546+M546</f>
        <v>#VALUE!</v>
      </c>
      <c r="Q546" s="169" t="str">
        <f t="shared" si="45"/>
        <v>HASTA PANCA MANDIRI UTAMA, PTOKT</v>
      </c>
    </row>
    <row r="547" spans="2:17" s="61" customFormat="1" ht="14.1" customHeight="1">
      <c r="B547" s="338"/>
      <c r="C547" s="268">
        <f>MATCH($B$535,INDEX(Master_Data!$B$186:$B$864,D546+1,1):'Master_Data'!$B$864,0)</f>
        <v>1</v>
      </c>
      <c r="D547" s="268">
        <f t="shared" si="46"/>
        <v>167</v>
      </c>
      <c r="E547" s="24">
        <v>13</v>
      </c>
      <c r="F547" s="22" t="str">
        <f>INDEX(Master_Data!$C$186:$L$864,D547,2)</f>
        <v>HASTA PANCA MANDIRI UTAMA, PT</v>
      </c>
      <c r="G547" s="24" t="str">
        <f>INDEX(Master_Data!$C$186:$L$864,D547,3)</f>
        <v>V</v>
      </c>
      <c r="H547" s="24">
        <f>INDEX(Master_Data!$C$186:$L$864,D547,1)</f>
        <v>3</v>
      </c>
      <c r="I547" s="24" t="str">
        <f>INDEX(Master_Data!$C$186:$L$864,D547,4)</f>
        <v>Sewa VSAT SCPC 512/256 Kbps Site KDA Kalbar</v>
      </c>
      <c r="J547" s="24" t="str">
        <f>INDEX(Master_Data!$C$186:$L$864,D547,5)</f>
        <v>SEPTEMBER</v>
      </c>
      <c r="K547" s="136" t="str">
        <f>INDEX(Master_Data!$C$186:$L$864,D547,6)</f>
        <v>17-035/BKU-004/X/179</v>
      </c>
      <c r="L547" s="140" t="str">
        <f>INDEX(Master_Data!$C$186:$L$864,D547,7)</f>
        <v>010.019-17.53122252</v>
      </c>
      <c r="M547" s="140">
        <f>INDEX(Master_Data!$C$186:$L$864,D547,8)</f>
        <v>0</v>
      </c>
      <c r="N547" s="264"/>
      <c r="O547" s="245" t="e">
        <f t="shared" ref="O547:O587" si="47">L547+M547</f>
        <v>#VALUE!</v>
      </c>
      <c r="Q547" s="169" t="str">
        <f t="shared" si="45"/>
        <v>HASTA PANCA MANDIRI UTAMA, PTOKT</v>
      </c>
    </row>
    <row r="548" spans="2:17" s="61" customFormat="1" ht="14.1" customHeight="1">
      <c r="B548" s="242"/>
      <c r="C548" s="268">
        <f>MATCH($B$535,INDEX(Master_Data!$B$186:$B$864,D547+1,1):'Master_Data'!$B$864,0)</f>
        <v>45</v>
      </c>
      <c r="D548" s="268">
        <f t="shared" si="46"/>
        <v>212</v>
      </c>
      <c r="E548" s="54">
        <v>14</v>
      </c>
      <c r="F548" s="22" t="str">
        <f>INDEX(Master_Data!$C$186:$L$864,D548,2)</f>
        <v>HUTAN KETAPANG INDUSTRI, PT</v>
      </c>
      <c r="G548" s="24" t="str">
        <f>INDEX(Master_Data!$C$186:$L$864,D548,3)</f>
        <v>V</v>
      </c>
      <c r="H548" s="24">
        <f>INDEX(Master_Data!$C$186:$L$864,D548,1)</f>
        <v>3</v>
      </c>
      <c r="I548" s="24" t="str">
        <f>INDEX(Master_Data!$C$186:$L$864,D548,4)</f>
        <v>Site HKI 1</v>
      </c>
      <c r="J548" s="24" t="str">
        <f>INDEX(Master_Data!$C$186:$L$864,D548,5)</f>
        <v>SEPTEMBER</v>
      </c>
      <c r="K548" s="136" t="str">
        <f>INDEX(Master_Data!$C$186:$L$864,D548,6)</f>
        <v>17-039/BKU-004/X/204</v>
      </c>
      <c r="L548" s="140" t="str">
        <f>INDEX(Master_Data!$C$186:$L$864,D548,7)</f>
        <v>010.019-17.53122237</v>
      </c>
      <c r="M548" s="140">
        <f>INDEX(Master_Data!$C$186:$L$864,D548,8)</f>
        <v>0</v>
      </c>
      <c r="N548" s="149"/>
      <c r="O548" s="245" t="e">
        <f t="shared" si="47"/>
        <v>#VALUE!</v>
      </c>
      <c r="Q548" s="169" t="str">
        <f t="shared" si="45"/>
        <v>HUTAN KETAPANG INDUSTRI, PTOKT</v>
      </c>
    </row>
    <row r="549" spans="2:17" s="61" customFormat="1" ht="14.1" customHeight="1">
      <c r="B549" s="242"/>
      <c r="C549" s="268">
        <f>MATCH($B$535,INDEX(Master_Data!$B$186:$B$864,D548+1,1):'Master_Data'!$B$864,0)</f>
        <v>1</v>
      </c>
      <c r="D549" s="268">
        <f t="shared" si="46"/>
        <v>213</v>
      </c>
      <c r="E549" s="24">
        <v>15</v>
      </c>
      <c r="F549" s="22" t="str">
        <f>INDEX(Master_Data!$C$186:$L$864,D549,2)</f>
        <v>HUTAN KETAPANG INDUSTRI, PT</v>
      </c>
      <c r="G549" s="24" t="str">
        <f>INDEX(Master_Data!$C$186:$L$864,D549,3)</f>
        <v>V</v>
      </c>
      <c r="H549" s="24">
        <f>INDEX(Master_Data!$C$186:$L$864,D549,1)</f>
        <v>3</v>
      </c>
      <c r="I549" s="24" t="str">
        <f>INDEX(Master_Data!$C$186:$L$864,D549,4)</f>
        <v>Site HKI 2</v>
      </c>
      <c r="J549" s="24" t="str">
        <f>INDEX(Master_Data!$C$186:$L$864,D549,5)</f>
        <v>SEPTEMBER</v>
      </c>
      <c r="K549" s="136" t="str">
        <f>INDEX(Master_Data!$C$186:$L$864,D549,6)</f>
        <v>17-040/BKU-004/X/204</v>
      </c>
      <c r="L549" s="140" t="str">
        <f>INDEX(Master_Data!$C$186:$L$864,D549,7)</f>
        <v>010.019-17.53122238</v>
      </c>
      <c r="M549" s="140">
        <f>INDEX(Master_Data!$C$186:$L$864,D549,8)</f>
        <v>0</v>
      </c>
      <c r="N549" s="264"/>
      <c r="O549" s="245" t="e">
        <f t="shared" si="47"/>
        <v>#VALUE!</v>
      </c>
      <c r="Q549" s="169" t="str">
        <f t="shared" si="45"/>
        <v>HUTAN KETAPANG INDUSTRI, PTOKT</v>
      </c>
    </row>
    <row r="550" spans="2:17" s="61" customFormat="1" ht="14.1" customHeight="1">
      <c r="B550" s="242"/>
      <c r="C550" s="268">
        <f>MATCH($B$535,INDEX(Master_Data!$B$186:$B$864,D549+1,1):'Master_Data'!$B$864,0)</f>
        <v>1</v>
      </c>
      <c r="D550" s="268">
        <f t="shared" si="46"/>
        <v>214</v>
      </c>
      <c r="E550" s="54">
        <v>16</v>
      </c>
      <c r="F550" s="22" t="str">
        <f>INDEX(Master_Data!$C$186:$L$864,D550,2)</f>
        <v>HUTAN KETAPANG INDUSTRI, PT</v>
      </c>
      <c r="G550" s="24" t="str">
        <f>INDEX(Master_Data!$C$186:$L$864,D550,3)</f>
        <v>V</v>
      </c>
      <c r="H550" s="24">
        <f>INDEX(Master_Data!$C$186:$L$864,D550,1)</f>
        <v>3</v>
      </c>
      <c r="I550" s="24" t="str">
        <f>INDEX(Master_Data!$C$186:$L$864,D550,4)</f>
        <v>Site HKI 5</v>
      </c>
      <c r="J550" s="24" t="str">
        <f>INDEX(Master_Data!$C$186:$L$864,D550,5)</f>
        <v>SEPTEMBER</v>
      </c>
      <c r="K550" s="136" t="str">
        <f>INDEX(Master_Data!$C$186:$L$864,D550,6)</f>
        <v>17-041/BKU-004/X/204</v>
      </c>
      <c r="L550" s="140" t="str">
        <f>INDEX(Master_Data!$C$186:$L$864,D550,7)</f>
        <v>010.019-17.53122239</v>
      </c>
      <c r="M550" s="140">
        <f>INDEX(Master_Data!$C$186:$L$864,D550,8)</f>
        <v>0</v>
      </c>
      <c r="N550" s="149"/>
      <c r="O550" s="245" t="e">
        <f t="shared" si="47"/>
        <v>#VALUE!</v>
      </c>
      <c r="Q550" s="169" t="str">
        <f t="shared" si="45"/>
        <v>HUTAN KETAPANG INDUSTRI, PTOKT</v>
      </c>
    </row>
    <row r="551" spans="2:17" s="61" customFormat="1" ht="14.1" customHeight="1">
      <c r="B551" s="242"/>
      <c r="C551" s="268">
        <f>MATCH($B$535,INDEX(Master_Data!$B$186:$B$864,D550+1,1):'Master_Data'!$B$864,0)</f>
        <v>1</v>
      </c>
      <c r="D551" s="268">
        <f t="shared" si="46"/>
        <v>215</v>
      </c>
      <c r="E551" s="24">
        <v>17</v>
      </c>
      <c r="F551" s="22" t="str">
        <f>INDEX(Master_Data!$C$186:$L$864,D551,2)</f>
        <v>HUTAN KETAPANG INDUSTRI, PT</v>
      </c>
      <c r="G551" s="24" t="str">
        <f>INDEX(Master_Data!$C$186:$L$864,D551,3)</f>
        <v>V</v>
      </c>
      <c r="H551" s="24">
        <f>INDEX(Master_Data!$C$186:$L$864,D551,1)</f>
        <v>3</v>
      </c>
      <c r="I551" s="24" t="str">
        <f>INDEX(Master_Data!$C$186:$L$864,D551,4)</f>
        <v>Site HKI 6</v>
      </c>
      <c r="J551" s="24" t="str">
        <f>INDEX(Master_Data!$C$186:$L$864,D551,5)</f>
        <v>SEPTEMBER</v>
      </c>
      <c r="K551" s="136" t="str">
        <f>INDEX(Master_Data!$C$186:$L$864,D551,6)</f>
        <v>17-042/BKU-004/X/204</v>
      </c>
      <c r="L551" s="140" t="str">
        <f>INDEX(Master_Data!$C$186:$L$864,D551,7)</f>
        <v>010.019-17.53122240</v>
      </c>
      <c r="M551" s="140">
        <f>INDEX(Master_Data!$C$186:$L$864,D551,8)</f>
        <v>0</v>
      </c>
      <c r="N551" s="264"/>
      <c r="O551" s="245" t="e">
        <f t="shared" si="47"/>
        <v>#VALUE!</v>
      </c>
      <c r="Q551" s="169" t="str">
        <f t="shared" si="45"/>
        <v>HUTAN KETAPANG INDUSTRI, PTOKT</v>
      </c>
    </row>
    <row r="552" spans="2:17" s="61" customFormat="1" ht="14.1" customHeight="1">
      <c r="B552" s="242"/>
      <c r="C552" s="268">
        <f>MATCH($B$535,INDEX(Master_Data!$B$186:$B$864,D551+1,1):'Master_Data'!$B$864,0)</f>
        <v>1</v>
      </c>
      <c r="D552" s="268">
        <f t="shared" si="46"/>
        <v>216</v>
      </c>
      <c r="E552" s="54">
        <v>18</v>
      </c>
      <c r="F552" s="22" t="str">
        <f>INDEX(Master_Data!$C$186:$L$864,D552,2)</f>
        <v>HUTAN KETAPANG INDUSTRI, PT</v>
      </c>
      <c r="G552" s="24">
        <f>INDEX(Master_Data!$C$186:$L$864,D552,3)</f>
        <v>0</v>
      </c>
      <c r="H552" s="24">
        <f>INDEX(Master_Data!$C$186:$L$864,D552,1)</f>
        <v>30</v>
      </c>
      <c r="I552" s="24" t="str">
        <f>INDEX(Master_Data!$C$186:$L$864,D552,4)</f>
        <v>Reimbursement Maintenance Site HKI</v>
      </c>
      <c r="J552" s="24" t="str">
        <f>INDEX(Master_Data!$C$186:$L$864,D552,5)</f>
        <v>05-12 Oktober</v>
      </c>
      <c r="K552" s="136" t="str">
        <f>INDEX(Master_Data!$C$186:$L$864,D552,6)</f>
        <v>17-043/BKU-004/X/204</v>
      </c>
      <c r="L552" s="140" t="str">
        <f>INDEX(Master_Data!$C$186:$L$864,D552,7)</f>
        <v>-</v>
      </c>
      <c r="M552" s="140">
        <f>INDEX(Master_Data!$C$186:$L$864,D552,8)</f>
        <v>0</v>
      </c>
      <c r="N552" s="264"/>
      <c r="O552" s="245" t="e">
        <f t="shared" si="47"/>
        <v>#VALUE!</v>
      </c>
      <c r="Q552" s="169" t="str">
        <f t="shared" si="45"/>
        <v>HUTAN KETAPANG INDUSTRI, PTOKT</v>
      </c>
    </row>
    <row r="553" spans="2:17" s="61" customFormat="1" ht="14.1" customHeight="1">
      <c r="B553" s="242"/>
      <c r="C553" s="268">
        <f>MATCH($B$535,INDEX(Master_Data!$B$186:$B$864,D552+1,1):'Master_Data'!$B$864,0)</f>
        <v>25</v>
      </c>
      <c r="D553" s="268">
        <f t="shared" si="46"/>
        <v>241</v>
      </c>
      <c r="E553" s="24">
        <v>19</v>
      </c>
      <c r="F553" s="22" t="str">
        <f>INDEX(Master_Data!$C$186:$L$864,D553,2)</f>
        <v>KALIMANTAN PRIMA PERSADA, PT</v>
      </c>
      <c r="G553" s="24" t="str">
        <f>INDEX(Master_Data!$C$186:$L$864,D553,3)</f>
        <v>W</v>
      </c>
      <c r="H553" s="24">
        <f>INDEX(Master_Data!$C$186:$L$864,D553,1)</f>
        <v>10</v>
      </c>
      <c r="I553" s="24" t="str">
        <f>INDEX(Master_Data!$C$186:$L$864,D553,4)</f>
        <v>WAN 5 Mbps Site ASTO Muara Teweh - Kalteng</v>
      </c>
      <c r="J553" s="24" t="str">
        <f>INDEX(Master_Data!$C$186:$L$864,D553,5)</f>
        <v>AGUSTUS</v>
      </c>
      <c r="K553" s="136" t="str">
        <f>INDEX(Master_Data!$C$186:$L$864,D553,6)</f>
        <v>17-015/BKU-004/X/208</v>
      </c>
      <c r="L553" s="140" t="str">
        <f>INDEX(Master_Data!$C$186:$L$864,D553,7)</f>
        <v>010.019-17.53122269</v>
      </c>
      <c r="M553" s="140">
        <f>INDEX(Master_Data!$C$186:$L$864,D553,8)</f>
        <v>0</v>
      </c>
      <c r="N553" s="264"/>
      <c r="O553" s="245" t="e">
        <f t="shared" si="47"/>
        <v>#VALUE!</v>
      </c>
      <c r="Q553" s="169" t="str">
        <f t="shared" si="45"/>
        <v>KALIMANTAN PRIMA PERSADA, PTOKT</v>
      </c>
    </row>
    <row r="554" spans="2:17" s="61" customFormat="1" ht="14.1" customHeight="1">
      <c r="B554" s="242"/>
      <c r="C554" s="268">
        <f>MATCH($B$535,INDEX(Master_Data!$B$186:$B$864,D553+1,1):'Master_Data'!$B$864,0)</f>
        <v>1</v>
      </c>
      <c r="D554" s="268">
        <f t="shared" si="46"/>
        <v>242</v>
      </c>
      <c r="E554" s="54">
        <v>20</v>
      </c>
      <c r="F554" s="22" t="str">
        <f>INDEX(Master_Data!$C$186:$L$864,D554,2)</f>
        <v>KALIMANTAN PRIMA PERSADA, PT</v>
      </c>
      <c r="G554" s="24" t="str">
        <f>INDEX(Master_Data!$C$186:$L$864,D554,3)</f>
        <v>W</v>
      </c>
      <c r="H554" s="24">
        <f>INDEX(Master_Data!$C$186:$L$864,D554,1)</f>
        <v>10</v>
      </c>
      <c r="I554" s="24" t="str">
        <f>INDEX(Master_Data!$C$186:$L$864,D554,4)</f>
        <v>WAN 5 Mbps Site Mass, SPUT, Loa Jana</v>
      </c>
      <c r="J554" s="24" t="str">
        <f>INDEX(Master_Data!$C$186:$L$864,D554,5)</f>
        <v>SEPTEMBER</v>
      </c>
      <c r="K554" s="136" t="str">
        <f>INDEX(Master_Data!$C$186:$L$864,D554,6)</f>
        <v>17-016/BKU-004/X/208</v>
      </c>
      <c r="L554" s="140" t="str">
        <f>INDEX(Master_Data!$C$186:$L$864,D554,7)</f>
        <v>010.019-17.53122268</v>
      </c>
      <c r="M554" s="140">
        <f>INDEX(Master_Data!$C$186:$L$864,D554,8)</f>
        <v>0</v>
      </c>
      <c r="N554" s="264"/>
      <c r="O554" s="245" t="e">
        <f t="shared" si="47"/>
        <v>#VALUE!</v>
      </c>
      <c r="Q554" s="169" t="str">
        <f t="shared" si="45"/>
        <v>KALIMANTAN PRIMA PERSADA, PTOKT</v>
      </c>
    </row>
    <row r="555" spans="2:17" s="61" customFormat="1" ht="14.1" customHeight="1">
      <c r="B555" s="242"/>
      <c r="C555" s="268">
        <f>MATCH($B$535,INDEX(Master_Data!$B$186:$B$864,D554+1,1):'Master_Data'!$B$864,0)</f>
        <v>16</v>
      </c>
      <c r="D555" s="268">
        <f t="shared" si="46"/>
        <v>258</v>
      </c>
      <c r="E555" s="24">
        <v>21</v>
      </c>
      <c r="F555" s="22" t="str">
        <f>INDEX(Master_Data!$C$186:$L$864,D555,2)</f>
        <v>KUSUMA MENTARI MAKMUR, PT</v>
      </c>
      <c r="G555" s="24" t="str">
        <f>INDEX(Master_Data!$C$186:$L$864,D555,3)</f>
        <v>V</v>
      </c>
      <c r="H555" s="24">
        <f>INDEX(Master_Data!$C$186:$L$864,D555,1)</f>
        <v>3</v>
      </c>
      <c r="I555" s="24" t="str">
        <f>INDEX(Master_Data!$C$186:$L$864,D555,4)</f>
        <v>Rental VSAT Site KMM</v>
      </c>
      <c r="J555" s="24" t="str">
        <f>INDEX(Master_Data!$C$186:$L$864,D555,5)</f>
        <v>SEPTEMBER</v>
      </c>
      <c r="K555" s="136" t="str">
        <f>INDEX(Master_Data!$C$186:$L$864,D555,6)</f>
        <v>17-010/BKU-004/X/224</v>
      </c>
      <c r="L555" s="140" t="str">
        <f>INDEX(Master_Data!$C$186:$L$864,D555,7)</f>
        <v>010.019-17.53122241</v>
      </c>
      <c r="M555" s="140">
        <f>INDEX(Master_Data!$C$186:$L$864,D555,8)</f>
        <v>0</v>
      </c>
      <c r="N555" s="264"/>
      <c r="O555" s="245" t="e">
        <f t="shared" si="47"/>
        <v>#VALUE!</v>
      </c>
      <c r="Q555" s="169" t="str">
        <f t="shared" si="45"/>
        <v>KUSUMA MENTARI MAKMUR, PTOKT</v>
      </c>
    </row>
    <row r="556" spans="2:17" s="61" customFormat="1" ht="14.1" customHeight="1">
      <c r="B556" s="242"/>
      <c r="C556" s="268">
        <f>MATCH($B$535,INDEX(Master_Data!$B$186:$B$864,D555+1,1):'Master_Data'!$B$864,0)</f>
        <v>23</v>
      </c>
      <c r="D556" s="268">
        <f t="shared" si="46"/>
        <v>281</v>
      </c>
      <c r="E556" s="54">
        <v>22</v>
      </c>
      <c r="F556" s="22" t="str">
        <f>INDEX(Master_Data!$C$186:$L$864,D556,2)</f>
        <v>LANANG AGRO BERSATU, PT</v>
      </c>
      <c r="G556" s="24" t="str">
        <f>INDEX(Master_Data!$C$186:$L$864,D556,3)</f>
        <v>V</v>
      </c>
      <c r="H556" s="24">
        <f>INDEX(Master_Data!$C$186:$L$864,D556,1)</f>
        <v>3</v>
      </c>
      <c r="I556" s="24" t="str">
        <f>INDEX(Master_Data!$C$186:$L$864,D556,4)</f>
        <v>Monthly Charges VSAT LAB BSE</v>
      </c>
      <c r="J556" s="24" t="str">
        <f>INDEX(Master_Data!$C$186:$L$864,D556,5)</f>
        <v>SEPTEMBER</v>
      </c>
      <c r="K556" s="136" t="str">
        <f>INDEX(Master_Data!$C$186:$L$864,D556,6)</f>
        <v>17-019/BKU-004/X/210</v>
      </c>
      <c r="L556" s="140" t="str">
        <f>INDEX(Master_Data!$C$186:$L$864,D556,7)</f>
        <v>010.019-17.53122235</v>
      </c>
      <c r="M556" s="140">
        <f>INDEX(Master_Data!$C$186:$L$864,D556,8)</f>
        <v>22000000</v>
      </c>
      <c r="N556" s="149"/>
      <c r="O556" s="245" t="e">
        <f t="shared" si="47"/>
        <v>#VALUE!</v>
      </c>
      <c r="Q556" s="169" t="str">
        <f t="shared" si="45"/>
        <v>LANANG AGRO BERSATU, PTOKT</v>
      </c>
    </row>
    <row r="557" spans="2:17" s="61" customFormat="1" ht="14.1" customHeight="1">
      <c r="B557" s="242"/>
      <c r="C557" s="268">
        <f>MATCH($B$535,INDEX(Master_Data!$B$186:$B$864,D556+1,1):'Master_Data'!$B$864,0)</f>
        <v>1</v>
      </c>
      <c r="D557" s="268">
        <f t="shared" si="46"/>
        <v>282</v>
      </c>
      <c r="E557" s="24">
        <v>23</v>
      </c>
      <c r="F557" s="22" t="str">
        <f>INDEX(Master_Data!$C$186:$L$864,D557,2)</f>
        <v>LANANG AGRO BERSATU, PT</v>
      </c>
      <c r="G557" s="24" t="str">
        <f>INDEX(Master_Data!$C$186:$L$864,D557,3)</f>
        <v>V</v>
      </c>
      <c r="H557" s="24">
        <f>INDEX(Master_Data!$C$186:$L$864,D557,1)</f>
        <v>3</v>
      </c>
      <c r="I557" s="24" t="str">
        <f>INDEX(Master_Data!$C$186:$L$864,D557,4)</f>
        <v>Monthly Charges VSAT LAB BME</v>
      </c>
      <c r="J557" s="24" t="str">
        <f>INDEX(Master_Data!$C$186:$L$864,D557,5)</f>
        <v>SEPTEMBER</v>
      </c>
      <c r="K557" s="136" t="str">
        <f>INDEX(Master_Data!$C$186:$L$864,D557,6)</f>
        <v>17-020/BKU-004/X/210</v>
      </c>
      <c r="L557" s="140" t="str">
        <f>INDEX(Master_Data!$C$186:$L$864,D557,7)</f>
        <v>010.019-17.53122236</v>
      </c>
      <c r="M557" s="140">
        <f>INDEX(Master_Data!$C$186:$L$864,D557,8)</f>
        <v>0</v>
      </c>
      <c r="N557" s="264"/>
      <c r="O557" s="245" t="e">
        <f t="shared" si="47"/>
        <v>#VALUE!</v>
      </c>
      <c r="Q557" s="169" t="str">
        <f t="shared" si="45"/>
        <v>LANANG AGRO BERSATU, PTOKT</v>
      </c>
    </row>
    <row r="558" spans="2:17" s="61" customFormat="1" ht="14.1" customHeight="1">
      <c r="B558" s="242"/>
      <c r="C558" s="268">
        <f>MATCH($B$535,INDEX(Master_Data!$B$186:$B$864,D557+1,1):'Master_Data'!$B$864,0)</f>
        <v>84</v>
      </c>
      <c r="D558" s="268">
        <f t="shared" si="46"/>
        <v>366</v>
      </c>
      <c r="E558" s="54">
        <v>24</v>
      </c>
      <c r="F558" s="22" t="str">
        <f>INDEX(Master_Data!$C$186:$L$864,D558,2)</f>
        <v>MADHANI TALATAH NUSANTARA, PT</v>
      </c>
      <c r="G558" s="24" t="str">
        <f>INDEX(Master_Data!$C$186:$L$864,D558,3)</f>
        <v>W</v>
      </c>
      <c r="H558" s="24">
        <f>INDEX(Master_Data!$C$186:$L$864,D558,1)</f>
        <v>3</v>
      </c>
      <c r="I558" s="24" t="str">
        <f>INDEX(Master_Data!$C$186:$L$864,D558,4)</f>
        <v xml:space="preserve">Asam asam Project </v>
      </c>
      <c r="J558" s="24" t="str">
        <f>INDEX(Master_Data!$C$186:$L$864,D558,5)</f>
        <v>OKTOBER</v>
      </c>
      <c r="K558" s="136" t="str">
        <f>INDEX(Master_Data!$C$186:$L$864,D558,6)</f>
        <v>17-080/BKU-004/X/057</v>
      </c>
      <c r="L558" s="140" t="str">
        <f>INDEX(Master_Data!$C$186:$L$864,D558,7)</f>
        <v>010.019-17.53122221</v>
      </c>
      <c r="M558" s="140">
        <f>INDEX(Master_Data!$C$186:$L$864,D558,8)</f>
        <v>0</v>
      </c>
      <c r="N558" s="264"/>
      <c r="O558" s="245" t="e">
        <f t="shared" si="47"/>
        <v>#VALUE!</v>
      </c>
      <c r="Q558" s="169" t="str">
        <f t="shared" si="45"/>
        <v>MADHANI TALATAH NUSANTARA, PTOKT</v>
      </c>
    </row>
    <row r="559" spans="2:17" s="61" customFormat="1" ht="14.1" customHeight="1">
      <c r="B559" s="242"/>
      <c r="C559" s="268">
        <f>MATCH($B$535,INDEX(Master_Data!$B$186:$B$864,D558+1,1):'Master_Data'!$B$864,0)</f>
        <v>1</v>
      </c>
      <c r="D559" s="268">
        <f t="shared" si="46"/>
        <v>367</v>
      </c>
      <c r="E559" s="24">
        <v>25</v>
      </c>
      <c r="F559" s="22" t="str">
        <f>INDEX(Master_Data!$C$186:$L$864,D559,2)</f>
        <v>MADHANI TALATAH NUSANTARA, PT</v>
      </c>
      <c r="G559" s="24" t="str">
        <f>INDEX(Master_Data!$C$186:$L$864,D559,3)</f>
        <v>I</v>
      </c>
      <c r="H559" s="24">
        <f>INDEX(Master_Data!$C$186:$L$864,D559,1)</f>
        <v>3</v>
      </c>
      <c r="I559" s="24" t="str">
        <f>INDEX(Master_Data!$C$186:$L$864,D559,4)</f>
        <v>HO MTN Jakarta</v>
      </c>
      <c r="J559" s="24" t="str">
        <f>INDEX(Master_Data!$C$186:$L$864,D559,5)</f>
        <v>OKTOBER</v>
      </c>
      <c r="K559" s="136" t="str">
        <f>INDEX(Master_Data!$C$186:$L$864,D559,6)</f>
        <v>17-081/BKU-004/X/057</v>
      </c>
      <c r="L559" s="140" t="str">
        <f>INDEX(Master_Data!$C$186:$L$864,D559,7)</f>
        <v>010.019-17.53122222</v>
      </c>
      <c r="M559" s="140">
        <f>INDEX(Master_Data!$C$186:$L$864,D559,8)</f>
        <v>0</v>
      </c>
      <c r="N559" s="264"/>
      <c r="O559" s="245" t="e">
        <f t="shared" si="47"/>
        <v>#VALUE!</v>
      </c>
      <c r="Q559" s="169" t="str">
        <f t="shared" si="45"/>
        <v>MADHANI TALATAH NUSANTARA, PTOKT</v>
      </c>
    </row>
    <row r="560" spans="2:17" s="61" customFormat="1" ht="14.1" customHeight="1">
      <c r="B560" s="242"/>
      <c r="C560" s="268">
        <f>MATCH($B$535,INDEX(Master_Data!$B$186:$B$864,D559+1,1):'Master_Data'!$B$864,0)</f>
        <v>1</v>
      </c>
      <c r="D560" s="268">
        <f t="shared" si="46"/>
        <v>368</v>
      </c>
      <c r="E560" s="54">
        <v>26</v>
      </c>
      <c r="F560" s="22" t="str">
        <f>INDEX(Master_Data!$C$186:$L$864,D560,2)</f>
        <v>MADHANI TALATAH NUSANTARA, PT</v>
      </c>
      <c r="G560" s="24" t="str">
        <f>INDEX(Master_Data!$C$186:$L$864,D560,3)</f>
        <v>W</v>
      </c>
      <c r="H560" s="24">
        <f>INDEX(Master_Data!$C$186:$L$864,D560,1)</f>
        <v>3</v>
      </c>
      <c r="I560" s="24" t="str">
        <f>INDEX(Master_Data!$C$186:$L$864,D560,4)</f>
        <v>MTN KEL</v>
      </c>
      <c r="J560" s="24" t="str">
        <f>INDEX(Master_Data!$C$186:$L$864,D560,5)</f>
        <v>OKTOBER</v>
      </c>
      <c r="K560" s="136" t="str">
        <f>INDEX(Master_Data!$C$186:$L$864,D560,6)</f>
        <v>17-082/BKU-004/X/057</v>
      </c>
      <c r="L560" s="140" t="str">
        <f>INDEX(Master_Data!$C$186:$L$864,D560,7)</f>
        <v>010.019-17.53122223</v>
      </c>
      <c r="M560" s="140">
        <f>INDEX(Master_Data!$C$186:$L$864,D560,8)</f>
        <v>0</v>
      </c>
      <c r="N560" s="264"/>
      <c r="O560" s="245" t="e">
        <f t="shared" si="47"/>
        <v>#VALUE!</v>
      </c>
      <c r="Q560" s="169" t="str">
        <f t="shared" si="45"/>
        <v>MADHANI TALATAH NUSANTARA, PTOKT</v>
      </c>
    </row>
    <row r="561" spans="2:17" s="61" customFormat="1" ht="14.1" customHeight="1">
      <c r="B561" s="242"/>
      <c r="C561" s="268">
        <f>MATCH($B$535,INDEX(Master_Data!$B$186:$B$864,D560+1,1):'Master_Data'!$B$864,0)</f>
        <v>1</v>
      </c>
      <c r="D561" s="268">
        <f t="shared" si="46"/>
        <v>369</v>
      </c>
      <c r="E561" s="24">
        <v>27</v>
      </c>
      <c r="F561" s="22" t="str">
        <f>INDEX(Master_Data!$C$186:$L$864,D561,2)</f>
        <v>MADHANI TALATAH NUSANTARA, PT</v>
      </c>
      <c r="G561" s="24" t="str">
        <f>INDEX(Master_Data!$C$186:$L$864,D561,3)</f>
        <v>V</v>
      </c>
      <c r="H561" s="24">
        <f>INDEX(Master_Data!$C$186:$L$864,D561,1)</f>
        <v>3</v>
      </c>
      <c r="I561" s="24" t="str">
        <f>INDEX(Master_Data!$C$186:$L$864,D561,4)</f>
        <v>MUTU Ampah - Kalteng Project</v>
      </c>
      <c r="J561" s="24" t="str">
        <f>INDEX(Master_Data!$C$186:$L$864,D561,5)</f>
        <v>OKTOBER</v>
      </c>
      <c r="K561" s="136" t="str">
        <f>INDEX(Master_Data!$C$186:$L$864,D561,6)</f>
        <v>17-083/BKU-004/X/057</v>
      </c>
      <c r="L561" s="140" t="str">
        <f>INDEX(Master_Data!$C$186:$L$864,D561,7)</f>
        <v>010.019-17.53122224</v>
      </c>
      <c r="M561" s="140">
        <f>INDEX(Master_Data!$C$186:$L$864,D561,8)</f>
        <v>0</v>
      </c>
      <c r="N561" s="264"/>
      <c r="O561" s="245" t="e">
        <f t="shared" si="47"/>
        <v>#VALUE!</v>
      </c>
      <c r="Q561" s="169" t="str">
        <f t="shared" si="45"/>
        <v>MADHANI TALATAH NUSANTARA, PTOKT</v>
      </c>
    </row>
    <row r="562" spans="2:17" s="61" customFormat="1" ht="14.1" customHeight="1">
      <c r="B562" s="242"/>
      <c r="C562" s="268">
        <f>MATCH($B$535,INDEX(Master_Data!$B$186:$B$864,D561+1,1):'Master_Data'!$B$864,0)</f>
        <v>1</v>
      </c>
      <c r="D562" s="268">
        <f t="shared" si="46"/>
        <v>370</v>
      </c>
      <c r="E562" s="54">
        <v>28</v>
      </c>
      <c r="F562" s="22" t="str">
        <f>INDEX(Master_Data!$C$186:$L$864,D562,2)</f>
        <v>MADHANI TALATAH NUSANTARA, PT</v>
      </c>
      <c r="G562" s="24" t="str">
        <f>INDEX(Master_Data!$C$186:$L$864,D562,3)</f>
        <v>V</v>
      </c>
      <c r="H562" s="24">
        <f>INDEX(Master_Data!$C$186:$L$864,D562,1)</f>
        <v>3</v>
      </c>
      <c r="I562" s="24" t="str">
        <f>INDEX(Master_Data!$C$186:$L$864,D562,4)</f>
        <v>Site Bengalon</v>
      </c>
      <c r="J562" s="24" t="str">
        <f>INDEX(Master_Data!$C$186:$L$864,D562,5)</f>
        <v>OKTOBER</v>
      </c>
      <c r="K562" s="136" t="str">
        <f>INDEX(Master_Data!$C$186:$L$864,D562,6)</f>
        <v>17-084/BKU-004/X/057</v>
      </c>
      <c r="L562" s="140" t="str">
        <f>INDEX(Master_Data!$C$186:$L$864,D562,7)</f>
        <v>010.019-17.53122225</v>
      </c>
      <c r="M562" s="140">
        <f>INDEX(Master_Data!$C$186:$L$864,D562,8)</f>
        <v>0</v>
      </c>
      <c r="N562" s="264"/>
      <c r="O562" s="245" t="e">
        <f t="shared" si="47"/>
        <v>#VALUE!</v>
      </c>
      <c r="Q562" s="169" t="str">
        <f t="shared" si="45"/>
        <v>MADHANI TALATAH NUSANTARA, PTOKT</v>
      </c>
    </row>
    <row r="563" spans="2:17" s="61" customFormat="1" ht="14.1" customHeight="1">
      <c r="B563" s="242"/>
      <c r="C563" s="268">
        <f>MATCH($B$535,INDEX(Master_Data!$B$186:$B$864,D562+1,1):'Master_Data'!$B$864,0)</f>
        <v>1</v>
      </c>
      <c r="D563" s="268">
        <f t="shared" si="46"/>
        <v>371</v>
      </c>
      <c r="E563" s="24">
        <v>29</v>
      </c>
      <c r="F563" s="22" t="str">
        <f>INDEX(Master_Data!$C$186:$L$864,D563,2)</f>
        <v>MADHANI TALATAH NUSANTARA, PT</v>
      </c>
      <c r="G563" s="24" t="str">
        <f>INDEX(Master_Data!$C$186:$L$864,D563,3)</f>
        <v>W</v>
      </c>
      <c r="H563" s="24">
        <f>INDEX(Master_Data!$C$186:$L$864,D563,1)</f>
        <v>3</v>
      </c>
      <c r="I563" s="24" t="str">
        <f>INDEX(Master_Data!$C$186:$L$864,D563,4)</f>
        <v>KPUC</v>
      </c>
      <c r="J563" s="24" t="str">
        <f>INDEX(Master_Data!$C$186:$L$864,D563,5)</f>
        <v>OKTOBER</v>
      </c>
      <c r="K563" s="136" t="str">
        <f>INDEX(Master_Data!$C$186:$L$864,D563,6)</f>
        <v>17-085/BKU-004/X/057</v>
      </c>
      <c r="L563" s="140" t="str">
        <f>INDEX(Master_Data!$C$186:$L$864,D563,7)</f>
        <v>010.019-17.53122226</v>
      </c>
      <c r="M563" s="140">
        <f>INDEX(Master_Data!$C$186:$L$864,D563,8)</f>
        <v>0</v>
      </c>
      <c r="N563" s="264"/>
      <c r="O563" s="245" t="e">
        <f t="shared" si="47"/>
        <v>#VALUE!</v>
      </c>
      <c r="Q563" s="169" t="str">
        <f t="shared" si="45"/>
        <v>MADHANI TALATAH NUSANTARA, PTOKT</v>
      </c>
    </row>
    <row r="564" spans="2:17" s="61" customFormat="1" ht="14.1" customHeight="1">
      <c r="B564" s="242"/>
      <c r="C564" s="268">
        <f>MATCH($B$535,INDEX(Master_Data!$B$186:$B$864,D563+1,1):'Master_Data'!$B$864,0)</f>
        <v>1</v>
      </c>
      <c r="D564" s="268">
        <f t="shared" si="46"/>
        <v>372</v>
      </c>
      <c r="E564" s="54">
        <v>30</v>
      </c>
      <c r="F564" s="22" t="str">
        <f>INDEX(Master_Data!$C$186:$L$864,D564,2)</f>
        <v>MADHANI TALATAH NUSANTARA, PT</v>
      </c>
      <c r="G564" s="24" t="str">
        <f>INDEX(Master_Data!$C$186:$L$864,D564,3)</f>
        <v>V</v>
      </c>
      <c r="H564" s="24">
        <f>INDEX(Master_Data!$C$186:$L$864,D564,1)</f>
        <v>3</v>
      </c>
      <c r="I564" s="24" t="str">
        <f>INDEX(Master_Data!$C$186:$L$864,D564,4)</f>
        <v>P. Wetar</v>
      </c>
      <c r="J564" s="24" t="str">
        <f>INDEX(Master_Data!$C$186:$L$864,D564,5)</f>
        <v>OKTOBER</v>
      </c>
      <c r="K564" s="136" t="str">
        <f>INDEX(Master_Data!$C$186:$L$864,D564,6)</f>
        <v>17-086/BKU-004/X/057</v>
      </c>
      <c r="L564" s="140" t="str">
        <f>INDEX(Master_Data!$C$186:$L$864,D564,7)</f>
        <v>010.019-17.53122227</v>
      </c>
      <c r="M564" s="140">
        <f>INDEX(Master_Data!$C$186:$L$864,D564,8)</f>
        <v>0</v>
      </c>
      <c r="N564" s="264"/>
      <c r="O564" s="245" t="e">
        <f t="shared" si="47"/>
        <v>#VALUE!</v>
      </c>
      <c r="Q564" s="169" t="str">
        <f t="shared" si="45"/>
        <v>MADHANI TALATAH NUSANTARA, PTOKT</v>
      </c>
    </row>
    <row r="565" spans="2:17" s="61" customFormat="1" ht="14.1" customHeight="1">
      <c r="B565" s="242"/>
      <c r="C565" s="268">
        <f>MATCH($B$535,INDEX(Master_Data!$B$186:$B$864,D564+1,1):'Master_Data'!$B$864,0)</f>
        <v>1</v>
      </c>
      <c r="D565" s="268">
        <f t="shared" si="46"/>
        <v>373</v>
      </c>
      <c r="E565" s="24">
        <v>31</v>
      </c>
      <c r="F565" s="22" t="str">
        <f>INDEX(Master_Data!$C$186:$L$864,D565,2)</f>
        <v>MADHANI TALATAH NUSANTARA, PT</v>
      </c>
      <c r="G565" s="24" t="str">
        <f>INDEX(Master_Data!$C$186:$L$864,D565,3)</f>
        <v>W</v>
      </c>
      <c r="H565" s="24">
        <f>INDEX(Master_Data!$C$186:$L$864,D565,1)</f>
        <v>3</v>
      </c>
      <c r="I565" s="24" t="str">
        <f>INDEX(Master_Data!$C$186:$L$864,D565,4)</f>
        <v>Tembang</v>
      </c>
      <c r="J565" s="24" t="str">
        <f>INDEX(Master_Data!$C$186:$L$864,D565,5)</f>
        <v>OKTOBER</v>
      </c>
      <c r="K565" s="136" t="str">
        <f>INDEX(Master_Data!$C$186:$L$864,D565,6)</f>
        <v>17-087/BKU-004/X/057</v>
      </c>
      <c r="L565" s="140" t="str">
        <f>INDEX(Master_Data!$C$186:$L$864,D565,7)</f>
        <v>010.019-17.53122228</v>
      </c>
      <c r="M565" s="140">
        <f>INDEX(Master_Data!$C$186:$L$864,D565,8)</f>
        <v>0</v>
      </c>
      <c r="N565" s="264"/>
      <c r="O565" s="245" t="e">
        <f t="shared" si="47"/>
        <v>#VALUE!</v>
      </c>
      <c r="Q565" s="169" t="str">
        <f t="shared" si="45"/>
        <v>MADHANI TALATAH NUSANTARA, PTOKT</v>
      </c>
    </row>
    <row r="566" spans="2:17" s="61" customFormat="1" ht="14.1" customHeight="1">
      <c r="B566" s="242"/>
      <c r="C566" s="268">
        <f>MATCH($B$535,INDEX(Master_Data!$B$186:$B$864,D565+1,1):'Master_Data'!$B$864,0)</f>
        <v>1</v>
      </c>
      <c r="D566" s="268">
        <f t="shared" si="46"/>
        <v>374</v>
      </c>
      <c r="E566" s="54">
        <v>32</v>
      </c>
      <c r="F566" s="22" t="str">
        <f>INDEX(Master_Data!$C$186:$L$864,D566,2)</f>
        <v>MADHANI TALATAH NUSANTARA, PT</v>
      </c>
      <c r="G566" s="24" t="str">
        <f>INDEX(Master_Data!$C$186:$L$864,D566,3)</f>
        <v>W</v>
      </c>
      <c r="H566" s="24">
        <f>INDEX(Master_Data!$C$186:$L$864,D566,1)</f>
        <v>3</v>
      </c>
      <c r="I566" s="24" t="str">
        <f>INDEX(Master_Data!$C$186:$L$864,D566,4)</f>
        <v>IPC</v>
      </c>
      <c r="J566" s="24" t="str">
        <f>INDEX(Master_Data!$C$186:$L$864,D566,5)</f>
        <v>OKTOBER</v>
      </c>
      <c r="K566" s="136" t="str">
        <f>INDEX(Master_Data!$C$186:$L$864,D566,6)</f>
        <v>17-088/BKU-004/X/057</v>
      </c>
      <c r="L566" s="140" t="str">
        <f>INDEX(Master_Data!$C$186:$L$864,D566,7)</f>
        <v>010.019-17.53122229</v>
      </c>
      <c r="M566" s="140">
        <f>INDEX(Master_Data!$C$186:$L$864,D566,8)</f>
        <v>0</v>
      </c>
      <c r="N566" s="264"/>
      <c r="O566" s="245" t="e">
        <f t="shared" si="47"/>
        <v>#VALUE!</v>
      </c>
      <c r="Q566" s="169" t="str">
        <f t="shared" si="45"/>
        <v>MADHANI TALATAH NUSANTARA, PTOKT</v>
      </c>
    </row>
    <row r="567" spans="2:17" s="61" customFormat="1" ht="14.1" customHeight="1">
      <c r="B567" s="242"/>
      <c r="C567" s="268">
        <f>MATCH($B$535,INDEX(Master_Data!$B$186:$B$864,D566+1,1):'Master_Data'!$B$864,0)</f>
        <v>1</v>
      </c>
      <c r="D567" s="268">
        <f t="shared" si="46"/>
        <v>375</v>
      </c>
      <c r="E567" s="24">
        <v>33</v>
      </c>
      <c r="F567" s="22" t="str">
        <f>INDEX(Master_Data!$C$186:$L$864,D567,2)</f>
        <v>MADHANI TALATAH NUSANTARA, PT</v>
      </c>
      <c r="G567" s="24" t="str">
        <f>INDEX(Master_Data!$C$186:$L$864,D567,3)</f>
        <v>V</v>
      </c>
      <c r="H567" s="24">
        <f>INDEX(Master_Data!$C$186:$L$864,D567,1)</f>
        <v>3</v>
      </c>
      <c r="I567" s="24" t="str">
        <f>INDEX(Master_Data!$C$186:$L$864,D567,4)</f>
        <v>BSI Pulau Merah - Kab. Banyuwangi</v>
      </c>
      <c r="J567" s="24" t="str">
        <f>INDEX(Master_Data!$C$186:$L$864,D567,5)</f>
        <v>OKTOBER</v>
      </c>
      <c r="K567" s="136" t="str">
        <f>INDEX(Master_Data!$C$186:$L$864,D567,6)</f>
        <v>17-089/BKU-004/X/057</v>
      </c>
      <c r="L567" s="140" t="str">
        <f>INDEX(Master_Data!$C$186:$L$864,D567,7)</f>
        <v>010.019-17.53122230</v>
      </c>
      <c r="M567" s="140">
        <f>INDEX(Master_Data!$C$186:$L$864,D567,8)</f>
        <v>0</v>
      </c>
      <c r="N567" s="264"/>
      <c r="O567" s="245" t="e">
        <f t="shared" si="47"/>
        <v>#VALUE!</v>
      </c>
      <c r="Q567" s="169" t="str">
        <f t="shared" si="45"/>
        <v>MADHANI TALATAH NUSANTARA, PTOKT</v>
      </c>
    </row>
    <row r="568" spans="2:17" s="61" customFormat="1" ht="14.1" customHeight="1">
      <c r="B568" s="242"/>
      <c r="C568" s="268">
        <f>MATCH($B$535,INDEX(Master_Data!$B$186:$B$864,D567+1,1):'Master_Data'!$B$864,0)</f>
        <v>1</v>
      </c>
      <c r="D568" s="268">
        <f t="shared" si="46"/>
        <v>376</v>
      </c>
      <c r="E568" s="54">
        <v>34</v>
      </c>
      <c r="F568" s="22" t="str">
        <f>INDEX(Master_Data!$C$186:$L$864,D568,2)</f>
        <v>MADHANI TALATAH NUSANTARA, PT</v>
      </c>
      <c r="G568" s="24" t="str">
        <f>INDEX(Master_Data!$C$186:$L$864,D568,3)</f>
        <v>V</v>
      </c>
      <c r="H568" s="24">
        <f>INDEX(Master_Data!$C$186:$L$864,D568,1)</f>
        <v>3</v>
      </c>
      <c r="I568" s="24" t="str">
        <f>INDEX(Master_Data!$C$186:$L$864,D568,4)</f>
        <v>West Pit</v>
      </c>
      <c r="J568" s="24" t="str">
        <f>INDEX(Master_Data!$C$186:$L$864,D568,5)</f>
        <v>OKTOBER</v>
      </c>
      <c r="K568" s="136" t="str">
        <f>INDEX(Master_Data!$C$186:$L$864,D568,6)</f>
        <v>17-090/BKU-004/X/057</v>
      </c>
      <c r="L568" s="140" t="str">
        <f>INDEX(Master_Data!$C$186:$L$864,D568,7)</f>
        <v>010.019-17.53122231</v>
      </c>
      <c r="M568" s="140">
        <f>INDEX(Master_Data!$C$186:$L$864,D568,8)</f>
        <v>0</v>
      </c>
      <c r="N568" s="264"/>
      <c r="O568" s="245" t="e">
        <f t="shared" si="47"/>
        <v>#VALUE!</v>
      </c>
      <c r="Q568" s="169" t="str">
        <f t="shared" si="45"/>
        <v>MADHANI TALATAH NUSANTARA, PTOKT</v>
      </c>
    </row>
    <row r="569" spans="2:17" s="61" customFormat="1" ht="14.1" customHeight="1">
      <c r="B569" s="242"/>
      <c r="C569" s="268">
        <f>MATCH($B$535,INDEX(Master_Data!$B$186:$B$864,D568+1,1):'Master_Data'!$B$864,0)</f>
        <v>1</v>
      </c>
      <c r="D569" s="268">
        <f t="shared" si="46"/>
        <v>377</v>
      </c>
      <c r="E569" s="24">
        <v>35</v>
      </c>
      <c r="F569" s="22" t="str">
        <f>INDEX(Master_Data!$C$186:$L$864,D569,2)</f>
        <v>MADHANI TALATAH NUSANTARA, PT</v>
      </c>
      <c r="G569" s="24" t="str">
        <f>INDEX(Master_Data!$C$186:$L$864,D569,3)</f>
        <v>W</v>
      </c>
      <c r="H569" s="24">
        <f>INDEX(Master_Data!$C$186:$L$864,D569,1)</f>
        <v>13</v>
      </c>
      <c r="I569" s="24" t="str">
        <f>INDEX(Master_Data!$C$186:$L$864,D569,4)</f>
        <v>Reimbursement Transport Site Tembang</v>
      </c>
      <c r="J569" s="24" t="str">
        <f>INDEX(Master_Data!$C$186:$L$864,D569,5)</f>
        <v>5-13 Sep</v>
      </c>
      <c r="K569" s="136" t="str">
        <f>INDEX(Master_Data!$C$186:$L$864,D569,6)</f>
        <v>17-091/BKU-004/X/057</v>
      </c>
      <c r="L569" s="140" t="str">
        <f>INDEX(Master_Data!$C$186:$L$864,D569,7)</f>
        <v>-</v>
      </c>
      <c r="M569" s="140">
        <f>INDEX(Master_Data!$C$186:$L$864,D569,8)</f>
        <v>0</v>
      </c>
      <c r="N569" s="264"/>
      <c r="O569" s="245" t="e">
        <f t="shared" si="47"/>
        <v>#VALUE!</v>
      </c>
      <c r="Q569" s="169" t="str">
        <f t="shared" si="45"/>
        <v>MADHANI TALATAH NUSANTARA, PTOKT</v>
      </c>
    </row>
    <row r="570" spans="2:17" s="61" customFormat="1" ht="14.1" customHeight="1">
      <c r="B570" s="242"/>
      <c r="C570" s="268">
        <f>MATCH($B$535,INDEX(Master_Data!$B$186:$B$864,D569+1,1):'Master_Data'!$B$864,0)</f>
        <v>1</v>
      </c>
      <c r="D570" s="268">
        <f t="shared" si="46"/>
        <v>378</v>
      </c>
      <c r="E570" s="54">
        <v>36</v>
      </c>
      <c r="F570" s="22" t="str">
        <f>INDEX(Master_Data!$C$186:$L$864,D570,2)</f>
        <v>MADHANI TALATAH NUSANTARA, PT</v>
      </c>
      <c r="G570" s="24" t="str">
        <f>INDEX(Master_Data!$C$186:$L$864,D570,3)</f>
        <v>V</v>
      </c>
      <c r="H570" s="24">
        <f>INDEX(Master_Data!$C$186:$L$864,D570,1)</f>
        <v>18</v>
      </c>
      <c r="I570" s="24" t="str">
        <f>INDEX(Master_Data!$C$186:$L$864,D570,4)</f>
        <v>Jasa Instalasi VSAT Site Madhani SBS</v>
      </c>
      <c r="J570" s="24" t="str">
        <f>INDEX(Master_Data!$C$186:$L$864,D570,5)</f>
        <v>2 Okt</v>
      </c>
      <c r="K570" s="136" t="str">
        <f>INDEX(Master_Data!$C$186:$L$864,D570,6)</f>
        <v>17-092/BKU-004/X/057</v>
      </c>
      <c r="L570" s="140" t="str">
        <f>INDEX(Master_Data!$C$186:$L$864,D570,7)</f>
        <v>010.019-17.53122273</v>
      </c>
      <c r="M570" s="140">
        <f>INDEX(Master_Data!$C$186:$L$864,D570,8)</f>
        <v>1332700</v>
      </c>
      <c r="N570" s="264"/>
      <c r="O570" s="245" t="e">
        <f t="shared" si="47"/>
        <v>#VALUE!</v>
      </c>
      <c r="Q570" s="169" t="str">
        <f t="shared" si="45"/>
        <v>MADHANI TALATAH NUSANTARA, PTOKT</v>
      </c>
    </row>
    <row r="571" spans="2:17" s="61" customFormat="1" ht="14.1" customHeight="1">
      <c r="B571" s="242"/>
      <c r="C571" s="268">
        <f>MATCH($B$535,INDEX(Master_Data!$B$186:$B$864,D570+1,1):'Master_Data'!$B$864,0)</f>
        <v>1</v>
      </c>
      <c r="D571" s="268">
        <f t="shared" si="46"/>
        <v>379</v>
      </c>
      <c r="E571" s="24">
        <v>37</v>
      </c>
      <c r="F571" s="22" t="str">
        <f>INDEX(Master_Data!$C$186:$L$864,D571,2)</f>
        <v>MADHANI TALATAH NUSANTARA, PT</v>
      </c>
      <c r="G571" s="24" t="str">
        <f>INDEX(Master_Data!$C$186:$L$864,D571,3)</f>
        <v>V</v>
      </c>
      <c r="H571" s="24">
        <f>INDEX(Master_Data!$C$186:$L$864,D571,1)</f>
        <v>18</v>
      </c>
      <c r="I571" s="24" t="str">
        <f>INDEX(Master_Data!$C$186:$L$864,D571,4)</f>
        <v>Reimbursement Transport Site MTN SBS</v>
      </c>
      <c r="J571" s="24" t="str">
        <f>INDEX(Master_Data!$C$186:$L$864,D571,5)</f>
        <v>22 Sep-3 Okt</v>
      </c>
      <c r="K571" s="136" t="str">
        <f>INDEX(Master_Data!$C$186:$L$864,D571,6)</f>
        <v>17-093/BKU-004/X/057</v>
      </c>
      <c r="L571" s="140" t="str">
        <f>INDEX(Master_Data!$C$186:$L$864,D571,7)</f>
        <v>-</v>
      </c>
      <c r="M571" s="140">
        <f>INDEX(Master_Data!$C$186:$L$864,D571,8)</f>
        <v>0</v>
      </c>
      <c r="N571" s="264"/>
      <c r="O571" s="245" t="e">
        <f t="shared" si="47"/>
        <v>#VALUE!</v>
      </c>
      <c r="Q571" s="169" t="str">
        <f t="shared" si="45"/>
        <v>MADHANI TALATAH NUSANTARA, PTOKT</v>
      </c>
    </row>
    <row r="572" spans="2:17" s="61" customFormat="1" ht="14.1" customHeight="1">
      <c r="B572" s="242"/>
      <c r="C572" s="268">
        <f>MATCH($B$535,INDEX(Master_Data!$B$186:$B$864,D571+1,1):'Master_Data'!$B$864,0)</f>
        <v>1</v>
      </c>
      <c r="D572" s="268">
        <f t="shared" si="46"/>
        <v>380</v>
      </c>
      <c r="E572" s="54">
        <v>38</v>
      </c>
      <c r="F572" s="22" t="str">
        <f>INDEX(Master_Data!$C$186:$L$864,D572,2)</f>
        <v>MADHANI TALATAH NUSANTARA, PT</v>
      </c>
      <c r="G572" s="24" t="str">
        <f>INDEX(Master_Data!$C$186:$L$864,D572,3)</f>
        <v>W</v>
      </c>
      <c r="H572" s="24">
        <f>INDEX(Master_Data!$C$186:$L$864,D572,1)</f>
        <v>18</v>
      </c>
      <c r="I572" s="24" t="str">
        <f>INDEX(Master_Data!$C$186:$L$864,D572,4)</f>
        <v>Reimbursement Transport Site Tembang</v>
      </c>
      <c r="J572" s="24" t="str">
        <f>INDEX(Master_Data!$C$186:$L$864,D572,5)</f>
        <v>21 Sep-6 Okt</v>
      </c>
      <c r="K572" s="136" t="str">
        <f>INDEX(Master_Data!$C$186:$L$864,D572,6)</f>
        <v>17-094/BKU-004/X/057</v>
      </c>
      <c r="L572" s="140" t="str">
        <f>INDEX(Master_Data!$C$186:$L$864,D572,7)</f>
        <v>-</v>
      </c>
      <c r="M572" s="140">
        <f>INDEX(Master_Data!$C$186:$L$864,D572,8)</f>
        <v>0</v>
      </c>
      <c r="N572" s="264"/>
      <c r="O572" s="245" t="e">
        <f t="shared" si="47"/>
        <v>#VALUE!</v>
      </c>
      <c r="Q572" s="169" t="str">
        <f t="shared" si="45"/>
        <v>MADHANI TALATAH NUSANTARA, PTOKT</v>
      </c>
    </row>
    <row r="573" spans="2:17" s="61" customFormat="1" ht="14.1" customHeight="1">
      <c r="B573" s="242"/>
      <c r="C573" s="268">
        <f>MATCH($B$535,INDEX(Master_Data!$B$186:$B$864,D572+1,1):'Master_Data'!$B$864,0)</f>
        <v>35</v>
      </c>
      <c r="D573" s="268">
        <f t="shared" si="46"/>
        <v>415</v>
      </c>
      <c r="E573" s="24">
        <v>39</v>
      </c>
      <c r="F573" s="22" t="str">
        <f>INDEX(Master_Data!$C$186:$L$864,D573,2)</f>
        <v>MANDALA KARYA PRIMA, PT</v>
      </c>
      <c r="G573" s="24" t="str">
        <f>INDEX(Master_Data!$C$186:$L$864,D573,3)</f>
        <v>W, I</v>
      </c>
      <c r="H573" s="24">
        <f>INDEX(Master_Data!$C$186:$L$864,D573,1)</f>
        <v>9</v>
      </c>
      <c r="I573" s="24" t="str">
        <f>INDEX(Master_Data!$C$186:$L$864,D573,4)</f>
        <v>WDL &amp; Internet Access 2048 Kbps Site Krassi Sesayap</v>
      </c>
      <c r="J573" s="24" t="str">
        <f>INDEX(Master_Data!$C$186:$L$864,D573,5)</f>
        <v>SEPTEMBER</v>
      </c>
      <c r="K573" s="136" t="str">
        <f>INDEX(Master_Data!$C$186:$L$864,D573,6)</f>
        <v>17-010/BKU-004/X/214</v>
      </c>
      <c r="L573" s="140" t="str">
        <f>INDEX(Master_Data!$C$186:$L$864,D573,7)</f>
        <v>010.019-17.53122260</v>
      </c>
      <c r="M573" s="140">
        <f>INDEX(Master_Data!$C$186:$L$864,D573,8)</f>
        <v>0</v>
      </c>
      <c r="N573" s="264"/>
      <c r="O573" s="245" t="e">
        <f t="shared" si="47"/>
        <v>#VALUE!</v>
      </c>
      <c r="Q573" s="169" t="str">
        <f t="shared" si="45"/>
        <v>MANDALA KARYA PRIMA, PTOKT</v>
      </c>
    </row>
    <row r="574" spans="2:17" s="61" customFormat="1" ht="14.1" customHeight="1">
      <c r="B574" s="242"/>
      <c r="C574" s="268">
        <f>MATCH($B$535,INDEX(Master_Data!$B$186:$B$864,D573+1,1):'Master_Data'!$B$864,0)</f>
        <v>29</v>
      </c>
      <c r="D574" s="268">
        <f t="shared" si="46"/>
        <v>444</v>
      </c>
      <c r="E574" s="54">
        <v>40</v>
      </c>
      <c r="F574" s="22" t="str">
        <f>INDEX(Master_Data!$C$186:$L$864,D574,2)</f>
        <v>MANDIRI HERINDO ADIPERKASA, PT</v>
      </c>
      <c r="G574" s="24" t="str">
        <f>INDEX(Master_Data!$C$186:$L$864,D574,3)</f>
        <v>W</v>
      </c>
      <c r="H574" s="24">
        <f>INDEX(Master_Data!$C$186:$L$864,D574,1)</f>
        <v>9</v>
      </c>
      <c r="I574" s="24" t="str">
        <f>INDEX(Master_Data!$C$186:$L$864,D574,4)</f>
        <v>WDL Site SIMS Batu Kajang - Kaltim</v>
      </c>
      <c r="J574" s="24" t="str">
        <f>INDEX(Master_Data!$C$186:$L$864,D574,5)</f>
        <v>SEPTEMBER</v>
      </c>
      <c r="K574" s="136" t="str">
        <f>INDEX(Master_Data!$C$186:$L$864,D574,6)</f>
        <v>17-027/BKU-004/X/211</v>
      </c>
      <c r="L574" s="140" t="str">
        <f>INDEX(Master_Data!$C$186:$L$864,D574,7)</f>
        <v>010.019-17.53122261</v>
      </c>
      <c r="M574" s="140">
        <f>INDEX(Master_Data!$C$186:$L$864,D574,8)</f>
        <v>0</v>
      </c>
      <c r="N574" s="264"/>
      <c r="O574" s="245" t="e">
        <f t="shared" si="47"/>
        <v>#VALUE!</v>
      </c>
      <c r="Q574" s="169" t="str">
        <f t="shared" si="45"/>
        <v>MANDIRI HERINDO ADIPERKASA, PTOKT</v>
      </c>
    </row>
    <row r="575" spans="2:17" s="61" customFormat="1" ht="14.1" customHeight="1">
      <c r="B575" s="242"/>
      <c r="C575" s="268">
        <f>MATCH($B$535,INDEX(Master_Data!$B$186:$B$864,D574+1,1):'Master_Data'!$B$864,0)</f>
        <v>1</v>
      </c>
      <c r="D575" s="268">
        <f t="shared" si="46"/>
        <v>445</v>
      </c>
      <c r="E575" s="24">
        <v>41</v>
      </c>
      <c r="F575" s="22" t="str">
        <f>INDEX(Master_Data!$C$186:$L$864,D575,2)</f>
        <v>MANDIRI HERINDO ADIPERKASA, PT</v>
      </c>
      <c r="G575" s="24" t="str">
        <f>INDEX(Master_Data!$C$186:$L$864,D575,3)</f>
        <v>I</v>
      </c>
      <c r="H575" s="24">
        <f>INDEX(Master_Data!$C$186:$L$864,D575,1)</f>
        <v>9</v>
      </c>
      <c r="I575" s="24" t="str">
        <f>INDEX(Master_Data!$C$186:$L$864,D575,4)</f>
        <v>VPN IP Site Office Belleza</v>
      </c>
      <c r="J575" s="24" t="str">
        <f>INDEX(Master_Data!$C$186:$L$864,D575,5)</f>
        <v>SEPTEMBER</v>
      </c>
      <c r="K575" s="136" t="str">
        <f>INDEX(Master_Data!$C$186:$L$864,D575,6)</f>
        <v>17-028/BKU-004/X/211</v>
      </c>
      <c r="L575" s="140" t="str">
        <f>INDEX(Master_Data!$C$186:$L$864,D575,7)</f>
        <v>010.019-17.53122262</v>
      </c>
      <c r="M575" s="140">
        <f>INDEX(Master_Data!$C$186:$L$864,D575,8)</f>
        <v>0</v>
      </c>
      <c r="N575" s="264"/>
      <c r="O575" s="245" t="e">
        <f t="shared" si="47"/>
        <v>#VALUE!</v>
      </c>
      <c r="Q575" s="169" t="str">
        <f t="shared" si="45"/>
        <v>MANDIRI HERINDO ADIPERKASA, PTOKT</v>
      </c>
    </row>
    <row r="576" spans="2:17" s="61" customFormat="1" ht="14.1" customHeight="1">
      <c r="B576" s="242"/>
      <c r="C576" s="268">
        <f>MATCH($B$535,INDEX(Master_Data!$B$186:$B$864,D575+1,1):'Master_Data'!$B$864,0)</f>
        <v>1</v>
      </c>
      <c r="D576" s="268">
        <f t="shared" si="46"/>
        <v>446</v>
      </c>
      <c r="E576" s="54">
        <v>42</v>
      </c>
      <c r="F576" s="22" t="str">
        <f>INDEX(Master_Data!$C$186:$L$864,D576,2)</f>
        <v>MANDIRI HERINDO ADIPERKASA, PT</v>
      </c>
      <c r="G576" s="24" t="str">
        <f>INDEX(Master_Data!$C$186:$L$864,D576,3)</f>
        <v>M</v>
      </c>
      <c r="H576" s="24">
        <f>INDEX(Master_Data!$C$186:$L$864,D576,1)</f>
        <v>9</v>
      </c>
      <c r="I576" s="24" t="str">
        <f>INDEX(Master_Data!$C$186:$L$864,D576,4)</f>
        <v>MPLS 512 Kbps Site Krassi Sesayap</v>
      </c>
      <c r="J576" s="24" t="str">
        <f>INDEX(Master_Data!$C$186:$L$864,D576,5)</f>
        <v>SEPTEMBER</v>
      </c>
      <c r="K576" s="136" t="str">
        <f>INDEX(Master_Data!$C$186:$L$864,D576,6)</f>
        <v>17-029/BKU-004/X/211</v>
      </c>
      <c r="L576" s="140" t="str">
        <f>INDEX(Master_Data!$C$186:$L$864,D576,7)</f>
        <v>010.019-17.53122263</v>
      </c>
      <c r="M576" s="140">
        <f>INDEX(Master_Data!$C$186:$L$864,D576,8)</f>
        <v>0</v>
      </c>
      <c r="N576" s="264"/>
      <c r="O576" s="245" t="e">
        <f t="shared" si="47"/>
        <v>#VALUE!</v>
      </c>
      <c r="Q576" s="169" t="str">
        <f t="shared" si="45"/>
        <v>MANDIRI HERINDO ADIPERKASA, PTOKT</v>
      </c>
    </row>
    <row r="577" spans="2:17" s="61" customFormat="1" ht="14.1" customHeight="1">
      <c r="B577" s="242"/>
      <c r="C577" s="268">
        <f>MATCH($B$535,INDEX(Master_Data!$B$186:$B$864,D576+1,1):'Master_Data'!$B$864,0)</f>
        <v>1</v>
      </c>
      <c r="D577" s="268">
        <f t="shared" si="46"/>
        <v>447</v>
      </c>
      <c r="E577" s="24">
        <v>43</v>
      </c>
      <c r="F577" s="22" t="str">
        <f>INDEX(Master_Data!$C$186:$L$864,D577,2)</f>
        <v>MANDIRI HERINDO ADIPERKASA, PT</v>
      </c>
      <c r="G577" s="24" t="str">
        <f>INDEX(Master_Data!$C$186:$L$864,D577,3)</f>
        <v>V</v>
      </c>
      <c r="H577" s="24">
        <f>INDEX(Master_Data!$C$186:$L$864,D577,1)</f>
        <v>9</v>
      </c>
      <c r="I577" s="24" t="str">
        <f>INDEX(Master_Data!$C$186:$L$864,D577,4)</f>
        <v>Sewa VSAT Bandwith 256/256 Kbps Site Tabang</v>
      </c>
      <c r="J577" s="24" t="str">
        <f>INDEX(Master_Data!$C$186:$L$864,D577,5)</f>
        <v>SEPTEMBER</v>
      </c>
      <c r="K577" s="136" t="str">
        <f>INDEX(Master_Data!$C$186:$L$864,D577,6)</f>
        <v>17-030/BKU-004/X/211</v>
      </c>
      <c r="L577" s="140" t="str">
        <f>INDEX(Master_Data!$C$186:$L$864,D577,7)</f>
        <v>010.019-17.53122264</v>
      </c>
      <c r="M577" s="140">
        <f>INDEX(Master_Data!$C$186:$L$864,D577,8)</f>
        <v>0</v>
      </c>
      <c r="N577" s="264"/>
      <c r="O577" s="245" t="e">
        <f t="shared" si="47"/>
        <v>#VALUE!</v>
      </c>
      <c r="Q577" s="169" t="str">
        <f t="shared" si="45"/>
        <v>MANDIRI HERINDO ADIPERKASA, PTOKT</v>
      </c>
    </row>
    <row r="578" spans="2:17" s="61" customFormat="1" ht="14.1" customHeight="1">
      <c r="B578" s="242"/>
      <c r="C578" s="268">
        <f>MATCH($B$535,INDEX(Master_Data!$B$186:$B$864,D577+1,1):'Master_Data'!$B$864,0)</f>
        <v>27</v>
      </c>
      <c r="D578" s="268">
        <f t="shared" si="46"/>
        <v>474</v>
      </c>
      <c r="E578" s="54">
        <v>44</v>
      </c>
      <c r="F578" s="22" t="str">
        <f>INDEX(Master_Data!$C$186:$L$864,D578,2)</f>
        <v>MANDIRI INTI PERKASA, PT</v>
      </c>
      <c r="G578" s="24" t="str">
        <f>INDEX(Master_Data!$C$186:$L$864,D578,3)</f>
        <v>W,I</v>
      </c>
      <c r="H578" s="24">
        <f>INDEX(Master_Data!$C$186:$L$864,D578,1)</f>
        <v>9</v>
      </c>
      <c r="I578" s="24" t="str">
        <f>INDEX(Master_Data!$C$186:$L$864,D578,4)</f>
        <v>WDL &amp; Internet Access 2048 Kbps Site Krassi Sebakung</v>
      </c>
      <c r="J578" s="24" t="str">
        <f>INDEX(Master_Data!$C$186:$L$864,D578,5)</f>
        <v>SEPTEMBER</v>
      </c>
      <c r="K578" s="136" t="str">
        <f>INDEX(Master_Data!$C$186:$L$864,D578,6)</f>
        <v>17-019/BKU-004/X/196</v>
      </c>
      <c r="L578" s="140" t="str">
        <f>INDEX(Master_Data!$C$186:$L$864,D578,7)</f>
        <v>010.019-17.53122265</v>
      </c>
      <c r="M578" s="140">
        <f>INDEX(Master_Data!$C$186:$L$864,D578,8)</f>
        <v>0</v>
      </c>
      <c r="N578" s="264"/>
      <c r="O578" s="245" t="e">
        <f t="shared" si="47"/>
        <v>#VALUE!</v>
      </c>
      <c r="Q578" s="169" t="str">
        <f t="shared" si="45"/>
        <v>MANDIRI INTI PERKASA, PTOKT</v>
      </c>
    </row>
    <row r="579" spans="2:17" s="61" customFormat="1" ht="14.1" customHeight="1">
      <c r="B579" s="242"/>
      <c r="C579" s="268">
        <f>MATCH($B$535,INDEX(Master_Data!$B$186:$B$864,D578+1,1):'Master_Data'!$B$864,0)</f>
        <v>1</v>
      </c>
      <c r="D579" s="268">
        <f t="shared" si="46"/>
        <v>475</v>
      </c>
      <c r="E579" s="24">
        <v>45</v>
      </c>
      <c r="F579" s="22" t="str">
        <f>INDEX(Master_Data!$C$186:$L$864,D579,2)</f>
        <v>MANDIRI INTI PERKASA, PT</v>
      </c>
      <c r="G579" s="24" t="str">
        <f>INDEX(Master_Data!$C$186:$L$864,D579,3)</f>
        <v>I</v>
      </c>
      <c r="H579" s="24">
        <f>INDEX(Master_Data!$C$186:$L$864,D579,1)</f>
        <v>9</v>
      </c>
      <c r="I579" s="24" t="str">
        <f>INDEX(Master_Data!$C$186:$L$864,D579,4)</f>
        <v>Internet Bandwith 5 Mbps Site HO Pro Mandiri Building Latumenten</v>
      </c>
      <c r="J579" s="24" t="str">
        <f>INDEX(Master_Data!$C$186:$L$864,D579,5)</f>
        <v>SEPTEMBER</v>
      </c>
      <c r="K579" s="136" t="str">
        <f>INDEX(Master_Data!$C$186:$L$864,D579,6)</f>
        <v>17-020/BKU-004/X/196</v>
      </c>
      <c r="L579" s="140" t="str">
        <f>INDEX(Master_Data!$C$186:$L$864,D579,7)</f>
        <v>010.019-17.53122266</v>
      </c>
      <c r="M579" s="140">
        <f>INDEX(Master_Data!$C$186:$L$864,D579,8)</f>
        <v>0</v>
      </c>
      <c r="N579" s="264"/>
      <c r="O579" s="245" t="e">
        <f t="shared" si="47"/>
        <v>#VALUE!</v>
      </c>
      <c r="Q579" s="169" t="str">
        <f t="shared" si="45"/>
        <v>MANDIRI INTI PERKASA, PTOKT</v>
      </c>
    </row>
    <row r="580" spans="2:17" s="61" customFormat="1" ht="14.1" customHeight="1">
      <c r="B580" s="242"/>
      <c r="C580" s="268">
        <f>MATCH($B$535,INDEX(Master_Data!$B$186:$B$864,D579+1,1):'Master_Data'!$B$864,0)</f>
        <v>14</v>
      </c>
      <c r="D580" s="268">
        <f t="shared" si="46"/>
        <v>489</v>
      </c>
      <c r="E580" s="54">
        <v>46</v>
      </c>
      <c r="F580" s="22" t="str">
        <f>INDEX(Master_Data!$C$186:$L$864,D580,2)</f>
        <v>MEDCO PAPUA INDUSTRI LESTARI, PT</v>
      </c>
      <c r="G580" s="24" t="str">
        <f>INDEX(Master_Data!$C$186:$L$864,D580,3)</f>
        <v>V</v>
      </c>
      <c r="H580" s="24">
        <f>INDEX(Master_Data!$C$186:$L$864,D580,1)</f>
        <v>10</v>
      </c>
      <c r="I580" s="24" t="str">
        <f>INDEX(Master_Data!$C$186:$L$864,D580,4)</f>
        <v>Rental VSAT Medco Wapeko</v>
      </c>
      <c r="J580" s="24" t="str">
        <f>INDEX(Master_Data!$C$186:$L$864,D580,5)</f>
        <v>OKTOBER</v>
      </c>
      <c r="K580" s="136" t="str">
        <f>INDEX(Master_Data!$C$186:$L$864,D580,6)</f>
        <v>17-010/BKU-004/X/145</v>
      </c>
      <c r="L580" s="140" t="str">
        <f>INDEX(Master_Data!$C$186:$L$864,D580,7)</f>
        <v>010.019-17.53122272</v>
      </c>
      <c r="M580" s="140">
        <f>INDEX(Master_Data!$C$186:$L$864,D580,8)</f>
        <v>0</v>
      </c>
      <c r="N580" s="264"/>
      <c r="O580" s="245" t="e">
        <f t="shared" si="47"/>
        <v>#VALUE!</v>
      </c>
      <c r="Q580" s="169" t="str">
        <f t="shared" si="45"/>
        <v>MEDCO PAPUA INDUSTRI LESTARI, PTOKT</v>
      </c>
    </row>
    <row r="581" spans="2:17" s="61" customFormat="1" ht="14.1" customHeight="1">
      <c r="B581" s="242"/>
      <c r="C581" s="268">
        <f>MATCH($B$535,INDEX(Master_Data!$B$186:$B$864,D580+1,1):'Master_Data'!$B$864,0)</f>
        <v>12</v>
      </c>
      <c r="D581" s="268">
        <f t="shared" si="46"/>
        <v>501</v>
      </c>
      <c r="E581" s="24">
        <v>47</v>
      </c>
      <c r="F581" s="22" t="str">
        <f>INDEX(Master_Data!$C$186:$L$864,D581,2)</f>
        <v>METALINDO BUMI RAYA, PT</v>
      </c>
      <c r="G581" s="24" t="str">
        <f>INDEX(Master_Data!$C$186:$L$864,D581,3)</f>
        <v>I</v>
      </c>
      <c r="H581" s="24">
        <f>INDEX(Master_Data!$C$186:$L$864,D581,1)</f>
        <v>10</v>
      </c>
      <c r="I581" s="24" t="str">
        <f>INDEX(Master_Data!$C$186:$L$864,D581,4)</f>
        <v>Internet Access Site Sebuku</v>
      </c>
      <c r="J581" s="24" t="str">
        <f>INDEX(Master_Data!$C$186:$L$864,D581,5)</f>
        <v>OKTOBER</v>
      </c>
      <c r="K581" s="136" t="str">
        <f>INDEX(Master_Data!$C$186:$L$864,D581,6)</f>
        <v>17-010/BKU-004/X/220</v>
      </c>
      <c r="L581" s="140" t="str">
        <f>INDEX(Master_Data!$C$186:$L$864,D581,7)</f>
        <v>010.019-17.53122270</v>
      </c>
      <c r="M581" s="140">
        <f>INDEX(Master_Data!$C$186:$L$864,D581,8)</f>
        <v>0</v>
      </c>
      <c r="N581" s="264"/>
      <c r="O581" s="245" t="e">
        <f t="shared" si="47"/>
        <v>#VALUE!</v>
      </c>
      <c r="Q581" s="169" t="str">
        <f t="shared" si="45"/>
        <v>METALINDO BUMI RAYA, PTOKT</v>
      </c>
    </row>
    <row r="582" spans="2:17" s="61" customFormat="1" ht="14.1" customHeight="1">
      <c r="B582" s="242"/>
      <c r="C582" s="268">
        <f>MATCH($B$535,INDEX(Master_Data!$B$186:$B$864,D581+1,1):'Master_Data'!$B$864,0)</f>
        <v>15</v>
      </c>
      <c r="D582" s="268">
        <f t="shared" si="46"/>
        <v>516</v>
      </c>
      <c r="E582" s="54">
        <v>48</v>
      </c>
      <c r="F582" s="22" t="str">
        <f>INDEX(Master_Data!$C$186:$L$864,D582,2)</f>
        <v>NUSANTARA SARANA ALAM, PT</v>
      </c>
      <c r="G582" s="24" t="str">
        <f>INDEX(Master_Data!$C$186:$L$864,D582,3)</f>
        <v>V</v>
      </c>
      <c r="H582" s="24">
        <f>INDEX(Master_Data!$C$186:$L$864,D582,1)</f>
        <v>3</v>
      </c>
      <c r="I582" s="24" t="str">
        <f>INDEX(Master_Data!$C$186:$L$864,D582,4)</f>
        <v>Rental VSAT Site NSA Sandai</v>
      </c>
      <c r="J582" s="24" t="str">
        <f>INDEX(Master_Data!$C$186:$L$864,D582,5)</f>
        <v>SEPTEMBER</v>
      </c>
      <c r="K582" s="136" t="str">
        <f>INDEX(Master_Data!$C$186:$L$864,D582,6)</f>
        <v>17-012/BKU-004/X/245</v>
      </c>
      <c r="L582" s="140" t="str">
        <f>INDEX(Master_Data!$C$186:$L$864,D582,7)</f>
        <v>010.019-17.53122232</v>
      </c>
      <c r="M582" s="140">
        <f>INDEX(Master_Data!$C$186:$L$864,D582,8)</f>
        <v>0</v>
      </c>
      <c r="N582" s="264"/>
      <c r="O582" s="245" t="e">
        <f t="shared" si="47"/>
        <v>#VALUE!</v>
      </c>
      <c r="Q582" s="169" t="str">
        <f t="shared" si="45"/>
        <v>NUSANTARA SARANA ALAM, PTOKT</v>
      </c>
    </row>
    <row r="583" spans="2:17" s="61" customFormat="1" ht="14.1" customHeight="1">
      <c r="B583" s="242"/>
      <c r="C583" s="268">
        <f>MATCH($B$535,INDEX(Master_Data!$B$186:$B$864,D582+1,1):'Master_Data'!$B$864,0)</f>
        <v>17</v>
      </c>
      <c r="D583" s="268">
        <f t="shared" si="46"/>
        <v>533</v>
      </c>
      <c r="E583" s="24">
        <v>49</v>
      </c>
      <c r="F583" s="22" t="str">
        <f>INDEX(Master_Data!$C$186:$L$864,D583,2)</f>
        <v>PEMBANGUNAN PERUMAHAN (PERSERO), PT</v>
      </c>
      <c r="G583" s="24" t="str">
        <f>INDEX(Master_Data!$C$186:$L$864,D583,3)</f>
        <v>I</v>
      </c>
      <c r="H583" s="24">
        <f>INDEX(Master_Data!$C$186:$L$864,D583,1)</f>
        <v>23</v>
      </c>
      <c r="I583" s="24" t="str">
        <f>INDEX(Master_Data!$C$186:$L$864,D583,4)</f>
        <v>Internet 1024/256 Kbps Site Lolak</v>
      </c>
      <c r="J583" s="24" t="str">
        <f>INDEX(Master_Data!$C$186:$L$864,D583,5)</f>
        <v>OKTOBER</v>
      </c>
      <c r="K583" s="136" t="str">
        <f>INDEX(Master_Data!$C$186:$L$864,D583,6)</f>
        <v>17-011/BKU-004/X/226</v>
      </c>
      <c r="L583" s="140" t="str">
        <f>INDEX(Master_Data!$C$186:$L$864,D583,7)</f>
        <v>030.019-17.53122275</v>
      </c>
      <c r="M583" s="140">
        <f>INDEX(Master_Data!$C$186:$L$864,D583,8)</f>
        <v>0</v>
      </c>
      <c r="N583" s="264"/>
      <c r="O583" s="245" t="e">
        <f t="shared" si="47"/>
        <v>#VALUE!</v>
      </c>
      <c r="Q583" s="169" t="str">
        <f t="shared" si="45"/>
        <v>PEMBANGUNAN PERUMAHAN (PERSERO), PTOKT</v>
      </c>
    </row>
    <row r="584" spans="2:17" s="61" customFormat="1" ht="14.1" customHeight="1">
      <c r="B584" s="242"/>
      <c r="C584" s="268">
        <f>MATCH($B$535,INDEX(Master_Data!$B$186:$B$864,D583+1,1):'Master_Data'!$B$864,0)</f>
        <v>20</v>
      </c>
      <c r="D584" s="268">
        <f t="shared" si="46"/>
        <v>553</v>
      </c>
      <c r="E584" s="54">
        <v>50</v>
      </c>
      <c r="F584" s="22" t="str">
        <f>INDEX(Master_Data!$C$186:$L$864,D584,2)</f>
        <v>PERKEBUNAN NUSANTARA XIII, PT</v>
      </c>
      <c r="G584" s="24" t="str">
        <f>INDEX(Master_Data!$C$186:$L$864,D584,3)</f>
        <v>R</v>
      </c>
      <c r="H584" s="24">
        <f>INDEX(Master_Data!$C$186:$L$864,D584,1)</f>
        <v>26</v>
      </c>
      <c r="I584" s="24" t="str">
        <f>INDEX(Master_Data!$C$186:$L$864,D584,4)</f>
        <v>RFT Codan C-Band dan SPA 70 Watt HPAC 2075 BM</v>
      </c>
      <c r="J584" s="24">
        <f>INDEX(Master_Data!$C$186:$L$864,D584,5)</f>
        <v>0</v>
      </c>
      <c r="K584" s="136" t="str">
        <f>INDEX(Master_Data!$C$186:$L$864,D584,6)</f>
        <v>17-002/BKU-004/X/090</v>
      </c>
      <c r="L584" s="140" t="str">
        <f>INDEX(Master_Data!$C$186:$L$864,D584,7)</f>
        <v>010.019-17.53122280</v>
      </c>
      <c r="M584" s="140">
        <f>INDEX(Master_Data!$C$186:$L$864,D584,8)</f>
        <v>0</v>
      </c>
      <c r="N584" s="264"/>
      <c r="O584" s="245" t="e">
        <f t="shared" si="47"/>
        <v>#VALUE!</v>
      </c>
      <c r="Q584" s="169" t="str">
        <f t="shared" si="45"/>
        <v>PERKEBUNAN NUSANTARA XIII, PTOKT</v>
      </c>
    </row>
    <row r="585" spans="2:17" s="61" customFormat="1" ht="14.1" customHeight="1">
      <c r="B585" s="242"/>
      <c r="C585" s="268">
        <f>MATCH($B$535,INDEX(Master_Data!$B$186:$B$864,D584+1,1):'Master_Data'!$B$864,0)</f>
        <v>10</v>
      </c>
      <c r="D585" s="268">
        <f t="shared" si="46"/>
        <v>563</v>
      </c>
      <c r="E585" s="24">
        <v>51</v>
      </c>
      <c r="F585" s="22" t="str">
        <f>INDEX(Master_Data!$C$186:$L$864,D585,2)</f>
        <v>PERTIWI AGRO SEJAHTERA, PT</v>
      </c>
      <c r="G585" s="24" t="str">
        <f>INDEX(Master_Data!$C$186:$L$864,D585,3)</f>
        <v>V</v>
      </c>
      <c r="H585" s="24">
        <f>INDEX(Master_Data!$C$186:$L$864,D585,1)</f>
        <v>3</v>
      </c>
      <c r="I585" s="24" t="str">
        <f>INDEX(Master_Data!$C$186:$L$864,D585,4)</f>
        <v>Monthly Charges VSAT</v>
      </c>
      <c r="J585" s="24" t="str">
        <f>INDEX(Master_Data!$C$186:$L$864,D585,5)</f>
        <v>OKTOBER</v>
      </c>
      <c r="K585" s="136" t="str">
        <f>INDEX(Master_Data!$C$186:$L$864,D585,6)</f>
        <v>17-010/BKU-004/X/207</v>
      </c>
      <c r="L585" s="140" t="str">
        <f>INDEX(Master_Data!$C$186:$L$864,D585,7)</f>
        <v>010.019-17.53122234</v>
      </c>
      <c r="M585" s="140">
        <f>INDEX(Master_Data!$C$186:$L$864,D585,8)</f>
        <v>0</v>
      </c>
      <c r="N585" s="264"/>
      <c r="O585" s="245" t="e">
        <f t="shared" si="47"/>
        <v>#VALUE!</v>
      </c>
      <c r="Q585" s="169" t="str">
        <f t="shared" si="45"/>
        <v>PERTIWI AGRO SEJAHTERA, PTOKT</v>
      </c>
    </row>
    <row r="586" spans="2:17" s="61" customFormat="1" ht="14.1" customHeight="1">
      <c r="B586" s="242"/>
      <c r="C586" s="268">
        <f>MATCH($B$535,INDEX(Master_Data!$B$186:$B$864,D585+1,1):'Master_Data'!$B$864,0)</f>
        <v>33</v>
      </c>
      <c r="D586" s="268">
        <f t="shared" si="46"/>
        <v>596</v>
      </c>
      <c r="E586" s="54">
        <v>52</v>
      </c>
      <c r="F586" s="22" t="str">
        <f>INDEX(Master_Data!$C$186:$L$864,D586,2)</f>
        <v>PETROSEA, PT</v>
      </c>
      <c r="G586" s="24" t="str">
        <f>INDEX(Master_Data!$C$186:$L$864,D586,3)</f>
        <v>V</v>
      </c>
      <c r="H586" s="24">
        <f>INDEX(Master_Data!$C$186:$L$864,D586,1)</f>
        <v>3</v>
      </c>
      <c r="I586" s="24" t="str">
        <f>INDEX(Master_Data!$C$186:$L$864,D586,4)</f>
        <v>Harga Internet Abonemen VSAT SCPC C-Band Bandwith 2048/2048 Kbps</v>
      </c>
      <c r="J586" s="24" t="str">
        <f>INDEX(Master_Data!$C$186:$L$864,D586,5)</f>
        <v>SEPTEMBER</v>
      </c>
      <c r="K586" s="136" t="str">
        <f>INDEX(Master_Data!$C$186:$L$864,D586,6)</f>
        <v>17-029/BKU-004/X/009</v>
      </c>
      <c r="L586" s="140" t="str">
        <f>INDEX(Master_Data!$C$186:$L$864,D586,7)</f>
        <v>010.019-17.53122254</v>
      </c>
      <c r="M586" s="140">
        <f>INDEX(Master_Data!$C$186:$L$864,D586,8)</f>
        <v>0</v>
      </c>
      <c r="N586" s="264"/>
      <c r="O586" s="245" t="e">
        <f t="shared" si="47"/>
        <v>#VALUE!</v>
      </c>
      <c r="Q586" s="169" t="str">
        <f t="shared" si="45"/>
        <v>PETROSEA, PTOKT</v>
      </c>
    </row>
    <row r="587" spans="2:17" s="61" customFormat="1" ht="14.1" customHeight="1">
      <c r="B587" s="242"/>
      <c r="C587" s="268">
        <f>MATCH($B$535,INDEX(Master_Data!$B$186:$B$864,D586+1,1):'Master_Data'!$B$864,0)</f>
        <v>1</v>
      </c>
      <c r="D587" s="268">
        <f t="shared" si="46"/>
        <v>597</v>
      </c>
      <c r="E587" s="24">
        <v>53</v>
      </c>
      <c r="F587" s="22" t="str">
        <f>INDEX(Master_Data!$C$186:$L$864,D587,2)</f>
        <v>PETROSEA, PT</v>
      </c>
      <c r="G587" s="24" t="str">
        <f>INDEX(Master_Data!$C$186:$L$864,D587,3)</f>
        <v>V</v>
      </c>
      <c r="H587" s="24">
        <f>INDEX(Master_Data!$C$186:$L$864,D587,1)</f>
        <v>3</v>
      </c>
      <c r="I587" s="24" t="str">
        <f>INDEX(Master_Data!$C$186:$L$864,D587,4)</f>
        <v>Monthly VSAT Internet Link 1 Mbps Site POSB Sorong Papua Barat</v>
      </c>
      <c r="J587" s="24" t="str">
        <f>INDEX(Master_Data!$C$186:$L$864,D587,5)</f>
        <v>SEPTEMBER</v>
      </c>
      <c r="K587" s="136" t="str">
        <f>INDEX(Master_Data!$C$186:$L$864,D587,6)</f>
        <v>17-030/BKU-004/X/009</v>
      </c>
      <c r="L587" s="140" t="str">
        <f>INDEX(Master_Data!$C$186:$L$864,D587,7)</f>
        <v>010.019-17.53122255</v>
      </c>
      <c r="M587" s="140">
        <f>INDEX(Master_Data!$C$186:$L$864,D587,8)</f>
        <v>0</v>
      </c>
      <c r="N587" s="264"/>
      <c r="O587" s="245" t="e">
        <f t="shared" si="47"/>
        <v>#VALUE!</v>
      </c>
      <c r="Q587" s="169" t="str">
        <f t="shared" si="45"/>
        <v>PETROSEA, PTOKT</v>
      </c>
    </row>
    <row r="588" spans="2:17" s="61" customFormat="1" ht="14.1" customHeight="1">
      <c r="B588" s="242"/>
      <c r="C588" s="268">
        <f>MATCH($B$535,INDEX(Master_Data!$B$186:$B$864,D587+1,1):'Master_Data'!$B$864,0)</f>
        <v>1</v>
      </c>
      <c r="D588" s="268">
        <f t="shared" si="46"/>
        <v>598</v>
      </c>
      <c r="E588" s="24">
        <v>54</v>
      </c>
      <c r="F588" s="22" t="str">
        <f>INDEX(Master_Data!$C$186:$L$864,D588,2)</f>
        <v>PETROSEA, PT</v>
      </c>
      <c r="G588" s="24" t="str">
        <f>INDEX(Master_Data!$C$186:$L$864,D588,3)</f>
        <v>V</v>
      </c>
      <c r="H588" s="24">
        <f>INDEX(Master_Data!$C$186:$L$864,D588,1)</f>
        <v>3</v>
      </c>
      <c r="I588" s="24" t="str">
        <f>INDEX(Master_Data!$C$186:$L$864,D588,4)</f>
        <v>Sewa VSAT Site IAC Kintap</v>
      </c>
      <c r="J588" s="24" t="str">
        <f>INDEX(Master_Data!$C$186:$L$864,D588,5)</f>
        <v>SEPTEMBER</v>
      </c>
      <c r="K588" s="136" t="str">
        <f>INDEX(Master_Data!$C$186:$L$864,D588,6)</f>
        <v>17-031/BKU-004/X/009</v>
      </c>
      <c r="L588" s="140" t="str">
        <f>INDEX(Master_Data!$C$186:$L$864,D588,7)</f>
        <v>010.019-17.53122256</v>
      </c>
      <c r="M588" s="140">
        <f>INDEX(Master_Data!$C$186:$L$864,D588,8)</f>
        <v>0</v>
      </c>
      <c r="N588" s="264"/>
      <c r="O588" s="245" t="e">
        <f t="shared" ref="O588:O597" si="48">L588+M588</f>
        <v>#VALUE!</v>
      </c>
      <c r="Q588" s="169" t="str">
        <f t="shared" si="45"/>
        <v>PETROSEA, PTOKT</v>
      </c>
    </row>
    <row r="589" spans="2:17" s="61" customFormat="1" ht="14.1" customHeight="1">
      <c r="B589" s="242"/>
      <c r="C589" s="268">
        <f>MATCH($B$535,INDEX(Master_Data!$B$186:$B$864,D588+1,1):'Master_Data'!$B$864,0)</f>
        <v>1</v>
      </c>
      <c r="D589" s="268">
        <f t="shared" si="46"/>
        <v>599</v>
      </c>
      <c r="E589" s="24">
        <v>55</v>
      </c>
      <c r="F589" s="22" t="str">
        <f>INDEX(Master_Data!$C$186:$L$864,D589,2)</f>
        <v>PETROSEA, PT</v>
      </c>
      <c r="G589" s="24" t="str">
        <f>INDEX(Master_Data!$C$186:$L$864,D589,3)</f>
        <v>V</v>
      </c>
      <c r="H589" s="24">
        <f>INDEX(Master_Data!$C$186:$L$864,D589,1)</f>
        <v>3</v>
      </c>
      <c r="I589" s="24" t="str">
        <f>INDEX(Master_Data!$C$186:$L$864,D589,4)</f>
        <v xml:space="preserve">Sewa VSAT Site Timika </v>
      </c>
      <c r="J589" s="24" t="str">
        <f>INDEX(Master_Data!$C$186:$L$864,D589,5)</f>
        <v>SEPTEMBER</v>
      </c>
      <c r="K589" s="136" t="str">
        <f>INDEX(Master_Data!$C$186:$L$864,D589,6)</f>
        <v>17-032/BKU-004/X/009</v>
      </c>
      <c r="L589" s="140" t="str">
        <f>INDEX(Master_Data!$C$186:$L$864,D589,7)</f>
        <v>010.019-17.53122257</v>
      </c>
      <c r="M589" s="140">
        <f>INDEX(Master_Data!$C$186:$L$864,D589,8)</f>
        <v>0</v>
      </c>
      <c r="N589" s="264"/>
      <c r="O589" s="245" t="e">
        <f t="shared" si="48"/>
        <v>#VALUE!</v>
      </c>
      <c r="Q589" s="169" t="str">
        <f t="shared" si="45"/>
        <v>PETROSEA, PTOKT</v>
      </c>
    </row>
    <row r="590" spans="2:17" s="61" customFormat="1" ht="14.1" customHeight="1">
      <c r="B590" s="242"/>
      <c r="C590" s="268">
        <f>MATCH($B$535,INDEX(Master_Data!$B$186:$B$864,D589+1,1):'Master_Data'!$B$864,0)</f>
        <v>1</v>
      </c>
      <c r="D590" s="268">
        <f t="shared" si="46"/>
        <v>600</v>
      </c>
      <c r="E590" s="24">
        <v>56</v>
      </c>
      <c r="F590" s="22" t="str">
        <f>INDEX(Master_Data!$C$186:$L$864,D590,2)</f>
        <v>PETROSEA, PT</v>
      </c>
      <c r="G590" s="24">
        <f>INDEX(Master_Data!$C$186:$L$864,D590,3)</f>
        <v>0</v>
      </c>
      <c r="H590" s="24">
        <f>INDEX(Master_Data!$C$186:$L$864,D590,1)</f>
        <v>3</v>
      </c>
      <c r="I590" s="24" t="str">
        <f>INDEX(Master_Data!$C$186:$L$864,D590,4)</f>
        <v>Instalasi VSAT, Monthly Proposional WAN; Internet; Sewa Voip Gateway Site Muara Tuhup</v>
      </c>
      <c r="J590" s="24" t="str">
        <f>INDEX(Master_Data!$C$186:$L$864,D590,5)</f>
        <v>SEPTEMBER</v>
      </c>
      <c r="K590" s="136" t="str">
        <f>INDEX(Master_Data!$C$186:$L$864,D590,6)</f>
        <v>17-033/BKU-004/X/009</v>
      </c>
      <c r="L590" s="140" t="str">
        <f>INDEX(Master_Data!$C$186:$L$864,D590,7)</f>
        <v>010.019-17.53122258</v>
      </c>
      <c r="M590" s="140">
        <f>INDEX(Master_Data!$C$186:$L$864,D590,8)</f>
        <v>0</v>
      </c>
      <c r="N590" s="264"/>
      <c r="O590" s="245" t="e">
        <f t="shared" si="48"/>
        <v>#VALUE!</v>
      </c>
      <c r="Q590" s="169" t="str">
        <f t="shared" si="45"/>
        <v>PETROSEA, PTOKT</v>
      </c>
    </row>
    <row r="591" spans="2:17" s="61" customFormat="1" ht="14.1" customHeight="1">
      <c r="B591" s="242"/>
      <c r="C591" s="268">
        <f>MATCH($B$535,INDEX(Master_Data!$B$186:$B$864,D590+1,1):'Master_Data'!$B$864,0)</f>
        <v>1</v>
      </c>
      <c r="D591" s="268">
        <f t="shared" si="46"/>
        <v>601</v>
      </c>
      <c r="E591" s="24">
        <v>57</v>
      </c>
      <c r="F591" s="22" t="str">
        <f>INDEX(Master_Data!$C$186:$L$864,D591,2)</f>
        <v>PETROSEA, PT</v>
      </c>
      <c r="G591" s="24" t="str">
        <f>INDEX(Master_Data!$C$186:$L$864,D591,3)</f>
        <v>V</v>
      </c>
      <c r="H591" s="24">
        <f>INDEX(Master_Data!$C$186:$L$864,D591,1)</f>
        <v>26</v>
      </c>
      <c r="I591" s="24" t="str">
        <f>INDEX(Master_Data!$C$186:$L$864,D591,4)</f>
        <v>Jasa Instalasi VSAT &amp; Monthly Proposional Site Tabang</v>
      </c>
      <c r="J591" s="24" t="str">
        <f>INDEX(Master_Data!$C$186:$L$864,D591,5)</f>
        <v>22-30 Sep</v>
      </c>
      <c r="K591" s="136" t="str">
        <f>INDEX(Master_Data!$C$186:$L$864,D591,6)</f>
        <v>17-034/BKU-004/X/009</v>
      </c>
      <c r="L591" s="140" t="str">
        <f>INDEX(Master_Data!$C$186:$L$864,D591,7)</f>
        <v>010.019-17.53122282</v>
      </c>
      <c r="M591" s="140">
        <f>INDEX(Master_Data!$C$186:$L$864,D591,8)</f>
        <v>0</v>
      </c>
      <c r="N591" s="264"/>
      <c r="O591" s="245" t="e">
        <f t="shared" si="48"/>
        <v>#VALUE!</v>
      </c>
      <c r="Q591" s="169" t="str">
        <f t="shared" si="45"/>
        <v>PETROSEA, PTOKT</v>
      </c>
    </row>
    <row r="592" spans="2:17" s="61" customFormat="1" ht="14.1" customHeight="1">
      <c r="B592" s="242"/>
      <c r="C592" s="268">
        <f>MATCH($B$535,INDEX(Master_Data!$B$186:$B$864,D591+1,1):'Master_Data'!$B$864,0)</f>
        <v>20</v>
      </c>
      <c r="D592" s="268">
        <f t="shared" si="46"/>
        <v>621</v>
      </c>
      <c r="E592" s="24">
        <v>58</v>
      </c>
      <c r="F592" s="22" t="str">
        <f>INDEX(Master_Data!$C$186:$L$864,D592,2)</f>
        <v>PUNCAK KEEMASAN LUMBUNG DUNIA, PT</v>
      </c>
      <c r="G592" s="24" t="str">
        <f>INDEX(Master_Data!$C$186:$L$864,D592,3)</f>
        <v>M</v>
      </c>
      <c r="H592" s="24">
        <f>INDEX(Master_Data!$C$186:$L$864,D592,1)</f>
        <v>13</v>
      </c>
      <c r="I592" s="24" t="str">
        <f>INDEX(Master_Data!$C$186:$L$864,D592,4)</f>
        <v xml:space="preserve">Reimbursement Survey MPLS </v>
      </c>
      <c r="J592" s="24" t="str">
        <f>INDEX(Master_Data!$C$186:$L$864,D592,5)</f>
        <v>19-29 Sep</v>
      </c>
      <c r="K592" s="136" t="str">
        <f>INDEX(Master_Data!$C$186:$L$864,D592,6)</f>
        <v>17-009/BKU-004/X/225</v>
      </c>
      <c r="L592" s="140" t="str">
        <f>INDEX(Master_Data!$C$186:$L$864,D592,7)</f>
        <v>-</v>
      </c>
      <c r="M592" s="140">
        <f>INDEX(Master_Data!$C$186:$L$864,D592,8)</f>
        <v>0</v>
      </c>
      <c r="N592" s="264"/>
      <c r="O592" s="245" t="e">
        <f t="shared" si="48"/>
        <v>#VALUE!</v>
      </c>
      <c r="Q592" s="169" t="str">
        <f t="shared" si="45"/>
        <v>PUNCAK KEEMASAN LUMBUNG DUNIA, PTOKT</v>
      </c>
    </row>
    <row r="593" spans="2:17" s="61" customFormat="1" ht="14.1" customHeight="1">
      <c r="B593" s="242"/>
      <c r="C593" s="268">
        <f>MATCH($B$535,INDEX(Master_Data!$B$186:$B$864,D592+1,1):'Master_Data'!$B$864,0)</f>
        <v>10</v>
      </c>
      <c r="D593" s="268">
        <f t="shared" si="46"/>
        <v>631</v>
      </c>
      <c r="E593" s="24">
        <v>59</v>
      </c>
      <c r="F593" s="22" t="str">
        <f>INDEX(Master_Data!$C$186:$L$864,D593,2)</f>
        <v>RIUNG MITRA LESTARI, PT</v>
      </c>
      <c r="G593" s="24" t="str">
        <f>INDEX(Master_Data!$C$186:$L$864,D593,3)</f>
        <v>M</v>
      </c>
      <c r="H593" s="24">
        <f>INDEX(Master_Data!$C$186:$L$864,D593,1)</f>
        <v>3</v>
      </c>
      <c r="I593" s="24" t="str">
        <f>INDEX(Master_Data!$C$186:$L$864,D593,4)</f>
        <v>Monthly Charges Site Krassi Sesayap</v>
      </c>
      <c r="J593" s="24" t="str">
        <f>INDEX(Master_Data!$C$186:$L$864,D593,5)</f>
        <v>SEPTEMBER</v>
      </c>
      <c r="K593" s="136" t="str">
        <f>INDEX(Master_Data!$C$186:$L$864,D593,6)</f>
        <v>17-010/BKU-004/X/149</v>
      </c>
      <c r="L593" s="140" t="str">
        <f>INDEX(Master_Data!$C$186:$L$864,D593,7)</f>
        <v>011.019-17.53122259</v>
      </c>
      <c r="M593" s="140">
        <f>INDEX(Master_Data!$C$186:$L$864,D593,8)</f>
        <v>0</v>
      </c>
      <c r="N593" s="264"/>
      <c r="O593" s="245" t="e">
        <f t="shared" si="48"/>
        <v>#VALUE!</v>
      </c>
      <c r="Q593" s="169" t="str">
        <f t="shared" si="45"/>
        <v>RIUNG MITRA LESTARI, PTOKT</v>
      </c>
    </row>
    <row r="594" spans="2:17" s="61" customFormat="1" ht="14.1" customHeight="1">
      <c r="B594" s="242"/>
      <c r="C594" s="268">
        <f>MATCH($B$535,INDEX(Master_Data!$B$186:$B$864,D593+1,1):'Master_Data'!$B$864,0)</f>
        <v>11</v>
      </c>
      <c r="D594" s="268">
        <f t="shared" si="46"/>
        <v>642</v>
      </c>
      <c r="E594" s="24">
        <v>60</v>
      </c>
      <c r="F594" s="22" t="str">
        <f>INDEX(Master_Data!$C$186:$L$864,D594,2)</f>
        <v>RTI INFOKOM, PT</v>
      </c>
      <c r="G594" s="24" t="str">
        <f>INDEX(Master_Data!$C$186:$L$864,D594,3)</f>
        <v>R</v>
      </c>
      <c r="H594" s="24">
        <f>INDEX(Master_Data!$C$186:$L$864,D594,1)</f>
        <v>3</v>
      </c>
      <c r="I594" s="24" t="str">
        <f>INDEX(Master_Data!$C$186:$L$864,D594,4)</f>
        <v>Repair Power Supply System AnaSat SSPA 40 Watt S/N 055266</v>
      </c>
      <c r="J594" s="24" t="str">
        <f>INDEX(Master_Data!$C$186:$L$864,D594,5)</f>
        <v>SEPTEMBER</v>
      </c>
      <c r="K594" s="136" t="str">
        <f>INDEX(Master_Data!$C$186:$L$864,D594,6)</f>
        <v>BKU-RTI17001</v>
      </c>
      <c r="L594" s="140" t="str">
        <f>INDEX(Master_Data!$C$186:$L$864,D594,7)</f>
        <v>010.019-17.53122253</v>
      </c>
      <c r="M594" s="140">
        <f>INDEX(Master_Data!$C$186:$L$864,D594,8)</f>
        <v>0</v>
      </c>
      <c r="N594" s="264"/>
      <c r="O594" s="245" t="e">
        <f t="shared" si="48"/>
        <v>#VALUE!</v>
      </c>
      <c r="Q594" s="169" t="str">
        <f t="shared" si="45"/>
        <v>RTI INFOKOM, PTOKT</v>
      </c>
    </row>
    <row r="595" spans="2:17" s="61" customFormat="1" ht="14.1" customHeight="1">
      <c r="B595" s="242"/>
      <c r="C595" s="268">
        <f>MATCH($B$535,INDEX(Master_Data!$B$186:$B$864,D594+1,1):'Master_Data'!$B$864,0)</f>
        <v>6</v>
      </c>
      <c r="D595" s="268">
        <f t="shared" si="46"/>
        <v>648</v>
      </c>
      <c r="E595" s="24">
        <v>61</v>
      </c>
      <c r="F595" s="22" t="str">
        <f>INDEX(Master_Data!$C$186:$L$864,D595,2)</f>
        <v>SELARAS INTI SEMESTA, PT</v>
      </c>
      <c r="G595" s="24" t="str">
        <f>INDEX(Master_Data!$C$186:$L$864,D595,3)</f>
        <v>V</v>
      </c>
      <c r="H595" s="24">
        <f>INDEX(Master_Data!$C$186:$L$864,D595,1)</f>
        <v>10</v>
      </c>
      <c r="I595" s="24" t="str">
        <f>INDEX(Master_Data!$C$186:$L$864,D595,4)</f>
        <v>Sewa VSAT 256/512 Kbps Site Tamulik</v>
      </c>
      <c r="J595" s="24" t="str">
        <f>INDEX(Master_Data!$C$186:$L$864,D595,5)</f>
        <v>SEPTEMBER</v>
      </c>
      <c r="K595" s="136" t="str">
        <f>INDEX(Master_Data!$C$186:$L$864,D595,6)</f>
        <v>17-006/BKU-004/X/250</v>
      </c>
      <c r="L595" s="140" t="str">
        <f>INDEX(Master_Data!$C$186:$L$864,D595,7)</f>
        <v>010.019-17.53122271</v>
      </c>
      <c r="M595" s="140">
        <f>INDEX(Master_Data!$C$186:$L$864,D595,8)</f>
        <v>0</v>
      </c>
      <c r="N595" s="264"/>
      <c r="O595" s="245" t="e">
        <f t="shared" si="48"/>
        <v>#VALUE!</v>
      </c>
      <c r="Q595" s="169" t="str">
        <f t="shared" si="45"/>
        <v>SELARAS INTI SEMESTA, PTOKT</v>
      </c>
    </row>
    <row r="596" spans="2:17" s="61" customFormat="1" ht="14.1" customHeight="1">
      <c r="B596" s="242"/>
      <c r="C596" s="268">
        <f>MATCH($B$535,INDEX(Master_Data!$B$186:$B$864,D595+1,1):'Master_Data'!$B$864,0)</f>
        <v>13</v>
      </c>
      <c r="D596" s="268">
        <f t="shared" si="46"/>
        <v>661</v>
      </c>
      <c r="E596" s="24">
        <v>62</v>
      </c>
      <c r="F596" s="22" t="str">
        <f>INDEX(Master_Data!$C$186:$L$864,D596,2)</f>
        <v>TEBAR TANDAN TENERA, PT</v>
      </c>
      <c r="G596" s="24" t="str">
        <f>INDEX(Master_Data!$C$186:$L$864,D596,3)</f>
        <v>V</v>
      </c>
      <c r="H596" s="24">
        <f>INDEX(Master_Data!$C$186:$L$864,D596,1)</f>
        <v>3</v>
      </c>
      <c r="I596" s="24" t="str">
        <f>INDEX(Master_Data!$C$186:$L$864,D596,4)</f>
        <v>Rental VSAT Site TTT</v>
      </c>
      <c r="J596" s="24" t="str">
        <f>INDEX(Master_Data!$C$186:$L$864,D596,5)</f>
        <v>SEPTEMBER</v>
      </c>
      <c r="K596" s="136" t="str">
        <f>INDEX(Master_Data!$C$186:$L$864,D596,6)</f>
        <v>17-010/BKU-004/X/227</v>
      </c>
      <c r="L596" s="140" t="str">
        <f>INDEX(Master_Data!$C$186:$L$864,D596,7)</f>
        <v>010.019-17.53122233</v>
      </c>
      <c r="M596" s="140">
        <f>INDEX(Master_Data!$C$186:$L$864,D596,8)</f>
        <v>0</v>
      </c>
      <c r="N596" s="264"/>
      <c r="O596" s="245" t="e">
        <f t="shared" si="48"/>
        <v>#VALUE!</v>
      </c>
      <c r="Q596" s="169" t="str">
        <f t="shared" si="45"/>
        <v>TEBAR TANDAN TENERA, PTOKT</v>
      </c>
    </row>
    <row r="597" spans="2:17" s="61" customFormat="1" ht="14.1" customHeight="1">
      <c r="B597" s="242"/>
      <c r="C597" s="268">
        <f>MATCH($B$535,INDEX(Master_Data!$B$186:$B$864,D596+1,1):'Master_Data'!$B$864,0)</f>
        <v>12</v>
      </c>
      <c r="D597" s="268">
        <f t="shared" si="46"/>
        <v>673</v>
      </c>
      <c r="E597" s="24">
        <v>63</v>
      </c>
      <c r="F597" s="22" t="str">
        <f>INDEX(Master_Data!$C$186:$L$864,D597,2)</f>
        <v>ZTE INDONESIA, PT</v>
      </c>
      <c r="G597" s="24" t="str">
        <f>INDEX(Master_Data!$C$186:$L$864,D597,3)</f>
        <v>R</v>
      </c>
      <c r="H597" s="24">
        <f>INDEX(Master_Data!$C$186:$L$864,D597,1)</f>
        <v>24</v>
      </c>
      <c r="I597" s="24" t="str">
        <f>INDEX(Master_Data!$C$186:$L$864,D597,4)</f>
        <v>IDU 35 unit &amp; ODU 77 unit</v>
      </c>
      <c r="J597" s="24">
        <f>INDEX(Master_Data!$C$186:$L$864,D597,5)</f>
        <v>0</v>
      </c>
      <c r="K597" s="136" t="str">
        <f>INDEX(Master_Data!$C$186:$L$864,D597,6)</f>
        <v>BKU-ZTE17003</v>
      </c>
      <c r="L597" s="140" t="str">
        <f>INDEX(Master_Data!$C$186:$L$864,D597,7)</f>
        <v>010.019-17.53122276</v>
      </c>
      <c r="M597" s="140">
        <f>INDEX(Master_Data!$C$186:$L$864,D597,8)</f>
        <v>0</v>
      </c>
      <c r="N597" s="264"/>
      <c r="O597" s="245" t="e">
        <f t="shared" si="48"/>
        <v>#VALUE!</v>
      </c>
      <c r="Q597" s="169" t="str">
        <f t="shared" si="45"/>
        <v>ZTE INDONESIA, PTOKT</v>
      </c>
    </row>
    <row r="598" spans="2:17" s="61" customFormat="1" ht="14.1" customHeight="1">
      <c r="B598" s="242"/>
      <c r="C598" s="268">
        <f>MATCH($B$535,INDEX(Master_Data!$B$186:$B$864,D597+1,1):'Master_Data'!$B$864,0)</f>
        <v>1</v>
      </c>
      <c r="D598" s="268">
        <f>D597+C598</f>
        <v>674</v>
      </c>
      <c r="E598" s="24">
        <v>64</v>
      </c>
      <c r="F598" s="22" t="str">
        <f>INDEX(Master_Data!$C$186:$L$864,D598,2)</f>
        <v>ZTE INDONESIA, PT</v>
      </c>
      <c r="G598" s="24" t="str">
        <f>INDEX(Master_Data!$C$186:$L$864,D598,3)</f>
        <v>R</v>
      </c>
      <c r="H598" s="24">
        <f>INDEX(Master_Data!$C$186:$L$864,D598,1)</f>
        <v>24</v>
      </c>
      <c r="I598" s="24" t="str">
        <f>INDEX(Master_Data!$C$186:$L$864,D598,4)</f>
        <v>IDU 35 unit &amp; ODU 56 unit</v>
      </c>
      <c r="J598" s="24">
        <f>INDEX(Master_Data!$C$186:$L$864,D598,5)</f>
        <v>0</v>
      </c>
      <c r="K598" s="136" t="str">
        <f>INDEX(Master_Data!$C$186:$L$864,D598,6)</f>
        <v>BKU-ZTE17004</v>
      </c>
      <c r="L598" s="140" t="str">
        <f>INDEX(Master_Data!$C$186:$L$864,D598,7)</f>
        <v>011.019-17.53122277</v>
      </c>
      <c r="M598" s="140">
        <f>INDEX(Master_Data!$C$186:$L$864,D598,8)</f>
        <v>0</v>
      </c>
      <c r="N598" s="264"/>
      <c r="O598" s="245" t="e">
        <f>L598+M598</f>
        <v>#VALUE!</v>
      </c>
      <c r="Q598" s="169" t="str">
        <f>CONCATENATE(F598,$B$535)</f>
        <v>ZTE INDONESIA, PTOKT</v>
      </c>
    </row>
    <row r="599" spans="2:17" s="61" customFormat="1" ht="14.1" customHeight="1">
      <c r="B599" s="242"/>
      <c r="C599" s="268">
        <f>MATCH($B$535,INDEX(Master_Data!$B$186:$B$864,D598+1,1):'Master_Data'!$B$864,0)</f>
        <v>1</v>
      </c>
      <c r="D599" s="268">
        <f t="shared" ref="D599:D605" si="49">D598+C599</f>
        <v>675</v>
      </c>
      <c r="E599" s="24">
        <v>65</v>
      </c>
      <c r="F599" s="22" t="str">
        <f>INDEX(Master_Data!$C$186:$L$864,D599,2)</f>
        <v>ZTE INDONESIA, PT</v>
      </c>
      <c r="G599" s="24" t="str">
        <f>INDEX(Master_Data!$C$186:$L$864,D599,3)</f>
        <v>R</v>
      </c>
      <c r="H599" s="24">
        <f>INDEX(Master_Data!$C$186:$L$864,D599,1)</f>
        <v>24</v>
      </c>
      <c r="I599" s="24" t="str">
        <f>INDEX(Master_Data!$C$186:$L$864,D599,4)</f>
        <v>IDU 22 unit &amp; ODU 41 unit</v>
      </c>
      <c r="J599" s="24">
        <f>INDEX(Master_Data!$C$186:$L$864,D599,5)</f>
        <v>0</v>
      </c>
      <c r="K599" s="136" t="str">
        <f>INDEX(Master_Data!$C$186:$L$864,D599,6)</f>
        <v>BKU-ZTE17005</v>
      </c>
      <c r="L599" s="140" t="str">
        <f>INDEX(Master_Data!$C$186:$L$864,D599,7)</f>
        <v>010.019-17.53122278</v>
      </c>
      <c r="M599" s="140">
        <f>INDEX(Master_Data!$C$186:$L$864,D599,8)</f>
        <v>0</v>
      </c>
      <c r="N599" s="264"/>
      <c r="O599" s="245" t="e">
        <f t="shared" ref="O599:O605" si="50">L599+M599</f>
        <v>#VALUE!</v>
      </c>
      <c r="Q599" s="169" t="str">
        <f t="shared" ref="Q599:Q605" si="51">CONCATENATE(F599,$B$535)</f>
        <v>ZTE INDONESIA, PTOKT</v>
      </c>
    </row>
    <row r="600" spans="2:17" s="61" customFormat="1" ht="14.1" customHeight="1">
      <c r="B600" s="242"/>
      <c r="C600" s="268">
        <f>MATCH($B$535,INDEX(Master_Data!$B$186:$B$864,D599+1,1):'Master_Data'!$B$864,0)</f>
        <v>1</v>
      </c>
      <c r="D600" s="268">
        <f t="shared" si="49"/>
        <v>676</v>
      </c>
      <c r="E600" s="24">
        <v>66</v>
      </c>
      <c r="F600" s="22" t="str">
        <f>INDEX(Master_Data!$C$186:$L$864,D600,2)</f>
        <v>ZTE INDONESIA, PT</v>
      </c>
      <c r="G600" s="24" t="str">
        <f>INDEX(Master_Data!$C$186:$L$864,D600,3)</f>
        <v>R</v>
      </c>
      <c r="H600" s="24">
        <f>INDEX(Master_Data!$C$186:$L$864,D600,1)</f>
        <v>24</v>
      </c>
      <c r="I600" s="24" t="str">
        <f>INDEX(Master_Data!$C$186:$L$864,D600,4)</f>
        <v>ODU 6 unit</v>
      </c>
      <c r="J600" s="24">
        <f>INDEX(Master_Data!$C$186:$L$864,D600,5)</f>
        <v>0</v>
      </c>
      <c r="K600" s="136" t="str">
        <f>INDEX(Master_Data!$C$186:$L$864,D600,6)</f>
        <v>BKU-ZTE17006</v>
      </c>
      <c r="L600" s="140" t="str">
        <f>INDEX(Master_Data!$C$186:$L$864,D600,7)</f>
        <v>010.019-17.53122279</v>
      </c>
      <c r="M600" s="140">
        <f>INDEX(Master_Data!$C$186:$L$864,D600,8)</f>
        <v>0</v>
      </c>
      <c r="N600" s="264"/>
      <c r="O600" s="245" t="e">
        <f t="shared" si="50"/>
        <v>#VALUE!</v>
      </c>
      <c r="Q600" s="169" t="str">
        <f t="shared" si="51"/>
        <v>ZTE INDONESIA, PTOKT</v>
      </c>
    </row>
    <row r="601" spans="2:17" s="61" customFormat="1" ht="14.1" customHeight="1">
      <c r="B601" s="242"/>
      <c r="C601" s="268" t="e">
        <f>MATCH($B$535,INDEX(Master_Data!$B$186:$B$864,D600+1,1):'Master_Data'!$B$864,0)</f>
        <v>#N/A</v>
      </c>
      <c r="D601" s="268" t="e">
        <f t="shared" si="49"/>
        <v>#N/A</v>
      </c>
      <c r="E601" s="24">
        <v>67</v>
      </c>
      <c r="F601" s="22" t="e">
        <f>INDEX(Master_Data!$C$186:$L$864,D601,2)</f>
        <v>#N/A</v>
      </c>
      <c r="G601" s="24" t="e">
        <f>INDEX(Master_Data!$C$186:$L$864,D601,3)</f>
        <v>#N/A</v>
      </c>
      <c r="H601" s="24" t="e">
        <f>INDEX(Master_Data!$C$186:$L$864,D601,1)</f>
        <v>#N/A</v>
      </c>
      <c r="I601" s="24" t="e">
        <f>INDEX(Master_Data!$C$186:$L$864,D601,4)</f>
        <v>#N/A</v>
      </c>
      <c r="J601" s="24" t="e">
        <f>INDEX(Master_Data!$C$186:$L$864,D601,5)</f>
        <v>#N/A</v>
      </c>
      <c r="K601" s="136" t="e">
        <f>INDEX(Master_Data!$C$186:$L$864,D601,6)</f>
        <v>#N/A</v>
      </c>
      <c r="L601" s="140" t="e">
        <f>INDEX(Master_Data!$C$186:$L$864,D601,7)</f>
        <v>#N/A</v>
      </c>
      <c r="M601" s="140" t="e">
        <f>INDEX(Master_Data!$C$186:$L$864,D601,8)</f>
        <v>#N/A</v>
      </c>
      <c r="N601" s="264"/>
      <c r="O601" s="245" t="e">
        <f t="shared" si="50"/>
        <v>#N/A</v>
      </c>
      <c r="Q601" s="169" t="e">
        <f t="shared" si="51"/>
        <v>#N/A</v>
      </c>
    </row>
    <row r="602" spans="2:17" s="61" customFormat="1" ht="14.1" customHeight="1">
      <c r="B602" s="242"/>
      <c r="C602" s="268" t="e">
        <f>MATCH($B$535,INDEX(Master_Data!$B$186:$B$864,D601+1,1):'Master_Data'!$B$864,0)</f>
        <v>#N/A</v>
      </c>
      <c r="D602" s="268" t="e">
        <f t="shared" si="49"/>
        <v>#N/A</v>
      </c>
      <c r="E602" s="24">
        <v>68</v>
      </c>
      <c r="F602" s="22" t="e">
        <f>INDEX(Master_Data!$C$186:$L$864,D602,2)</f>
        <v>#N/A</v>
      </c>
      <c r="G602" s="24" t="e">
        <f>INDEX(Master_Data!$C$186:$L$864,D602,3)</f>
        <v>#N/A</v>
      </c>
      <c r="H602" s="24" t="e">
        <f>INDEX(Master_Data!$C$186:$L$864,D602,1)</f>
        <v>#N/A</v>
      </c>
      <c r="I602" s="24" t="e">
        <f>INDEX(Master_Data!$C$186:$L$864,D602,4)</f>
        <v>#N/A</v>
      </c>
      <c r="J602" s="24" t="e">
        <f>INDEX(Master_Data!$C$186:$L$864,D602,5)</f>
        <v>#N/A</v>
      </c>
      <c r="K602" s="136" t="e">
        <f>INDEX(Master_Data!$C$186:$L$864,D602,6)</f>
        <v>#N/A</v>
      </c>
      <c r="L602" s="140" t="e">
        <f>INDEX(Master_Data!$C$186:$L$864,D602,7)</f>
        <v>#N/A</v>
      </c>
      <c r="M602" s="140" t="e">
        <f>INDEX(Master_Data!$C$186:$L$864,D602,8)</f>
        <v>#N/A</v>
      </c>
      <c r="N602" s="264"/>
      <c r="O602" s="245" t="e">
        <f t="shared" si="50"/>
        <v>#N/A</v>
      </c>
      <c r="Q602" s="169" t="e">
        <f t="shared" si="51"/>
        <v>#N/A</v>
      </c>
    </row>
    <row r="603" spans="2:17" s="61" customFormat="1" ht="14.1" customHeight="1">
      <c r="B603" s="242"/>
      <c r="C603" s="268" t="e">
        <f>MATCH($B$535,INDEX(Master_Data!$B$186:$B$864,D602+1,1):'Master_Data'!$B$864,0)</f>
        <v>#N/A</v>
      </c>
      <c r="D603" s="268" t="e">
        <f t="shared" si="49"/>
        <v>#N/A</v>
      </c>
      <c r="E603" s="24">
        <v>69</v>
      </c>
      <c r="F603" s="22" t="e">
        <f>INDEX(Master_Data!$C$186:$L$864,D603,2)</f>
        <v>#N/A</v>
      </c>
      <c r="G603" s="24" t="e">
        <f>INDEX(Master_Data!$C$186:$L$864,D603,3)</f>
        <v>#N/A</v>
      </c>
      <c r="H603" s="24" t="e">
        <f>INDEX(Master_Data!$C$186:$L$864,D603,1)</f>
        <v>#N/A</v>
      </c>
      <c r="I603" s="24" t="e">
        <f>INDEX(Master_Data!$C$186:$L$864,D603,4)</f>
        <v>#N/A</v>
      </c>
      <c r="J603" s="24" t="e">
        <f>INDEX(Master_Data!$C$186:$L$864,D603,5)</f>
        <v>#N/A</v>
      </c>
      <c r="K603" s="136" t="e">
        <f>INDEX(Master_Data!$C$186:$L$864,D603,6)</f>
        <v>#N/A</v>
      </c>
      <c r="L603" s="140" t="e">
        <f>INDEX(Master_Data!$C$186:$L$864,D603,7)</f>
        <v>#N/A</v>
      </c>
      <c r="M603" s="140" t="e">
        <f>INDEX(Master_Data!$C$186:$L$864,D603,8)</f>
        <v>#N/A</v>
      </c>
      <c r="N603" s="264"/>
      <c r="O603" s="245" t="e">
        <f t="shared" si="50"/>
        <v>#N/A</v>
      </c>
      <c r="Q603" s="169" t="e">
        <f t="shared" si="51"/>
        <v>#N/A</v>
      </c>
    </row>
    <row r="604" spans="2:17" s="61" customFormat="1" ht="14.1" customHeight="1">
      <c r="B604" s="242"/>
      <c r="C604" s="268" t="e">
        <f>MATCH($B$535,INDEX(Master_Data!$B$186:$B$864,D603+1,1):'Master_Data'!$B$864,0)</f>
        <v>#N/A</v>
      </c>
      <c r="D604" s="268" t="e">
        <f t="shared" si="49"/>
        <v>#N/A</v>
      </c>
      <c r="E604" s="24">
        <v>70</v>
      </c>
      <c r="F604" s="22" t="e">
        <f>INDEX(Master_Data!$C$186:$L$864,D604,2)</f>
        <v>#N/A</v>
      </c>
      <c r="G604" s="24" t="e">
        <f>INDEX(Master_Data!$C$186:$L$864,D604,3)</f>
        <v>#N/A</v>
      </c>
      <c r="H604" s="24" t="e">
        <f>INDEX(Master_Data!$C$186:$L$864,D604,1)</f>
        <v>#N/A</v>
      </c>
      <c r="I604" s="24" t="e">
        <f>INDEX(Master_Data!$C$186:$L$864,D604,4)</f>
        <v>#N/A</v>
      </c>
      <c r="J604" s="24" t="e">
        <f>INDEX(Master_Data!$C$186:$L$864,D604,5)</f>
        <v>#N/A</v>
      </c>
      <c r="K604" s="136" t="e">
        <f>INDEX(Master_Data!$C$186:$L$864,D604,6)</f>
        <v>#N/A</v>
      </c>
      <c r="L604" s="140" t="e">
        <f>INDEX(Master_Data!$C$186:$L$864,D604,7)</f>
        <v>#N/A</v>
      </c>
      <c r="M604" s="140" t="e">
        <f>INDEX(Master_Data!$C$186:$L$864,D604,8)</f>
        <v>#N/A</v>
      </c>
      <c r="N604" s="264"/>
      <c r="O604" s="245" t="e">
        <f t="shared" si="50"/>
        <v>#N/A</v>
      </c>
      <c r="Q604" s="169" t="e">
        <f t="shared" si="51"/>
        <v>#N/A</v>
      </c>
    </row>
    <row r="605" spans="2:17" s="61" customFormat="1" ht="14.1" customHeight="1">
      <c r="B605" s="242"/>
      <c r="C605" s="268" t="e">
        <f>MATCH($B$535,INDEX(Master_Data!$B$186:$B$864,D604+1,1):'Master_Data'!$B$864,0)</f>
        <v>#N/A</v>
      </c>
      <c r="D605" s="268" t="e">
        <f t="shared" si="49"/>
        <v>#N/A</v>
      </c>
      <c r="E605" s="24">
        <v>71</v>
      </c>
      <c r="F605" s="22" t="e">
        <f>INDEX(Master_Data!$C$186:$L$864,D605,2)</f>
        <v>#N/A</v>
      </c>
      <c r="G605" s="24" t="e">
        <f>INDEX(Master_Data!$C$186:$L$864,D605,3)</f>
        <v>#N/A</v>
      </c>
      <c r="H605" s="24" t="e">
        <f>INDEX(Master_Data!$C$186:$L$864,D605,1)</f>
        <v>#N/A</v>
      </c>
      <c r="I605" s="24" t="e">
        <f>INDEX(Master_Data!$C$186:$L$864,D605,4)</f>
        <v>#N/A</v>
      </c>
      <c r="J605" s="24" t="e">
        <f>INDEX(Master_Data!$C$186:$L$864,D605,5)</f>
        <v>#N/A</v>
      </c>
      <c r="K605" s="136" t="e">
        <f>INDEX(Master_Data!$C$186:$L$864,D605,6)</f>
        <v>#N/A</v>
      </c>
      <c r="L605" s="140" t="e">
        <f>INDEX(Master_Data!$C$186:$L$864,D605,7)</f>
        <v>#N/A</v>
      </c>
      <c r="M605" s="140" t="e">
        <f>INDEX(Master_Data!$C$186:$L$864,D605,8)</f>
        <v>#N/A</v>
      </c>
      <c r="N605" s="264"/>
      <c r="O605" s="245" t="e">
        <f t="shared" si="50"/>
        <v>#N/A</v>
      </c>
      <c r="Q605" s="169" t="e">
        <f t="shared" si="51"/>
        <v>#N/A</v>
      </c>
    </row>
    <row r="606" spans="2:17" ht="20.25" customHeight="1">
      <c r="B606" s="1758" t="s">
        <v>7</v>
      </c>
      <c r="C606" s="1758"/>
      <c r="D606" s="1758"/>
      <c r="E606" s="1758"/>
      <c r="F606" s="1758"/>
      <c r="G606" s="1758"/>
      <c r="H606" s="1758"/>
      <c r="I606" s="1758"/>
      <c r="J606" s="1758"/>
      <c r="K606" s="12" t="e">
        <f>SUM(K535:K605)</f>
        <v>#N/A</v>
      </c>
      <c r="L606" s="142" t="e">
        <f>SUM(L535:L605)</f>
        <v>#N/A</v>
      </c>
      <c r="M606" s="142" t="e">
        <f>SUM(M535:M605)</f>
        <v>#N/A</v>
      </c>
      <c r="N606" s="12">
        <f>SUM(N535:N598)</f>
        <v>0</v>
      </c>
      <c r="O606" s="13" t="e">
        <f>SUM(O535:O605)</f>
        <v>#VALUE!</v>
      </c>
    </row>
    <row r="608" spans="2:17" s="7" customFormat="1" ht="15" customHeight="1">
      <c r="B608" s="1759" t="s">
        <v>198</v>
      </c>
      <c r="C608" s="1760" t="s">
        <v>200</v>
      </c>
      <c r="D608" s="1760"/>
      <c r="E608" s="1759" t="s">
        <v>6</v>
      </c>
      <c r="F608" s="1758" t="s">
        <v>3</v>
      </c>
      <c r="G608" s="1761" t="s">
        <v>141</v>
      </c>
      <c r="H608" s="1758" t="s">
        <v>1616</v>
      </c>
      <c r="I608" s="1758"/>
      <c r="J608" s="1758"/>
      <c r="K608" s="1758"/>
      <c r="L608" s="1758"/>
      <c r="M608" s="1758"/>
      <c r="N608" s="1758"/>
      <c r="O608" s="1758"/>
    </row>
    <row r="609" spans="2:17" s="7" customFormat="1" ht="15" customHeight="1">
      <c r="B609" s="1759"/>
      <c r="C609" s="1764" t="s">
        <v>196</v>
      </c>
      <c r="D609" s="1764" t="s">
        <v>197</v>
      </c>
      <c r="E609" s="1759"/>
      <c r="F609" s="1758"/>
      <c r="G609" s="1762"/>
      <c r="H609" s="1766" t="s">
        <v>15</v>
      </c>
      <c r="I609" s="1766" t="s">
        <v>51</v>
      </c>
      <c r="J609" s="1766" t="s">
        <v>12</v>
      </c>
      <c r="K609" s="1768" t="s">
        <v>11</v>
      </c>
      <c r="L609" s="1768" t="s">
        <v>53</v>
      </c>
      <c r="M609" s="1768" t="s">
        <v>1</v>
      </c>
      <c r="N609" s="1770" t="s">
        <v>50</v>
      </c>
      <c r="O609" s="1770"/>
    </row>
    <row r="610" spans="2:17" s="7" customFormat="1">
      <c r="B610" s="1759"/>
      <c r="C610" s="1765"/>
      <c r="D610" s="1765"/>
      <c r="E610" s="1759"/>
      <c r="F610" s="1758"/>
      <c r="G610" s="1763"/>
      <c r="H610" s="1767"/>
      <c r="I610" s="1767"/>
      <c r="J610" s="1767"/>
      <c r="K610" s="1769"/>
      <c r="L610" s="1769"/>
      <c r="M610" s="1769"/>
      <c r="N610" s="505" t="s">
        <v>54</v>
      </c>
      <c r="O610" s="505" t="s">
        <v>55</v>
      </c>
      <c r="Q610" s="168" t="s">
        <v>235</v>
      </c>
    </row>
    <row r="611" spans="2:17" s="7" customFormat="1" ht="14.1" customHeight="1">
      <c r="B611" s="337" t="s">
        <v>238</v>
      </c>
      <c r="C611" s="151">
        <f>MATCH(B611,Master_Data!$B$186:$B$864,0)</f>
        <v>23</v>
      </c>
      <c r="D611" s="151">
        <f>C611</f>
        <v>23</v>
      </c>
      <c r="E611" s="20">
        <v>1</v>
      </c>
      <c r="F611" s="75" t="str">
        <f>INDEX(Master_Data!$C$186:$L$864,D611,2)</f>
        <v>DUTA TAMBANG REKAYASA, PT</v>
      </c>
      <c r="G611" s="20" t="str">
        <f>INDEX(Master_Data!$C$186:$L$864,D611,3)</f>
        <v>W</v>
      </c>
      <c r="H611" s="20">
        <f>INDEX(Master_Data!$C$186:$L$864,D611,1)</f>
        <v>6</v>
      </c>
      <c r="I611" s="20" t="str">
        <f>INDEX(Master_Data!$C$186:$L$864,D611,4)</f>
        <v>WDL 4 Mbps Site Sebakis Nunukan</v>
      </c>
      <c r="J611" s="20" t="str">
        <f>INDEX(Master_Data!$C$186:$L$864,D611,5)</f>
        <v>OKTOBER</v>
      </c>
      <c r="K611" s="134" t="str">
        <f>INDEX(Master_Data!$C$186:$L$864,D611,6)</f>
        <v>17-006/BKU-004/XI/243</v>
      </c>
      <c r="L611" s="139" t="str">
        <f>INDEX(Master_Data!$C$186:$L$864,D611,7)</f>
        <v>010.019-17.53122300</v>
      </c>
      <c r="M611" s="139">
        <f>INDEX(Master_Data!$C$186:$L$864,D611,8)</f>
        <v>0</v>
      </c>
      <c r="N611" s="266"/>
      <c r="O611" s="272" t="e">
        <f>L611+M611</f>
        <v>#VALUE!</v>
      </c>
      <c r="Q611" s="169" t="str">
        <f>CONCATENATE(F611,$B$611)</f>
        <v>DUTA TAMBANG REKAYASA, PTNOV</v>
      </c>
    </row>
    <row r="612" spans="2:17" s="61" customFormat="1" ht="14.1" customHeight="1">
      <c r="B612" s="338"/>
      <c r="C612" s="268">
        <f>MATCH($B$611,INDEX(Master_Data!$B$186:$B$864,D611+1,1):'Master_Data'!$B$864,0)</f>
        <v>92</v>
      </c>
      <c r="D612" s="268">
        <f>D611+C612</f>
        <v>115</v>
      </c>
      <c r="E612" s="54">
        <v>2</v>
      </c>
      <c r="F612" s="22" t="str">
        <f>INDEX(Master_Data!$C$186:$L$864,D612,2)</f>
        <v>HARMONI PANCA UTAMA, PT</v>
      </c>
      <c r="G612" s="24" t="str">
        <f>INDEX(Master_Data!$C$186:$L$864,D612,3)</f>
        <v>M</v>
      </c>
      <c r="H612" s="24">
        <f>INDEX(Master_Data!$C$186:$L$864,D612,1)</f>
        <v>9</v>
      </c>
      <c r="I612" s="24" t="str">
        <f>INDEX(Master_Data!$C$186:$L$864,D612,4)</f>
        <v>MPLS 5 Mbps Site Head Office</v>
      </c>
      <c r="J612" s="24" t="str">
        <f>INDEX(Master_Data!$C$186:$L$864,D612,5)</f>
        <v>OKTOBER</v>
      </c>
      <c r="K612" s="136" t="str">
        <f>INDEX(Master_Data!$C$186:$L$864,D612,6)</f>
        <v>17-076/BKU-004/XI/159</v>
      </c>
      <c r="L612" s="140" t="str">
        <f>INDEX(Master_Data!$C$186:$L$864,D612,7)</f>
        <v>010.019-17.53122315</v>
      </c>
      <c r="M612" s="140">
        <f>INDEX(Master_Data!$C$186:$L$864,D612,8)</f>
        <v>0</v>
      </c>
      <c r="N612" s="264"/>
      <c r="O612" s="245" t="e">
        <f t="shared" ref="O612:O621" si="52">L612+M612</f>
        <v>#VALUE!</v>
      </c>
      <c r="Q612" s="169" t="str">
        <f t="shared" ref="Q612:Q674" si="53">CONCATENATE(F612,$B$611)</f>
        <v>HARMONI PANCA UTAMA, PTNOV</v>
      </c>
    </row>
    <row r="613" spans="2:17" s="61" customFormat="1" ht="14.1" customHeight="1">
      <c r="B613" s="338"/>
      <c r="C613" s="268">
        <f>MATCH($B$611,INDEX(Master_Data!$B$186:$B$864,D612+1,1):'Master_Data'!$B$864,0)</f>
        <v>1</v>
      </c>
      <c r="D613" s="268">
        <f t="shared" ref="D613:D673" si="54">D612+C613</f>
        <v>116</v>
      </c>
      <c r="E613" s="24">
        <v>3</v>
      </c>
      <c r="F613" s="22" t="str">
        <f>INDEX(Master_Data!$C$186:$L$864,D613,2)</f>
        <v>HARMONI PANCA UTAMA, PT</v>
      </c>
      <c r="G613" s="24" t="str">
        <f>INDEX(Master_Data!$C$186:$L$864,D613,3)</f>
        <v>M</v>
      </c>
      <c r="H613" s="24">
        <f>INDEX(Master_Data!$C$186:$L$864,D613,1)</f>
        <v>9</v>
      </c>
      <c r="I613" s="24" t="str">
        <f>INDEX(Master_Data!$C$186:$L$864,D613,4)</f>
        <v>MPLS 512 Kbps Site PDU</v>
      </c>
      <c r="J613" s="24" t="str">
        <f>INDEX(Master_Data!$C$186:$L$864,D613,5)</f>
        <v>OKTOBER</v>
      </c>
      <c r="K613" s="136" t="str">
        <f>INDEX(Master_Data!$C$186:$L$864,D613,6)</f>
        <v>17-077/BKU-004/XI/159</v>
      </c>
      <c r="L613" s="140" t="str">
        <f>INDEX(Master_Data!$C$186:$L$864,D613,7)</f>
        <v>010.019-17.53122316</v>
      </c>
      <c r="M613" s="140">
        <f>INDEX(Master_Data!$C$186:$L$864,D613,8)</f>
        <v>0</v>
      </c>
      <c r="N613" s="264"/>
      <c r="O613" s="245" t="e">
        <f t="shared" si="52"/>
        <v>#VALUE!</v>
      </c>
      <c r="Q613" s="169" t="str">
        <f t="shared" si="53"/>
        <v>HARMONI PANCA UTAMA, PTNOV</v>
      </c>
    </row>
    <row r="614" spans="2:17" s="61" customFormat="1" ht="14.1" customHeight="1">
      <c r="B614" s="338"/>
      <c r="C614" s="268">
        <f>MATCH($B$611,INDEX(Master_Data!$B$186:$B$864,D613+1,1):'Master_Data'!$B$864,0)</f>
        <v>1</v>
      </c>
      <c r="D614" s="268">
        <f t="shared" si="54"/>
        <v>117</v>
      </c>
      <c r="E614" s="54">
        <v>4</v>
      </c>
      <c r="F614" s="22" t="str">
        <f>INDEX(Master_Data!$C$186:$L$864,D614,2)</f>
        <v>HARMONI PANCA UTAMA, PT</v>
      </c>
      <c r="G614" s="24" t="str">
        <f>INDEX(Master_Data!$C$186:$L$864,D614,3)</f>
        <v>M</v>
      </c>
      <c r="H614" s="24">
        <f>INDEX(Master_Data!$C$186:$L$864,D614,1)</f>
        <v>9</v>
      </c>
      <c r="I614" s="24" t="str">
        <f>INDEX(Master_Data!$C$186:$L$864,D614,4)</f>
        <v>MPLS 1 Mbps Site DMI</v>
      </c>
      <c r="J614" s="24" t="str">
        <f>INDEX(Master_Data!$C$186:$L$864,D614,5)</f>
        <v>OKTOBER</v>
      </c>
      <c r="K614" s="136" t="str">
        <f>INDEX(Master_Data!$C$186:$L$864,D614,6)</f>
        <v>17-078/BKU-004/XI/159</v>
      </c>
      <c r="L614" s="140" t="str">
        <f>INDEX(Master_Data!$C$186:$L$864,D614,7)</f>
        <v>010.019-17.53122317</v>
      </c>
      <c r="M614" s="140">
        <f>INDEX(Master_Data!$C$186:$L$864,D614,8)</f>
        <v>0</v>
      </c>
      <c r="N614" s="264"/>
      <c r="O614" s="245" t="e">
        <f t="shared" si="52"/>
        <v>#VALUE!</v>
      </c>
      <c r="Q614" s="169" t="str">
        <f t="shared" si="53"/>
        <v>HARMONI PANCA UTAMA, PTNOV</v>
      </c>
    </row>
    <row r="615" spans="2:17" s="61" customFormat="1" ht="14.1" customHeight="1">
      <c r="B615" s="338"/>
      <c r="C615" s="268">
        <f>MATCH($B$611,INDEX(Master_Data!$B$186:$B$864,D614+1,1):'Master_Data'!$B$864,0)</f>
        <v>1</v>
      </c>
      <c r="D615" s="268">
        <f t="shared" si="54"/>
        <v>118</v>
      </c>
      <c r="E615" s="24">
        <v>5</v>
      </c>
      <c r="F615" s="22" t="str">
        <f>INDEX(Master_Data!$C$186:$L$864,D615,2)</f>
        <v>HARMONI PANCA UTAMA, PT</v>
      </c>
      <c r="G615" s="24" t="str">
        <f>INDEX(Master_Data!$C$186:$L$864,D615,3)</f>
        <v>M</v>
      </c>
      <c r="H615" s="24">
        <f>INDEX(Master_Data!$C$186:$L$864,D615,1)</f>
        <v>9</v>
      </c>
      <c r="I615" s="24" t="str">
        <f>INDEX(Master_Data!$C$186:$L$864,D615,4)</f>
        <v>MPLS 512 Kbps Site Sekayan</v>
      </c>
      <c r="J615" s="24" t="str">
        <f>INDEX(Master_Data!$C$186:$L$864,D615,5)</f>
        <v>OKTOBER</v>
      </c>
      <c r="K615" s="136" t="str">
        <f>INDEX(Master_Data!$C$186:$L$864,D615,6)</f>
        <v>17-079/BKU-004/XI/159</v>
      </c>
      <c r="L615" s="140" t="str">
        <f>INDEX(Master_Data!$C$186:$L$864,D615,7)</f>
        <v>010.019-17.53122318</v>
      </c>
      <c r="M615" s="140">
        <f>INDEX(Master_Data!$C$186:$L$864,D615,8)</f>
        <v>0</v>
      </c>
      <c r="N615" s="264"/>
      <c r="O615" s="245" t="e">
        <f t="shared" si="52"/>
        <v>#VALUE!</v>
      </c>
      <c r="Q615" s="169" t="str">
        <f t="shared" si="53"/>
        <v>HARMONI PANCA UTAMA, PTNOV</v>
      </c>
    </row>
    <row r="616" spans="2:17" s="61" customFormat="1" ht="14.1" customHeight="1">
      <c r="B616" s="338"/>
      <c r="C616" s="268">
        <f>MATCH($B$611,INDEX(Master_Data!$B$186:$B$864,D615+1,1):'Master_Data'!$B$864,0)</f>
        <v>1</v>
      </c>
      <c r="D616" s="268">
        <f t="shared" si="54"/>
        <v>119</v>
      </c>
      <c r="E616" s="54">
        <v>6</v>
      </c>
      <c r="F616" s="22" t="str">
        <f>INDEX(Master_Data!$C$186:$L$864,D616,2)</f>
        <v>HARMONI PANCA UTAMA, PT</v>
      </c>
      <c r="G616" s="24" t="str">
        <f>INDEX(Master_Data!$C$186:$L$864,D616,3)</f>
        <v>V</v>
      </c>
      <c r="H616" s="24">
        <f>INDEX(Master_Data!$C$186:$L$864,D616,1)</f>
        <v>9</v>
      </c>
      <c r="I616" s="24" t="str">
        <f>INDEX(Master_Data!$C$186:$L$864,D616,4)</f>
        <v>Sewa VSAT SCPC 512/768 Kbps Site MGA Office</v>
      </c>
      <c r="J616" s="24" t="str">
        <f>INDEX(Master_Data!$C$186:$L$864,D616,5)</f>
        <v>OKTOBER</v>
      </c>
      <c r="K616" s="136" t="str">
        <f>INDEX(Master_Data!$C$186:$L$864,D616,6)</f>
        <v>17-080/BKU-004/XI/159</v>
      </c>
      <c r="L616" s="140" t="str">
        <f>INDEX(Master_Data!$C$186:$L$864,D616,7)</f>
        <v>010.019-17.53122319</v>
      </c>
      <c r="M616" s="140">
        <f>INDEX(Master_Data!$C$186:$L$864,D616,8)</f>
        <v>0</v>
      </c>
      <c r="N616" s="264"/>
      <c r="O616" s="245" t="e">
        <f t="shared" si="52"/>
        <v>#VALUE!</v>
      </c>
      <c r="Q616" s="169" t="str">
        <f t="shared" si="53"/>
        <v>HARMONI PANCA UTAMA, PTNOV</v>
      </c>
    </row>
    <row r="617" spans="2:17" s="61" customFormat="1" ht="14.1" customHeight="1">
      <c r="B617" s="338"/>
      <c r="C617" s="268">
        <f>MATCH($B$611,INDEX(Master_Data!$B$186:$B$864,D616+1,1):'Master_Data'!$B$864,0)</f>
        <v>1</v>
      </c>
      <c r="D617" s="268">
        <f t="shared" si="54"/>
        <v>120</v>
      </c>
      <c r="E617" s="24">
        <v>7</v>
      </c>
      <c r="F617" s="22" t="str">
        <f>INDEX(Master_Data!$C$186:$L$864,D617,2)</f>
        <v>HARMONI PANCA UTAMA, PT</v>
      </c>
      <c r="G617" s="24" t="str">
        <f>INDEX(Master_Data!$C$186:$L$864,D617,3)</f>
        <v>V</v>
      </c>
      <c r="H617" s="24">
        <f>INDEX(Master_Data!$C$186:$L$864,D617,1)</f>
        <v>9</v>
      </c>
      <c r="I617" s="24" t="str">
        <f>INDEX(Master_Data!$C$186:$L$864,D617,4)</f>
        <v>Sewa VSAT 128/256 Kbps Site RUB Ex PPA</v>
      </c>
      <c r="J617" s="24" t="str">
        <f>INDEX(Master_Data!$C$186:$L$864,D617,5)</f>
        <v>OKTOBER</v>
      </c>
      <c r="K617" s="136" t="str">
        <f>INDEX(Master_Data!$C$186:$L$864,D617,6)</f>
        <v>17-081/BKU-004/XI/159</v>
      </c>
      <c r="L617" s="140" t="str">
        <f>INDEX(Master_Data!$C$186:$L$864,D617,7)</f>
        <v>010.019-17.53122320</v>
      </c>
      <c r="M617" s="140">
        <f>INDEX(Master_Data!$C$186:$L$864,D617,8)</f>
        <v>0</v>
      </c>
      <c r="N617" s="264"/>
      <c r="O617" s="245" t="e">
        <f t="shared" si="52"/>
        <v>#VALUE!</v>
      </c>
      <c r="Q617" s="169" t="str">
        <f t="shared" si="53"/>
        <v>HARMONI PANCA UTAMA, PTNOV</v>
      </c>
    </row>
    <row r="618" spans="2:17" s="61" customFormat="1" ht="14.1" customHeight="1">
      <c r="B618" s="338"/>
      <c r="C618" s="268">
        <f>MATCH($B$611,INDEX(Master_Data!$B$186:$B$864,D617+1,1):'Master_Data'!$B$864,0)</f>
        <v>1</v>
      </c>
      <c r="D618" s="268">
        <f t="shared" si="54"/>
        <v>121</v>
      </c>
      <c r="E618" s="54">
        <v>8</v>
      </c>
      <c r="F618" s="22" t="str">
        <f>INDEX(Master_Data!$C$186:$L$864,D618,2)</f>
        <v>HARMONI PANCA UTAMA, PT</v>
      </c>
      <c r="G618" s="24" t="str">
        <f>INDEX(Master_Data!$C$186:$L$864,D618,3)</f>
        <v>V</v>
      </c>
      <c r="H618" s="24">
        <f>INDEX(Master_Data!$C$186:$L$864,D618,1)</f>
        <v>9</v>
      </c>
      <c r="I618" s="24" t="str">
        <f>INDEX(Master_Data!$C$186:$L$864,D618,4)</f>
        <v>Sewa VSAT SCPC 512/256 Kbps Site KMO</v>
      </c>
      <c r="J618" s="24" t="str">
        <f>INDEX(Master_Data!$C$186:$L$864,D618,5)</f>
        <v>OKTOBER</v>
      </c>
      <c r="K618" s="136" t="str">
        <f>INDEX(Master_Data!$C$186:$L$864,D618,6)</f>
        <v>17-082/BKU-004/XI/159</v>
      </c>
      <c r="L618" s="140" t="str">
        <f>INDEX(Master_Data!$C$186:$L$864,D618,7)</f>
        <v>010.019-17.53122321</v>
      </c>
      <c r="M618" s="140">
        <f>INDEX(Master_Data!$C$186:$L$864,D618,8)</f>
        <v>0</v>
      </c>
      <c r="N618" s="264"/>
      <c r="O618" s="245" t="e">
        <f t="shared" si="52"/>
        <v>#VALUE!</v>
      </c>
      <c r="Q618" s="169" t="str">
        <f t="shared" si="53"/>
        <v>HARMONI PANCA UTAMA, PTNOV</v>
      </c>
    </row>
    <row r="619" spans="2:17" s="61" customFormat="1" ht="14.1" customHeight="1">
      <c r="B619" s="338"/>
      <c r="C619" s="268">
        <f>MATCH($B$611,INDEX(Master_Data!$B$186:$B$864,D618+1,1):'Master_Data'!$B$864,0)</f>
        <v>1</v>
      </c>
      <c r="D619" s="268">
        <f t="shared" si="54"/>
        <v>122</v>
      </c>
      <c r="E619" s="24">
        <v>9</v>
      </c>
      <c r="F619" s="22" t="str">
        <f>INDEX(Master_Data!$C$186:$L$864,D619,2)</f>
        <v>HARMONI PANCA UTAMA, PT</v>
      </c>
      <c r="G619" s="24" t="str">
        <f>INDEX(Master_Data!$C$186:$L$864,D619,3)</f>
        <v>V</v>
      </c>
      <c r="H619" s="24">
        <f>INDEX(Master_Data!$C$186:$L$864,D619,1)</f>
        <v>9</v>
      </c>
      <c r="I619" s="24" t="str">
        <f>INDEX(Master_Data!$C$186:$L$864,D619,4)</f>
        <v xml:space="preserve">Sewa VSAT 256/128 Kbps Site KMO (PORT) Kelubir </v>
      </c>
      <c r="J619" s="24" t="str">
        <f>INDEX(Master_Data!$C$186:$L$864,D619,5)</f>
        <v>NOVEMBER</v>
      </c>
      <c r="K619" s="136" t="str">
        <f>INDEX(Master_Data!$C$186:$L$864,D619,6)</f>
        <v>17-083/BKU-004/XI/159</v>
      </c>
      <c r="L619" s="140" t="str">
        <f>INDEX(Master_Data!$C$186:$L$864,D619,7)</f>
        <v>010.019-17.53122322</v>
      </c>
      <c r="M619" s="140">
        <f>INDEX(Master_Data!$C$186:$L$864,D619,8)</f>
        <v>0</v>
      </c>
      <c r="N619" s="264"/>
      <c r="O619" s="245" t="e">
        <f t="shared" si="52"/>
        <v>#VALUE!</v>
      </c>
      <c r="Q619" s="169" t="str">
        <f t="shared" si="53"/>
        <v>HARMONI PANCA UTAMA, PTNOV</v>
      </c>
    </row>
    <row r="620" spans="2:17" s="61" customFormat="1" ht="14.1" customHeight="1">
      <c r="B620" s="338"/>
      <c r="C620" s="268">
        <f>MATCH($B$611,INDEX(Master_Data!$B$186:$B$864,D619+1,1):'Master_Data'!$B$864,0)</f>
        <v>46</v>
      </c>
      <c r="D620" s="268">
        <f t="shared" si="54"/>
        <v>168</v>
      </c>
      <c r="E620" s="54">
        <v>10</v>
      </c>
      <c r="F620" s="22" t="str">
        <f>INDEX(Master_Data!$C$186:$L$864,D620,2)</f>
        <v>HASTA PANCA MANDIRI UTAMA, PT</v>
      </c>
      <c r="G620" s="24" t="str">
        <f>INDEX(Master_Data!$C$186:$L$864,D620,3)</f>
        <v>V</v>
      </c>
      <c r="H620" s="24">
        <f>INDEX(Master_Data!$C$186:$L$864,D620,1)</f>
        <v>13</v>
      </c>
      <c r="I620" s="24" t="str">
        <f>INDEX(Master_Data!$C$186:$L$864,D620,4)</f>
        <v>Sewa VSAT SCPC 512/256 up 896/384 Kbps Site OBI Halmahera</v>
      </c>
      <c r="J620" s="24" t="str">
        <f>INDEX(Master_Data!$C$186:$L$864,D620,5)</f>
        <v>OKTOBER</v>
      </c>
      <c r="K620" s="136" t="str">
        <f>INDEX(Master_Data!$C$186:$L$864,D620,6)</f>
        <v>17-036/BKU-004/XI/179</v>
      </c>
      <c r="L620" s="140" t="str">
        <f>INDEX(Master_Data!$C$186:$L$864,D620,7)</f>
        <v>010.019-17.53122323</v>
      </c>
      <c r="M620" s="140">
        <f>INDEX(Master_Data!$C$186:$L$864,D620,8)</f>
        <v>0</v>
      </c>
      <c r="N620" s="264"/>
      <c r="O620" s="245" t="e">
        <f t="shared" si="52"/>
        <v>#VALUE!</v>
      </c>
      <c r="Q620" s="169" t="str">
        <f t="shared" si="53"/>
        <v>HASTA PANCA MANDIRI UTAMA, PTNOV</v>
      </c>
    </row>
    <row r="621" spans="2:17" s="61" customFormat="1" ht="14.1" customHeight="1">
      <c r="B621" s="338"/>
      <c r="C621" s="268">
        <f>MATCH($B$611,INDEX(Master_Data!$B$186:$B$864,D620+1,1):'Master_Data'!$B$864,0)</f>
        <v>1</v>
      </c>
      <c r="D621" s="268">
        <f t="shared" si="54"/>
        <v>169</v>
      </c>
      <c r="E621" s="24">
        <v>11</v>
      </c>
      <c r="F621" s="22" t="str">
        <f>INDEX(Master_Data!$C$186:$L$864,D621,2)</f>
        <v>HASTA PANCA MANDIRI UTAMA, PT</v>
      </c>
      <c r="G621" s="24" t="str">
        <f>INDEX(Master_Data!$C$186:$L$864,D621,3)</f>
        <v>V</v>
      </c>
      <c r="H621" s="24">
        <f>INDEX(Master_Data!$C$186:$L$864,D621,1)</f>
        <v>13</v>
      </c>
      <c r="I621" s="24" t="str">
        <f>INDEX(Master_Data!$C$186:$L$864,D621,4)</f>
        <v xml:space="preserve">Sewa VSAT SCPC 512/256 Kbps Site AMO Malinau </v>
      </c>
      <c r="J621" s="24" t="str">
        <f>INDEX(Master_Data!$C$186:$L$864,D621,5)</f>
        <v>OKTOBER</v>
      </c>
      <c r="K621" s="136" t="str">
        <f>INDEX(Master_Data!$C$186:$L$864,D621,6)</f>
        <v>17-037/BKU-004/XI/179</v>
      </c>
      <c r="L621" s="140" t="str">
        <f>INDEX(Master_Data!$C$186:$L$864,D621,7)</f>
        <v>010.019-17.53122324</v>
      </c>
      <c r="M621" s="140">
        <f>INDEX(Master_Data!$C$186:$L$864,D621,8)</f>
        <v>0</v>
      </c>
      <c r="N621" s="264"/>
      <c r="O621" s="245" t="e">
        <f t="shared" si="52"/>
        <v>#VALUE!</v>
      </c>
      <c r="Q621" s="169" t="str">
        <f t="shared" si="53"/>
        <v>HASTA PANCA MANDIRI UTAMA, PTNOV</v>
      </c>
    </row>
    <row r="622" spans="2:17" s="61" customFormat="1" ht="14.1" customHeight="1">
      <c r="B622" s="338"/>
      <c r="C622" s="268">
        <f>MATCH($B$611,INDEX(Master_Data!$B$186:$B$864,D621+1,1):'Master_Data'!$B$864,0)</f>
        <v>1</v>
      </c>
      <c r="D622" s="268">
        <f t="shared" si="54"/>
        <v>170</v>
      </c>
      <c r="E622" s="54">
        <v>12</v>
      </c>
      <c r="F622" s="22" t="str">
        <f>INDEX(Master_Data!$C$186:$L$864,D622,2)</f>
        <v>HASTA PANCA MANDIRI UTAMA, PT</v>
      </c>
      <c r="G622" s="24" t="str">
        <f>INDEX(Master_Data!$C$186:$L$864,D622,3)</f>
        <v>V</v>
      </c>
      <c r="H622" s="24">
        <f>INDEX(Master_Data!$C$186:$L$864,D622,1)</f>
        <v>13</v>
      </c>
      <c r="I622" s="24" t="str">
        <f>INDEX(Master_Data!$C$186:$L$864,D622,4)</f>
        <v>Sewa VSAT SCPC 512/256 Kbps Site KDA Kalbar</v>
      </c>
      <c r="J622" s="24" t="str">
        <f>INDEX(Master_Data!$C$186:$L$864,D622,5)</f>
        <v>OKTOBER</v>
      </c>
      <c r="K622" s="136" t="str">
        <f>INDEX(Master_Data!$C$186:$L$864,D622,6)</f>
        <v>17-038/BKU-004/XI/179</v>
      </c>
      <c r="L622" s="140" t="str">
        <f>INDEX(Master_Data!$C$186:$L$864,D622,7)</f>
        <v>010.019-17.53122325</v>
      </c>
      <c r="M622" s="140">
        <f>INDEX(Master_Data!$C$186:$L$864,D622,8)</f>
        <v>0</v>
      </c>
      <c r="N622" s="149"/>
      <c r="O622" s="245" t="e">
        <f>L622+M622</f>
        <v>#VALUE!</v>
      </c>
      <c r="Q622" s="169" t="str">
        <f t="shared" si="53"/>
        <v>HASTA PANCA MANDIRI UTAMA, PTNOV</v>
      </c>
    </row>
    <row r="623" spans="2:17" s="61" customFormat="1" ht="14.1" customHeight="1">
      <c r="B623" s="338"/>
      <c r="C623" s="268">
        <f>MATCH($B$611,INDEX(Master_Data!$B$186:$B$864,D622+1,1):'Master_Data'!$B$864,0)</f>
        <v>47</v>
      </c>
      <c r="D623" s="268">
        <f t="shared" si="54"/>
        <v>217</v>
      </c>
      <c r="E623" s="24">
        <v>13</v>
      </c>
      <c r="F623" s="22" t="str">
        <f>INDEX(Master_Data!$C$186:$L$864,D623,2)</f>
        <v>HUTAN KETAPANG INDUSTRI, PT</v>
      </c>
      <c r="G623" s="24" t="str">
        <f>INDEX(Master_Data!$C$186:$L$864,D623,3)</f>
        <v>V</v>
      </c>
      <c r="H623" s="24">
        <f>INDEX(Master_Data!$C$186:$L$864,D623,1)</f>
        <v>1</v>
      </c>
      <c r="I623" s="24" t="str">
        <f>INDEX(Master_Data!$C$186:$L$864,D623,4)</f>
        <v>Site HKI 1</v>
      </c>
      <c r="J623" s="24" t="str">
        <f>INDEX(Master_Data!$C$186:$L$864,D623,5)</f>
        <v>OKTOBER</v>
      </c>
      <c r="K623" s="136" t="str">
        <f>INDEX(Master_Data!$C$186:$L$864,D623,6)</f>
        <v>17-044/BKU-004/XI/204</v>
      </c>
      <c r="L623" s="140" t="str">
        <f>INDEX(Master_Data!$C$186:$L$864,D623,7)</f>
        <v>010.019-17.53122286</v>
      </c>
      <c r="M623" s="140">
        <f>INDEX(Master_Data!$C$186:$L$864,D623,8)</f>
        <v>0</v>
      </c>
      <c r="N623" s="264"/>
      <c r="O623" s="245" t="e">
        <f t="shared" ref="O623:O673" si="55">L623+M623</f>
        <v>#VALUE!</v>
      </c>
      <c r="Q623" s="169" t="str">
        <f t="shared" si="53"/>
        <v>HUTAN KETAPANG INDUSTRI, PTNOV</v>
      </c>
    </row>
    <row r="624" spans="2:17" s="61" customFormat="1" ht="14.1" customHeight="1">
      <c r="B624" s="242"/>
      <c r="C624" s="268">
        <f>MATCH($B$611,INDEX(Master_Data!$B$186:$B$864,D623+1,1):'Master_Data'!$B$864,0)</f>
        <v>1</v>
      </c>
      <c r="D624" s="268">
        <f t="shared" si="54"/>
        <v>218</v>
      </c>
      <c r="E624" s="54">
        <v>14</v>
      </c>
      <c r="F624" s="22" t="str">
        <f>INDEX(Master_Data!$C$186:$L$864,D624,2)</f>
        <v>HUTAN KETAPANG INDUSTRI, PT</v>
      </c>
      <c r="G624" s="24" t="str">
        <f>INDEX(Master_Data!$C$186:$L$864,D624,3)</f>
        <v>V</v>
      </c>
      <c r="H624" s="24">
        <f>INDEX(Master_Data!$C$186:$L$864,D624,1)</f>
        <v>1</v>
      </c>
      <c r="I624" s="24" t="str">
        <f>INDEX(Master_Data!$C$186:$L$864,D624,4)</f>
        <v>Site HKI 2</v>
      </c>
      <c r="J624" s="24" t="str">
        <f>INDEX(Master_Data!$C$186:$L$864,D624,5)</f>
        <v>OKTOBER</v>
      </c>
      <c r="K624" s="136" t="str">
        <f>INDEX(Master_Data!$C$186:$L$864,D624,6)</f>
        <v>17-045/BKU-004/XI/204</v>
      </c>
      <c r="L624" s="140" t="str">
        <f>INDEX(Master_Data!$C$186:$L$864,D624,7)</f>
        <v>010.019-17.53122287</v>
      </c>
      <c r="M624" s="140">
        <f>INDEX(Master_Data!$C$186:$L$864,D624,8)</f>
        <v>0</v>
      </c>
      <c r="N624" s="149"/>
      <c r="O624" s="245" t="e">
        <f t="shared" si="55"/>
        <v>#VALUE!</v>
      </c>
      <c r="Q624" s="169" t="str">
        <f t="shared" si="53"/>
        <v>HUTAN KETAPANG INDUSTRI, PTNOV</v>
      </c>
    </row>
    <row r="625" spans="2:17" s="61" customFormat="1" ht="14.1" customHeight="1">
      <c r="B625" s="242"/>
      <c r="C625" s="268">
        <f>MATCH($B$611,INDEX(Master_Data!$B$186:$B$864,D624+1,1):'Master_Data'!$B$864,0)</f>
        <v>1</v>
      </c>
      <c r="D625" s="268">
        <f t="shared" si="54"/>
        <v>219</v>
      </c>
      <c r="E625" s="24">
        <v>15</v>
      </c>
      <c r="F625" s="22" t="str">
        <f>INDEX(Master_Data!$C$186:$L$864,D625,2)</f>
        <v>HUTAN KETAPANG INDUSTRI, PT</v>
      </c>
      <c r="G625" s="24" t="str">
        <f>INDEX(Master_Data!$C$186:$L$864,D625,3)</f>
        <v>V</v>
      </c>
      <c r="H625" s="24">
        <f>INDEX(Master_Data!$C$186:$L$864,D625,1)</f>
        <v>1</v>
      </c>
      <c r="I625" s="24" t="str">
        <f>INDEX(Master_Data!$C$186:$L$864,D625,4)</f>
        <v>Site HKI 5</v>
      </c>
      <c r="J625" s="24" t="str">
        <f>INDEX(Master_Data!$C$186:$L$864,D625,5)</f>
        <v>OKTOBER</v>
      </c>
      <c r="K625" s="136" t="str">
        <f>INDEX(Master_Data!$C$186:$L$864,D625,6)</f>
        <v>17-046/BKU-004/XI/204</v>
      </c>
      <c r="L625" s="140" t="str">
        <f>INDEX(Master_Data!$C$186:$L$864,D625,7)</f>
        <v>010.019-17.53122288</v>
      </c>
      <c r="M625" s="140">
        <f>INDEX(Master_Data!$C$186:$L$864,D625,8)</f>
        <v>0</v>
      </c>
      <c r="N625" s="264"/>
      <c r="O625" s="245" t="e">
        <f t="shared" si="55"/>
        <v>#VALUE!</v>
      </c>
      <c r="Q625" s="169" t="str">
        <f t="shared" si="53"/>
        <v>HUTAN KETAPANG INDUSTRI, PTNOV</v>
      </c>
    </row>
    <row r="626" spans="2:17" s="61" customFormat="1" ht="14.1" customHeight="1">
      <c r="B626" s="242"/>
      <c r="C626" s="268">
        <f>MATCH($B$611,INDEX(Master_Data!$B$186:$B$864,D625+1,1):'Master_Data'!$B$864,0)</f>
        <v>1</v>
      </c>
      <c r="D626" s="268">
        <f t="shared" si="54"/>
        <v>220</v>
      </c>
      <c r="E626" s="54">
        <v>16</v>
      </c>
      <c r="F626" s="22" t="str">
        <f>INDEX(Master_Data!$C$186:$L$864,D626,2)</f>
        <v>HUTAN KETAPANG INDUSTRI, PT</v>
      </c>
      <c r="G626" s="24" t="str">
        <f>INDEX(Master_Data!$C$186:$L$864,D626,3)</f>
        <v>V</v>
      </c>
      <c r="H626" s="24">
        <f>INDEX(Master_Data!$C$186:$L$864,D626,1)</f>
        <v>1</v>
      </c>
      <c r="I626" s="24" t="str">
        <f>INDEX(Master_Data!$C$186:$L$864,D626,4)</f>
        <v>Site HKI 6</v>
      </c>
      <c r="J626" s="24" t="str">
        <f>INDEX(Master_Data!$C$186:$L$864,D626,5)</f>
        <v>OKTOBER</v>
      </c>
      <c r="K626" s="136" t="str">
        <f>INDEX(Master_Data!$C$186:$L$864,D626,6)</f>
        <v>17-047/BKU-004/XI/204</v>
      </c>
      <c r="L626" s="140" t="str">
        <f>INDEX(Master_Data!$C$186:$L$864,D626,7)</f>
        <v>010.019-17.53122289</v>
      </c>
      <c r="M626" s="140">
        <f>INDEX(Master_Data!$C$186:$L$864,D626,8)</f>
        <v>0</v>
      </c>
      <c r="N626" s="149"/>
      <c r="O626" s="245" t="e">
        <f t="shared" si="55"/>
        <v>#VALUE!</v>
      </c>
      <c r="Q626" s="169" t="str">
        <f t="shared" si="53"/>
        <v>HUTAN KETAPANG INDUSTRI, PTNOV</v>
      </c>
    </row>
    <row r="627" spans="2:17" s="61" customFormat="1" ht="14.1" customHeight="1">
      <c r="B627" s="242"/>
      <c r="C627" s="268">
        <f>MATCH($B$611,INDEX(Master_Data!$B$186:$B$864,D626+1,1):'Master_Data'!$B$864,0)</f>
        <v>23</v>
      </c>
      <c r="D627" s="268">
        <f t="shared" si="54"/>
        <v>243</v>
      </c>
      <c r="E627" s="24">
        <v>17</v>
      </c>
      <c r="F627" s="22" t="str">
        <f>INDEX(Master_Data!$C$186:$L$864,D627,2)</f>
        <v>KALIMANTAN PRIMA PERSADA, PT</v>
      </c>
      <c r="G627" s="24" t="str">
        <f>INDEX(Master_Data!$C$186:$L$864,D627,3)</f>
        <v>W</v>
      </c>
      <c r="H627" s="24">
        <f>INDEX(Master_Data!$C$186:$L$864,D627,1)</f>
        <v>7</v>
      </c>
      <c r="I627" s="24" t="str">
        <f>INDEX(Master_Data!$C$186:$L$864,D627,4)</f>
        <v>WAN 5 Mbps Site ASTO Muara Teweh - Kalteng</v>
      </c>
      <c r="J627" s="24" t="str">
        <f>INDEX(Master_Data!$C$186:$L$864,D627,5)</f>
        <v>SEPTEMBER</v>
      </c>
      <c r="K627" s="136" t="str">
        <f>INDEX(Master_Data!$C$186:$L$864,D627,6)</f>
        <v>17-017/BKU-004/XI/208</v>
      </c>
      <c r="L627" s="140" t="str">
        <f>INDEX(Master_Data!$C$186:$L$864,D627,7)</f>
        <v>010.019-17.53122303</v>
      </c>
      <c r="M627" s="140">
        <f>INDEX(Master_Data!$C$186:$L$864,D627,8)</f>
        <v>0</v>
      </c>
      <c r="N627" s="264"/>
      <c r="O627" s="245" t="e">
        <f t="shared" si="55"/>
        <v>#VALUE!</v>
      </c>
      <c r="Q627" s="169" t="str">
        <f t="shared" si="53"/>
        <v>KALIMANTAN PRIMA PERSADA, PTNOV</v>
      </c>
    </row>
    <row r="628" spans="2:17" s="61" customFormat="1" ht="14.1" customHeight="1">
      <c r="B628" s="242"/>
      <c r="C628" s="268">
        <f>MATCH($B$611,INDEX(Master_Data!$B$186:$B$864,D627+1,1):'Master_Data'!$B$864,0)</f>
        <v>1</v>
      </c>
      <c r="D628" s="268">
        <f t="shared" si="54"/>
        <v>244</v>
      </c>
      <c r="E628" s="54">
        <v>18</v>
      </c>
      <c r="F628" s="22" t="str">
        <f>INDEX(Master_Data!$C$186:$L$864,D628,2)</f>
        <v>KALIMANTAN PRIMA PERSADA, PT</v>
      </c>
      <c r="G628" s="24" t="str">
        <f>INDEX(Master_Data!$C$186:$L$864,D628,3)</f>
        <v>W</v>
      </c>
      <c r="H628" s="24">
        <f>INDEX(Master_Data!$C$186:$L$864,D628,1)</f>
        <v>7</v>
      </c>
      <c r="I628" s="24" t="str">
        <f>INDEX(Master_Data!$C$186:$L$864,D628,4)</f>
        <v>WAN 5 Mbps Site Mass, SPUT, Loa Jana</v>
      </c>
      <c r="J628" s="24" t="str">
        <f>INDEX(Master_Data!$C$186:$L$864,D628,5)</f>
        <v>OKTOBER</v>
      </c>
      <c r="K628" s="136" t="str">
        <f>INDEX(Master_Data!$C$186:$L$864,D628,6)</f>
        <v>17-018/BKU-004/XI/208</v>
      </c>
      <c r="L628" s="140" t="str">
        <f>INDEX(Master_Data!$C$186:$L$864,D628,7)</f>
        <v>010.019-17.53122304</v>
      </c>
      <c r="M628" s="140">
        <f>INDEX(Master_Data!$C$186:$L$864,D628,8)</f>
        <v>0</v>
      </c>
      <c r="N628" s="264"/>
      <c r="O628" s="245" t="e">
        <f t="shared" si="55"/>
        <v>#VALUE!</v>
      </c>
      <c r="Q628" s="169" t="str">
        <f t="shared" si="53"/>
        <v>KALIMANTAN PRIMA PERSADA, PTNOV</v>
      </c>
    </row>
    <row r="629" spans="2:17" s="61" customFormat="1" ht="14.1" customHeight="1">
      <c r="B629" s="242"/>
      <c r="C629" s="268">
        <f>MATCH($B$611,INDEX(Master_Data!$B$186:$B$864,D628+1,1):'Master_Data'!$B$864,0)</f>
        <v>15</v>
      </c>
      <c r="D629" s="268">
        <f t="shared" si="54"/>
        <v>259</v>
      </c>
      <c r="E629" s="24">
        <v>19</v>
      </c>
      <c r="F629" s="22" t="str">
        <f>INDEX(Master_Data!$C$186:$L$864,D629,2)</f>
        <v>KUSUMA MENTARI MAKMUR, PT</v>
      </c>
      <c r="G629" s="24" t="str">
        <f>INDEX(Master_Data!$C$186:$L$864,D629,3)</f>
        <v>V</v>
      </c>
      <c r="H629" s="24">
        <f>INDEX(Master_Data!$C$186:$L$864,D629,1)</f>
        <v>1</v>
      </c>
      <c r="I629" s="24" t="str">
        <f>INDEX(Master_Data!$C$186:$L$864,D629,4)</f>
        <v>Rental VSAT Site KMM</v>
      </c>
      <c r="J629" s="24" t="str">
        <f>INDEX(Master_Data!$C$186:$L$864,D629,5)</f>
        <v>OKTOBER</v>
      </c>
      <c r="K629" s="136" t="str">
        <f>INDEX(Master_Data!$C$186:$L$864,D629,6)</f>
        <v>17-011/BKU-004/XI/224</v>
      </c>
      <c r="L629" s="140" t="str">
        <f>INDEX(Master_Data!$C$186:$L$864,D629,7)</f>
        <v>010.019-17.53122290</v>
      </c>
      <c r="M629" s="140">
        <f>INDEX(Master_Data!$C$186:$L$864,D629,8)</f>
        <v>0</v>
      </c>
      <c r="N629" s="264"/>
      <c r="O629" s="245" t="e">
        <f t="shared" si="55"/>
        <v>#VALUE!</v>
      </c>
      <c r="Q629" s="169" t="str">
        <f t="shared" si="53"/>
        <v>KUSUMA MENTARI MAKMUR, PTNOV</v>
      </c>
    </row>
    <row r="630" spans="2:17" s="61" customFormat="1" ht="14.1" customHeight="1">
      <c r="B630" s="242"/>
      <c r="C630" s="268">
        <f>MATCH($B$611,INDEX(Master_Data!$B$186:$B$864,D629+1,1):'Master_Data'!$B$864,0)</f>
        <v>24</v>
      </c>
      <c r="D630" s="268">
        <f t="shared" si="54"/>
        <v>283</v>
      </c>
      <c r="E630" s="54">
        <v>20</v>
      </c>
      <c r="F630" s="22" t="str">
        <f>INDEX(Master_Data!$C$186:$L$864,D630,2)</f>
        <v>LANANG AGRO BERSATU, PT</v>
      </c>
      <c r="G630" s="24" t="str">
        <f>INDEX(Master_Data!$C$186:$L$864,D630,3)</f>
        <v>V</v>
      </c>
      <c r="H630" s="24">
        <f>INDEX(Master_Data!$C$186:$L$864,D630,1)</f>
        <v>1</v>
      </c>
      <c r="I630" s="24" t="str">
        <f>INDEX(Master_Data!$C$186:$L$864,D630,4)</f>
        <v>Monthly Charges VSAT LAB BSE</v>
      </c>
      <c r="J630" s="24" t="str">
        <f>INDEX(Master_Data!$C$186:$L$864,D630,5)</f>
        <v>OKTOBER</v>
      </c>
      <c r="K630" s="136" t="str">
        <f>INDEX(Master_Data!$C$186:$L$864,D630,6)</f>
        <v>17-021/BKU-004/XI/210</v>
      </c>
      <c r="L630" s="140" t="str">
        <f>INDEX(Master_Data!$C$186:$L$864,D630,7)</f>
        <v>010.019-17.53122284</v>
      </c>
      <c r="M630" s="140">
        <f>INDEX(Master_Data!$C$186:$L$864,D630,8)</f>
        <v>0</v>
      </c>
      <c r="N630" s="264"/>
      <c r="O630" s="245" t="e">
        <f t="shared" si="55"/>
        <v>#VALUE!</v>
      </c>
      <c r="Q630" s="169" t="str">
        <f t="shared" si="53"/>
        <v>LANANG AGRO BERSATU, PTNOV</v>
      </c>
    </row>
    <row r="631" spans="2:17" s="61" customFormat="1" ht="14.1" customHeight="1">
      <c r="B631" s="242"/>
      <c r="C631" s="268">
        <f>MATCH($B$611,INDEX(Master_Data!$B$186:$B$864,D630+1,1):'Master_Data'!$B$864,0)</f>
        <v>1</v>
      </c>
      <c r="D631" s="268">
        <f t="shared" si="54"/>
        <v>284</v>
      </c>
      <c r="E631" s="24">
        <v>21</v>
      </c>
      <c r="F631" s="22" t="str">
        <f>INDEX(Master_Data!$C$186:$L$864,D631,2)</f>
        <v>LANANG AGRO BERSATU, PT</v>
      </c>
      <c r="G631" s="24" t="str">
        <f>INDEX(Master_Data!$C$186:$L$864,D631,3)</f>
        <v>V</v>
      </c>
      <c r="H631" s="24">
        <f>INDEX(Master_Data!$C$186:$L$864,D631,1)</f>
        <v>1</v>
      </c>
      <c r="I631" s="24" t="str">
        <f>INDEX(Master_Data!$C$186:$L$864,D631,4)</f>
        <v>Monthly Charges VSAT LAB BME</v>
      </c>
      <c r="J631" s="24" t="str">
        <f>INDEX(Master_Data!$C$186:$L$864,D631,5)</f>
        <v>OKTOBER</v>
      </c>
      <c r="K631" s="136" t="str">
        <f>INDEX(Master_Data!$C$186:$L$864,D631,6)</f>
        <v>17-022/BKU-004/XI/210</v>
      </c>
      <c r="L631" s="140" t="str">
        <f>INDEX(Master_Data!$C$186:$L$864,D631,7)</f>
        <v>010.019-17.53122285</v>
      </c>
      <c r="M631" s="140">
        <f>INDEX(Master_Data!$C$186:$L$864,D631,8)</f>
        <v>0</v>
      </c>
      <c r="N631" s="264"/>
      <c r="O631" s="245" t="e">
        <f t="shared" si="55"/>
        <v>#VALUE!</v>
      </c>
      <c r="Q631" s="169" t="str">
        <f t="shared" si="53"/>
        <v>LANANG AGRO BERSATU, PTNOV</v>
      </c>
    </row>
    <row r="632" spans="2:17" s="61" customFormat="1" ht="14.1" customHeight="1">
      <c r="B632" s="242"/>
      <c r="C632" s="268">
        <f>MATCH($B$611,INDEX(Master_Data!$B$186:$B$864,D631+1,1):'Master_Data'!$B$864,0)</f>
        <v>97</v>
      </c>
      <c r="D632" s="268">
        <f t="shared" si="54"/>
        <v>381</v>
      </c>
      <c r="E632" s="54">
        <v>22</v>
      </c>
      <c r="F632" s="22" t="str">
        <f>INDEX(Master_Data!$C$186:$L$864,D632,2)</f>
        <v>MADHANI TALATAH NUSANTARA, PT</v>
      </c>
      <c r="G632" s="24" t="str">
        <f>INDEX(Master_Data!$C$186:$L$864,D632,3)</f>
        <v>W</v>
      </c>
      <c r="H632" s="24">
        <f>INDEX(Master_Data!$C$186:$L$864,D632,1)</f>
        <v>21</v>
      </c>
      <c r="I632" s="24" t="str">
        <f>INDEX(Master_Data!$C$186:$L$864,D632,4)</f>
        <v>Monthly WDL Site Asam Asam Project</v>
      </c>
      <c r="J632" s="24" t="str">
        <f>INDEX(Master_Data!$C$186:$L$864,D632,5)</f>
        <v>NOVEMBER</v>
      </c>
      <c r="K632" s="136" t="str">
        <f>INDEX(Master_Data!$C$186:$L$864,D632,6)</f>
        <v>17-093/BKU-004/XI/ 057</v>
      </c>
      <c r="L632" s="140" t="str">
        <f>INDEX(Master_Data!$C$186:$L$864,D632,7)</f>
        <v>010.020-17.90411024</v>
      </c>
      <c r="M632" s="140">
        <f>INDEX(Master_Data!$C$186:$L$864,D632,8)</f>
        <v>0</v>
      </c>
      <c r="N632" s="149"/>
      <c r="O632" s="245" t="e">
        <f t="shared" si="55"/>
        <v>#VALUE!</v>
      </c>
      <c r="Q632" s="169" t="str">
        <f t="shared" si="53"/>
        <v>MADHANI TALATAH NUSANTARA, PTNOV</v>
      </c>
    </row>
    <row r="633" spans="2:17" s="61" customFormat="1" ht="14.1" customHeight="1">
      <c r="B633" s="242"/>
      <c r="C633" s="268">
        <f>MATCH($B$611,INDEX(Master_Data!$B$186:$B$864,D632+1,1):'Master_Data'!$B$864,0)</f>
        <v>1</v>
      </c>
      <c r="D633" s="268">
        <f t="shared" si="54"/>
        <v>382</v>
      </c>
      <c r="E633" s="24">
        <v>23</v>
      </c>
      <c r="F633" s="22" t="str">
        <f>INDEX(Master_Data!$C$186:$L$864,D633,2)</f>
        <v>MADHANI TALATAH NUSANTARA, PT</v>
      </c>
      <c r="G633" s="24" t="str">
        <f>INDEX(Master_Data!$C$186:$L$864,D633,3)</f>
        <v>I</v>
      </c>
      <c r="H633" s="24">
        <f>INDEX(Master_Data!$C$186:$L$864,D633,1)</f>
        <v>21</v>
      </c>
      <c r="I633" s="24" t="str">
        <f>INDEX(Master_Data!$C$186:$L$864,D633,4)</f>
        <v>HO MTN Jakarta</v>
      </c>
      <c r="J633" s="24" t="str">
        <f>INDEX(Master_Data!$C$186:$L$864,D633,5)</f>
        <v>NOVEMBER</v>
      </c>
      <c r="K633" s="136" t="str">
        <f>INDEX(Master_Data!$C$186:$L$864,D633,6)</f>
        <v>17-094/BKU-004/XI/057</v>
      </c>
      <c r="L633" s="140" t="str">
        <f>INDEX(Master_Data!$C$186:$L$864,D633,7)</f>
        <v>010.020-17.90411025</v>
      </c>
      <c r="M633" s="140">
        <f>INDEX(Master_Data!$C$186:$L$864,D633,8)</f>
        <v>0</v>
      </c>
      <c r="N633" s="264"/>
      <c r="O633" s="245" t="e">
        <f t="shared" si="55"/>
        <v>#VALUE!</v>
      </c>
      <c r="Q633" s="169" t="str">
        <f t="shared" si="53"/>
        <v>MADHANI TALATAH NUSANTARA, PTNOV</v>
      </c>
    </row>
    <row r="634" spans="2:17" s="61" customFormat="1" ht="14.1" customHeight="1">
      <c r="B634" s="242"/>
      <c r="C634" s="268">
        <f>MATCH($B$611,INDEX(Master_Data!$B$186:$B$864,D633+1,1):'Master_Data'!$B$864,0)</f>
        <v>1</v>
      </c>
      <c r="D634" s="268">
        <f t="shared" si="54"/>
        <v>383</v>
      </c>
      <c r="E634" s="54">
        <v>24</v>
      </c>
      <c r="F634" s="22" t="str">
        <f>INDEX(Master_Data!$C$186:$L$864,D634,2)</f>
        <v>MADHANI TALATAH NUSANTARA, PT</v>
      </c>
      <c r="G634" s="24" t="str">
        <f>INDEX(Master_Data!$C$186:$L$864,D634,3)</f>
        <v>W</v>
      </c>
      <c r="H634" s="24">
        <f>INDEX(Master_Data!$C$186:$L$864,D634,1)</f>
        <v>21</v>
      </c>
      <c r="I634" s="24" t="str">
        <f>INDEX(Master_Data!$C$186:$L$864,D634,4)</f>
        <v>Monthly WDL Site Madhani KEL</v>
      </c>
      <c r="J634" s="24" t="str">
        <f>INDEX(Master_Data!$C$186:$L$864,D634,5)</f>
        <v>NOVEMBER</v>
      </c>
      <c r="K634" s="136" t="str">
        <f>INDEX(Master_Data!$C$186:$L$864,D634,6)</f>
        <v>17-095/BKU-004/XI/057</v>
      </c>
      <c r="L634" s="140" t="str">
        <f>INDEX(Master_Data!$C$186:$L$864,D634,7)</f>
        <v>010.020-17.90411026</v>
      </c>
      <c r="M634" s="140">
        <f>INDEX(Master_Data!$C$186:$L$864,D634,8)</f>
        <v>0</v>
      </c>
      <c r="N634" s="264"/>
      <c r="O634" s="245" t="e">
        <f t="shared" si="55"/>
        <v>#VALUE!</v>
      </c>
      <c r="Q634" s="169" t="str">
        <f t="shared" si="53"/>
        <v>MADHANI TALATAH NUSANTARA, PTNOV</v>
      </c>
    </row>
    <row r="635" spans="2:17" s="61" customFormat="1" ht="14.1" customHeight="1">
      <c r="B635" s="242"/>
      <c r="C635" s="268">
        <f>MATCH($B$611,INDEX(Master_Data!$B$186:$B$864,D634+1,1):'Master_Data'!$B$864,0)</f>
        <v>1</v>
      </c>
      <c r="D635" s="268">
        <f t="shared" si="54"/>
        <v>384</v>
      </c>
      <c r="E635" s="24">
        <v>25</v>
      </c>
      <c r="F635" s="22" t="str">
        <f>INDEX(Master_Data!$C$186:$L$864,D635,2)</f>
        <v>MADHANI TALATAH NUSANTARA, PT</v>
      </c>
      <c r="G635" s="24" t="str">
        <f>INDEX(Master_Data!$C$186:$L$864,D635,3)</f>
        <v>V</v>
      </c>
      <c r="H635" s="24">
        <f>INDEX(Master_Data!$C$186:$L$864,D635,1)</f>
        <v>21</v>
      </c>
      <c r="I635" s="24" t="str">
        <f>INDEX(Master_Data!$C$186:$L$864,D635,4)</f>
        <v>Sewa VSAT Bandwith 256/512 Kbps Site MUTU Ampah - Kalteng</v>
      </c>
      <c r="J635" s="24" t="str">
        <f>INDEX(Master_Data!$C$186:$L$864,D635,5)</f>
        <v>NOVEMBER</v>
      </c>
      <c r="K635" s="136" t="str">
        <f>INDEX(Master_Data!$C$186:$L$864,D635,6)</f>
        <v>17-096/BKU-004/XI/057</v>
      </c>
      <c r="L635" s="140" t="str">
        <f>INDEX(Master_Data!$C$186:$L$864,D635,7)</f>
        <v>010.020-17.90411027</v>
      </c>
      <c r="M635" s="140">
        <f>INDEX(Master_Data!$C$186:$L$864,D635,8)</f>
        <v>0</v>
      </c>
      <c r="N635" s="264"/>
      <c r="O635" s="245" t="e">
        <f t="shared" si="55"/>
        <v>#VALUE!</v>
      </c>
      <c r="Q635" s="169" t="str">
        <f t="shared" si="53"/>
        <v>MADHANI TALATAH NUSANTARA, PTNOV</v>
      </c>
    </row>
    <row r="636" spans="2:17" s="61" customFormat="1" ht="14.1" customHeight="1">
      <c r="B636" s="242"/>
      <c r="C636" s="268">
        <f>MATCH($B$611,INDEX(Master_Data!$B$186:$B$864,D635+1,1):'Master_Data'!$B$864,0)</f>
        <v>1</v>
      </c>
      <c r="D636" s="268">
        <f t="shared" si="54"/>
        <v>385</v>
      </c>
      <c r="E636" s="54">
        <v>26</v>
      </c>
      <c r="F636" s="22" t="str">
        <f>INDEX(Master_Data!$C$186:$L$864,D636,2)</f>
        <v>MADHANI TALATAH NUSANTARA, PT</v>
      </c>
      <c r="G636" s="24" t="str">
        <f>INDEX(Master_Data!$C$186:$L$864,D636,3)</f>
        <v>V</v>
      </c>
      <c r="H636" s="24">
        <f>INDEX(Master_Data!$C$186:$L$864,D636,1)</f>
        <v>21</v>
      </c>
      <c r="I636" s="24" t="str">
        <f>INDEX(Master_Data!$C$186:$L$864,D636,4)</f>
        <v>Sewa VSAT Site Bengalon</v>
      </c>
      <c r="J636" s="24" t="str">
        <f>INDEX(Master_Data!$C$186:$L$864,D636,5)</f>
        <v>NOVEMBER</v>
      </c>
      <c r="K636" s="136" t="str">
        <f>INDEX(Master_Data!$C$186:$L$864,D636,6)</f>
        <v>17-097/BKU-004/XI/057</v>
      </c>
      <c r="L636" s="140" t="str">
        <f>INDEX(Master_Data!$C$186:$L$864,D636,7)</f>
        <v>010.020-17.90411028</v>
      </c>
      <c r="M636" s="140">
        <f>INDEX(Master_Data!$C$186:$L$864,D636,8)</f>
        <v>0</v>
      </c>
      <c r="N636" s="264"/>
      <c r="O636" s="245" t="e">
        <f t="shared" si="55"/>
        <v>#VALUE!</v>
      </c>
      <c r="Q636" s="169" t="str">
        <f t="shared" si="53"/>
        <v>MADHANI TALATAH NUSANTARA, PTNOV</v>
      </c>
    </row>
    <row r="637" spans="2:17" s="61" customFormat="1" ht="14.1" customHeight="1">
      <c r="B637" s="242"/>
      <c r="C637" s="268">
        <f>MATCH($B$611,INDEX(Master_Data!$B$186:$B$864,D636+1,1):'Master_Data'!$B$864,0)</f>
        <v>1</v>
      </c>
      <c r="D637" s="268">
        <f t="shared" si="54"/>
        <v>386</v>
      </c>
      <c r="E637" s="24">
        <v>27</v>
      </c>
      <c r="F637" s="22" t="str">
        <f>INDEX(Master_Data!$C$186:$L$864,D637,2)</f>
        <v>MADHANI TALATAH NUSANTARA, PT</v>
      </c>
      <c r="G637" s="24" t="str">
        <f>INDEX(Master_Data!$C$186:$L$864,D637,3)</f>
        <v>W</v>
      </c>
      <c r="H637" s="24">
        <f>INDEX(Master_Data!$C$186:$L$864,D637,1)</f>
        <v>21</v>
      </c>
      <c r="I637" s="24" t="str">
        <f>INDEX(Master_Data!$C$186:$L$864,D637,4)</f>
        <v>Monthly WDL Site Madhani KPUC</v>
      </c>
      <c r="J637" s="24" t="str">
        <f>INDEX(Master_Data!$C$186:$L$864,D637,5)</f>
        <v>NOVEMBER</v>
      </c>
      <c r="K637" s="136" t="str">
        <f>INDEX(Master_Data!$C$186:$L$864,D637,6)</f>
        <v>17-098/BKU-004/XI/057</v>
      </c>
      <c r="L637" s="140" t="str">
        <f>INDEX(Master_Data!$C$186:$L$864,D637,7)</f>
        <v>010.020-17.90411029</v>
      </c>
      <c r="M637" s="140">
        <f>INDEX(Master_Data!$C$186:$L$864,D637,8)</f>
        <v>0</v>
      </c>
      <c r="N637" s="264"/>
      <c r="O637" s="245" t="e">
        <f t="shared" si="55"/>
        <v>#VALUE!</v>
      </c>
      <c r="Q637" s="169" t="str">
        <f t="shared" si="53"/>
        <v>MADHANI TALATAH NUSANTARA, PTNOV</v>
      </c>
    </row>
    <row r="638" spans="2:17" s="61" customFormat="1" ht="14.1" customHeight="1">
      <c r="B638" s="242"/>
      <c r="C638" s="268">
        <f>MATCH($B$611,INDEX(Master_Data!$B$186:$B$864,D637+1,1):'Master_Data'!$B$864,0)</f>
        <v>1</v>
      </c>
      <c r="D638" s="268">
        <f t="shared" si="54"/>
        <v>387</v>
      </c>
      <c r="E638" s="54">
        <v>28</v>
      </c>
      <c r="F638" s="22" t="str">
        <f>INDEX(Master_Data!$C$186:$L$864,D638,2)</f>
        <v>MADHANI TALATAH NUSANTARA, PT</v>
      </c>
      <c r="G638" s="24" t="str">
        <f>INDEX(Master_Data!$C$186:$L$864,D638,3)</f>
        <v>V</v>
      </c>
      <c r="H638" s="24">
        <f>INDEX(Master_Data!$C$186:$L$864,D638,1)</f>
        <v>21</v>
      </c>
      <c r="I638" s="24" t="str">
        <f>INDEX(Master_Data!$C$186:$L$864,D638,4)</f>
        <v>Sewa VSAT Site P. Wetar</v>
      </c>
      <c r="J638" s="24" t="str">
        <f>INDEX(Master_Data!$C$186:$L$864,D638,5)</f>
        <v>NOVEMBER</v>
      </c>
      <c r="K638" s="136" t="str">
        <f>INDEX(Master_Data!$C$186:$L$864,D638,6)</f>
        <v>17-099/BKU-004/XI/057</v>
      </c>
      <c r="L638" s="140" t="str">
        <f>INDEX(Master_Data!$C$186:$L$864,D638,7)</f>
        <v>010.020-17.90411030</v>
      </c>
      <c r="M638" s="140">
        <f>INDEX(Master_Data!$C$186:$L$864,D638,8)</f>
        <v>0</v>
      </c>
      <c r="N638" s="264"/>
      <c r="O638" s="245" t="e">
        <f t="shared" si="55"/>
        <v>#VALUE!</v>
      </c>
      <c r="Q638" s="169" t="str">
        <f t="shared" si="53"/>
        <v>MADHANI TALATAH NUSANTARA, PTNOV</v>
      </c>
    </row>
    <row r="639" spans="2:17" s="61" customFormat="1" ht="14.1" customHeight="1">
      <c r="B639" s="242"/>
      <c r="C639" s="268">
        <f>MATCH($B$611,INDEX(Master_Data!$B$186:$B$864,D638+1,1):'Master_Data'!$B$864,0)</f>
        <v>1</v>
      </c>
      <c r="D639" s="268">
        <f t="shared" si="54"/>
        <v>388</v>
      </c>
      <c r="E639" s="24">
        <v>29</v>
      </c>
      <c r="F639" s="22" t="str">
        <f>INDEX(Master_Data!$C$186:$L$864,D639,2)</f>
        <v>MADHANI TALATAH NUSANTARA, PT</v>
      </c>
      <c r="G639" s="24" t="str">
        <f>INDEX(Master_Data!$C$186:$L$864,D639,3)</f>
        <v>W</v>
      </c>
      <c r="H639" s="24">
        <f>INDEX(Master_Data!$C$186:$L$864,D639,1)</f>
        <v>21</v>
      </c>
      <c r="I639" s="24" t="str">
        <f>INDEX(Master_Data!$C$186:$L$864,D639,4)</f>
        <v>Monthly WDL Site Tembang</v>
      </c>
      <c r="J639" s="24" t="str">
        <f>INDEX(Master_Data!$C$186:$L$864,D639,5)</f>
        <v>NOVEMBER</v>
      </c>
      <c r="K639" s="136" t="str">
        <f>INDEX(Master_Data!$C$186:$L$864,D639,6)</f>
        <v>17-100/BKU-004/XI/057</v>
      </c>
      <c r="L639" s="140" t="str">
        <f>INDEX(Master_Data!$C$186:$L$864,D639,7)</f>
        <v>010.020-17.90411031</v>
      </c>
      <c r="M639" s="140">
        <f>INDEX(Master_Data!$C$186:$L$864,D639,8)</f>
        <v>0</v>
      </c>
      <c r="N639" s="264"/>
      <c r="O639" s="245" t="e">
        <f t="shared" si="55"/>
        <v>#VALUE!</v>
      </c>
      <c r="Q639" s="169" t="str">
        <f t="shared" si="53"/>
        <v>MADHANI TALATAH NUSANTARA, PTNOV</v>
      </c>
    </row>
    <row r="640" spans="2:17" s="61" customFormat="1" ht="14.1" customHeight="1">
      <c r="B640" s="242"/>
      <c r="C640" s="268">
        <f>MATCH($B$611,INDEX(Master_Data!$B$186:$B$864,D639+1,1):'Master_Data'!$B$864,0)</f>
        <v>1</v>
      </c>
      <c r="D640" s="268">
        <f t="shared" si="54"/>
        <v>389</v>
      </c>
      <c r="E640" s="54">
        <v>30</v>
      </c>
      <c r="F640" s="22" t="str">
        <f>INDEX(Master_Data!$C$186:$L$864,D640,2)</f>
        <v>MADHANI TALATAH NUSANTARA, PT</v>
      </c>
      <c r="G640" s="24" t="str">
        <f>INDEX(Master_Data!$C$186:$L$864,D640,3)</f>
        <v>W</v>
      </c>
      <c r="H640" s="24">
        <f>INDEX(Master_Data!$C$186:$L$864,D640,1)</f>
        <v>21</v>
      </c>
      <c r="I640" s="24" t="str">
        <f>INDEX(Master_Data!$C$186:$L$864,D640,4)</f>
        <v>Monthly WDL Site IPC</v>
      </c>
      <c r="J640" s="24" t="str">
        <f>INDEX(Master_Data!$C$186:$L$864,D640,5)</f>
        <v>NOVEMBER</v>
      </c>
      <c r="K640" s="136" t="str">
        <f>INDEX(Master_Data!$C$186:$L$864,D640,6)</f>
        <v>17-101/BKU-004/XI/057</v>
      </c>
      <c r="L640" s="140" t="str">
        <f>INDEX(Master_Data!$C$186:$L$864,D640,7)</f>
        <v>010.020-17.90411032</v>
      </c>
      <c r="M640" s="140">
        <f>INDEX(Master_Data!$C$186:$L$864,D640,8)</f>
        <v>0</v>
      </c>
      <c r="N640" s="264"/>
      <c r="O640" s="245" t="e">
        <f t="shared" si="55"/>
        <v>#VALUE!</v>
      </c>
      <c r="Q640" s="169" t="str">
        <f t="shared" si="53"/>
        <v>MADHANI TALATAH NUSANTARA, PTNOV</v>
      </c>
    </row>
    <row r="641" spans="2:17" s="61" customFormat="1" ht="14.1" customHeight="1">
      <c r="B641" s="242"/>
      <c r="C641" s="268">
        <f>MATCH($B$611,INDEX(Master_Data!$B$186:$B$864,D640+1,1):'Master_Data'!$B$864,0)</f>
        <v>1</v>
      </c>
      <c r="D641" s="268">
        <f t="shared" si="54"/>
        <v>390</v>
      </c>
      <c r="E641" s="24">
        <v>31</v>
      </c>
      <c r="F641" s="22" t="str">
        <f>INDEX(Master_Data!$C$186:$L$864,D641,2)</f>
        <v>MADHANI TALATAH NUSANTARA, PT</v>
      </c>
      <c r="G641" s="24" t="str">
        <f>INDEX(Master_Data!$C$186:$L$864,D641,3)</f>
        <v>V</v>
      </c>
      <c r="H641" s="24">
        <f>INDEX(Master_Data!$C$186:$L$864,D641,1)</f>
        <v>21</v>
      </c>
      <c r="I641" s="24" t="str">
        <f>INDEX(Master_Data!$C$186:$L$864,D641,4)</f>
        <v>Sewa VSAT Site BSI Pulau Merah - Kab. Banyuwangi</v>
      </c>
      <c r="J641" s="24" t="str">
        <f>INDEX(Master_Data!$C$186:$L$864,D641,5)</f>
        <v>NOVEMBER</v>
      </c>
      <c r="K641" s="136" t="str">
        <f>INDEX(Master_Data!$C$186:$L$864,D641,6)</f>
        <v>17-102/BKU-004/XI/057</v>
      </c>
      <c r="L641" s="140" t="str">
        <f>INDEX(Master_Data!$C$186:$L$864,D641,7)</f>
        <v>010.020-17.90411033</v>
      </c>
      <c r="M641" s="140">
        <f>INDEX(Master_Data!$C$186:$L$864,D641,8)</f>
        <v>0</v>
      </c>
      <c r="N641" s="264"/>
      <c r="O641" s="245" t="e">
        <f t="shared" si="55"/>
        <v>#VALUE!</v>
      </c>
      <c r="Q641" s="169" t="str">
        <f t="shared" si="53"/>
        <v>MADHANI TALATAH NUSANTARA, PTNOV</v>
      </c>
    </row>
    <row r="642" spans="2:17" s="61" customFormat="1" ht="14.1" customHeight="1">
      <c r="B642" s="242"/>
      <c r="C642" s="268">
        <f>MATCH($B$611,INDEX(Master_Data!$B$186:$B$864,D641+1,1):'Master_Data'!$B$864,0)</f>
        <v>1</v>
      </c>
      <c r="D642" s="268">
        <f t="shared" si="54"/>
        <v>391</v>
      </c>
      <c r="E642" s="54">
        <v>32</v>
      </c>
      <c r="F642" s="22" t="str">
        <f>INDEX(Master_Data!$C$186:$L$864,D642,2)</f>
        <v>MADHANI TALATAH NUSANTARA, PT</v>
      </c>
      <c r="G642" s="24" t="str">
        <f>INDEX(Master_Data!$C$186:$L$864,D642,3)</f>
        <v>V</v>
      </c>
      <c r="H642" s="24">
        <f>INDEX(Master_Data!$C$186:$L$864,D642,1)</f>
        <v>21</v>
      </c>
      <c r="I642" s="24" t="str">
        <f>INDEX(Master_Data!$C$186:$L$864,D642,4)</f>
        <v>Sewa VSAT Site West Pit Project</v>
      </c>
      <c r="J642" s="24" t="str">
        <f>INDEX(Master_Data!$C$186:$L$864,D642,5)</f>
        <v>NOVEMBER</v>
      </c>
      <c r="K642" s="136" t="str">
        <f>INDEX(Master_Data!$C$186:$L$864,D642,6)</f>
        <v>17-103/BKU-004/XI/057</v>
      </c>
      <c r="L642" s="140" t="str">
        <f>INDEX(Master_Data!$C$186:$L$864,D642,7)</f>
        <v>010.020-17.90411034</v>
      </c>
      <c r="M642" s="140">
        <f>INDEX(Master_Data!$C$186:$L$864,D642,8)</f>
        <v>0</v>
      </c>
      <c r="N642" s="264"/>
      <c r="O642" s="245" t="e">
        <f t="shared" si="55"/>
        <v>#VALUE!</v>
      </c>
      <c r="Q642" s="169" t="str">
        <f t="shared" si="53"/>
        <v>MADHANI TALATAH NUSANTARA, PTNOV</v>
      </c>
    </row>
    <row r="643" spans="2:17" s="61" customFormat="1" ht="14.1" customHeight="1">
      <c r="B643" s="242"/>
      <c r="C643" s="268">
        <f>MATCH($B$611,INDEX(Master_Data!$B$186:$B$864,D642+1,1):'Master_Data'!$B$864,0)</f>
        <v>1</v>
      </c>
      <c r="D643" s="268">
        <f t="shared" si="54"/>
        <v>392</v>
      </c>
      <c r="E643" s="24">
        <v>33</v>
      </c>
      <c r="F643" s="22" t="str">
        <f>INDEX(Master_Data!$C$186:$L$864,D643,2)</f>
        <v>MADHANI TALATAH NUSANTARA, PT</v>
      </c>
      <c r="G643" s="24" t="str">
        <f>INDEX(Master_Data!$C$186:$L$864,D643,3)</f>
        <v>V</v>
      </c>
      <c r="H643" s="24">
        <f>INDEX(Master_Data!$C$186:$L$864,D643,1)</f>
        <v>21</v>
      </c>
      <c r="I643" s="24" t="str">
        <f>INDEX(Master_Data!$C$186:$L$864,D643,4)</f>
        <v>Sewa VSAT Site Madhani SBS</v>
      </c>
      <c r="J643" s="24" t="str">
        <f>INDEX(Master_Data!$C$186:$L$864,D643,5)</f>
        <v>NOVEMBER</v>
      </c>
      <c r="K643" s="136" t="str">
        <f>INDEX(Master_Data!$C$186:$L$864,D643,6)</f>
        <v>17-104/BKU-004/XI/057</v>
      </c>
      <c r="L643" s="140" t="str">
        <f>INDEX(Master_Data!$C$186:$L$864,D643,7)</f>
        <v>010.020-17.90411035</v>
      </c>
      <c r="M643" s="140">
        <f>INDEX(Master_Data!$C$186:$L$864,D643,8)</f>
        <v>0</v>
      </c>
      <c r="N643" s="264"/>
      <c r="O643" s="245" t="e">
        <f t="shared" si="55"/>
        <v>#VALUE!</v>
      </c>
      <c r="Q643" s="169" t="str">
        <f t="shared" si="53"/>
        <v>MADHANI TALATAH NUSANTARA, PTNOV</v>
      </c>
    </row>
    <row r="644" spans="2:17" s="61" customFormat="1" ht="14.1" customHeight="1">
      <c r="B644" s="242"/>
      <c r="C644" s="268">
        <f>MATCH($B$611,INDEX(Master_Data!$B$186:$B$864,D643+1,1):'Master_Data'!$B$864,0)</f>
        <v>24</v>
      </c>
      <c r="D644" s="268">
        <f t="shared" si="54"/>
        <v>416</v>
      </c>
      <c r="E644" s="54">
        <v>34</v>
      </c>
      <c r="F644" s="22" t="str">
        <f>INDEX(Master_Data!$C$186:$L$864,D644,2)</f>
        <v>MANDALA KARYA PRIMA, PT</v>
      </c>
      <c r="G644" s="24" t="str">
        <f>INDEX(Master_Data!$C$186:$L$864,D644,3)</f>
        <v>W, I</v>
      </c>
      <c r="H644" s="24">
        <f>INDEX(Master_Data!$C$186:$L$864,D644,1)</f>
        <v>7</v>
      </c>
      <c r="I644" s="24" t="str">
        <f>INDEX(Master_Data!$C$186:$L$864,D644,4)</f>
        <v>WDL &amp; Internet Access 2048 Kbps Site Krassi Sesayap</v>
      </c>
      <c r="J644" s="24" t="str">
        <f>INDEX(Master_Data!$C$186:$L$864,D644,5)</f>
        <v>OKTOBER</v>
      </c>
      <c r="K644" s="136" t="str">
        <f>INDEX(Master_Data!$C$186:$L$864,D644,6)</f>
        <v>17-011/BKU-004/XI/214</v>
      </c>
      <c r="L644" s="140" t="str">
        <f>INDEX(Master_Data!$C$186:$L$864,D644,7)</f>
        <v>010.019-17.53122307</v>
      </c>
      <c r="M644" s="140">
        <f>INDEX(Master_Data!$C$186:$L$864,D644,8)</f>
        <v>0</v>
      </c>
      <c r="N644" s="264"/>
      <c r="O644" s="245" t="e">
        <f t="shared" si="55"/>
        <v>#VALUE!</v>
      </c>
      <c r="Q644" s="169" t="str">
        <f t="shared" si="53"/>
        <v>MANDALA KARYA PRIMA, PTNOV</v>
      </c>
    </row>
    <row r="645" spans="2:17" s="61" customFormat="1" ht="14.1" customHeight="1">
      <c r="B645" s="242"/>
      <c r="C645" s="268">
        <f>MATCH($B$611,INDEX(Master_Data!$B$186:$B$864,D644+1,1):'Master_Data'!$B$864,0)</f>
        <v>32</v>
      </c>
      <c r="D645" s="268">
        <f t="shared" si="54"/>
        <v>448</v>
      </c>
      <c r="E645" s="24">
        <v>35</v>
      </c>
      <c r="F645" s="22" t="str">
        <f>INDEX(Master_Data!$C$186:$L$864,D645,2)</f>
        <v>MANDIRI HERINDO ADIPERKASA, PT</v>
      </c>
      <c r="G645" s="24" t="str">
        <f>INDEX(Master_Data!$C$186:$L$864,D645,3)</f>
        <v>W</v>
      </c>
      <c r="H645" s="24">
        <f>INDEX(Master_Data!$C$186:$L$864,D645,1)</f>
        <v>7</v>
      </c>
      <c r="I645" s="24" t="str">
        <f>INDEX(Master_Data!$C$186:$L$864,D645,4)</f>
        <v>WDL Site SIMS Batu Kajang - Kaltim</v>
      </c>
      <c r="J645" s="24" t="str">
        <f>INDEX(Master_Data!$C$186:$L$864,D645,5)</f>
        <v>OKTOBER</v>
      </c>
      <c r="K645" s="136" t="str">
        <f>INDEX(Master_Data!$C$186:$L$864,D645,6)</f>
        <v>17-031/BKU-004/XI/211</v>
      </c>
      <c r="L645" s="140" t="str">
        <f>INDEX(Master_Data!$C$186:$L$864,D645,7)</f>
        <v>010.019-17.53122308</v>
      </c>
      <c r="M645" s="140">
        <f>INDEX(Master_Data!$C$186:$L$864,D645,8)</f>
        <v>0</v>
      </c>
      <c r="N645" s="264"/>
      <c r="O645" s="245" t="e">
        <f t="shared" si="55"/>
        <v>#VALUE!</v>
      </c>
      <c r="Q645" s="169" t="str">
        <f t="shared" si="53"/>
        <v>MANDIRI HERINDO ADIPERKASA, PTNOV</v>
      </c>
    </row>
    <row r="646" spans="2:17" s="61" customFormat="1" ht="14.1" customHeight="1">
      <c r="B646" s="242"/>
      <c r="C646" s="268">
        <f>MATCH($B$611,INDEX(Master_Data!$B$186:$B$864,D645+1,1):'Master_Data'!$B$864,0)</f>
        <v>1</v>
      </c>
      <c r="D646" s="268">
        <f t="shared" si="54"/>
        <v>449</v>
      </c>
      <c r="E646" s="54">
        <v>36</v>
      </c>
      <c r="F646" s="22" t="str">
        <f>INDEX(Master_Data!$C$186:$L$864,D646,2)</f>
        <v>MANDIRI HERINDO ADIPERKASA, PT</v>
      </c>
      <c r="G646" s="24" t="str">
        <f>INDEX(Master_Data!$C$186:$L$864,D646,3)</f>
        <v>I</v>
      </c>
      <c r="H646" s="24">
        <f>INDEX(Master_Data!$C$186:$L$864,D646,1)</f>
        <v>7</v>
      </c>
      <c r="I646" s="24" t="str">
        <f>INDEX(Master_Data!$C$186:$L$864,D646,4)</f>
        <v>VPN IP Site Office Belleza</v>
      </c>
      <c r="J646" s="24" t="str">
        <f>INDEX(Master_Data!$C$186:$L$864,D646,5)</f>
        <v>OKTOBER</v>
      </c>
      <c r="K646" s="136" t="str">
        <f>INDEX(Master_Data!$C$186:$L$864,D646,6)</f>
        <v>17-032/BKU-004/XI/211</v>
      </c>
      <c r="L646" s="140" t="str">
        <f>INDEX(Master_Data!$C$186:$L$864,D646,7)</f>
        <v>010.019-17.53122309</v>
      </c>
      <c r="M646" s="140">
        <f>INDEX(Master_Data!$C$186:$L$864,D646,8)</f>
        <v>0</v>
      </c>
      <c r="N646" s="264"/>
      <c r="O646" s="245" t="e">
        <f t="shared" si="55"/>
        <v>#VALUE!</v>
      </c>
      <c r="Q646" s="169" t="str">
        <f t="shared" si="53"/>
        <v>MANDIRI HERINDO ADIPERKASA, PTNOV</v>
      </c>
    </row>
    <row r="647" spans="2:17" s="61" customFormat="1" ht="14.1" customHeight="1">
      <c r="B647" s="242"/>
      <c r="C647" s="268">
        <f>MATCH($B$611,INDEX(Master_Data!$B$186:$B$864,D646+1,1):'Master_Data'!$B$864,0)</f>
        <v>1</v>
      </c>
      <c r="D647" s="268">
        <f t="shared" si="54"/>
        <v>450</v>
      </c>
      <c r="E647" s="24">
        <v>37</v>
      </c>
      <c r="F647" s="22" t="str">
        <f>INDEX(Master_Data!$C$186:$L$864,D647,2)</f>
        <v>MANDIRI HERINDO ADIPERKASA, PT</v>
      </c>
      <c r="G647" s="24" t="str">
        <f>INDEX(Master_Data!$C$186:$L$864,D647,3)</f>
        <v>M</v>
      </c>
      <c r="H647" s="24">
        <f>INDEX(Master_Data!$C$186:$L$864,D647,1)</f>
        <v>7</v>
      </c>
      <c r="I647" s="24" t="str">
        <f>INDEX(Master_Data!$C$186:$L$864,D647,4)</f>
        <v>MPLS 512 Kbps Site Krassi Sesayap</v>
      </c>
      <c r="J647" s="24" t="str">
        <f>INDEX(Master_Data!$C$186:$L$864,D647,5)</f>
        <v>OKTOBER</v>
      </c>
      <c r="K647" s="136" t="str">
        <f>INDEX(Master_Data!$C$186:$L$864,D647,6)</f>
        <v>17-033/BKU-004/XI/211</v>
      </c>
      <c r="L647" s="140" t="str">
        <f>INDEX(Master_Data!$C$186:$L$864,D647,7)</f>
        <v>010.019-17.53122310</v>
      </c>
      <c r="M647" s="140">
        <f>INDEX(Master_Data!$C$186:$L$864,D647,8)</f>
        <v>0</v>
      </c>
      <c r="N647" s="264"/>
      <c r="O647" s="245" t="e">
        <f t="shared" si="55"/>
        <v>#VALUE!</v>
      </c>
      <c r="Q647" s="169" t="str">
        <f t="shared" si="53"/>
        <v>MANDIRI HERINDO ADIPERKASA, PTNOV</v>
      </c>
    </row>
    <row r="648" spans="2:17" s="61" customFormat="1" ht="14.1" customHeight="1">
      <c r="B648" s="242"/>
      <c r="C648" s="268">
        <f>MATCH($B$611,INDEX(Master_Data!$B$186:$B$864,D647+1,1):'Master_Data'!$B$864,0)</f>
        <v>1</v>
      </c>
      <c r="D648" s="268">
        <f t="shared" si="54"/>
        <v>451</v>
      </c>
      <c r="E648" s="54">
        <v>38</v>
      </c>
      <c r="F648" s="22" t="str">
        <f>INDEX(Master_Data!$C$186:$L$864,D648,2)</f>
        <v>MANDIRI HERINDO ADIPERKASA, PT</v>
      </c>
      <c r="G648" s="24" t="str">
        <f>INDEX(Master_Data!$C$186:$L$864,D648,3)</f>
        <v>V</v>
      </c>
      <c r="H648" s="24">
        <f>INDEX(Master_Data!$C$186:$L$864,D648,1)</f>
        <v>7</v>
      </c>
      <c r="I648" s="24" t="str">
        <f>INDEX(Master_Data!$C$186:$L$864,D648,4)</f>
        <v>Sewa VSAT Bandwith 256/256 Kbps Site Tabang</v>
      </c>
      <c r="J648" s="24" t="str">
        <f>INDEX(Master_Data!$C$186:$L$864,D648,5)</f>
        <v>OKTOBER</v>
      </c>
      <c r="K648" s="136" t="str">
        <f>INDEX(Master_Data!$C$186:$L$864,D648,6)</f>
        <v>17-034/BKU-004/XI/211</v>
      </c>
      <c r="L648" s="140" t="str">
        <f>INDEX(Master_Data!$C$186:$L$864,D648,7)</f>
        <v>010.019-17.53122311</v>
      </c>
      <c r="M648" s="140">
        <f>INDEX(Master_Data!$C$186:$L$864,D648,8)</f>
        <v>0</v>
      </c>
      <c r="N648" s="264"/>
      <c r="O648" s="245" t="e">
        <f t="shared" si="55"/>
        <v>#VALUE!</v>
      </c>
      <c r="Q648" s="169" t="str">
        <f t="shared" si="53"/>
        <v>MANDIRI HERINDO ADIPERKASA, PTNOV</v>
      </c>
    </row>
    <row r="649" spans="2:17" s="61" customFormat="1" ht="14.1" customHeight="1">
      <c r="B649" s="242"/>
      <c r="C649" s="268">
        <f>MATCH($B$611,INDEX(Master_Data!$B$186:$B$864,D648+1,1):'Master_Data'!$B$864,0)</f>
        <v>25</v>
      </c>
      <c r="D649" s="268">
        <f t="shared" si="54"/>
        <v>476</v>
      </c>
      <c r="E649" s="24">
        <v>39</v>
      </c>
      <c r="F649" s="22" t="str">
        <f>INDEX(Master_Data!$C$186:$L$864,D649,2)</f>
        <v>MANDIRI INTI PERKASA, PT</v>
      </c>
      <c r="G649" s="24" t="str">
        <f>INDEX(Master_Data!$C$186:$L$864,D649,3)</f>
        <v>W,I</v>
      </c>
      <c r="H649" s="24">
        <f>INDEX(Master_Data!$C$186:$L$864,D649,1)</f>
        <v>6</v>
      </c>
      <c r="I649" s="24" t="str">
        <f>INDEX(Master_Data!$C$186:$L$864,D649,4)</f>
        <v>WDL &amp; Internet Access 2048 Kbps Site Krassi Sesayap</v>
      </c>
      <c r="J649" s="24" t="str">
        <f>INDEX(Master_Data!$C$186:$L$864,D649,5)</f>
        <v>OKTOBER</v>
      </c>
      <c r="K649" s="136" t="str">
        <f>INDEX(Master_Data!$C$186:$L$864,D649,6)</f>
        <v>17-021/BKU-004/XI/196</v>
      </c>
      <c r="L649" s="140" t="str">
        <f>INDEX(Master_Data!$C$186:$L$864,D649,7)</f>
        <v>010.019-17.53122305</v>
      </c>
      <c r="M649" s="140">
        <f>INDEX(Master_Data!$C$186:$L$864,D649,8)</f>
        <v>0</v>
      </c>
      <c r="N649" s="264"/>
      <c r="O649" s="245" t="e">
        <f t="shared" si="55"/>
        <v>#VALUE!</v>
      </c>
      <c r="Q649" s="169" t="str">
        <f t="shared" si="53"/>
        <v>MANDIRI INTI PERKASA, PTNOV</v>
      </c>
    </row>
    <row r="650" spans="2:17" s="61" customFormat="1" ht="14.1" customHeight="1">
      <c r="B650" s="242"/>
      <c r="C650" s="268">
        <f>MATCH($B$611,INDEX(Master_Data!$B$186:$B$864,D649+1,1):'Master_Data'!$B$864,0)</f>
        <v>1</v>
      </c>
      <c r="D650" s="268">
        <f t="shared" si="54"/>
        <v>477</v>
      </c>
      <c r="E650" s="54">
        <v>40</v>
      </c>
      <c r="F650" s="22" t="str">
        <f>INDEX(Master_Data!$C$186:$L$864,D650,2)</f>
        <v>MANDIRI INTI PERKASA, PT</v>
      </c>
      <c r="G650" s="24" t="str">
        <f>INDEX(Master_Data!$C$186:$L$864,D650,3)</f>
        <v>I</v>
      </c>
      <c r="H650" s="24">
        <f>INDEX(Master_Data!$C$186:$L$864,D650,1)</f>
        <v>6</v>
      </c>
      <c r="I650" s="24" t="str">
        <f>INDEX(Master_Data!$C$186:$L$864,D650,4)</f>
        <v>Internet Bandwith 5 Mbps Site HO Pro Mandiri Building Latumenten</v>
      </c>
      <c r="J650" s="24" t="str">
        <f>INDEX(Master_Data!$C$186:$L$864,D650,5)</f>
        <v>OKTOBER</v>
      </c>
      <c r="K650" s="136" t="str">
        <f>INDEX(Master_Data!$C$186:$L$864,D650,6)</f>
        <v>17-022/BKU-004/XI/196</v>
      </c>
      <c r="L650" s="140" t="str">
        <f>INDEX(Master_Data!$C$186:$L$864,D650,7)</f>
        <v>010.019-17.53122306</v>
      </c>
      <c r="M650" s="140">
        <f>INDEX(Master_Data!$C$186:$L$864,D650,8)</f>
        <v>0</v>
      </c>
      <c r="N650" s="264"/>
      <c r="O650" s="245" t="e">
        <f t="shared" si="55"/>
        <v>#VALUE!</v>
      </c>
      <c r="Q650" s="169" t="str">
        <f t="shared" si="53"/>
        <v>MANDIRI INTI PERKASA, PTNOV</v>
      </c>
    </row>
    <row r="651" spans="2:17" s="61" customFormat="1" ht="14.1" customHeight="1">
      <c r="B651" s="242"/>
      <c r="C651" s="268">
        <f>MATCH($B$611,INDEX(Master_Data!$B$186:$B$864,D650+1,1):'Master_Data'!$B$864,0)</f>
        <v>13</v>
      </c>
      <c r="D651" s="268">
        <f t="shared" si="54"/>
        <v>490</v>
      </c>
      <c r="E651" s="24">
        <v>41</v>
      </c>
      <c r="F651" s="22" t="str">
        <f>INDEX(Master_Data!$C$186:$L$864,D651,2)</f>
        <v>MEDCO PAPUA INDUSTRI LESTARI, PT</v>
      </c>
      <c r="G651" s="24" t="str">
        <f>INDEX(Master_Data!$C$186:$L$864,D651,3)</f>
        <v>V</v>
      </c>
      <c r="H651" s="24">
        <f>INDEX(Master_Data!$C$186:$L$864,D651,1)</f>
        <v>2</v>
      </c>
      <c r="I651" s="24" t="str">
        <f>INDEX(Master_Data!$C$186:$L$864,D651,4)</f>
        <v>Rental VSAT Medco Wapeko</v>
      </c>
      <c r="J651" s="24" t="str">
        <f>INDEX(Master_Data!$C$186:$L$864,D651,5)</f>
        <v>NOVEMBER</v>
      </c>
      <c r="K651" s="136" t="str">
        <f>INDEX(Master_Data!$C$186:$L$864,D651,6)</f>
        <v>17-011/BKU-004/XI/145</v>
      </c>
      <c r="L651" s="140" t="str">
        <f>INDEX(Master_Data!$C$186:$L$864,D651,7)</f>
        <v>010.019-17.53122326</v>
      </c>
      <c r="M651" s="140">
        <f>INDEX(Master_Data!$C$186:$L$864,D651,8)</f>
        <v>0</v>
      </c>
      <c r="N651" s="264"/>
      <c r="O651" s="245" t="e">
        <f t="shared" si="55"/>
        <v>#VALUE!</v>
      </c>
      <c r="Q651" s="169" t="str">
        <f t="shared" si="53"/>
        <v>MEDCO PAPUA INDUSTRI LESTARI, PTNOV</v>
      </c>
    </row>
    <row r="652" spans="2:17" s="61" customFormat="1" ht="14.1" customHeight="1">
      <c r="B652" s="242"/>
      <c r="C652" s="268">
        <f>MATCH($B$611,INDEX(Master_Data!$B$186:$B$864,D651+1,1):'Master_Data'!$B$864,0)</f>
        <v>12</v>
      </c>
      <c r="D652" s="268">
        <f t="shared" si="54"/>
        <v>502</v>
      </c>
      <c r="E652" s="54">
        <v>42</v>
      </c>
      <c r="F652" s="22" t="str">
        <f>INDEX(Master_Data!$C$186:$L$864,D652,2)</f>
        <v>METALINDO BUMI RAYA, PT</v>
      </c>
      <c r="G652" s="24" t="str">
        <f>INDEX(Master_Data!$C$186:$L$864,D652,3)</f>
        <v>I</v>
      </c>
      <c r="H652" s="24">
        <f>INDEX(Master_Data!$C$186:$L$864,D652,1)</f>
        <v>14</v>
      </c>
      <c r="I652" s="24" t="str">
        <f>INDEX(Master_Data!$C$186:$L$864,D652,4)</f>
        <v>Internet Access Site Sebuku</v>
      </c>
      <c r="J652" s="24" t="str">
        <f>INDEX(Master_Data!$C$186:$L$864,D652,5)</f>
        <v>NOVEMBER</v>
      </c>
      <c r="K652" s="136" t="str">
        <f>INDEX(Master_Data!$C$186:$L$864,D652,6)</f>
        <v>17-011/BKU-004/XI/220</v>
      </c>
      <c r="L652" s="140" t="str">
        <f>INDEX(Master_Data!$C$186:$L$864,D652,7)</f>
        <v>010.019-17.53122327</v>
      </c>
      <c r="M652" s="140">
        <f>INDEX(Master_Data!$C$186:$L$864,D652,8)</f>
        <v>0</v>
      </c>
      <c r="N652" s="264"/>
      <c r="O652" s="245" t="e">
        <f t="shared" si="55"/>
        <v>#VALUE!</v>
      </c>
      <c r="Q652" s="169" t="str">
        <f t="shared" si="53"/>
        <v>METALINDO BUMI RAYA, PTNOV</v>
      </c>
    </row>
    <row r="653" spans="2:17" s="61" customFormat="1" ht="14.1" customHeight="1">
      <c r="B653" s="242"/>
      <c r="C653" s="268">
        <f>MATCH($B$611,INDEX(Master_Data!$B$186:$B$864,D652+1,1):'Master_Data'!$B$864,0)</f>
        <v>15</v>
      </c>
      <c r="D653" s="268">
        <f t="shared" si="54"/>
        <v>517</v>
      </c>
      <c r="E653" s="24">
        <v>43</v>
      </c>
      <c r="F653" s="22" t="str">
        <f>INDEX(Master_Data!$C$186:$L$864,D653,2)</f>
        <v>NUSANTARA SARANA ALAM, PT</v>
      </c>
      <c r="G653" s="24" t="str">
        <f>INDEX(Master_Data!$C$186:$L$864,D653,3)</f>
        <v>V</v>
      </c>
      <c r="H653" s="24">
        <f>INDEX(Master_Data!$C$186:$L$864,D653,1)</f>
        <v>1</v>
      </c>
      <c r="I653" s="24" t="str">
        <f>INDEX(Master_Data!$C$186:$L$864,D653,4)</f>
        <v>Rental VSAT Site NSA Sandai</v>
      </c>
      <c r="J653" s="24" t="str">
        <f>INDEX(Master_Data!$C$186:$L$864,D653,5)</f>
        <v>OKTOBER</v>
      </c>
      <c r="K653" s="136" t="str">
        <f>INDEX(Master_Data!$C$186:$L$864,D653,6)</f>
        <v>17-013/BKU-004/XI/245</v>
      </c>
      <c r="L653" s="140" t="str">
        <f>INDEX(Master_Data!$C$186:$L$864,D653,7)</f>
        <v>010.019-17.53122292</v>
      </c>
      <c r="M653" s="140">
        <f>INDEX(Master_Data!$C$186:$L$864,D653,8)</f>
        <v>0</v>
      </c>
      <c r="N653" s="264"/>
      <c r="O653" s="245" t="e">
        <f t="shared" si="55"/>
        <v>#VALUE!</v>
      </c>
      <c r="Q653" s="169" t="str">
        <f t="shared" si="53"/>
        <v>NUSANTARA SARANA ALAM, PTNOV</v>
      </c>
    </row>
    <row r="654" spans="2:17" s="61" customFormat="1" ht="14.1" customHeight="1">
      <c r="B654" s="242"/>
      <c r="C654" s="268">
        <f>MATCH($B$611,INDEX(Master_Data!$B$186:$B$864,D653+1,1):'Master_Data'!$B$864,0)</f>
        <v>3</v>
      </c>
      <c r="D654" s="268">
        <f t="shared" si="54"/>
        <v>520</v>
      </c>
      <c r="E654" s="54">
        <v>44</v>
      </c>
      <c r="F654" s="22" t="str">
        <f>INDEX(Master_Data!$C$186:$L$864,D654,2)</f>
        <v>PAMA PERSADA NUSANTARA, PT</v>
      </c>
      <c r="G654" s="24" t="str">
        <f>INDEX(Master_Data!$C$186:$L$864,D654,3)</f>
        <v>O</v>
      </c>
      <c r="H654" s="24">
        <f>INDEX(Master_Data!$C$186:$L$864,D654,1)</f>
        <v>6</v>
      </c>
      <c r="I654" s="24" t="str">
        <f>INDEX(Master_Data!$C$186:$L$864,D654,4)</f>
        <v>VPN Internet 30 Mbps &amp; VSAT Backup 128/128 Kbps Site EPN, ABB, KPP, TTA, PAMA</v>
      </c>
      <c r="J654" s="24" t="str">
        <f>INDEX(Master_Data!$C$186:$L$864,D654,5)</f>
        <v>JUNI</v>
      </c>
      <c r="K654" s="136" t="str">
        <f>INDEX(Master_Data!$C$186:$L$864,D654,6)</f>
        <v>17-002/BKU-004/XI/246</v>
      </c>
      <c r="L654" s="140" t="str">
        <f>INDEX(Master_Data!$C$186:$L$864,D654,7)</f>
        <v>010.019-17.53122298</v>
      </c>
      <c r="M654" s="140">
        <f>INDEX(Master_Data!$C$186:$L$864,D654,8)</f>
        <v>0</v>
      </c>
      <c r="N654" s="264"/>
      <c r="O654" s="245" t="e">
        <f t="shared" si="55"/>
        <v>#VALUE!</v>
      </c>
      <c r="Q654" s="169" t="str">
        <f t="shared" si="53"/>
        <v>PAMA PERSADA NUSANTARA, PTNOV</v>
      </c>
    </row>
    <row r="655" spans="2:17" s="61" customFormat="1" ht="14.1" customHeight="1">
      <c r="B655" s="242"/>
      <c r="C655" s="268">
        <f>MATCH($B$611,INDEX(Master_Data!$B$186:$B$864,D654+1,1):'Master_Data'!$B$864,0)</f>
        <v>1</v>
      </c>
      <c r="D655" s="268">
        <f t="shared" si="54"/>
        <v>521</v>
      </c>
      <c r="E655" s="24">
        <v>45</v>
      </c>
      <c r="F655" s="22" t="str">
        <f>INDEX(Master_Data!$C$186:$L$864,D655,2)</f>
        <v>PAMA PERSADA NUSANTARA, PT</v>
      </c>
      <c r="G655" s="24" t="str">
        <f>INDEX(Master_Data!$C$186:$L$864,D655,3)</f>
        <v>O</v>
      </c>
      <c r="H655" s="24">
        <f>INDEX(Master_Data!$C$186:$L$864,D655,1)</f>
        <v>6</v>
      </c>
      <c r="I655" s="24" t="str">
        <f>INDEX(Master_Data!$C$186:$L$864,D655,4)</f>
        <v>VPN Internet 30 Mbps &amp; VSAT Backup 128/128 Kbps Site EPN, ABB, KPP, TTA, PAMA</v>
      </c>
      <c r="J655" s="24" t="str">
        <f>INDEX(Master_Data!$C$186:$L$864,D655,5)</f>
        <v>JULI</v>
      </c>
      <c r="K655" s="136" t="str">
        <f>INDEX(Master_Data!$C$186:$L$864,D655,6)</f>
        <v>17-003/BKU-004/XI/246</v>
      </c>
      <c r="L655" s="140" t="str">
        <f>INDEX(Master_Data!$C$186:$L$864,D655,7)</f>
        <v>010.019-17.53122299</v>
      </c>
      <c r="M655" s="140">
        <f>INDEX(Master_Data!$C$186:$L$864,D655,8)</f>
        <v>0</v>
      </c>
      <c r="N655" s="264"/>
      <c r="O655" s="245" t="e">
        <f t="shared" si="55"/>
        <v>#VALUE!</v>
      </c>
      <c r="Q655" s="169" t="str">
        <f t="shared" si="53"/>
        <v>PAMA PERSADA NUSANTARA, PTNOV</v>
      </c>
    </row>
    <row r="656" spans="2:17" s="61" customFormat="1" ht="14.1" customHeight="1">
      <c r="B656" s="242"/>
      <c r="C656" s="268">
        <f>MATCH($B$611,INDEX(Master_Data!$B$186:$B$864,D655+1,1):'Master_Data'!$B$864,0)</f>
        <v>13</v>
      </c>
      <c r="D656" s="268">
        <f t="shared" si="54"/>
        <v>534</v>
      </c>
      <c r="E656" s="54">
        <v>46</v>
      </c>
      <c r="F656" s="22" t="str">
        <f>INDEX(Master_Data!$C$186:$L$864,D656,2)</f>
        <v>PEMBANGUNAN PERUMAHAN (PERSERO), PT</v>
      </c>
      <c r="G656" s="24" t="str">
        <f>INDEX(Master_Data!$C$186:$L$864,D656,3)</f>
        <v>I</v>
      </c>
      <c r="H656" s="24">
        <f>INDEX(Master_Data!$C$186:$L$864,D656,1)</f>
        <v>23</v>
      </c>
      <c r="I656" s="24" t="str">
        <f>INDEX(Master_Data!$C$186:$L$864,D656,4)</f>
        <v>Internet 1024/256 Kbps Site Lolak</v>
      </c>
      <c r="J656" s="24" t="str">
        <f>INDEX(Master_Data!$C$186:$L$864,D656,5)</f>
        <v>NOVEMBER</v>
      </c>
      <c r="K656" s="136" t="str">
        <f>INDEX(Master_Data!$C$186:$L$864,D656,6)</f>
        <v>17-012/BKU-004/XI/226</v>
      </c>
      <c r="L656" s="140" t="str">
        <f>INDEX(Master_Data!$C$186:$L$864,D656,7)</f>
        <v>030.020-17.90411036</v>
      </c>
      <c r="M656" s="140">
        <f>INDEX(Master_Data!$C$186:$L$864,D656,8)</f>
        <v>0</v>
      </c>
      <c r="N656" s="264"/>
      <c r="O656" s="245" t="e">
        <f t="shared" si="55"/>
        <v>#VALUE!</v>
      </c>
      <c r="Q656" s="169" t="str">
        <f t="shared" si="53"/>
        <v>PEMBANGUNAN PERUMAHAN (PERSERO), PTNOV</v>
      </c>
    </row>
    <row r="657" spans="2:17" s="61" customFormat="1" ht="14.1" customHeight="1">
      <c r="B657" s="242"/>
      <c r="C657" s="268">
        <f>MATCH($B$611,INDEX(Master_Data!$B$186:$B$864,D656+1,1):'Master_Data'!$B$864,0)</f>
        <v>30</v>
      </c>
      <c r="D657" s="268">
        <f t="shared" si="54"/>
        <v>564</v>
      </c>
      <c r="E657" s="24">
        <v>47</v>
      </c>
      <c r="F657" s="22" t="str">
        <f>INDEX(Master_Data!$C$186:$L$864,D657,2)</f>
        <v>PERTIWI AGRO SEJAHTERA, PT</v>
      </c>
      <c r="G657" s="24" t="str">
        <f>INDEX(Master_Data!$C$186:$L$864,D657,3)</f>
        <v>V</v>
      </c>
      <c r="H657" s="24">
        <f>INDEX(Master_Data!$C$186:$L$864,D657,1)</f>
        <v>1</v>
      </c>
      <c r="I657" s="24" t="str">
        <f>INDEX(Master_Data!$C$186:$L$864,D657,4)</f>
        <v>Monthly Charges VSAT</v>
      </c>
      <c r="J657" s="24" t="str">
        <f>INDEX(Master_Data!$C$186:$L$864,D657,5)</f>
        <v>NOVEMBER</v>
      </c>
      <c r="K657" s="136" t="str">
        <f>INDEX(Master_Data!$C$186:$L$864,D657,6)</f>
        <v>17-011/BKU-004/XI/207</v>
      </c>
      <c r="L657" s="140" t="str">
        <f>INDEX(Master_Data!$C$186:$L$864,D657,7)</f>
        <v>010.019-17.52122293</v>
      </c>
      <c r="M657" s="140">
        <f>INDEX(Master_Data!$C$186:$L$864,D657,8)</f>
        <v>0</v>
      </c>
      <c r="N657" s="264"/>
      <c r="O657" s="245" t="e">
        <f t="shared" si="55"/>
        <v>#VALUE!</v>
      </c>
      <c r="Q657" s="169" t="str">
        <f t="shared" si="53"/>
        <v>PERTIWI AGRO SEJAHTERA, PTNOV</v>
      </c>
    </row>
    <row r="658" spans="2:17" s="61" customFormat="1" ht="14.1" customHeight="1">
      <c r="B658" s="242"/>
      <c r="C658" s="268">
        <f>MATCH($B$611,INDEX(Master_Data!$B$186:$B$864,D657+1,1):'Master_Data'!$B$864,0)</f>
        <v>38</v>
      </c>
      <c r="D658" s="268">
        <f t="shared" si="54"/>
        <v>602</v>
      </c>
      <c r="E658" s="54">
        <v>48</v>
      </c>
      <c r="F658" s="22" t="str">
        <f>INDEX(Master_Data!$C$186:$L$864,D658,2)</f>
        <v>PETROSEA, PT</v>
      </c>
      <c r="G658" s="24" t="str">
        <f>INDEX(Master_Data!$C$186:$L$864,D658,3)</f>
        <v>V</v>
      </c>
      <c r="H658" s="24">
        <f>INDEX(Master_Data!$C$186:$L$864,D658,1)</f>
        <v>1</v>
      </c>
      <c r="I658" s="24" t="str">
        <f>INDEX(Master_Data!$C$186:$L$864,D658,4)</f>
        <v>Monthly Charges VSAT Site Tabang</v>
      </c>
      <c r="J658" s="24" t="str">
        <f>INDEX(Master_Data!$C$186:$L$864,D658,5)</f>
        <v>1-31 Okt</v>
      </c>
      <c r="K658" s="136" t="str">
        <f>INDEX(Master_Data!$C$186:$L$864,D658,6)</f>
        <v>17-035/BKU-004/XI/009</v>
      </c>
      <c r="L658" s="140" t="str">
        <f>INDEX(Master_Data!$C$186:$L$864,D658,7)</f>
        <v>010.019-17.53122294</v>
      </c>
      <c r="M658" s="140">
        <f>INDEX(Master_Data!$C$186:$L$864,D658,8)</f>
        <v>0</v>
      </c>
      <c r="N658" s="264"/>
      <c r="O658" s="245" t="e">
        <f t="shared" si="55"/>
        <v>#VALUE!</v>
      </c>
      <c r="Q658" s="169" t="str">
        <f t="shared" si="53"/>
        <v>PETROSEA, PTNOV</v>
      </c>
    </row>
    <row r="659" spans="2:17" s="61" customFormat="1" ht="14.1" customHeight="1">
      <c r="B659" s="242"/>
      <c r="C659" s="268">
        <f>MATCH($B$611,INDEX(Master_Data!$B$186:$B$864,D658+1,1):'Master_Data'!$B$864,0)</f>
        <v>1</v>
      </c>
      <c r="D659" s="268">
        <f t="shared" si="54"/>
        <v>603</v>
      </c>
      <c r="E659" s="24">
        <v>49</v>
      </c>
      <c r="F659" s="22" t="str">
        <f>INDEX(Master_Data!$C$186:$L$864,D659,2)</f>
        <v>PETROSEA, PT</v>
      </c>
      <c r="G659" s="24" t="str">
        <f>INDEX(Master_Data!$C$186:$L$864,D659,3)</f>
        <v>V</v>
      </c>
      <c r="H659" s="24">
        <f>INDEX(Master_Data!$C$186:$L$864,D659,1)</f>
        <v>1</v>
      </c>
      <c r="I659" s="24" t="str">
        <f>INDEX(Master_Data!$C$186:$L$864,D659,4)</f>
        <v>Sewa VSAT Site IAC Kintap</v>
      </c>
      <c r="J659" s="24" t="str">
        <f>INDEX(Master_Data!$C$186:$L$864,D659,5)</f>
        <v>OKTOBER</v>
      </c>
      <c r="K659" s="136" t="str">
        <f>INDEX(Master_Data!$C$186:$L$864,D659,6)</f>
        <v>17-036/BKU-004/XI/009</v>
      </c>
      <c r="L659" s="140" t="str">
        <f>INDEX(Master_Data!$C$186:$L$864,D659,7)</f>
        <v>010.019-17.53122295</v>
      </c>
      <c r="M659" s="140">
        <f>INDEX(Master_Data!$C$186:$L$864,D659,8)</f>
        <v>0</v>
      </c>
      <c r="N659" s="264"/>
      <c r="O659" s="245" t="e">
        <f t="shared" si="55"/>
        <v>#VALUE!</v>
      </c>
      <c r="Q659" s="169" t="str">
        <f t="shared" si="53"/>
        <v>PETROSEA, PTNOV</v>
      </c>
    </row>
    <row r="660" spans="2:17" s="61" customFormat="1" ht="14.1" customHeight="1">
      <c r="B660" s="242"/>
      <c r="C660" s="268">
        <f>MATCH($B$611,INDEX(Master_Data!$B$186:$B$864,D659+1,1):'Master_Data'!$B$864,0)</f>
        <v>1</v>
      </c>
      <c r="D660" s="268">
        <f t="shared" si="54"/>
        <v>604</v>
      </c>
      <c r="E660" s="54">
        <v>50</v>
      </c>
      <c r="F660" s="22" t="str">
        <f>INDEX(Master_Data!$C$186:$L$864,D660,2)</f>
        <v>PETROSEA, PT</v>
      </c>
      <c r="G660" s="24" t="str">
        <f>INDEX(Master_Data!$C$186:$L$864,D660,3)</f>
        <v>V</v>
      </c>
      <c r="H660" s="24">
        <f>INDEX(Master_Data!$C$186:$L$864,D660,1)</f>
        <v>1</v>
      </c>
      <c r="I660" s="24" t="str">
        <f>INDEX(Master_Data!$C$186:$L$864,D660,4)</f>
        <v xml:space="preserve">Sewa VSAT Site Timika </v>
      </c>
      <c r="J660" s="24" t="str">
        <f>INDEX(Master_Data!$C$186:$L$864,D660,5)</f>
        <v>OKTOBER</v>
      </c>
      <c r="K660" s="136" t="str">
        <f>INDEX(Master_Data!$C$186:$L$864,D660,6)</f>
        <v>17-037/BKU-004/XI/009</v>
      </c>
      <c r="L660" s="140" t="str">
        <f>INDEX(Master_Data!$C$186:$L$864,D660,7)</f>
        <v>010.019-17.53122296</v>
      </c>
      <c r="M660" s="140">
        <f>INDEX(Master_Data!$C$186:$L$864,D660,8)</f>
        <v>0</v>
      </c>
      <c r="N660" s="264"/>
      <c r="O660" s="245" t="e">
        <f t="shared" si="55"/>
        <v>#VALUE!</v>
      </c>
      <c r="Q660" s="169" t="str">
        <f t="shared" si="53"/>
        <v>PETROSEA, PTNOV</v>
      </c>
    </row>
    <row r="661" spans="2:17" s="61" customFormat="1" ht="14.1" customHeight="1">
      <c r="B661" s="242"/>
      <c r="C661" s="268">
        <f>MATCH($B$611,INDEX(Master_Data!$B$186:$B$864,D660+1,1):'Master_Data'!$B$864,0)</f>
        <v>1</v>
      </c>
      <c r="D661" s="268">
        <f t="shared" si="54"/>
        <v>605</v>
      </c>
      <c r="E661" s="24">
        <v>51</v>
      </c>
      <c r="F661" s="22" t="str">
        <f>INDEX(Master_Data!$C$186:$L$864,D661,2)</f>
        <v>PETROSEA, PT</v>
      </c>
      <c r="G661" s="24" t="str">
        <f>INDEX(Master_Data!$C$186:$L$864,D661,3)</f>
        <v>V, W</v>
      </c>
      <c r="H661" s="24">
        <f>INDEX(Master_Data!$C$186:$L$864,D661,1)</f>
        <v>1</v>
      </c>
      <c r="I661" s="24" t="str">
        <f>INDEX(Master_Data!$C$186:$L$864,D661,4)</f>
        <v>Instalasi VSAT, Monthly Proposional WAN; Internet; Sewa Voip Gateway Site Muara Tuhup</v>
      </c>
      <c r="J661" s="24" t="str">
        <f>INDEX(Master_Data!$C$186:$L$864,D661,5)</f>
        <v>1-31 Okt</v>
      </c>
      <c r="K661" s="136" t="str">
        <f>INDEX(Master_Data!$C$186:$L$864,D661,6)</f>
        <v>17-038/BKU-004/XI/009</v>
      </c>
      <c r="L661" s="140" t="str">
        <f>INDEX(Master_Data!$C$186:$L$864,D661,7)</f>
        <v>010.019-17.53122297</v>
      </c>
      <c r="M661" s="140">
        <f>INDEX(Master_Data!$C$186:$L$864,D661,8)</f>
        <v>0</v>
      </c>
      <c r="N661" s="264"/>
      <c r="O661" s="245" t="e">
        <f t="shared" si="55"/>
        <v>#VALUE!</v>
      </c>
      <c r="Q661" s="169" t="str">
        <f t="shared" si="53"/>
        <v>PETROSEA, PTNOV</v>
      </c>
    </row>
    <row r="662" spans="2:17" s="61" customFormat="1" ht="14.1" customHeight="1">
      <c r="B662" s="242"/>
      <c r="C662" s="268">
        <f>MATCH($B$611,INDEX(Master_Data!$B$186:$B$864,D661+1,1):'Master_Data'!$B$864,0)</f>
        <v>1</v>
      </c>
      <c r="D662" s="268">
        <f t="shared" si="54"/>
        <v>606</v>
      </c>
      <c r="E662" s="54">
        <v>52</v>
      </c>
      <c r="F662" s="22" t="str">
        <f>INDEX(Master_Data!$C$186:$L$864,D662,2)</f>
        <v>PETROSEA, PT</v>
      </c>
      <c r="G662" s="24" t="str">
        <f>INDEX(Master_Data!$C$186:$L$864,D662,3)</f>
        <v>V</v>
      </c>
      <c r="H662" s="24">
        <f>INDEX(Master_Data!$C$186:$L$864,D662,1)</f>
        <v>21</v>
      </c>
      <c r="I662" s="24" t="str">
        <f>INDEX(Master_Data!$C$186:$L$864,D662,4)</f>
        <v>Monthly Charges VSAT WAN 1 Mbps &amp; VSAT SCPC Internet 2 Mbps Site POSB Sorong</v>
      </c>
      <c r="J662" s="24" t="str">
        <f>INDEX(Master_Data!$C$186:$L$864,D662,5)</f>
        <v>1-31 Okt</v>
      </c>
      <c r="K662" s="136" t="str">
        <f>INDEX(Master_Data!$C$186:$L$864,D662,6)</f>
        <v>17-039/BKU-004/XI/009</v>
      </c>
      <c r="L662" s="140" t="str">
        <f>INDEX(Master_Data!$C$186:$L$864,D662,7)</f>
        <v>010.020-17.90411080</v>
      </c>
      <c r="M662" s="140">
        <f>INDEX(Master_Data!$C$186:$L$864,D662,8)</f>
        <v>0</v>
      </c>
      <c r="N662" s="264"/>
      <c r="O662" s="245" t="e">
        <f t="shared" si="55"/>
        <v>#VALUE!</v>
      </c>
      <c r="Q662" s="169" t="str">
        <f t="shared" si="53"/>
        <v>PETROSEA, PTNOV</v>
      </c>
    </row>
    <row r="663" spans="2:17" s="61" customFormat="1" ht="14.1" customHeight="1">
      <c r="B663" s="242"/>
      <c r="C663" s="268">
        <f>MATCH($B$611,INDEX(Master_Data!$B$186:$B$864,D662+1,1):'Master_Data'!$B$864,0)</f>
        <v>26</v>
      </c>
      <c r="D663" s="268">
        <f t="shared" si="54"/>
        <v>632</v>
      </c>
      <c r="E663" s="24">
        <v>53</v>
      </c>
      <c r="F663" s="22" t="str">
        <f>INDEX(Master_Data!$C$186:$L$864,D663,2)</f>
        <v>RIUNG MITRA LESTARI, PT</v>
      </c>
      <c r="G663" s="24" t="str">
        <f>INDEX(Master_Data!$C$186:$L$864,D663,3)</f>
        <v>M</v>
      </c>
      <c r="H663" s="24">
        <f>INDEX(Master_Data!$C$186:$L$864,D663,1)</f>
        <v>7</v>
      </c>
      <c r="I663" s="24" t="str">
        <f>INDEX(Master_Data!$C$186:$L$864,D663,4)</f>
        <v>Monthly Charges Site Krassi Sesayap</v>
      </c>
      <c r="J663" s="24" t="str">
        <f>INDEX(Master_Data!$C$186:$L$864,D663,5)</f>
        <v>OKTOBER</v>
      </c>
      <c r="K663" s="136" t="str">
        <f>INDEX(Master_Data!$C$186:$L$864,D663,6)</f>
        <v>17-011/BKU-004/XI/149</v>
      </c>
      <c r="L663" s="140" t="str">
        <f>INDEX(Master_Data!$C$186:$L$864,D663,7)</f>
        <v>010.019-17.53122302</v>
      </c>
      <c r="M663" s="140">
        <f>INDEX(Master_Data!$C$186:$L$864,D663,8)</f>
        <v>0</v>
      </c>
      <c r="N663" s="264"/>
      <c r="O663" s="245" t="e">
        <f t="shared" si="55"/>
        <v>#VALUE!</v>
      </c>
      <c r="Q663" s="169" t="str">
        <f t="shared" si="53"/>
        <v>RIUNG MITRA LESTARI, PTNOV</v>
      </c>
    </row>
    <row r="664" spans="2:17" s="61" customFormat="1" ht="14.1" customHeight="1">
      <c r="B664" s="242"/>
      <c r="C664" s="268">
        <f>MATCH($B$611,INDEX(Master_Data!$B$186:$B$864,D663+1,1):'Master_Data'!$B$864,0)</f>
        <v>17</v>
      </c>
      <c r="D664" s="268">
        <f t="shared" si="54"/>
        <v>649</v>
      </c>
      <c r="E664" s="24">
        <v>54</v>
      </c>
      <c r="F664" s="22" t="str">
        <f>INDEX(Master_Data!$C$186:$L$864,D664,2)</f>
        <v>SELARAS INTI SEMESTA, PT</v>
      </c>
      <c r="G664" s="24" t="str">
        <f>INDEX(Master_Data!$C$186:$L$864,D664,3)</f>
        <v>V</v>
      </c>
      <c r="H664" s="24">
        <f>INDEX(Master_Data!$C$186:$L$864,D664,1)</f>
        <v>2</v>
      </c>
      <c r="I664" s="24" t="str">
        <f>INDEX(Master_Data!$C$186:$L$864,D664,4)</f>
        <v>Sewa VSAT 256/512 Kbps Site Tamulik</v>
      </c>
      <c r="J664" s="24" t="str">
        <f>INDEX(Master_Data!$C$186:$L$864,D664,5)</f>
        <v>OKTOBER</v>
      </c>
      <c r="K664" s="136" t="str">
        <f>INDEX(Master_Data!$C$186:$L$864,D664,6)</f>
        <v>17-007/BKU-004/XI/250</v>
      </c>
      <c r="L664" s="140" t="str">
        <f>INDEX(Master_Data!$C$186:$L$864,D664,7)</f>
        <v>010.019-17.53122301</v>
      </c>
      <c r="M664" s="140">
        <f>INDEX(Master_Data!$C$186:$L$864,D664,8)</f>
        <v>0</v>
      </c>
      <c r="N664" s="264"/>
      <c r="O664" s="245" t="e">
        <f t="shared" si="55"/>
        <v>#VALUE!</v>
      </c>
      <c r="Q664" s="169" t="str">
        <f t="shared" si="53"/>
        <v>SELARAS INTI SEMESTA, PTNOV</v>
      </c>
    </row>
    <row r="665" spans="2:17" s="61" customFormat="1" ht="14.1" customHeight="1">
      <c r="B665" s="242"/>
      <c r="C665" s="268">
        <f>MATCH($B$611,INDEX(Master_Data!$B$186:$B$864,D664+1,1):'Master_Data'!$B$864,0)</f>
        <v>2</v>
      </c>
      <c r="D665" s="268">
        <f t="shared" si="54"/>
        <v>651</v>
      </c>
      <c r="E665" s="24">
        <v>55</v>
      </c>
      <c r="F665" s="22" t="str">
        <f>INDEX(Master_Data!$C$186:$L$864,D665,2)</f>
        <v>SMART TELECOM, PT</v>
      </c>
      <c r="G665" s="24" t="str">
        <f>INDEX(Master_Data!$C$186:$L$864,D665,3)</f>
        <v>R</v>
      </c>
      <c r="H665" s="24">
        <f>INDEX(Master_Data!$C$186:$L$864,D665,1)</f>
        <v>7</v>
      </c>
      <c r="I665" s="24" t="str">
        <f>INDEX(Master_Data!$C$186:$L$864,D665,4)</f>
        <v>Repair 15HP-RFU-8; 15HPS-1R-RFU-8; RFU-HP-1R-8; 32T-155-IF; 15HPS-1R-RFU-11</v>
      </c>
      <c r="J665" s="24" t="str">
        <f>INDEX(Master_Data!$C$186:$L$864,D665,5)</f>
        <v>22 Unit</v>
      </c>
      <c r="K665" s="136" t="str">
        <f>INDEX(Master_Data!$C$186:$L$864,D665,6)</f>
        <v>17-001/BKU-004/XI/254</v>
      </c>
      <c r="L665" s="140" t="str">
        <f>INDEX(Master_Data!$C$186:$L$864,D665,7)</f>
        <v>010.019-17.53122312</v>
      </c>
      <c r="M665" s="140">
        <f>INDEX(Master_Data!$C$186:$L$864,D665,8)</f>
        <v>0</v>
      </c>
      <c r="N665" s="264"/>
      <c r="O665" s="245" t="e">
        <f t="shared" si="55"/>
        <v>#VALUE!</v>
      </c>
      <c r="Q665" s="169" t="str">
        <f t="shared" si="53"/>
        <v>SMART TELECOM, PTNOV</v>
      </c>
    </row>
    <row r="666" spans="2:17" s="61" customFormat="1" ht="14.1" customHeight="1">
      <c r="B666" s="242"/>
      <c r="C666" s="268">
        <f>MATCH($B$611,INDEX(Master_Data!$B$186:$B$864,D665+1,1):'Master_Data'!$B$864,0)</f>
        <v>11</v>
      </c>
      <c r="D666" s="268">
        <f t="shared" si="54"/>
        <v>662</v>
      </c>
      <c r="E666" s="24">
        <v>56</v>
      </c>
      <c r="F666" s="22" t="str">
        <f>INDEX(Master_Data!$C$186:$L$864,D666,2)</f>
        <v>TEBAR TANDAN TENERA, PT</v>
      </c>
      <c r="G666" s="24" t="str">
        <f>INDEX(Master_Data!$C$186:$L$864,D666,3)</f>
        <v>V</v>
      </c>
      <c r="H666" s="24">
        <f>INDEX(Master_Data!$C$186:$L$864,D666,1)</f>
        <v>1</v>
      </c>
      <c r="I666" s="24" t="str">
        <f>INDEX(Master_Data!$C$186:$L$864,D666,4)</f>
        <v>Rental VSAT Site TTT</v>
      </c>
      <c r="J666" s="24" t="str">
        <f>INDEX(Master_Data!$C$186:$L$864,D666,5)</f>
        <v>OKTOBER</v>
      </c>
      <c r="K666" s="136" t="str">
        <f>INDEX(Master_Data!$C$186:$L$864,D666,6)</f>
        <v>17-011/BKU-004/XI/227</v>
      </c>
      <c r="L666" s="140" t="str">
        <f>INDEX(Master_Data!$C$186:$L$864,D666,7)</f>
        <v>010.019-17.53122291</v>
      </c>
      <c r="M666" s="140">
        <f>INDEX(Master_Data!$C$186:$L$864,D666,8)</f>
        <v>0</v>
      </c>
      <c r="N666" s="264"/>
      <c r="O666" s="245" t="e">
        <f t="shared" si="55"/>
        <v>#VALUE!</v>
      </c>
      <c r="Q666" s="169" t="str">
        <f t="shared" si="53"/>
        <v>TEBAR TANDAN TENERA, PTNOV</v>
      </c>
    </row>
    <row r="667" spans="2:17" s="61" customFormat="1" ht="14.1" customHeight="1">
      <c r="B667" s="242"/>
      <c r="C667" s="268" t="e">
        <f>MATCH($B$611,INDEX(Master_Data!$B$186:$B$864,D666+1,1):'Master_Data'!$B$864,0)</f>
        <v>#N/A</v>
      </c>
      <c r="D667" s="268" t="e">
        <f t="shared" si="54"/>
        <v>#N/A</v>
      </c>
      <c r="E667" s="24">
        <v>57</v>
      </c>
      <c r="F667" s="22" t="e">
        <f>INDEX(Master_Data!$C$186:$L$864,D667,2)</f>
        <v>#N/A</v>
      </c>
      <c r="G667" s="24" t="e">
        <f>INDEX(Master_Data!$C$186:$L$864,D667,3)</f>
        <v>#N/A</v>
      </c>
      <c r="H667" s="24" t="e">
        <f>INDEX(Master_Data!$C$186:$L$864,D667,1)</f>
        <v>#N/A</v>
      </c>
      <c r="I667" s="24" t="e">
        <f>INDEX(Master_Data!$C$186:$L$864,D667,4)</f>
        <v>#N/A</v>
      </c>
      <c r="J667" s="24" t="e">
        <f>INDEX(Master_Data!$C$186:$L$864,D667,5)</f>
        <v>#N/A</v>
      </c>
      <c r="K667" s="136" t="e">
        <f>INDEX(Master_Data!$C$186:$L$864,D667,6)</f>
        <v>#N/A</v>
      </c>
      <c r="L667" s="140" t="e">
        <f>INDEX(Master_Data!$C$186:$L$864,D667,7)</f>
        <v>#N/A</v>
      </c>
      <c r="M667" s="140" t="e">
        <f>INDEX(Master_Data!$C$186:$L$864,D667,8)</f>
        <v>#N/A</v>
      </c>
      <c r="N667" s="264"/>
      <c r="O667" s="245" t="e">
        <f t="shared" si="55"/>
        <v>#N/A</v>
      </c>
      <c r="Q667" s="169" t="e">
        <f t="shared" si="53"/>
        <v>#N/A</v>
      </c>
    </row>
    <row r="668" spans="2:17" s="61" customFormat="1" ht="14.1" customHeight="1">
      <c r="B668" s="242"/>
      <c r="C668" s="268" t="e">
        <f>MATCH($B$611,INDEX(Master_Data!$B$186:$B$864,D667+1,1):'Master_Data'!$B$864,0)</f>
        <v>#N/A</v>
      </c>
      <c r="D668" s="268" t="e">
        <f t="shared" si="54"/>
        <v>#N/A</v>
      </c>
      <c r="E668" s="24">
        <v>58</v>
      </c>
      <c r="F668" s="22" t="e">
        <f>INDEX(Master_Data!$C$186:$L$864,D668,2)</f>
        <v>#N/A</v>
      </c>
      <c r="G668" s="24" t="e">
        <f>INDEX(Master_Data!$C$186:$L$864,D668,3)</f>
        <v>#N/A</v>
      </c>
      <c r="H668" s="24" t="e">
        <f>INDEX(Master_Data!$C$186:$L$864,D668,1)</f>
        <v>#N/A</v>
      </c>
      <c r="I668" s="24" t="e">
        <f>INDEX(Master_Data!$C$186:$L$864,D668,4)</f>
        <v>#N/A</v>
      </c>
      <c r="J668" s="24" t="e">
        <f>INDEX(Master_Data!$C$186:$L$864,D668,5)</f>
        <v>#N/A</v>
      </c>
      <c r="K668" s="136" t="e">
        <f>INDEX(Master_Data!$C$186:$L$864,D668,6)</f>
        <v>#N/A</v>
      </c>
      <c r="L668" s="140" t="e">
        <f>INDEX(Master_Data!$C$186:$L$864,D668,7)</f>
        <v>#N/A</v>
      </c>
      <c r="M668" s="140" t="e">
        <f>INDEX(Master_Data!$C$186:$L$864,D668,8)</f>
        <v>#N/A</v>
      </c>
      <c r="N668" s="264"/>
      <c r="O668" s="245" t="e">
        <f t="shared" si="55"/>
        <v>#N/A</v>
      </c>
      <c r="Q668" s="169" t="e">
        <f t="shared" si="53"/>
        <v>#N/A</v>
      </c>
    </row>
    <row r="669" spans="2:17" s="61" customFormat="1" ht="14.1" customHeight="1">
      <c r="B669" s="242"/>
      <c r="C669" s="268" t="e">
        <f>MATCH($B$611,INDEX(Master_Data!$B$186:$B$864,D668+1,1):'Master_Data'!$B$864,0)</f>
        <v>#N/A</v>
      </c>
      <c r="D669" s="268" t="e">
        <f t="shared" si="54"/>
        <v>#N/A</v>
      </c>
      <c r="E669" s="24">
        <v>59</v>
      </c>
      <c r="F669" s="22" t="e">
        <f>INDEX(Master_Data!$C$186:$L$864,D669,2)</f>
        <v>#N/A</v>
      </c>
      <c r="G669" s="24" t="e">
        <f>INDEX(Master_Data!$C$186:$L$864,D669,3)</f>
        <v>#N/A</v>
      </c>
      <c r="H669" s="24" t="e">
        <f>INDEX(Master_Data!$C$186:$L$864,D669,1)</f>
        <v>#N/A</v>
      </c>
      <c r="I669" s="24" t="e">
        <f>INDEX(Master_Data!$C$186:$L$864,D669,4)</f>
        <v>#N/A</v>
      </c>
      <c r="J669" s="24" t="e">
        <f>INDEX(Master_Data!$C$186:$L$864,D669,5)</f>
        <v>#N/A</v>
      </c>
      <c r="K669" s="136" t="e">
        <f>INDEX(Master_Data!$C$186:$L$864,D669,6)</f>
        <v>#N/A</v>
      </c>
      <c r="L669" s="140" t="e">
        <f>INDEX(Master_Data!$C$186:$L$864,D669,7)</f>
        <v>#N/A</v>
      </c>
      <c r="M669" s="140" t="e">
        <f>INDEX(Master_Data!$C$186:$L$864,D669,8)</f>
        <v>#N/A</v>
      </c>
      <c r="N669" s="264"/>
      <c r="O669" s="245" t="e">
        <f t="shared" si="55"/>
        <v>#N/A</v>
      </c>
      <c r="Q669" s="169" t="e">
        <f t="shared" si="53"/>
        <v>#N/A</v>
      </c>
    </row>
    <row r="670" spans="2:17" s="61" customFormat="1" ht="14.1" customHeight="1">
      <c r="B670" s="242"/>
      <c r="C670" s="268" t="e">
        <f>MATCH($B$611,INDEX(Master_Data!$B$186:$B$864,D669+1,1):'Master_Data'!$B$864,0)</f>
        <v>#N/A</v>
      </c>
      <c r="D670" s="268" t="e">
        <f t="shared" si="54"/>
        <v>#N/A</v>
      </c>
      <c r="E670" s="24">
        <v>60</v>
      </c>
      <c r="F670" s="22" t="e">
        <f>INDEX(Master_Data!$C$186:$L$864,D670,2)</f>
        <v>#N/A</v>
      </c>
      <c r="G670" s="24" t="e">
        <f>INDEX(Master_Data!$C$186:$L$864,D670,3)</f>
        <v>#N/A</v>
      </c>
      <c r="H670" s="24" t="e">
        <f>INDEX(Master_Data!$C$186:$L$864,D670,1)</f>
        <v>#N/A</v>
      </c>
      <c r="I670" s="24" t="e">
        <f>INDEX(Master_Data!$C$186:$L$864,D670,4)</f>
        <v>#N/A</v>
      </c>
      <c r="J670" s="24" t="e">
        <f>INDEX(Master_Data!$C$186:$L$864,D670,5)</f>
        <v>#N/A</v>
      </c>
      <c r="K670" s="136" t="e">
        <f>INDEX(Master_Data!$C$186:$L$864,D670,6)</f>
        <v>#N/A</v>
      </c>
      <c r="L670" s="140" t="e">
        <f>INDEX(Master_Data!$C$186:$L$864,D670,7)</f>
        <v>#N/A</v>
      </c>
      <c r="M670" s="140" t="e">
        <f>INDEX(Master_Data!$C$186:$L$864,D670,8)</f>
        <v>#N/A</v>
      </c>
      <c r="N670" s="264"/>
      <c r="O670" s="245" t="e">
        <f t="shared" si="55"/>
        <v>#N/A</v>
      </c>
      <c r="Q670" s="169" t="e">
        <f t="shared" si="53"/>
        <v>#N/A</v>
      </c>
    </row>
    <row r="671" spans="2:17" s="61" customFormat="1" ht="14.1" customHeight="1">
      <c r="B671" s="242"/>
      <c r="C671" s="268" t="e">
        <f>MATCH($B$611,INDEX(Master_Data!$B$186:$B$864,D670+1,1):'Master_Data'!$B$864,0)</f>
        <v>#N/A</v>
      </c>
      <c r="D671" s="268" t="e">
        <f t="shared" si="54"/>
        <v>#N/A</v>
      </c>
      <c r="E671" s="24">
        <v>61</v>
      </c>
      <c r="F671" s="22" t="e">
        <f>INDEX(Master_Data!$C$186:$L$864,D671,2)</f>
        <v>#N/A</v>
      </c>
      <c r="G671" s="24" t="e">
        <f>INDEX(Master_Data!$C$186:$L$864,D671,3)</f>
        <v>#N/A</v>
      </c>
      <c r="H671" s="24" t="e">
        <f>INDEX(Master_Data!$C$186:$L$864,D671,1)</f>
        <v>#N/A</v>
      </c>
      <c r="I671" s="24" t="e">
        <f>INDEX(Master_Data!$C$186:$L$864,D671,4)</f>
        <v>#N/A</v>
      </c>
      <c r="J671" s="24" t="e">
        <f>INDEX(Master_Data!$C$186:$L$864,D671,5)</f>
        <v>#N/A</v>
      </c>
      <c r="K671" s="136" t="e">
        <f>INDEX(Master_Data!$C$186:$L$864,D671,6)</f>
        <v>#N/A</v>
      </c>
      <c r="L671" s="140" t="e">
        <f>INDEX(Master_Data!$C$186:$L$864,D671,7)</f>
        <v>#N/A</v>
      </c>
      <c r="M671" s="140" t="e">
        <f>INDEX(Master_Data!$C$186:$L$864,D671,8)</f>
        <v>#N/A</v>
      </c>
      <c r="N671" s="264"/>
      <c r="O671" s="245" t="e">
        <f t="shared" si="55"/>
        <v>#N/A</v>
      </c>
      <c r="Q671" s="169" t="e">
        <f t="shared" si="53"/>
        <v>#N/A</v>
      </c>
    </row>
    <row r="672" spans="2:17" s="61" customFormat="1" ht="14.1" customHeight="1">
      <c r="B672" s="242"/>
      <c r="C672" s="268" t="e">
        <f>MATCH($B$611,INDEX(Master_Data!$B$186:$B$864,D671+1,1):'Master_Data'!$B$864,0)</f>
        <v>#N/A</v>
      </c>
      <c r="D672" s="268" t="e">
        <f t="shared" si="54"/>
        <v>#N/A</v>
      </c>
      <c r="E672" s="24">
        <v>62</v>
      </c>
      <c r="F672" s="22" t="e">
        <f>INDEX(Master_Data!$C$186:$L$864,D672,2)</f>
        <v>#N/A</v>
      </c>
      <c r="G672" s="24" t="e">
        <f>INDEX(Master_Data!$C$186:$L$864,D672,3)</f>
        <v>#N/A</v>
      </c>
      <c r="H672" s="24" t="e">
        <f>INDEX(Master_Data!$C$186:$L$864,D672,1)</f>
        <v>#N/A</v>
      </c>
      <c r="I672" s="24" t="e">
        <f>INDEX(Master_Data!$C$186:$L$864,D672,4)</f>
        <v>#N/A</v>
      </c>
      <c r="J672" s="24" t="e">
        <f>INDEX(Master_Data!$C$186:$L$864,D672,5)</f>
        <v>#N/A</v>
      </c>
      <c r="K672" s="136" t="e">
        <f>INDEX(Master_Data!$C$186:$L$864,D672,6)</f>
        <v>#N/A</v>
      </c>
      <c r="L672" s="140" t="e">
        <f>INDEX(Master_Data!$C$186:$L$864,D672,7)</f>
        <v>#N/A</v>
      </c>
      <c r="M672" s="140" t="e">
        <f>INDEX(Master_Data!$C$186:$L$864,D672,8)</f>
        <v>#N/A</v>
      </c>
      <c r="N672" s="264"/>
      <c r="O672" s="245" t="e">
        <f t="shared" si="55"/>
        <v>#N/A</v>
      </c>
      <c r="Q672" s="169" t="e">
        <f t="shared" si="53"/>
        <v>#N/A</v>
      </c>
    </row>
    <row r="673" spans="2:17" s="61" customFormat="1" ht="14.1" customHeight="1">
      <c r="B673" s="242"/>
      <c r="C673" s="268" t="e">
        <f>MATCH($B$611,INDEX(Master_Data!$B$186:$B$864,D672+1,1):'Master_Data'!$B$864,0)</f>
        <v>#N/A</v>
      </c>
      <c r="D673" s="268" t="e">
        <f t="shared" si="54"/>
        <v>#N/A</v>
      </c>
      <c r="E673" s="24">
        <v>63</v>
      </c>
      <c r="F673" s="22" t="e">
        <f>INDEX(Master_Data!$C$186:$L$864,D673,2)</f>
        <v>#N/A</v>
      </c>
      <c r="G673" s="24" t="e">
        <f>INDEX(Master_Data!$C$186:$L$864,D673,3)</f>
        <v>#N/A</v>
      </c>
      <c r="H673" s="24" t="e">
        <f>INDEX(Master_Data!$C$186:$L$864,D673,1)</f>
        <v>#N/A</v>
      </c>
      <c r="I673" s="24" t="e">
        <f>INDEX(Master_Data!$C$186:$L$864,D673,4)</f>
        <v>#N/A</v>
      </c>
      <c r="J673" s="24" t="e">
        <f>INDEX(Master_Data!$C$186:$L$864,D673,5)</f>
        <v>#N/A</v>
      </c>
      <c r="K673" s="136" t="e">
        <f>INDEX(Master_Data!$C$186:$L$864,D673,6)</f>
        <v>#N/A</v>
      </c>
      <c r="L673" s="140" t="e">
        <f>INDEX(Master_Data!$C$186:$L$864,D673,7)</f>
        <v>#N/A</v>
      </c>
      <c r="M673" s="140" t="e">
        <f>INDEX(Master_Data!$C$186:$L$864,D673,8)</f>
        <v>#N/A</v>
      </c>
      <c r="N673" s="264"/>
      <c r="O673" s="245" t="e">
        <f t="shared" si="55"/>
        <v>#N/A</v>
      </c>
      <c r="Q673" s="169" t="e">
        <f t="shared" si="53"/>
        <v>#N/A</v>
      </c>
    </row>
    <row r="674" spans="2:17" s="61" customFormat="1" ht="14.1" customHeight="1">
      <c r="B674" s="242"/>
      <c r="C674" s="268" t="e">
        <f>MATCH($B$611,INDEX(Master_Data!$B$186:$B$864,D673+1,1):'Master_Data'!$B$864,0)</f>
        <v>#N/A</v>
      </c>
      <c r="D674" s="268" t="e">
        <f>D673+C674</f>
        <v>#N/A</v>
      </c>
      <c r="E674" s="24">
        <v>64</v>
      </c>
      <c r="F674" s="22" t="e">
        <f>INDEX(Master_Data!$C$186:$L$864,D674,2)</f>
        <v>#N/A</v>
      </c>
      <c r="G674" s="24" t="e">
        <f>INDEX(Master_Data!$C$186:$L$864,D674,3)</f>
        <v>#N/A</v>
      </c>
      <c r="H674" s="24" t="e">
        <f>INDEX(Master_Data!$C$186:$L$864,D674,1)</f>
        <v>#N/A</v>
      </c>
      <c r="I674" s="24" t="e">
        <f>INDEX(Master_Data!$C$186:$L$864,D674,4)</f>
        <v>#N/A</v>
      </c>
      <c r="J674" s="24" t="e">
        <f>INDEX(Master_Data!$C$186:$L$864,D674,5)</f>
        <v>#N/A</v>
      </c>
      <c r="K674" s="136" t="e">
        <f>INDEX(Master_Data!$C$186:$L$864,D674,6)</f>
        <v>#N/A</v>
      </c>
      <c r="L674" s="140" t="e">
        <f>INDEX(Master_Data!$C$186:$L$864,D674,7)</f>
        <v>#N/A</v>
      </c>
      <c r="M674" s="140" t="e">
        <f>INDEX(Master_Data!$C$186:$L$864,D674,8)</f>
        <v>#N/A</v>
      </c>
      <c r="N674" s="264"/>
      <c r="O674" s="245" t="e">
        <f>L674+M674</f>
        <v>#N/A</v>
      </c>
      <c r="Q674" s="169" t="e">
        <f t="shared" si="53"/>
        <v>#N/A</v>
      </c>
    </row>
    <row r="675" spans="2:17" ht="20.25" customHeight="1">
      <c r="B675" s="1758" t="s">
        <v>7</v>
      </c>
      <c r="C675" s="1758"/>
      <c r="D675" s="1758"/>
      <c r="E675" s="1758"/>
      <c r="F675" s="1758"/>
      <c r="G675" s="1758"/>
      <c r="H675" s="1758"/>
      <c r="I675" s="1758"/>
      <c r="J675" s="1758"/>
      <c r="K675" s="12" t="e">
        <f>SUM(K611:K674)</f>
        <v>#N/A</v>
      </c>
      <c r="L675" s="142" t="e">
        <f>SUM(L611:L674)</f>
        <v>#N/A</v>
      </c>
      <c r="M675" s="142" t="e">
        <f>SUM(M611:M674)</f>
        <v>#N/A</v>
      </c>
      <c r="N675" s="12">
        <f>SUM(N611:N674)</f>
        <v>0</v>
      </c>
      <c r="O675" s="13" t="e">
        <f>SUM(O611:O674)</f>
        <v>#VALUE!</v>
      </c>
    </row>
    <row r="677" spans="2:17" s="7" customFormat="1" ht="15" customHeight="1">
      <c r="B677" s="1759" t="s">
        <v>198</v>
      </c>
      <c r="C677" s="1760" t="s">
        <v>200</v>
      </c>
      <c r="D677" s="1760"/>
      <c r="E677" s="1759" t="s">
        <v>6</v>
      </c>
      <c r="F677" s="1758" t="s">
        <v>3</v>
      </c>
      <c r="G677" s="1761" t="s">
        <v>141</v>
      </c>
      <c r="H677" s="1758" t="s">
        <v>1617</v>
      </c>
      <c r="I677" s="1758"/>
      <c r="J677" s="1758"/>
      <c r="K677" s="1758"/>
      <c r="L677" s="1758"/>
      <c r="M677" s="1758"/>
      <c r="N677" s="1758"/>
      <c r="O677" s="1758"/>
    </row>
    <row r="678" spans="2:17" s="7" customFormat="1" ht="15" customHeight="1">
      <c r="B678" s="1759"/>
      <c r="C678" s="1764" t="s">
        <v>196</v>
      </c>
      <c r="D678" s="1764" t="s">
        <v>197</v>
      </c>
      <c r="E678" s="1759"/>
      <c r="F678" s="1758"/>
      <c r="G678" s="1762"/>
      <c r="H678" s="1766" t="s">
        <v>15</v>
      </c>
      <c r="I678" s="1766" t="s">
        <v>51</v>
      </c>
      <c r="J678" s="1766" t="s">
        <v>12</v>
      </c>
      <c r="K678" s="1768" t="s">
        <v>11</v>
      </c>
      <c r="L678" s="1768" t="s">
        <v>53</v>
      </c>
      <c r="M678" s="1768" t="s">
        <v>1</v>
      </c>
      <c r="N678" s="1770" t="s">
        <v>50</v>
      </c>
      <c r="O678" s="1770"/>
    </row>
    <row r="679" spans="2:17" s="7" customFormat="1">
      <c r="B679" s="1759"/>
      <c r="C679" s="1765"/>
      <c r="D679" s="1765"/>
      <c r="E679" s="1759"/>
      <c r="F679" s="1758"/>
      <c r="G679" s="1763"/>
      <c r="H679" s="1767"/>
      <c r="I679" s="1767"/>
      <c r="J679" s="1767"/>
      <c r="K679" s="1769"/>
      <c r="L679" s="1769"/>
      <c r="M679" s="1769"/>
      <c r="N679" s="505" t="s">
        <v>54</v>
      </c>
      <c r="O679" s="505" t="s">
        <v>55</v>
      </c>
      <c r="Q679" s="168" t="s">
        <v>235</v>
      </c>
    </row>
    <row r="680" spans="2:17" s="7" customFormat="1" ht="14.1" customHeight="1">
      <c r="B680" s="337" t="s">
        <v>140</v>
      </c>
      <c r="C680" s="151">
        <f>MATCH(B680,Master_Data!$B$186:$B$864,0)</f>
        <v>24</v>
      </c>
      <c r="D680" s="151">
        <f>C680</f>
        <v>24</v>
      </c>
      <c r="E680" s="20">
        <v>1</v>
      </c>
      <c r="F680" s="75" t="str">
        <f>INDEX(Master_Data!$C$186:$L$864,D680,2)</f>
        <v>DUTA TAMBANG REKAYASA, PT</v>
      </c>
      <c r="G680" s="20" t="str">
        <f>INDEX(Master_Data!$C$186:$L$864,D680,3)</f>
        <v>W</v>
      </c>
      <c r="H680" s="20">
        <f>INDEX(Master_Data!$C$186:$L$864,D680,1)</f>
        <v>7</v>
      </c>
      <c r="I680" s="20" t="str">
        <f>INDEX(Master_Data!$C$186:$L$864,D680,4)</f>
        <v>WDL 4 Mbps Site Sebakis Nunukan</v>
      </c>
      <c r="J680" s="20" t="str">
        <f>INDEX(Master_Data!$C$186:$L$864,D680,5)</f>
        <v>NOVEMBER</v>
      </c>
      <c r="K680" s="134" t="str">
        <f>INDEX(Master_Data!$C$186:$L$864,D680,6)</f>
        <v>17-007/BKU-004/XII/243</v>
      </c>
      <c r="L680" s="139" t="str">
        <f>INDEX(Master_Data!$C$186:$L$864,D680,7)</f>
        <v>010.020-17.90411070</v>
      </c>
      <c r="M680" s="139">
        <f>INDEX(Master_Data!$C$186:$L$864,D680,8)</f>
        <v>0</v>
      </c>
      <c r="N680" s="266"/>
      <c r="O680" s="272" t="e">
        <f>L680+M680</f>
        <v>#VALUE!</v>
      </c>
      <c r="Q680" s="169" t="str">
        <f>CONCATENATE(F680,$B$680)</f>
        <v>DUTA TAMBANG REKAYASA, PTDES</v>
      </c>
    </row>
    <row r="681" spans="2:17" s="61" customFormat="1" ht="14.1" customHeight="1">
      <c r="B681" s="338"/>
      <c r="C681" s="268">
        <f>MATCH($B$680,INDEX(Master_Data!$B$186:$B$864,D680+1,1):'Master_Data'!$B$864,0)</f>
        <v>15</v>
      </c>
      <c r="D681" s="268">
        <f>D680+C681</f>
        <v>39</v>
      </c>
      <c r="E681" s="54">
        <v>2</v>
      </c>
      <c r="F681" s="22" t="str">
        <f>INDEX(Master_Data!$C$186:$L$864,D681,2)</f>
        <v>EXPANS PETROGAS INTRANUSA, PT</v>
      </c>
      <c r="G681" s="24" t="str">
        <f>INDEX(Master_Data!$C$186:$L$864,D681,3)</f>
        <v>V</v>
      </c>
      <c r="H681" s="24">
        <f>INDEX(Master_Data!$C$186:$L$864,D681,1)</f>
        <v>7</v>
      </c>
      <c r="I681" s="24" t="str">
        <f>INDEX(Master_Data!$C$186:$L$864,D681,4)</f>
        <v>Sewa Perangkat VSAT Site Rig 9 Drilling</v>
      </c>
      <c r="J681" s="24" t="str">
        <f>INDEX(Master_Data!$C$186:$L$864,D681,5)</f>
        <v>15 okt-15 Nov</v>
      </c>
      <c r="K681" s="136" t="str">
        <f>INDEX(Master_Data!$C$186:$L$864,D681,6)</f>
        <v>17-008/BKU-004/XII/189</v>
      </c>
      <c r="L681" s="140" t="str">
        <f>INDEX(Master_Data!$C$186:$L$864,D681,7)</f>
        <v>010.020-17.90411069</v>
      </c>
      <c r="M681" s="140">
        <f>INDEX(Master_Data!$C$186:$L$864,D681,8)</f>
        <v>0</v>
      </c>
      <c r="N681" s="264"/>
      <c r="O681" s="245" t="e">
        <f t="shared" ref="O681:O690" si="56">L681+M681</f>
        <v>#VALUE!</v>
      </c>
      <c r="Q681" s="169" t="str">
        <f t="shared" ref="Q681:Q743" si="57">CONCATENATE(F681,$B$680)</f>
        <v>EXPANS PETROGAS INTRANUSA, PTDES</v>
      </c>
    </row>
    <row r="682" spans="2:17" s="61" customFormat="1" ht="14.1" customHeight="1">
      <c r="B682" s="338"/>
      <c r="C682" s="268">
        <f>MATCH($B$680,INDEX(Master_Data!$B$186:$B$864,D681+1,1):'Master_Data'!$B$864,0)</f>
        <v>84</v>
      </c>
      <c r="D682" s="268">
        <f t="shared" ref="D682:D742" si="58">D681+C682</f>
        <v>123</v>
      </c>
      <c r="E682" s="24">
        <v>3</v>
      </c>
      <c r="F682" s="22" t="str">
        <f>INDEX(Master_Data!$C$186:$L$864,D682,2)</f>
        <v>HARMONI PANCA UTAMA, PT</v>
      </c>
      <c r="G682" s="24" t="str">
        <f>INDEX(Master_Data!$C$186:$L$864,D682,3)</f>
        <v>M</v>
      </c>
      <c r="H682" s="24">
        <f>INDEX(Master_Data!$C$186:$L$864,D682,1)</f>
        <v>12</v>
      </c>
      <c r="I682" s="24" t="str">
        <f>INDEX(Master_Data!$C$186:$L$864,D682,4)</f>
        <v>MPLS 5 Mbps Site Head Office</v>
      </c>
      <c r="J682" s="24" t="str">
        <f>INDEX(Master_Data!$C$186:$L$864,D682,5)</f>
        <v>NOVEMBER</v>
      </c>
      <c r="K682" s="136" t="str">
        <f>INDEX(Master_Data!$C$186:$L$864,D682,6)</f>
        <v>17-084/BKU-004/XII/159</v>
      </c>
      <c r="L682" s="140" t="str">
        <f>INDEX(Master_Data!$C$186:$L$864,D682,7)</f>
        <v>010.020-17.90411093</v>
      </c>
      <c r="M682" s="140">
        <f>INDEX(Master_Data!$C$186:$L$864,D682,8)</f>
        <v>0</v>
      </c>
      <c r="N682" s="264"/>
      <c r="O682" s="245" t="e">
        <f t="shared" si="56"/>
        <v>#VALUE!</v>
      </c>
      <c r="Q682" s="169" t="str">
        <f t="shared" si="57"/>
        <v>HARMONI PANCA UTAMA, PTDES</v>
      </c>
    </row>
    <row r="683" spans="2:17" s="61" customFormat="1" ht="14.1" customHeight="1">
      <c r="B683" s="338"/>
      <c r="C683" s="268">
        <f>MATCH($B$680,INDEX(Master_Data!$B$186:$B$864,D682+1,1):'Master_Data'!$B$864,0)</f>
        <v>1</v>
      </c>
      <c r="D683" s="268">
        <f t="shared" si="58"/>
        <v>124</v>
      </c>
      <c r="E683" s="54">
        <v>4</v>
      </c>
      <c r="F683" s="22" t="str">
        <f>INDEX(Master_Data!$C$186:$L$864,D683,2)</f>
        <v>HARMONI PANCA UTAMA, PT</v>
      </c>
      <c r="G683" s="24" t="str">
        <f>INDEX(Master_Data!$C$186:$L$864,D683,3)</f>
        <v>M</v>
      </c>
      <c r="H683" s="24">
        <f>INDEX(Master_Data!$C$186:$L$864,D683,1)</f>
        <v>12</v>
      </c>
      <c r="I683" s="24" t="str">
        <f>INDEX(Master_Data!$C$186:$L$864,D683,4)</f>
        <v>MPLS 512 Kbps Site PDU</v>
      </c>
      <c r="J683" s="24" t="str">
        <f>INDEX(Master_Data!$C$186:$L$864,D683,5)</f>
        <v>NOVEMBER</v>
      </c>
      <c r="K683" s="136" t="str">
        <f>INDEX(Master_Data!$C$186:$L$864,D683,6)</f>
        <v>17-085/BKU-004/XII/159</v>
      </c>
      <c r="L683" s="140" t="str">
        <f>INDEX(Master_Data!$C$186:$L$864,D683,7)</f>
        <v>010.020-17.90411094</v>
      </c>
      <c r="M683" s="140">
        <f>INDEX(Master_Data!$C$186:$L$864,D683,8)</f>
        <v>0</v>
      </c>
      <c r="N683" s="264"/>
      <c r="O683" s="245" t="e">
        <f t="shared" si="56"/>
        <v>#VALUE!</v>
      </c>
      <c r="Q683" s="169" t="str">
        <f t="shared" si="57"/>
        <v>HARMONI PANCA UTAMA, PTDES</v>
      </c>
    </row>
    <row r="684" spans="2:17" s="61" customFormat="1" ht="14.1" customHeight="1">
      <c r="B684" s="338"/>
      <c r="C684" s="268">
        <f>MATCH($B$680,INDEX(Master_Data!$B$186:$B$864,D683+1,1):'Master_Data'!$B$864,0)</f>
        <v>1</v>
      </c>
      <c r="D684" s="268">
        <f t="shared" si="58"/>
        <v>125</v>
      </c>
      <c r="E684" s="24">
        <v>5</v>
      </c>
      <c r="F684" s="22" t="str">
        <f>INDEX(Master_Data!$C$186:$L$864,D684,2)</f>
        <v>HARMONI PANCA UTAMA, PT</v>
      </c>
      <c r="G684" s="24" t="str">
        <f>INDEX(Master_Data!$C$186:$L$864,D684,3)</f>
        <v>M</v>
      </c>
      <c r="H684" s="24">
        <f>INDEX(Master_Data!$C$186:$L$864,D684,1)</f>
        <v>12</v>
      </c>
      <c r="I684" s="24" t="str">
        <f>INDEX(Master_Data!$C$186:$L$864,D684,4)</f>
        <v>MPLS 1 Mbps Site DMI</v>
      </c>
      <c r="J684" s="24" t="str">
        <f>INDEX(Master_Data!$C$186:$L$864,D684,5)</f>
        <v>NOVEMBER</v>
      </c>
      <c r="K684" s="136" t="str">
        <f>INDEX(Master_Data!$C$186:$L$864,D684,6)</f>
        <v>17-086/BKU-004/XII/159</v>
      </c>
      <c r="L684" s="140" t="str">
        <f>INDEX(Master_Data!$C$186:$L$864,D684,7)</f>
        <v>010.020-17.90411095</v>
      </c>
      <c r="M684" s="140">
        <f>INDEX(Master_Data!$C$186:$L$864,D684,8)</f>
        <v>0</v>
      </c>
      <c r="N684" s="264"/>
      <c r="O684" s="245" t="e">
        <f t="shared" si="56"/>
        <v>#VALUE!</v>
      </c>
      <c r="Q684" s="169" t="str">
        <f t="shared" si="57"/>
        <v>HARMONI PANCA UTAMA, PTDES</v>
      </c>
    </row>
    <row r="685" spans="2:17" s="61" customFormat="1" ht="14.1" customHeight="1">
      <c r="B685" s="338"/>
      <c r="C685" s="268">
        <f>MATCH($B$680,INDEX(Master_Data!$B$186:$B$864,D684+1,1):'Master_Data'!$B$864,0)</f>
        <v>1</v>
      </c>
      <c r="D685" s="268">
        <f t="shared" si="58"/>
        <v>126</v>
      </c>
      <c r="E685" s="54">
        <v>6</v>
      </c>
      <c r="F685" s="22" t="str">
        <f>INDEX(Master_Data!$C$186:$L$864,D685,2)</f>
        <v>HARMONI PANCA UTAMA, PT</v>
      </c>
      <c r="G685" s="24" t="str">
        <f>INDEX(Master_Data!$C$186:$L$864,D685,3)</f>
        <v>M</v>
      </c>
      <c r="H685" s="24">
        <f>INDEX(Master_Data!$C$186:$L$864,D685,1)</f>
        <v>12</v>
      </c>
      <c r="I685" s="24" t="str">
        <f>INDEX(Master_Data!$C$186:$L$864,D685,4)</f>
        <v>MPLS 512 Kbps Site Sekayan</v>
      </c>
      <c r="J685" s="24" t="str">
        <f>INDEX(Master_Data!$C$186:$L$864,D685,5)</f>
        <v>NOVEMBER</v>
      </c>
      <c r="K685" s="136" t="str">
        <f>INDEX(Master_Data!$C$186:$L$864,D685,6)</f>
        <v>17-087/BKU-004/XII/159</v>
      </c>
      <c r="L685" s="140" t="str">
        <f>INDEX(Master_Data!$C$186:$L$864,D685,7)</f>
        <v>010.020-17.90411096</v>
      </c>
      <c r="M685" s="140">
        <f>INDEX(Master_Data!$C$186:$L$864,D685,8)</f>
        <v>0</v>
      </c>
      <c r="N685" s="264"/>
      <c r="O685" s="245" t="e">
        <f t="shared" si="56"/>
        <v>#VALUE!</v>
      </c>
      <c r="Q685" s="169" t="str">
        <f t="shared" si="57"/>
        <v>HARMONI PANCA UTAMA, PTDES</v>
      </c>
    </row>
    <row r="686" spans="2:17" s="61" customFormat="1" ht="14.1" customHeight="1">
      <c r="B686" s="338"/>
      <c r="C686" s="268">
        <f>MATCH($B$680,INDEX(Master_Data!$B$186:$B$864,D685+1,1):'Master_Data'!$B$864,0)</f>
        <v>1</v>
      </c>
      <c r="D686" s="268">
        <f t="shared" si="58"/>
        <v>127</v>
      </c>
      <c r="E686" s="24">
        <v>7</v>
      </c>
      <c r="F686" s="22" t="str">
        <f>INDEX(Master_Data!$C$186:$L$864,D686,2)</f>
        <v>HARMONI PANCA UTAMA, PT</v>
      </c>
      <c r="G686" s="24" t="str">
        <f>INDEX(Master_Data!$C$186:$L$864,D686,3)</f>
        <v>V</v>
      </c>
      <c r="H686" s="24">
        <f>INDEX(Master_Data!$C$186:$L$864,D686,1)</f>
        <v>12</v>
      </c>
      <c r="I686" s="24" t="str">
        <f>INDEX(Master_Data!$C$186:$L$864,D686,4)</f>
        <v>Sewa VSAT SCPC 512/768 Kbps Site MGA Office</v>
      </c>
      <c r="J686" s="24" t="str">
        <f>INDEX(Master_Data!$C$186:$L$864,D686,5)</f>
        <v>NOVEMBER</v>
      </c>
      <c r="K686" s="136" t="str">
        <f>INDEX(Master_Data!$C$186:$L$864,D686,6)</f>
        <v>17-088/BKU-004/XII/159</v>
      </c>
      <c r="L686" s="140" t="str">
        <f>INDEX(Master_Data!$C$186:$L$864,D686,7)</f>
        <v>010.020-17.90411097</v>
      </c>
      <c r="M686" s="140">
        <f>INDEX(Master_Data!$C$186:$L$864,D686,8)</f>
        <v>0</v>
      </c>
      <c r="N686" s="264"/>
      <c r="O686" s="245" t="e">
        <f t="shared" si="56"/>
        <v>#VALUE!</v>
      </c>
      <c r="Q686" s="169" t="str">
        <f t="shared" si="57"/>
        <v>HARMONI PANCA UTAMA, PTDES</v>
      </c>
    </row>
    <row r="687" spans="2:17" s="61" customFormat="1" ht="14.1" customHeight="1">
      <c r="B687" s="338"/>
      <c r="C687" s="268">
        <f>MATCH($B$680,INDEX(Master_Data!$B$186:$B$864,D686+1,1):'Master_Data'!$B$864,0)</f>
        <v>1</v>
      </c>
      <c r="D687" s="268">
        <f t="shared" si="58"/>
        <v>128</v>
      </c>
      <c r="E687" s="54">
        <v>8</v>
      </c>
      <c r="F687" s="22" t="str">
        <f>INDEX(Master_Data!$C$186:$L$864,D687,2)</f>
        <v>HARMONI PANCA UTAMA, PT</v>
      </c>
      <c r="G687" s="24" t="str">
        <f>INDEX(Master_Data!$C$186:$L$864,D687,3)</f>
        <v>V</v>
      </c>
      <c r="H687" s="24">
        <f>INDEX(Master_Data!$C$186:$L$864,D687,1)</f>
        <v>12</v>
      </c>
      <c r="I687" s="24" t="str">
        <f>INDEX(Master_Data!$C$186:$L$864,D687,4)</f>
        <v>Sewa VSAT 128/256 Kbps Site RUB Ex PPA</v>
      </c>
      <c r="J687" s="24" t="str">
        <f>INDEX(Master_Data!$C$186:$L$864,D687,5)</f>
        <v>NOVEMBER</v>
      </c>
      <c r="K687" s="136" t="str">
        <f>INDEX(Master_Data!$C$186:$L$864,D687,6)</f>
        <v>17-089/BKU-004/XII/159</v>
      </c>
      <c r="L687" s="140" t="str">
        <f>INDEX(Master_Data!$C$186:$L$864,D687,7)</f>
        <v>010.020-17.90411098</v>
      </c>
      <c r="M687" s="140">
        <f>INDEX(Master_Data!$C$186:$L$864,D687,8)</f>
        <v>0</v>
      </c>
      <c r="N687" s="264"/>
      <c r="O687" s="245" t="e">
        <f t="shared" si="56"/>
        <v>#VALUE!</v>
      </c>
      <c r="Q687" s="169" t="str">
        <f t="shared" si="57"/>
        <v>HARMONI PANCA UTAMA, PTDES</v>
      </c>
    </row>
    <row r="688" spans="2:17" s="61" customFormat="1" ht="14.1" customHeight="1">
      <c r="B688" s="338"/>
      <c r="C688" s="268">
        <f>MATCH($B$680,INDEX(Master_Data!$B$186:$B$864,D687+1,1):'Master_Data'!$B$864,0)</f>
        <v>1</v>
      </c>
      <c r="D688" s="268">
        <f t="shared" si="58"/>
        <v>129</v>
      </c>
      <c r="E688" s="24">
        <v>9</v>
      </c>
      <c r="F688" s="22" t="str">
        <f>INDEX(Master_Data!$C$186:$L$864,D688,2)</f>
        <v>HARMONI PANCA UTAMA, PT</v>
      </c>
      <c r="G688" s="24" t="str">
        <f>INDEX(Master_Data!$C$186:$L$864,D688,3)</f>
        <v>V</v>
      </c>
      <c r="H688" s="24">
        <f>INDEX(Master_Data!$C$186:$L$864,D688,1)</f>
        <v>12</v>
      </c>
      <c r="I688" s="24" t="str">
        <f>INDEX(Master_Data!$C$186:$L$864,D688,4)</f>
        <v>Sewa VSAT SCPC 512/256 Kbps Site KMO</v>
      </c>
      <c r="J688" s="24" t="str">
        <f>INDEX(Master_Data!$C$186:$L$864,D688,5)</f>
        <v>NOVEMBER</v>
      </c>
      <c r="K688" s="136" t="str">
        <f>INDEX(Master_Data!$C$186:$L$864,D688,6)</f>
        <v>17-090/BKU-004/XII/159</v>
      </c>
      <c r="L688" s="140" t="str">
        <f>INDEX(Master_Data!$C$186:$L$864,D688,7)</f>
        <v>010.020-17.90411099</v>
      </c>
      <c r="M688" s="140">
        <f>INDEX(Master_Data!$C$186:$L$864,D688,8)</f>
        <v>0</v>
      </c>
      <c r="N688" s="264"/>
      <c r="O688" s="245" t="e">
        <f t="shared" si="56"/>
        <v>#VALUE!</v>
      </c>
      <c r="Q688" s="169" t="str">
        <f t="shared" si="57"/>
        <v>HARMONI PANCA UTAMA, PTDES</v>
      </c>
    </row>
    <row r="689" spans="2:17" s="61" customFormat="1" ht="14.1" customHeight="1">
      <c r="B689" s="338"/>
      <c r="C689" s="268">
        <f>MATCH($B$680,INDEX(Master_Data!$B$186:$B$864,D688+1,1):'Master_Data'!$B$864,0)</f>
        <v>1</v>
      </c>
      <c r="D689" s="268">
        <f t="shared" si="58"/>
        <v>130</v>
      </c>
      <c r="E689" s="54">
        <v>10</v>
      </c>
      <c r="F689" s="22" t="str">
        <f>INDEX(Master_Data!$C$186:$L$864,D689,2)</f>
        <v>HARMONI PANCA UTAMA, PT</v>
      </c>
      <c r="G689" s="24" t="str">
        <f>INDEX(Master_Data!$C$186:$L$864,D689,3)</f>
        <v>V</v>
      </c>
      <c r="H689" s="24">
        <f>INDEX(Master_Data!$C$186:$L$864,D689,1)</f>
        <v>12</v>
      </c>
      <c r="I689" s="24" t="str">
        <f>INDEX(Master_Data!$C$186:$L$864,D689,4)</f>
        <v xml:space="preserve">Sewa VSAT 256/128 Kbps Site KMO (PORT) Kelubir </v>
      </c>
      <c r="J689" s="24" t="str">
        <f>INDEX(Master_Data!$C$186:$L$864,D689,5)</f>
        <v>NOVEMBER</v>
      </c>
      <c r="K689" s="136" t="str">
        <f>INDEX(Master_Data!$C$186:$L$864,D689,6)</f>
        <v>17-091/BKU-004/XII/159</v>
      </c>
      <c r="L689" s="140" t="str">
        <f>INDEX(Master_Data!$C$186:$L$864,D689,7)</f>
        <v>010.020-17.90411100</v>
      </c>
      <c r="M689" s="140">
        <f>INDEX(Master_Data!$C$186:$L$864,D689,8)</f>
        <v>0</v>
      </c>
      <c r="N689" s="264"/>
      <c r="O689" s="245" t="e">
        <f t="shared" si="56"/>
        <v>#VALUE!</v>
      </c>
      <c r="Q689" s="169" t="str">
        <f t="shared" si="57"/>
        <v>HARMONI PANCA UTAMA, PTDES</v>
      </c>
    </row>
    <row r="690" spans="2:17" s="61" customFormat="1" ht="14.1" customHeight="1">
      <c r="B690" s="338"/>
      <c r="C690" s="268">
        <f>MATCH($B$680,INDEX(Master_Data!$B$186:$B$864,D689+1,1):'Master_Data'!$B$864,0)</f>
        <v>1</v>
      </c>
      <c r="D690" s="268">
        <f t="shared" si="58"/>
        <v>131</v>
      </c>
      <c r="E690" s="24">
        <v>11</v>
      </c>
      <c r="F690" s="22" t="str">
        <f>INDEX(Master_Data!$C$186:$L$864,D690,2)</f>
        <v>HARMONI PANCA UTAMA, PT</v>
      </c>
      <c r="G690" s="24" t="str">
        <f>INDEX(Master_Data!$C$186:$L$864,D690,3)</f>
        <v>V</v>
      </c>
      <c r="H690" s="24">
        <f>INDEX(Master_Data!$C$186:$L$864,D690,1)</f>
        <v>12</v>
      </c>
      <c r="I690" s="24" t="str">
        <f>INDEX(Master_Data!$C$186:$L$864,D690,4)</f>
        <v>Jasa Instalasi VSAT 512/256 Site KUP</v>
      </c>
      <c r="J690" s="24" t="str">
        <f>INDEX(Master_Data!$C$186:$L$864,D690,5)</f>
        <v>4 Des 2017</v>
      </c>
      <c r="K690" s="136" t="str">
        <f>INDEX(Master_Data!$C$186:$L$864,D690,6)</f>
        <v>17-092/BKU-004/XII/159</v>
      </c>
      <c r="L690" s="140" t="str">
        <f>INDEX(Master_Data!$C$186:$L$864,D690,7)</f>
        <v>010.020-17.90411101</v>
      </c>
      <c r="M690" s="140">
        <f>INDEX(Master_Data!$C$186:$L$864,D690,8)</f>
        <v>0</v>
      </c>
      <c r="N690" s="264"/>
      <c r="O690" s="245" t="e">
        <f t="shared" si="56"/>
        <v>#VALUE!</v>
      </c>
      <c r="Q690" s="169" t="str">
        <f t="shared" si="57"/>
        <v>HARMONI PANCA UTAMA, PTDES</v>
      </c>
    </row>
    <row r="691" spans="2:17" s="61" customFormat="1" ht="14.1" customHeight="1">
      <c r="B691" s="338"/>
      <c r="C691" s="268">
        <f>MATCH($B$680,INDEX(Master_Data!$B$186:$B$864,D690+1,1):'Master_Data'!$B$864,0)</f>
        <v>1</v>
      </c>
      <c r="D691" s="268">
        <f t="shared" si="58"/>
        <v>132</v>
      </c>
      <c r="E691" s="54">
        <v>12</v>
      </c>
      <c r="F691" s="22" t="str">
        <f>INDEX(Master_Data!$C$186:$L$864,D691,2)</f>
        <v>HARMONI PANCA UTAMA, PT</v>
      </c>
      <c r="G691" s="24">
        <f>INDEX(Master_Data!$C$186:$L$864,D691,3)</f>
        <v>0</v>
      </c>
      <c r="H691" s="24">
        <f>INDEX(Master_Data!$C$186:$L$864,D691,1)</f>
        <v>12</v>
      </c>
      <c r="I691" s="24" t="str">
        <f>INDEX(Master_Data!$C$186:$L$864,D691,4)</f>
        <v>Reimbursement Instalasi VSAT Site KUP</v>
      </c>
      <c r="J691" s="24" t="str">
        <f>INDEX(Master_Data!$C$186:$L$864,D691,5)</f>
        <v>29 Nov-6 Des</v>
      </c>
      <c r="K691" s="136" t="str">
        <f>INDEX(Master_Data!$C$186:$L$864,D691,6)</f>
        <v>17-093/BKU-004/XII/159</v>
      </c>
      <c r="L691" s="140" t="str">
        <f>INDEX(Master_Data!$C$186:$L$864,D691,7)</f>
        <v>-</v>
      </c>
      <c r="M691" s="140">
        <f>INDEX(Master_Data!$C$186:$L$864,D691,8)</f>
        <v>0</v>
      </c>
      <c r="N691" s="149"/>
      <c r="O691" s="245" t="e">
        <f>L691+M691</f>
        <v>#VALUE!</v>
      </c>
      <c r="Q691" s="169" t="str">
        <f t="shared" si="57"/>
        <v>HARMONI PANCA UTAMA, PTDES</v>
      </c>
    </row>
    <row r="692" spans="2:17" s="61" customFormat="1" ht="14.1" customHeight="1">
      <c r="B692" s="338"/>
      <c r="C692" s="268">
        <f>MATCH($B$680,INDEX(Master_Data!$B$186:$B$864,D691+1,1):'Master_Data'!$B$864,0)</f>
        <v>39</v>
      </c>
      <c r="D692" s="268">
        <f t="shared" si="58"/>
        <v>171</v>
      </c>
      <c r="E692" s="24">
        <v>13</v>
      </c>
      <c r="F692" s="22" t="str">
        <f>INDEX(Master_Data!$C$186:$L$864,D692,2)</f>
        <v>HASTA PANCA MANDIRI UTAMA, PT</v>
      </c>
      <c r="G692" s="24" t="str">
        <f>INDEX(Master_Data!$C$186:$L$864,D692,3)</f>
        <v>V</v>
      </c>
      <c r="H692" s="24">
        <f>INDEX(Master_Data!$C$186:$L$864,D692,1)</f>
        <v>12</v>
      </c>
      <c r="I692" s="24" t="str">
        <f>INDEX(Master_Data!$C$186:$L$864,D692,4)</f>
        <v>Sewa VSAT SCPC 896/384 Kbps Site OBI Halmahera</v>
      </c>
      <c r="J692" s="24" t="str">
        <f>INDEX(Master_Data!$C$186:$L$864,D692,5)</f>
        <v>NOVEMBER</v>
      </c>
      <c r="K692" s="136" t="str">
        <f>INDEX(Master_Data!$C$186:$L$864,D692,6)</f>
        <v>17-039/BKU-004/XII/179</v>
      </c>
      <c r="L692" s="140" t="str">
        <f>INDEX(Master_Data!$C$186:$L$864,D692,7)</f>
        <v>010.020-17.90411088</v>
      </c>
      <c r="M692" s="140">
        <f>INDEX(Master_Data!$C$186:$L$864,D692,8)</f>
        <v>0</v>
      </c>
      <c r="N692" s="264"/>
      <c r="O692" s="245" t="e">
        <f t="shared" ref="O692:O742" si="59">L692+M692</f>
        <v>#VALUE!</v>
      </c>
      <c r="Q692" s="169" t="str">
        <f t="shared" si="57"/>
        <v>HASTA PANCA MANDIRI UTAMA, PTDES</v>
      </c>
    </row>
    <row r="693" spans="2:17" s="61" customFormat="1" ht="14.1" customHeight="1">
      <c r="B693" s="242"/>
      <c r="C693" s="268">
        <f>MATCH($B$680,INDEX(Master_Data!$B$186:$B$864,D692+1,1):'Master_Data'!$B$864,0)</f>
        <v>1</v>
      </c>
      <c r="D693" s="268">
        <f t="shared" si="58"/>
        <v>172</v>
      </c>
      <c r="E693" s="54">
        <v>14</v>
      </c>
      <c r="F693" s="22" t="str">
        <f>INDEX(Master_Data!$C$186:$L$864,D693,2)</f>
        <v>HASTA PANCA MANDIRI UTAMA, PT</v>
      </c>
      <c r="G693" s="24" t="str">
        <f>INDEX(Master_Data!$C$186:$L$864,D693,3)</f>
        <v>V</v>
      </c>
      <c r="H693" s="24">
        <f>INDEX(Master_Data!$C$186:$L$864,D693,1)</f>
        <v>12</v>
      </c>
      <c r="I693" s="24" t="str">
        <f>INDEX(Master_Data!$C$186:$L$864,D693,4)</f>
        <v xml:space="preserve">Sewa VSAT SCPC 512/256 Kbps Site AMO Malinau </v>
      </c>
      <c r="J693" s="24" t="str">
        <f>INDEX(Master_Data!$C$186:$L$864,D693,5)</f>
        <v>NOVEMBER</v>
      </c>
      <c r="K693" s="136" t="str">
        <f>INDEX(Master_Data!$C$186:$L$864,D693,6)</f>
        <v>17-040/BKU-004/XII/179</v>
      </c>
      <c r="L693" s="140" t="str">
        <f>INDEX(Master_Data!$C$186:$L$864,D693,7)</f>
        <v>010.020-17.90411089</v>
      </c>
      <c r="M693" s="140">
        <f>INDEX(Master_Data!$C$186:$L$864,D693,8)</f>
        <v>0</v>
      </c>
      <c r="N693" s="149"/>
      <c r="O693" s="245" t="e">
        <f t="shared" si="59"/>
        <v>#VALUE!</v>
      </c>
      <c r="Q693" s="169" t="str">
        <f t="shared" si="57"/>
        <v>HASTA PANCA MANDIRI UTAMA, PTDES</v>
      </c>
    </row>
    <row r="694" spans="2:17" s="61" customFormat="1" ht="14.1" customHeight="1">
      <c r="B694" s="242"/>
      <c r="C694" s="268">
        <f>MATCH($B$680,INDEX(Master_Data!$B$186:$B$864,D693+1,1):'Master_Data'!$B$864,0)</f>
        <v>1</v>
      </c>
      <c r="D694" s="268">
        <f t="shared" si="58"/>
        <v>173</v>
      </c>
      <c r="E694" s="24">
        <v>15</v>
      </c>
      <c r="F694" s="22" t="str">
        <f>INDEX(Master_Data!$C$186:$L$864,D694,2)</f>
        <v>HASTA PANCA MANDIRI UTAMA, PT</v>
      </c>
      <c r="G694" s="24" t="str">
        <f>INDEX(Master_Data!$C$186:$L$864,D694,3)</f>
        <v>V</v>
      </c>
      <c r="H694" s="24">
        <f>INDEX(Master_Data!$C$186:$L$864,D694,1)</f>
        <v>12</v>
      </c>
      <c r="I694" s="24" t="str">
        <f>INDEX(Master_Data!$C$186:$L$864,D694,4)</f>
        <v>Sewa VSAT SCPC 896/384 Kbps Site KDA Kalbar</v>
      </c>
      <c r="J694" s="24" t="str">
        <f>INDEX(Master_Data!$C$186:$L$864,D694,5)</f>
        <v>Okt &amp; Nov</v>
      </c>
      <c r="K694" s="136" t="str">
        <f>INDEX(Master_Data!$C$186:$L$864,D694,6)</f>
        <v>17-041/BKU-004/XII/179</v>
      </c>
      <c r="L694" s="140" t="str">
        <f>INDEX(Master_Data!$C$186:$L$864,D694,7)</f>
        <v>010.020-17.90411090</v>
      </c>
      <c r="M694" s="140">
        <f>INDEX(Master_Data!$C$186:$L$864,D694,8)</f>
        <v>0</v>
      </c>
      <c r="N694" s="264"/>
      <c r="O694" s="245" t="e">
        <f t="shared" si="59"/>
        <v>#VALUE!</v>
      </c>
      <c r="Q694" s="169" t="str">
        <f t="shared" si="57"/>
        <v>HASTA PANCA MANDIRI UTAMA, PTDES</v>
      </c>
    </row>
    <row r="695" spans="2:17" s="61" customFormat="1" ht="14.1" customHeight="1">
      <c r="B695" s="242"/>
      <c r="C695" s="268">
        <f>MATCH($B$680,INDEX(Master_Data!$B$186:$B$864,D694+1,1):'Master_Data'!$B$864,0)</f>
        <v>48</v>
      </c>
      <c r="D695" s="268">
        <f t="shared" si="58"/>
        <v>221</v>
      </c>
      <c r="E695" s="54">
        <v>16</v>
      </c>
      <c r="F695" s="22" t="str">
        <f>INDEX(Master_Data!$C$186:$L$864,D695,2)</f>
        <v>HUTAN KETAPANG INDUSTRI, PT</v>
      </c>
      <c r="G695" s="24" t="str">
        <f>INDEX(Master_Data!$C$186:$L$864,D695,3)</f>
        <v>V</v>
      </c>
      <c r="H695" s="24">
        <f>INDEX(Master_Data!$C$186:$L$864,D695,1)</f>
        <v>4</v>
      </c>
      <c r="I695" s="24" t="str">
        <f>INDEX(Master_Data!$C$186:$L$864,D695,4)</f>
        <v>Site HKI 1</v>
      </c>
      <c r="J695" s="24" t="str">
        <f>INDEX(Master_Data!$C$186:$L$864,D695,5)</f>
        <v>NOVEMBER</v>
      </c>
      <c r="K695" s="136" t="str">
        <f>INDEX(Master_Data!$C$186:$L$864,D695,6)</f>
        <v>17-048/BKU-004/XII/204</v>
      </c>
      <c r="L695" s="140" t="str">
        <f>INDEX(Master_Data!$C$186:$L$864,D695,7)</f>
        <v>010.020-17.90411037</v>
      </c>
      <c r="M695" s="140">
        <f>INDEX(Master_Data!$C$186:$L$864,D695,8)</f>
        <v>0</v>
      </c>
      <c r="N695" s="149"/>
      <c r="O695" s="245" t="e">
        <f t="shared" si="59"/>
        <v>#VALUE!</v>
      </c>
      <c r="Q695" s="169" t="str">
        <f t="shared" si="57"/>
        <v>HUTAN KETAPANG INDUSTRI, PTDES</v>
      </c>
    </row>
    <row r="696" spans="2:17" s="61" customFormat="1" ht="14.1" customHeight="1">
      <c r="B696" s="242"/>
      <c r="C696" s="268">
        <f>MATCH($B$680,INDEX(Master_Data!$B$186:$B$864,D695+1,1):'Master_Data'!$B$864,0)</f>
        <v>1</v>
      </c>
      <c r="D696" s="268">
        <f t="shared" si="58"/>
        <v>222</v>
      </c>
      <c r="E696" s="24">
        <v>17</v>
      </c>
      <c r="F696" s="22" t="str">
        <f>INDEX(Master_Data!$C$186:$L$864,D696,2)</f>
        <v>HUTAN KETAPANG INDUSTRI, PT</v>
      </c>
      <c r="G696" s="24" t="str">
        <f>INDEX(Master_Data!$C$186:$L$864,D696,3)</f>
        <v>V</v>
      </c>
      <c r="H696" s="24">
        <f>INDEX(Master_Data!$C$186:$L$864,D696,1)</f>
        <v>4</v>
      </c>
      <c r="I696" s="24" t="str">
        <f>INDEX(Master_Data!$C$186:$L$864,D696,4)</f>
        <v>Site HKI 2</v>
      </c>
      <c r="J696" s="24" t="str">
        <f>INDEX(Master_Data!$C$186:$L$864,D696,5)</f>
        <v>NOVEMBER</v>
      </c>
      <c r="K696" s="136" t="str">
        <f>INDEX(Master_Data!$C$186:$L$864,D696,6)</f>
        <v>17-049/BKU-004/XII/204</v>
      </c>
      <c r="L696" s="140" t="str">
        <f>INDEX(Master_Data!$C$186:$L$864,D696,7)</f>
        <v>010.020-17.90411038</v>
      </c>
      <c r="M696" s="140">
        <f>INDEX(Master_Data!$C$186:$L$864,D696,8)</f>
        <v>0</v>
      </c>
      <c r="N696" s="264"/>
      <c r="O696" s="245" t="e">
        <f t="shared" si="59"/>
        <v>#VALUE!</v>
      </c>
      <c r="Q696" s="169" t="str">
        <f t="shared" si="57"/>
        <v>HUTAN KETAPANG INDUSTRI, PTDES</v>
      </c>
    </row>
    <row r="697" spans="2:17" s="61" customFormat="1" ht="14.1" customHeight="1">
      <c r="B697" s="242"/>
      <c r="C697" s="268">
        <f>MATCH($B$680,INDEX(Master_Data!$B$186:$B$864,D696+1,1):'Master_Data'!$B$864,0)</f>
        <v>1</v>
      </c>
      <c r="D697" s="268">
        <f t="shared" si="58"/>
        <v>223</v>
      </c>
      <c r="E697" s="54">
        <v>18</v>
      </c>
      <c r="F697" s="22" t="str">
        <f>INDEX(Master_Data!$C$186:$L$864,D697,2)</f>
        <v>HUTAN KETAPANG INDUSTRI, PT</v>
      </c>
      <c r="G697" s="24" t="str">
        <f>INDEX(Master_Data!$C$186:$L$864,D697,3)</f>
        <v>V</v>
      </c>
      <c r="H697" s="24">
        <f>INDEX(Master_Data!$C$186:$L$864,D697,1)</f>
        <v>4</v>
      </c>
      <c r="I697" s="24" t="str">
        <f>INDEX(Master_Data!$C$186:$L$864,D697,4)</f>
        <v>Site HKI 5</v>
      </c>
      <c r="J697" s="24" t="str">
        <f>INDEX(Master_Data!$C$186:$L$864,D697,5)</f>
        <v>NOVEMBER</v>
      </c>
      <c r="K697" s="136" t="str">
        <f>INDEX(Master_Data!$C$186:$L$864,D697,6)</f>
        <v>17-050/BKU-004/XII/204</v>
      </c>
      <c r="L697" s="140" t="str">
        <f>INDEX(Master_Data!$C$186:$L$864,D697,7)</f>
        <v>010.020-17.90411039</v>
      </c>
      <c r="M697" s="140">
        <f>INDEX(Master_Data!$C$186:$L$864,D697,8)</f>
        <v>0</v>
      </c>
      <c r="N697" s="264"/>
      <c r="O697" s="245" t="e">
        <f t="shared" si="59"/>
        <v>#VALUE!</v>
      </c>
      <c r="Q697" s="169" t="str">
        <f t="shared" si="57"/>
        <v>HUTAN KETAPANG INDUSTRI, PTDES</v>
      </c>
    </row>
    <row r="698" spans="2:17" s="61" customFormat="1" ht="14.1" customHeight="1">
      <c r="B698" s="242"/>
      <c r="C698" s="268">
        <f>MATCH($B$680,INDEX(Master_Data!$B$186:$B$864,D697+1,1):'Master_Data'!$B$864,0)</f>
        <v>1</v>
      </c>
      <c r="D698" s="268">
        <f t="shared" si="58"/>
        <v>224</v>
      </c>
      <c r="E698" s="24">
        <v>19</v>
      </c>
      <c r="F698" s="22" t="str">
        <f>INDEX(Master_Data!$C$186:$L$864,D698,2)</f>
        <v>HUTAN KETAPANG INDUSTRI, PT</v>
      </c>
      <c r="G698" s="24" t="str">
        <f>INDEX(Master_Data!$C$186:$L$864,D698,3)</f>
        <v>V</v>
      </c>
      <c r="H698" s="24">
        <f>INDEX(Master_Data!$C$186:$L$864,D698,1)</f>
        <v>4</v>
      </c>
      <c r="I698" s="24" t="str">
        <f>INDEX(Master_Data!$C$186:$L$864,D698,4)</f>
        <v>Site HKI 6</v>
      </c>
      <c r="J698" s="24" t="str">
        <f>INDEX(Master_Data!$C$186:$L$864,D698,5)</f>
        <v>NOVEMBER</v>
      </c>
      <c r="K698" s="136" t="str">
        <f>INDEX(Master_Data!$C$186:$L$864,D698,6)</f>
        <v>17-051/BKU-004/XII/204</v>
      </c>
      <c r="L698" s="140" t="str">
        <f>INDEX(Master_Data!$C$186:$L$864,D698,7)</f>
        <v>010.020-17.90411040</v>
      </c>
      <c r="M698" s="140">
        <f>INDEX(Master_Data!$C$186:$L$864,D698,8)</f>
        <v>0</v>
      </c>
      <c r="N698" s="264"/>
      <c r="O698" s="245" t="e">
        <f t="shared" si="59"/>
        <v>#VALUE!</v>
      </c>
      <c r="Q698" s="169" t="str">
        <f t="shared" si="57"/>
        <v>HUTAN KETAPANG INDUSTRI, PTDES</v>
      </c>
    </row>
    <row r="699" spans="2:17" s="61" customFormat="1" ht="14.1" customHeight="1">
      <c r="B699" s="242"/>
      <c r="C699" s="268">
        <f>MATCH($B$680,INDEX(Master_Data!$B$186:$B$864,D698+1,1):'Master_Data'!$B$864,0)</f>
        <v>21</v>
      </c>
      <c r="D699" s="268">
        <f t="shared" si="58"/>
        <v>245</v>
      </c>
      <c r="E699" s="54">
        <v>20</v>
      </c>
      <c r="F699" s="22" t="str">
        <f>INDEX(Master_Data!$C$186:$L$864,D699,2)</f>
        <v>KALIMANTAN PRIMA PERSADA, PT</v>
      </c>
      <c r="G699" s="24" t="str">
        <f>INDEX(Master_Data!$C$186:$L$864,D699,3)</f>
        <v>W</v>
      </c>
      <c r="H699" s="24">
        <f>INDEX(Master_Data!$C$186:$L$864,D699,1)</f>
        <v>8</v>
      </c>
      <c r="I699" s="24" t="str">
        <f>INDEX(Master_Data!$C$186:$L$864,D699,4)</f>
        <v>WAN 5 Mbps Site ASTO Muara Teweh - Kalteng</v>
      </c>
      <c r="J699" s="24" t="str">
        <f>INDEX(Master_Data!$C$186:$L$864,D699,5)</f>
        <v>OKTOBER</v>
      </c>
      <c r="K699" s="136" t="str">
        <f>INDEX(Master_Data!$C$186:$L$864,D699,6)</f>
        <v>17-019/BKU-004/XII/208</v>
      </c>
      <c r="L699" s="140" t="str">
        <f>INDEX(Master_Data!$C$186:$L$864,D699,7)</f>
        <v>010.020-17.90411071</v>
      </c>
      <c r="M699" s="140">
        <f>INDEX(Master_Data!$C$186:$L$864,D699,8)</f>
        <v>0</v>
      </c>
      <c r="N699" s="264"/>
      <c r="O699" s="245" t="e">
        <f t="shared" si="59"/>
        <v>#VALUE!</v>
      </c>
      <c r="Q699" s="169" t="str">
        <f t="shared" si="57"/>
        <v>KALIMANTAN PRIMA PERSADA, PTDES</v>
      </c>
    </row>
    <row r="700" spans="2:17" s="61" customFormat="1" ht="14.1" customHeight="1">
      <c r="B700" s="242"/>
      <c r="C700" s="268">
        <f>MATCH($B$680,INDEX(Master_Data!$B$186:$B$864,D699+1,1):'Master_Data'!$B$864,0)</f>
        <v>1</v>
      </c>
      <c r="D700" s="268">
        <f t="shared" si="58"/>
        <v>246</v>
      </c>
      <c r="E700" s="24">
        <v>21</v>
      </c>
      <c r="F700" s="22" t="str">
        <f>INDEX(Master_Data!$C$186:$L$864,D700,2)</f>
        <v>KALIMANTAN PRIMA PERSADA, PT</v>
      </c>
      <c r="G700" s="24" t="str">
        <f>INDEX(Master_Data!$C$186:$L$864,D700,3)</f>
        <v>W</v>
      </c>
      <c r="H700" s="24">
        <f>INDEX(Master_Data!$C$186:$L$864,D700,1)</f>
        <v>8</v>
      </c>
      <c r="I700" s="24" t="str">
        <f>INDEX(Master_Data!$C$186:$L$864,D700,4)</f>
        <v>WAN 5 Mbps Site Mass, SPUT, Loa Jana</v>
      </c>
      <c r="J700" s="24" t="str">
        <f>INDEX(Master_Data!$C$186:$L$864,D700,5)</f>
        <v>NOVEMBER</v>
      </c>
      <c r="K700" s="136" t="str">
        <f>INDEX(Master_Data!$C$186:$L$864,D700,6)</f>
        <v>17-020/BKU-004/XII/208</v>
      </c>
      <c r="L700" s="140" t="str">
        <f>INDEX(Master_Data!$C$186:$L$864,D700,7)</f>
        <v>010.020-17.90411073</v>
      </c>
      <c r="M700" s="140">
        <f>INDEX(Master_Data!$C$186:$L$864,D700,8)</f>
        <v>0</v>
      </c>
      <c r="N700" s="264"/>
      <c r="O700" s="245" t="e">
        <f t="shared" si="59"/>
        <v>#VALUE!</v>
      </c>
      <c r="Q700" s="169" t="str">
        <f t="shared" si="57"/>
        <v>KALIMANTAN PRIMA PERSADA, PTDES</v>
      </c>
    </row>
    <row r="701" spans="2:17" s="61" customFormat="1" ht="14.1" customHeight="1">
      <c r="B701" s="242"/>
      <c r="C701" s="268">
        <f>MATCH($B$680,INDEX(Master_Data!$B$186:$B$864,D700+1,1):'Master_Data'!$B$864,0)</f>
        <v>1</v>
      </c>
      <c r="D701" s="268">
        <f t="shared" si="58"/>
        <v>247</v>
      </c>
      <c r="E701" s="54">
        <v>22</v>
      </c>
      <c r="F701" s="22" t="str">
        <f>INDEX(Master_Data!$C$186:$L$864,D701,2)</f>
        <v>KALIMANTAN PRIMA PERSADA, PT</v>
      </c>
      <c r="G701" s="24" t="str">
        <f>INDEX(Master_Data!$C$186:$L$864,D701,3)</f>
        <v>W</v>
      </c>
      <c r="H701" s="24">
        <f>INDEX(Master_Data!$C$186:$L$864,D701,1)</f>
        <v>8</v>
      </c>
      <c r="I701" s="24" t="str">
        <f>INDEX(Master_Data!$C$186:$L$864,D701,4)</f>
        <v>Jasa Instalasi WAN Internet 5/5 Mbps &amp; Monthly Charges Site KPP Indexim</v>
      </c>
      <c r="J701" s="24" t="str">
        <f>INDEX(Master_Data!$C$186:$L$864,D701,5)</f>
        <v>26 Okt-26 Nov</v>
      </c>
      <c r="K701" s="136" t="str">
        <f>INDEX(Master_Data!$C$186:$L$864,D701,6)</f>
        <v>17-021/BKU-004/XII/208</v>
      </c>
      <c r="L701" s="140" t="str">
        <f>INDEX(Master_Data!$C$186:$L$864,D701,7)</f>
        <v>010.020-17.90411074</v>
      </c>
      <c r="M701" s="140">
        <f>INDEX(Master_Data!$C$186:$L$864,D701,8)</f>
        <v>0</v>
      </c>
      <c r="N701" s="149"/>
      <c r="O701" s="245" t="e">
        <f t="shared" si="59"/>
        <v>#VALUE!</v>
      </c>
      <c r="Q701" s="169" t="str">
        <f t="shared" si="57"/>
        <v>KALIMANTAN PRIMA PERSADA, PTDES</v>
      </c>
    </row>
    <row r="702" spans="2:17" s="61" customFormat="1" ht="14.1" customHeight="1">
      <c r="B702" s="242"/>
      <c r="C702" s="268">
        <f>MATCH($B$680,INDEX(Master_Data!$B$186:$B$864,D701+1,1):'Master_Data'!$B$864,0)</f>
        <v>1</v>
      </c>
      <c r="D702" s="268">
        <f t="shared" si="58"/>
        <v>248</v>
      </c>
      <c r="E702" s="24">
        <v>23</v>
      </c>
      <c r="F702" s="22" t="str">
        <f>INDEX(Master_Data!$C$186:$L$864,D702,2)</f>
        <v>KALIMANTAN PRIMA PERSADA, PT</v>
      </c>
      <c r="G702" s="24" t="str">
        <f>INDEX(Master_Data!$C$186:$L$864,D702,3)</f>
        <v>W</v>
      </c>
      <c r="H702" s="24">
        <f>INDEX(Master_Data!$C$186:$L$864,D702,1)</f>
        <v>8</v>
      </c>
      <c r="I702" s="24" t="str">
        <f>INDEX(Master_Data!$C$186:$L$864,D702,4)</f>
        <v>WAN 5 Mbps Site ASTO Muara Teweh - Kalteng</v>
      </c>
      <c r="J702" s="24" t="str">
        <f>INDEX(Master_Data!$C$186:$L$864,D702,5)</f>
        <v>NOVEMBER</v>
      </c>
      <c r="K702" s="136" t="str">
        <f>INDEX(Master_Data!$C$186:$L$864,D702,6)</f>
        <v>17-022/BKU-004/XII/208</v>
      </c>
      <c r="L702" s="140" t="str">
        <f>INDEX(Master_Data!$C$186:$L$864,D702,7)</f>
        <v>010.020-17.90411072</v>
      </c>
      <c r="M702" s="140">
        <f>INDEX(Master_Data!$C$186:$L$864,D702,8)</f>
        <v>0</v>
      </c>
      <c r="N702" s="264"/>
      <c r="O702" s="245" t="e">
        <f t="shared" si="59"/>
        <v>#VALUE!</v>
      </c>
      <c r="Q702" s="169" t="str">
        <f t="shared" si="57"/>
        <v>KALIMANTAN PRIMA PERSADA, PTDES</v>
      </c>
    </row>
    <row r="703" spans="2:17" s="61" customFormat="1" ht="14.1" customHeight="1">
      <c r="B703" s="242"/>
      <c r="C703" s="268">
        <f>MATCH($B$680,INDEX(Master_Data!$B$186:$B$864,D702+1,1):'Master_Data'!$B$864,0)</f>
        <v>12</v>
      </c>
      <c r="D703" s="268">
        <f t="shared" si="58"/>
        <v>260</v>
      </c>
      <c r="E703" s="54">
        <v>24</v>
      </c>
      <c r="F703" s="22" t="str">
        <f>INDEX(Master_Data!$C$186:$L$864,D703,2)</f>
        <v>KUSUMA MENTARI MAKMUR, PT</v>
      </c>
      <c r="G703" s="24" t="str">
        <f>INDEX(Master_Data!$C$186:$L$864,D703,3)</f>
        <v>V</v>
      </c>
      <c r="H703" s="24">
        <f>INDEX(Master_Data!$C$186:$L$864,D703,1)</f>
        <v>4</v>
      </c>
      <c r="I703" s="24" t="str">
        <f>INDEX(Master_Data!$C$186:$L$864,D703,4)</f>
        <v>Rental VSAT Site KMM</v>
      </c>
      <c r="J703" s="24" t="str">
        <f>INDEX(Master_Data!$C$186:$L$864,D703,5)</f>
        <v>NOVEMBER</v>
      </c>
      <c r="K703" s="136" t="str">
        <f>INDEX(Master_Data!$C$186:$L$864,D703,6)</f>
        <v>17-012/BKU-004/XII/224</v>
      </c>
      <c r="L703" s="140" t="str">
        <f>INDEX(Master_Data!$C$186:$L$864,D703,7)</f>
        <v>010.020-17.90411046</v>
      </c>
      <c r="M703" s="140">
        <f>INDEX(Master_Data!$C$186:$L$864,D703,8)</f>
        <v>0</v>
      </c>
      <c r="N703" s="264"/>
      <c r="O703" s="245" t="e">
        <f t="shared" si="59"/>
        <v>#VALUE!</v>
      </c>
      <c r="Q703" s="169" t="str">
        <f t="shared" si="57"/>
        <v>KUSUMA MENTARI MAKMUR, PTDES</v>
      </c>
    </row>
    <row r="704" spans="2:17" s="61" customFormat="1" ht="14.1" customHeight="1">
      <c r="B704" s="242"/>
      <c r="C704" s="268">
        <f>MATCH($B$680,INDEX(Master_Data!$B$186:$B$864,D703+1,1):'Master_Data'!$B$864,0)</f>
        <v>1</v>
      </c>
      <c r="D704" s="268">
        <f t="shared" si="58"/>
        <v>261</v>
      </c>
      <c r="E704" s="24">
        <v>25</v>
      </c>
      <c r="F704" s="22" t="str">
        <f>INDEX(Master_Data!$C$186:$L$864,D704,2)</f>
        <v>KUSUMA MENTARI MAKMUR, PT</v>
      </c>
      <c r="G704" s="24" t="str">
        <f>INDEX(Master_Data!$C$186:$L$864,D704,3)</f>
        <v>R</v>
      </c>
      <c r="H704" s="24">
        <f>INDEX(Master_Data!$C$186:$L$864,D704,1)</f>
        <v>27</v>
      </c>
      <c r="I704" s="24" t="str">
        <f>INDEX(Master_Data!$C$186:$L$864,D704,4)</f>
        <v>Jasa Relokasi Site KMM</v>
      </c>
      <c r="J704" s="24" t="str">
        <f>INDEX(Master_Data!$C$186:$L$864,D704,5)</f>
        <v>11 Des 2017</v>
      </c>
      <c r="K704" s="136" t="str">
        <f>INDEX(Master_Data!$C$186:$L$864,D704,6)</f>
        <v>17-013/BKU-004/XII/224</v>
      </c>
      <c r="L704" s="140" t="str">
        <f>INDEX(Master_Data!$C$186:$L$864,D704,7)</f>
        <v>010.020-17.90411103</v>
      </c>
      <c r="M704" s="140">
        <f>INDEX(Master_Data!$C$186:$L$864,D704,8)</f>
        <v>0</v>
      </c>
      <c r="N704" s="264"/>
      <c r="O704" s="245" t="e">
        <f t="shared" si="59"/>
        <v>#VALUE!</v>
      </c>
      <c r="Q704" s="169" t="str">
        <f t="shared" si="57"/>
        <v>KUSUMA MENTARI MAKMUR, PTDES</v>
      </c>
    </row>
    <row r="705" spans="2:17" s="61" customFormat="1" ht="14.1" customHeight="1">
      <c r="B705" s="242"/>
      <c r="C705" s="268">
        <f>MATCH($B$680,INDEX(Master_Data!$B$186:$B$864,D704+1,1):'Master_Data'!$B$864,0)</f>
        <v>1</v>
      </c>
      <c r="D705" s="268">
        <f t="shared" si="58"/>
        <v>262</v>
      </c>
      <c r="E705" s="54">
        <v>26</v>
      </c>
      <c r="F705" s="22" t="str">
        <f>INDEX(Master_Data!$C$186:$L$864,D705,2)</f>
        <v>KUSUMA MENTARI MAKMUR, PT</v>
      </c>
      <c r="G705" s="24" t="str">
        <f>INDEX(Master_Data!$C$186:$L$864,D705,3)</f>
        <v>R</v>
      </c>
      <c r="H705" s="24">
        <f>INDEX(Master_Data!$C$186:$L$864,D705,1)</f>
        <v>27</v>
      </c>
      <c r="I705" s="24" t="str">
        <f>INDEX(Master_Data!$C$186:$L$864,D705,4)</f>
        <v>Reimbursement Maintenance Site KMM</v>
      </c>
      <c r="J705" s="24" t="str">
        <f>INDEX(Master_Data!$C$186:$L$864,D705,5)</f>
        <v>5-12 Des'17</v>
      </c>
      <c r="K705" s="136" t="str">
        <f>INDEX(Master_Data!$C$186:$L$864,D705,6)</f>
        <v>17-014/BKU-004/XII/224</v>
      </c>
      <c r="L705" s="140" t="str">
        <f>INDEX(Master_Data!$C$186:$L$864,D705,7)</f>
        <v>-</v>
      </c>
      <c r="M705" s="140">
        <f>INDEX(Master_Data!$C$186:$L$864,D705,8)</f>
        <v>0</v>
      </c>
      <c r="N705" s="264"/>
      <c r="O705" s="245" t="e">
        <f t="shared" si="59"/>
        <v>#VALUE!</v>
      </c>
      <c r="Q705" s="169" t="str">
        <f t="shared" si="57"/>
        <v>KUSUMA MENTARI MAKMUR, PTDES</v>
      </c>
    </row>
    <row r="706" spans="2:17" s="61" customFormat="1" ht="14.1" customHeight="1">
      <c r="B706" s="242"/>
      <c r="C706" s="268">
        <f>MATCH($B$680,INDEX(Master_Data!$B$186:$B$864,D705+1,1):'Master_Data'!$B$864,0)</f>
        <v>23</v>
      </c>
      <c r="D706" s="268">
        <f t="shared" si="58"/>
        <v>285</v>
      </c>
      <c r="E706" s="24">
        <v>27</v>
      </c>
      <c r="F706" s="22" t="str">
        <f>INDEX(Master_Data!$C$186:$L$864,D706,2)</f>
        <v>LANANG AGRO BERSATU, PT</v>
      </c>
      <c r="G706" s="24" t="str">
        <f>INDEX(Master_Data!$C$186:$L$864,D706,3)</f>
        <v>V</v>
      </c>
      <c r="H706" s="24">
        <f>INDEX(Master_Data!$C$186:$L$864,D706,1)</f>
        <v>4</v>
      </c>
      <c r="I706" s="24" t="str">
        <f>INDEX(Master_Data!$C$186:$L$864,D706,4)</f>
        <v>Monthly Charges VSAT LAB BSE</v>
      </c>
      <c r="J706" s="24" t="str">
        <f>INDEX(Master_Data!$C$186:$L$864,D706,5)</f>
        <v>NOVEMBER</v>
      </c>
      <c r="K706" s="136" t="str">
        <f>INDEX(Master_Data!$C$186:$L$864,D706,6)</f>
        <v>17-023/BKU-004/XII/210</v>
      </c>
      <c r="L706" s="140" t="str">
        <f>INDEX(Master_Data!$C$186:$L$864,D706,7)</f>
        <v>010.020-17.90411041</v>
      </c>
      <c r="M706" s="140">
        <f>INDEX(Master_Data!$C$186:$L$864,D706,8)</f>
        <v>0</v>
      </c>
      <c r="N706" s="264"/>
      <c r="O706" s="245" t="e">
        <f t="shared" si="59"/>
        <v>#VALUE!</v>
      </c>
      <c r="Q706" s="169" t="str">
        <f t="shared" si="57"/>
        <v>LANANG AGRO BERSATU, PTDES</v>
      </c>
    </row>
    <row r="707" spans="2:17" s="61" customFormat="1" ht="14.1" customHeight="1">
      <c r="B707" s="242"/>
      <c r="C707" s="268">
        <f>MATCH($B$680,INDEX(Master_Data!$B$186:$B$864,D706+1,1):'Master_Data'!$B$864,0)</f>
        <v>1</v>
      </c>
      <c r="D707" s="268">
        <f t="shared" si="58"/>
        <v>286</v>
      </c>
      <c r="E707" s="54">
        <v>28</v>
      </c>
      <c r="F707" s="22" t="str">
        <f>INDEX(Master_Data!$C$186:$L$864,D707,2)</f>
        <v>LANANG AGRO BERSATU, PT</v>
      </c>
      <c r="G707" s="24" t="str">
        <f>INDEX(Master_Data!$C$186:$L$864,D707,3)</f>
        <v>V</v>
      </c>
      <c r="H707" s="24">
        <f>INDEX(Master_Data!$C$186:$L$864,D707,1)</f>
        <v>4</v>
      </c>
      <c r="I707" s="24" t="str">
        <f>INDEX(Master_Data!$C$186:$L$864,D707,4)</f>
        <v>Monthly Charges VSAT LAB BME</v>
      </c>
      <c r="J707" s="24" t="str">
        <f>INDEX(Master_Data!$C$186:$L$864,D707,5)</f>
        <v>NOVEMBER</v>
      </c>
      <c r="K707" s="136" t="str">
        <f>INDEX(Master_Data!$C$186:$L$864,D707,6)</f>
        <v>17-024/BKU-004/XII/210</v>
      </c>
      <c r="L707" s="140" t="str">
        <f>INDEX(Master_Data!$C$186:$L$864,D707,7)</f>
        <v>010.020-17.90411042</v>
      </c>
      <c r="M707" s="140">
        <f>INDEX(Master_Data!$C$186:$L$864,D707,8)</f>
        <v>0</v>
      </c>
      <c r="N707" s="264"/>
      <c r="O707" s="245" t="e">
        <f t="shared" si="59"/>
        <v>#VALUE!</v>
      </c>
      <c r="Q707" s="169" t="str">
        <f t="shared" si="57"/>
        <v>LANANG AGRO BERSATU, PTDES</v>
      </c>
    </row>
    <row r="708" spans="2:17" s="61" customFormat="1" ht="14.1" customHeight="1">
      <c r="B708" s="242"/>
      <c r="C708" s="268">
        <f>MATCH($B$680,INDEX(Master_Data!$B$186:$B$864,D707+1,1):'Master_Data'!$B$864,0)</f>
        <v>107</v>
      </c>
      <c r="D708" s="268">
        <f t="shared" si="58"/>
        <v>393</v>
      </c>
      <c r="E708" s="24">
        <v>29</v>
      </c>
      <c r="F708" s="22" t="str">
        <f>INDEX(Master_Data!$C$186:$L$864,D708,2)</f>
        <v>MADHANI TALATAH NUSANTARA, PT</v>
      </c>
      <c r="G708" s="24" t="str">
        <f>INDEX(Master_Data!$C$186:$L$864,D708,3)</f>
        <v>W</v>
      </c>
      <c r="H708" s="24">
        <f>INDEX(Master_Data!$C$186:$L$864,D708,1)</f>
        <v>5</v>
      </c>
      <c r="I708" s="24" t="str">
        <f>INDEX(Master_Data!$C$186:$L$864,D708,4)</f>
        <v>Monthly WDL Site Asam Asam Project</v>
      </c>
      <c r="J708" s="24" t="str">
        <f>INDEX(Master_Data!$C$186:$L$864,D708,5)</f>
        <v>DESEMBER</v>
      </c>
      <c r="K708" s="136" t="str">
        <f>INDEX(Master_Data!$C$186:$L$864,D708,6)</f>
        <v>17-105/BKU-004/XII/057</v>
      </c>
      <c r="L708" s="140" t="str">
        <f>INDEX(Master_Data!$C$186:$L$864,D708,7)</f>
        <v>010.020-17.90411047</v>
      </c>
      <c r="M708" s="140">
        <f>INDEX(Master_Data!$C$186:$L$864,D708,8)</f>
        <v>0</v>
      </c>
      <c r="N708" s="264"/>
      <c r="O708" s="245" t="e">
        <f t="shared" si="59"/>
        <v>#VALUE!</v>
      </c>
      <c r="Q708" s="169" t="str">
        <f t="shared" si="57"/>
        <v>MADHANI TALATAH NUSANTARA, PTDES</v>
      </c>
    </row>
    <row r="709" spans="2:17" s="61" customFormat="1" ht="14.1" customHeight="1">
      <c r="B709" s="242"/>
      <c r="C709" s="268">
        <f>MATCH($B$680,INDEX(Master_Data!$B$186:$B$864,D708+1,1):'Master_Data'!$B$864,0)</f>
        <v>1</v>
      </c>
      <c r="D709" s="268">
        <f t="shared" si="58"/>
        <v>394</v>
      </c>
      <c r="E709" s="54">
        <v>30</v>
      </c>
      <c r="F709" s="22" t="str">
        <f>INDEX(Master_Data!$C$186:$L$864,D709,2)</f>
        <v>MADHANI TALATAH NUSANTARA, PT</v>
      </c>
      <c r="G709" s="24" t="str">
        <f>INDEX(Master_Data!$C$186:$L$864,D709,3)</f>
        <v>I</v>
      </c>
      <c r="H709" s="24">
        <f>INDEX(Master_Data!$C$186:$L$864,D709,1)</f>
        <v>5</v>
      </c>
      <c r="I709" s="24" t="str">
        <f>INDEX(Master_Data!$C$186:$L$864,D709,4)</f>
        <v>HO MTN Jakarta</v>
      </c>
      <c r="J709" s="24" t="str">
        <f>INDEX(Master_Data!$C$186:$L$864,D709,5)</f>
        <v>DESEMBER</v>
      </c>
      <c r="K709" s="136" t="str">
        <f>INDEX(Master_Data!$C$186:$L$864,D709,6)</f>
        <v>17-106/BKU-004/XII/057</v>
      </c>
      <c r="L709" s="140" t="str">
        <f>INDEX(Master_Data!$C$186:$L$864,D709,7)</f>
        <v>010.020-17.90411048</v>
      </c>
      <c r="M709" s="140">
        <f>INDEX(Master_Data!$C$186:$L$864,D709,8)</f>
        <v>0</v>
      </c>
      <c r="N709" s="264"/>
      <c r="O709" s="245" t="e">
        <f t="shared" si="59"/>
        <v>#VALUE!</v>
      </c>
      <c r="Q709" s="169" t="str">
        <f t="shared" si="57"/>
        <v>MADHANI TALATAH NUSANTARA, PTDES</v>
      </c>
    </row>
    <row r="710" spans="2:17" s="61" customFormat="1" ht="14.1" customHeight="1">
      <c r="B710" s="242"/>
      <c r="C710" s="268">
        <f>MATCH($B$680,INDEX(Master_Data!$B$186:$B$864,D709+1,1):'Master_Data'!$B$864,0)</f>
        <v>1</v>
      </c>
      <c r="D710" s="268">
        <f t="shared" si="58"/>
        <v>395</v>
      </c>
      <c r="E710" s="24">
        <v>31</v>
      </c>
      <c r="F710" s="22" t="str">
        <f>INDEX(Master_Data!$C$186:$L$864,D710,2)</f>
        <v>MADHANI TALATAH NUSANTARA, PT</v>
      </c>
      <c r="G710" s="24" t="str">
        <f>INDEX(Master_Data!$C$186:$L$864,D710,3)</f>
        <v>W</v>
      </c>
      <c r="H710" s="24">
        <f>INDEX(Master_Data!$C$186:$L$864,D710,1)</f>
        <v>5</v>
      </c>
      <c r="I710" s="24" t="str">
        <f>INDEX(Master_Data!$C$186:$L$864,D710,4)</f>
        <v>Monthly WDL Site Madhani KEL</v>
      </c>
      <c r="J710" s="24" t="str">
        <f>INDEX(Master_Data!$C$186:$L$864,D710,5)</f>
        <v>DESEMBER</v>
      </c>
      <c r="K710" s="136" t="str">
        <f>INDEX(Master_Data!$C$186:$L$864,D710,6)</f>
        <v>17-107/BKU-004/XII/057</v>
      </c>
      <c r="L710" s="140" t="str">
        <f>INDEX(Master_Data!$C$186:$L$864,D710,7)</f>
        <v>010.020-17.90411049</v>
      </c>
      <c r="M710" s="140">
        <f>INDEX(Master_Data!$C$186:$L$864,D710,8)</f>
        <v>0</v>
      </c>
      <c r="N710" s="264"/>
      <c r="O710" s="245" t="e">
        <f t="shared" si="59"/>
        <v>#VALUE!</v>
      </c>
      <c r="Q710" s="169" t="str">
        <f t="shared" si="57"/>
        <v>MADHANI TALATAH NUSANTARA, PTDES</v>
      </c>
    </row>
    <row r="711" spans="2:17" s="61" customFormat="1" ht="14.1" customHeight="1">
      <c r="B711" s="242"/>
      <c r="C711" s="268">
        <f>MATCH($B$680,INDEX(Master_Data!$B$186:$B$864,D710+1,1):'Master_Data'!$B$864,0)</f>
        <v>1</v>
      </c>
      <c r="D711" s="268">
        <f t="shared" si="58"/>
        <v>396</v>
      </c>
      <c r="E711" s="54">
        <v>32</v>
      </c>
      <c r="F711" s="22" t="str">
        <f>INDEX(Master_Data!$C$186:$L$864,D711,2)</f>
        <v>MADHANI TALATAH NUSANTARA, PT</v>
      </c>
      <c r="G711" s="24" t="str">
        <f>INDEX(Master_Data!$C$186:$L$864,D711,3)</f>
        <v>V</v>
      </c>
      <c r="H711" s="24">
        <f>INDEX(Master_Data!$C$186:$L$864,D711,1)</f>
        <v>5</v>
      </c>
      <c r="I711" s="24" t="str">
        <f>INDEX(Master_Data!$C$186:$L$864,D711,4)</f>
        <v>Sewa VSAT Bandwith 256/512 Kbps Site MUTU Ampah - Kalteng</v>
      </c>
      <c r="J711" s="24" t="str">
        <f>INDEX(Master_Data!$C$186:$L$864,D711,5)</f>
        <v>DESEMBER</v>
      </c>
      <c r="K711" s="136" t="str">
        <f>INDEX(Master_Data!$C$186:$L$864,D711,6)</f>
        <v>17-108/BKU-004/XII/057</v>
      </c>
      <c r="L711" s="140" t="str">
        <f>INDEX(Master_Data!$C$186:$L$864,D711,7)</f>
        <v>010.020-17.90411050</v>
      </c>
      <c r="M711" s="140">
        <f>INDEX(Master_Data!$C$186:$L$864,D711,8)</f>
        <v>0</v>
      </c>
      <c r="N711" s="264"/>
      <c r="O711" s="245" t="e">
        <f t="shared" si="59"/>
        <v>#VALUE!</v>
      </c>
      <c r="Q711" s="169" t="str">
        <f t="shared" si="57"/>
        <v>MADHANI TALATAH NUSANTARA, PTDES</v>
      </c>
    </row>
    <row r="712" spans="2:17" s="61" customFormat="1" ht="14.1" customHeight="1">
      <c r="B712" s="242"/>
      <c r="C712" s="268">
        <f>MATCH($B$680,INDEX(Master_Data!$B$186:$B$864,D711+1,1):'Master_Data'!$B$864,0)</f>
        <v>1</v>
      </c>
      <c r="D712" s="268">
        <f t="shared" si="58"/>
        <v>397</v>
      </c>
      <c r="E712" s="24">
        <v>33</v>
      </c>
      <c r="F712" s="22" t="str">
        <f>INDEX(Master_Data!$C$186:$L$864,D712,2)</f>
        <v>MADHANI TALATAH NUSANTARA, PT</v>
      </c>
      <c r="G712" s="24" t="str">
        <f>INDEX(Master_Data!$C$186:$L$864,D712,3)</f>
        <v>V</v>
      </c>
      <c r="H712" s="24">
        <f>INDEX(Master_Data!$C$186:$L$864,D712,1)</f>
        <v>5</v>
      </c>
      <c r="I712" s="24" t="str">
        <f>INDEX(Master_Data!$C$186:$L$864,D712,4)</f>
        <v>Sewa VSAT Site Bengalon</v>
      </c>
      <c r="J712" s="24" t="str">
        <f>INDEX(Master_Data!$C$186:$L$864,D712,5)</f>
        <v>DESEMBER</v>
      </c>
      <c r="K712" s="136" t="str">
        <f>INDEX(Master_Data!$C$186:$L$864,D712,6)</f>
        <v>17-109/BKU-004/XII/057</v>
      </c>
      <c r="L712" s="140" t="str">
        <f>INDEX(Master_Data!$C$186:$L$864,D712,7)</f>
        <v>010.020-17.90411051</v>
      </c>
      <c r="M712" s="140">
        <f>INDEX(Master_Data!$C$186:$L$864,D712,8)</f>
        <v>0</v>
      </c>
      <c r="N712" s="264"/>
      <c r="O712" s="245" t="e">
        <f t="shared" si="59"/>
        <v>#VALUE!</v>
      </c>
      <c r="Q712" s="169" t="str">
        <f t="shared" si="57"/>
        <v>MADHANI TALATAH NUSANTARA, PTDES</v>
      </c>
    </row>
    <row r="713" spans="2:17" s="61" customFormat="1" ht="14.1" customHeight="1">
      <c r="B713" s="242"/>
      <c r="C713" s="268">
        <f>MATCH($B$680,INDEX(Master_Data!$B$186:$B$864,D712+1,1):'Master_Data'!$B$864,0)</f>
        <v>1</v>
      </c>
      <c r="D713" s="268">
        <f t="shared" si="58"/>
        <v>398</v>
      </c>
      <c r="E713" s="54">
        <v>34</v>
      </c>
      <c r="F713" s="22" t="str">
        <f>INDEX(Master_Data!$C$186:$L$864,D713,2)</f>
        <v>MADHANI TALATAH NUSANTARA, PT</v>
      </c>
      <c r="G713" s="24" t="str">
        <f>INDEX(Master_Data!$C$186:$L$864,D713,3)</f>
        <v>W</v>
      </c>
      <c r="H713" s="24">
        <f>INDEX(Master_Data!$C$186:$L$864,D713,1)</f>
        <v>5</v>
      </c>
      <c r="I713" s="24" t="str">
        <f>INDEX(Master_Data!$C$186:$L$864,D713,4)</f>
        <v>Monthly WDL Site Madhani KPUC</v>
      </c>
      <c r="J713" s="24" t="str">
        <f>INDEX(Master_Data!$C$186:$L$864,D713,5)</f>
        <v>DESEMBER</v>
      </c>
      <c r="K713" s="136" t="str">
        <f>INDEX(Master_Data!$C$186:$L$864,D713,6)</f>
        <v>17-110/BKU-004/XII/057</v>
      </c>
      <c r="L713" s="140" t="str">
        <f>INDEX(Master_Data!$C$186:$L$864,D713,7)</f>
        <v>010.020-17.90411052</v>
      </c>
      <c r="M713" s="140">
        <f>INDEX(Master_Data!$C$186:$L$864,D713,8)</f>
        <v>0</v>
      </c>
      <c r="N713" s="264"/>
      <c r="O713" s="245" t="e">
        <f t="shared" si="59"/>
        <v>#VALUE!</v>
      </c>
      <c r="Q713" s="169" t="str">
        <f t="shared" si="57"/>
        <v>MADHANI TALATAH NUSANTARA, PTDES</v>
      </c>
    </row>
    <row r="714" spans="2:17" s="61" customFormat="1" ht="14.1" customHeight="1">
      <c r="B714" s="242"/>
      <c r="C714" s="268">
        <f>MATCH($B$680,INDEX(Master_Data!$B$186:$B$864,D713+1,1):'Master_Data'!$B$864,0)</f>
        <v>1</v>
      </c>
      <c r="D714" s="268">
        <f t="shared" si="58"/>
        <v>399</v>
      </c>
      <c r="E714" s="24">
        <v>35</v>
      </c>
      <c r="F714" s="22" t="str">
        <f>INDEX(Master_Data!$C$186:$L$864,D714,2)</f>
        <v>MADHANI TALATAH NUSANTARA, PT</v>
      </c>
      <c r="G714" s="24" t="str">
        <f>INDEX(Master_Data!$C$186:$L$864,D714,3)</f>
        <v>V</v>
      </c>
      <c r="H714" s="24">
        <f>INDEX(Master_Data!$C$186:$L$864,D714,1)</f>
        <v>5</v>
      </c>
      <c r="I714" s="24" t="str">
        <f>INDEX(Master_Data!$C$186:$L$864,D714,4)</f>
        <v>Sewa VSAT Site P. Wetar</v>
      </c>
      <c r="J714" s="24" t="str">
        <f>INDEX(Master_Data!$C$186:$L$864,D714,5)</f>
        <v>DESEMBER</v>
      </c>
      <c r="K714" s="136" t="str">
        <f>INDEX(Master_Data!$C$186:$L$864,D714,6)</f>
        <v>17-111/BKU-004/XII/057</v>
      </c>
      <c r="L714" s="140" t="str">
        <f>INDEX(Master_Data!$C$186:$L$864,D714,7)</f>
        <v>010.020-17.90411053</v>
      </c>
      <c r="M714" s="140">
        <f>INDEX(Master_Data!$C$186:$L$864,D714,8)</f>
        <v>0</v>
      </c>
      <c r="N714" s="264"/>
      <c r="O714" s="245" t="e">
        <f t="shared" si="59"/>
        <v>#VALUE!</v>
      </c>
      <c r="Q714" s="169" t="str">
        <f t="shared" si="57"/>
        <v>MADHANI TALATAH NUSANTARA, PTDES</v>
      </c>
    </row>
    <row r="715" spans="2:17" s="61" customFormat="1" ht="14.1" customHeight="1">
      <c r="B715" s="242"/>
      <c r="C715" s="268">
        <f>MATCH($B$680,INDEX(Master_Data!$B$186:$B$864,D714+1,1):'Master_Data'!$B$864,0)</f>
        <v>1</v>
      </c>
      <c r="D715" s="268">
        <f t="shared" si="58"/>
        <v>400</v>
      </c>
      <c r="E715" s="54">
        <v>36</v>
      </c>
      <c r="F715" s="22" t="str">
        <f>INDEX(Master_Data!$C$186:$L$864,D715,2)</f>
        <v>MADHANI TALATAH NUSANTARA, PT</v>
      </c>
      <c r="G715" s="24" t="str">
        <f>INDEX(Master_Data!$C$186:$L$864,D715,3)</f>
        <v>W</v>
      </c>
      <c r="H715" s="24">
        <f>INDEX(Master_Data!$C$186:$L$864,D715,1)</f>
        <v>5</v>
      </c>
      <c r="I715" s="24" t="str">
        <f>INDEX(Master_Data!$C$186:$L$864,D715,4)</f>
        <v>Monthly WDL Site Tembang</v>
      </c>
      <c r="J715" s="24" t="str">
        <f>INDEX(Master_Data!$C$186:$L$864,D715,5)</f>
        <v>DESEMBER</v>
      </c>
      <c r="K715" s="136" t="str">
        <f>INDEX(Master_Data!$C$186:$L$864,D715,6)</f>
        <v>17-112/BKU-004/XII/057</v>
      </c>
      <c r="L715" s="140" t="str">
        <f>INDEX(Master_Data!$C$186:$L$864,D715,7)</f>
        <v>010.020-17.90411054</v>
      </c>
      <c r="M715" s="140">
        <f>INDEX(Master_Data!$C$186:$L$864,D715,8)</f>
        <v>0</v>
      </c>
      <c r="N715" s="264"/>
      <c r="O715" s="245" t="e">
        <f t="shared" si="59"/>
        <v>#VALUE!</v>
      </c>
      <c r="Q715" s="169" t="str">
        <f t="shared" si="57"/>
        <v>MADHANI TALATAH NUSANTARA, PTDES</v>
      </c>
    </row>
    <row r="716" spans="2:17" s="61" customFormat="1" ht="14.1" customHeight="1">
      <c r="B716" s="242"/>
      <c r="C716" s="268">
        <f>MATCH($B$680,INDEX(Master_Data!$B$186:$B$864,D715+1,1):'Master_Data'!$B$864,0)</f>
        <v>1</v>
      </c>
      <c r="D716" s="268">
        <f t="shared" si="58"/>
        <v>401</v>
      </c>
      <c r="E716" s="24">
        <v>37</v>
      </c>
      <c r="F716" s="22" t="str">
        <f>INDEX(Master_Data!$C$186:$L$864,D716,2)</f>
        <v>MADHANI TALATAH NUSANTARA, PT</v>
      </c>
      <c r="G716" s="24" t="str">
        <f>INDEX(Master_Data!$C$186:$L$864,D716,3)</f>
        <v>W</v>
      </c>
      <c r="H716" s="24">
        <f>INDEX(Master_Data!$C$186:$L$864,D716,1)</f>
        <v>5</v>
      </c>
      <c r="I716" s="24" t="str">
        <f>INDEX(Master_Data!$C$186:$L$864,D716,4)</f>
        <v>Monthly WDL Site IPC</v>
      </c>
      <c r="J716" s="24" t="str">
        <f>INDEX(Master_Data!$C$186:$L$864,D716,5)</f>
        <v>DESEMBER</v>
      </c>
      <c r="K716" s="136" t="str">
        <f>INDEX(Master_Data!$C$186:$L$864,D716,6)</f>
        <v>17-113/BKU-004/XII/057</v>
      </c>
      <c r="L716" s="140" t="str">
        <f>INDEX(Master_Data!$C$186:$L$864,D716,7)</f>
        <v>010.020-17.90411055</v>
      </c>
      <c r="M716" s="140">
        <f>INDEX(Master_Data!$C$186:$L$864,D716,8)</f>
        <v>0</v>
      </c>
      <c r="N716" s="264"/>
      <c r="O716" s="245" t="e">
        <f t="shared" si="59"/>
        <v>#VALUE!</v>
      </c>
      <c r="Q716" s="169" t="str">
        <f t="shared" si="57"/>
        <v>MADHANI TALATAH NUSANTARA, PTDES</v>
      </c>
    </row>
    <row r="717" spans="2:17" s="61" customFormat="1" ht="14.1" customHeight="1">
      <c r="B717" s="242"/>
      <c r="C717" s="268">
        <f>MATCH($B$680,INDEX(Master_Data!$B$186:$B$864,D716+1,1):'Master_Data'!$B$864,0)</f>
        <v>1</v>
      </c>
      <c r="D717" s="268">
        <f t="shared" si="58"/>
        <v>402</v>
      </c>
      <c r="E717" s="54">
        <v>38</v>
      </c>
      <c r="F717" s="22" t="str">
        <f>INDEX(Master_Data!$C$186:$L$864,D717,2)</f>
        <v>MADHANI TALATAH NUSANTARA, PT</v>
      </c>
      <c r="G717" s="24" t="str">
        <f>INDEX(Master_Data!$C$186:$L$864,D717,3)</f>
        <v>V</v>
      </c>
      <c r="H717" s="24">
        <f>INDEX(Master_Data!$C$186:$L$864,D717,1)</f>
        <v>5</v>
      </c>
      <c r="I717" s="24" t="str">
        <f>INDEX(Master_Data!$C$186:$L$864,D717,4)</f>
        <v>Sewa VSAT Site BSI Pulau Merah - Kab. Banyuwangi</v>
      </c>
      <c r="J717" s="24" t="str">
        <f>INDEX(Master_Data!$C$186:$L$864,D717,5)</f>
        <v>DESEMBER</v>
      </c>
      <c r="K717" s="136" t="str">
        <f>INDEX(Master_Data!$C$186:$L$864,D717,6)</f>
        <v>17-114/BKU-004/XII/057</v>
      </c>
      <c r="L717" s="140" t="str">
        <f>INDEX(Master_Data!$C$186:$L$864,D717,7)</f>
        <v>010.020-17.90411056</v>
      </c>
      <c r="M717" s="140">
        <f>INDEX(Master_Data!$C$186:$L$864,D717,8)</f>
        <v>0</v>
      </c>
      <c r="N717" s="264"/>
      <c r="O717" s="245" t="e">
        <f t="shared" si="59"/>
        <v>#VALUE!</v>
      </c>
      <c r="Q717" s="169" t="str">
        <f t="shared" si="57"/>
        <v>MADHANI TALATAH NUSANTARA, PTDES</v>
      </c>
    </row>
    <row r="718" spans="2:17" s="61" customFormat="1" ht="14.1" customHeight="1">
      <c r="B718" s="242"/>
      <c r="C718" s="268">
        <f>MATCH($B$680,INDEX(Master_Data!$B$186:$B$864,D717+1,1):'Master_Data'!$B$864,0)</f>
        <v>1</v>
      </c>
      <c r="D718" s="268">
        <f t="shared" si="58"/>
        <v>403</v>
      </c>
      <c r="E718" s="24">
        <v>39</v>
      </c>
      <c r="F718" s="22" t="str">
        <f>INDEX(Master_Data!$C$186:$L$864,D718,2)</f>
        <v>MADHANI TALATAH NUSANTARA, PT</v>
      </c>
      <c r="G718" s="24" t="str">
        <f>INDEX(Master_Data!$C$186:$L$864,D718,3)</f>
        <v>V</v>
      </c>
      <c r="H718" s="24">
        <f>INDEX(Master_Data!$C$186:$L$864,D718,1)</f>
        <v>5</v>
      </c>
      <c r="I718" s="24" t="str">
        <f>INDEX(Master_Data!$C$186:$L$864,D718,4)</f>
        <v>Sewa VSAT Site West Pit Project</v>
      </c>
      <c r="J718" s="24" t="str">
        <f>INDEX(Master_Data!$C$186:$L$864,D718,5)</f>
        <v>DESEMBER</v>
      </c>
      <c r="K718" s="136" t="str">
        <f>INDEX(Master_Data!$C$186:$L$864,D718,6)</f>
        <v>17-115/BKU-004/XII/057</v>
      </c>
      <c r="L718" s="140" t="str">
        <f>INDEX(Master_Data!$C$186:$L$864,D718,7)</f>
        <v>010.020-17.90411057</v>
      </c>
      <c r="M718" s="140">
        <f>INDEX(Master_Data!$C$186:$L$864,D718,8)</f>
        <v>0</v>
      </c>
      <c r="N718" s="264"/>
      <c r="O718" s="245" t="e">
        <f t="shared" si="59"/>
        <v>#VALUE!</v>
      </c>
      <c r="Q718" s="169" t="str">
        <f t="shared" si="57"/>
        <v>MADHANI TALATAH NUSANTARA, PTDES</v>
      </c>
    </row>
    <row r="719" spans="2:17" s="61" customFormat="1" ht="14.1" customHeight="1">
      <c r="B719" s="242"/>
      <c r="C719" s="268">
        <f>MATCH($B$680,INDEX(Master_Data!$B$186:$B$864,D718+1,1):'Master_Data'!$B$864,0)</f>
        <v>1</v>
      </c>
      <c r="D719" s="268">
        <f t="shared" si="58"/>
        <v>404</v>
      </c>
      <c r="E719" s="54">
        <v>40</v>
      </c>
      <c r="F719" s="22" t="str">
        <f>INDEX(Master_Data!$C$186:$L$864,D719,2)</f>
        <v>MADHANI TALATAH NUSANTARA, PT</v>
      </c>
      <c r="G719" s="24" t="str">
        <f>INDEX(Master_Data!$C$186:$L$864,D719,3)</f>
        <v>V</v>
      </c>
      <c r="H719" s="24">
        <f>INDEX(Master_Data!$C$186:$L$864,D719,1)</f>
        <v>5</v>
      </c>
      <c r="I719" s="24" t="str">
        <f>INDEX(Master_Data!$C$186:$L$864,D719,4)</f>
        <v>Sewa VSAT Site Madhani SBS</v>
      </c>
      <c r="J719" s="24" t="str">
        <f>INDEX(Master_Data!$C$186:$L$864,D719,5)</f>
        <v>DESEMBER</v>
      </c>
      <c r="K719" s="136" t="str">
        <f>INDEX(Master_Data!$C$186:$L$864,D719,6)</f>
        <v>17-116/BKU-004/XII/057</v>
      </c>
      <c r="L719" s="140" t="str">
        <f>INDEX(Master_Data!$C$186:$L$864,D719,7)</f>
        <v>010.020-17.90411058</v>
      </c>
      <c r="M719" s="140">
        <f>INDEX(Master_Data!$C$186:$L$864,D719,8)</f>
        <v>0</v>
      </c>
      <c r="N719" s="264"/>
      <c r="O719" s="245" t="e">
        <f t="shared" si="59"/>
        <v>#VALUE!</v>
      </c>
      <c r="Q719" s="169" t="str">
        <f t="shared" si="57"/>
        <v>MADHANI TALATAH NUSANTARA, PTDES</v>
      </c>
    </row>
    <row r="720" spans="2:17" s="61" customFormat="1" ht="14.1" customHeight="1">
      <c r="B720" s="242"/>
      <c r="C720" s="268">
        <f>MATCH($B$680,INDEX(Master_Data!$B$186:$B$864,D719+1,1):'Master_Data'!$B$864,0)</f>
        <v>1</v>
      </c>
      <c r="D720" s="268">
        <f t="shared" si="58"/>
        <v>405</v>
      </c>
      <c r="E720" s="24">
        <v>41</v>
      </c>
      <c r="F720" s="22" t="str">
        <f>INDEX(Master_Data!$C$186:$L$864,D720,2)</f>
        <v>MADHANI TALATAH NUSANTARA, PT</v>
      </c>
      <c r="G720" s="24" t="str">
        <f>INDEX(Master_Data!$C$186:$L$864,D720,3)</f>
        <v>P</v>
      </c>
      <c r="H720" s="24">
        <f>INDEX(Master_Data!$C$186:$L$864,D720,1)</f>
        <v>5</v>
      </c>
      <c r="I720" s="24" t="str">
        <f>INDEX(Master_Data!$C$186:$L$864,D720,4)</f>
        <v>Pengadaan Soundwin 4 Port Fxs VoIP Gateway</v>
      </c>
      <c r="J720" s="24" t="str">
        <f>INDEX(Master_Data!$C$186:$L$864,D720,5)</f>
        <v>2 Unit</v>
      </c>
      <c r="K720" s="136" t="str">
        <f>INDEX(Master_Data!$C$186:$L$864,D720,6)</f>
        <v>17-117/BKU-004/XII/057</v>
      </c>
      <c r="L720" s="140" t="str">
        <f>INDEX(Master_Data!$C$186:$L$864,D720,7)</f>
        <v>010.020-17.90411059</v>
      </c>
      <c r="M720" s="140">
        <f>INDEX(Master_Data!$C$186:$L$864,D720,8)</f>
        <v>0</v>
      </c>
      <c r="N720" s="264"/>
      <c r="O720" s="245" t="e">
        <f t="shared" si="59"/>
        <v>#VALUE!</v>
      </c>
      <c r="Q720" s="169" t="str">
        <f t="shared" si="57"/>
        <v>MADHANI TALATAH NUSANTARA, PTDES</v>
      </c>
    </row>
    <row r="721" spans="2:17" s="61" customFormat="1" ht="14.1" customHeight="1">
      <c r="B721" s="242"/>
      <c r="C721" s="268">
        <f>MATCH($B$680,INDEX(Master_Data!$B$186:$B$864,D720+1,1):'Master_Data'!$B$864,0)</f>
        <v>12</v>
      </c>
      <c r="D721" s="268">
        <f t="shared" si="58"/>
        <v>417</v>
      </c>
      <c r="E721" s="54">
        <v>42</v>
      </c>
      <c r="F721" s="22" t="str">
        <f>INDEX(Master_Data!$C$186:$L$864,D721,2)</f>
        <v>MANDALA KARYA PRIMA, PT</v>
      </c>
      <c r="G721" s="24" t="str">
        <f>INDEX(Master_Data!$C$186:$L$864,D721,3)</f>
        <v>W, I</v>
      </c>
      <c r="H721" s="24">
        <f>INDEX(Master_Data!$C$186:$L$864,D721,1)</f>
        <v>6</v>
      </c>
      <c r="I721" s="24" t="str">
        <f>INDEX(Master_Data!$C$186:$L$864,D721,4)</f>
        <v>WDL &amp; Internet Access 2048 Kbps Site Krassi Sesayap</v>
      </c>
      <c r="J721" s="24" t="str">
        <f>INDEX(Master_Data!$C$186:$L$864,D721,5)</f>
        <v>NOVEMBER</v>
      </c>
      <c r="K721" s="136" t="str">
        <f>INDEX(Master_Data!$C$186:$L$864,D721,6)</f>
        <v>17-012/BKU-004/XII/214</v>
      </c>
      <c r="L721" s="140" t="str">
        <f>INDEX(Master_Data!$C$186:$L$864,D721,7)</f>
        <v>010.020-17.90411062</v>
      </c>
      <c r="M721" s="140">
        <f>INDEX(Master_Data!$C$186:$L$864,D721,8)</f>
        <v>0</v>
      </c>
      <c r="N721" s="264"/>
      <c r="O721" s="245" t="e">
        <f t="shared" si="59"/>
        <v>#VALUE!</v>
      </c>
      <c r="Q721" s="169" t="str">
        <f t="shared" si="57"/>
        <v>MANDALA KARYA PRIMA, PTDES</v>
      </c>
    </row>
    <row r="722" spans="2:17" s="61" customFormat="1" ht="14.1" customHeight="1">
      <c r="B722" s="242"/>
      <c r="C722" s="268">
        <f>MATCH($B$680,INDEX(Master_Data!$B$186:$B$864,D721+1,1):'Master_Data'!$B$864,0)</f>
        <v>35</v>
      </c>
      <c r="D722" s="268">
        <f t="shared" si="58"/>
        <v>452</v>
      </c>
      <c r="E722" s="24">
        <v>43</v>
      </c>
      <c r="F722" s="22" t="str">
        <f>INDEX(Master_Data!$C$186:$L$864,D722,2)</f>
        <v>MANDIRI HERINDO ADIPERKASA, PT</v>
      </c>
      <c r="G722" s="24" t="str">
        <f>INDEX(Master_Data!$C$186:$L$864,D722,3)</f>
        <v>W</v>
      </c>
      <c r="H722" s="24">
        <f>INDEX(Master_Data!$C$186:$L$864,D722,1)</f>
        <v>6</v>
      </c>
      <c r="I722" s="24" t="str">
        <f>INDEX(Master_Data!$C$186:$L$864,D722,4)</f>
        <v>WDL Site SIMS Batu Kajang - Kaltim</v>
      </c>
      <c r="J722" s="24" t="str">
        <f>INDEX(Master_Data!$C$186:$L$864,D722,5)</f>
        <v>NOVEMBER</v>
      </c>
      <c r="K722" s="136" t="str">
        <f>INDEX(Master_Data!$C$186:$L$864,D722,6)</f>
        <v>17-035/BKU-004/XII/211</v>
      </c>
      <c r="L722" s="140" t="str">
        <f>INDEX(Master_Data!$C$186:$L$864,D722,7)</f>
        <v>010.020-17.90411063</v>
      </c>
      <c r="M722" s="140">
        <f>INDEX(Master_Data!$C$186:$L$864,D722,8)</f>
        <v>0</v>
      </c>
      <c r="N722" s="264"/>
      <c r="O722" s="245" t="e">
        <f t="shared" si="59"/>
        <v>#VALUE!</v>
      </c>
      <c r="Q722" s="169" t="str">
        <f t="shared" si="57"/>
        <v>MANDIRI HERINDO ADIPERKASA, PTDES</v>
      </c>
    </row>
    <row r="723" spans="2:17" s="61" customFormat="1" ht="14.1" customHeight="1">
      <c r="B723" s="242"/>
      <c r="C723" s="268">
        <f>MATCH($B$680,INDEX(Master_Data!$B$186:$B$864,D722+1,1):'Master_Data'!$B$864,0)</f>
        <v>1</v>
      </c>
      <c r="D723" s="268">
        <f t="shared" si="58"/>
        <v>453</v>
      </c>
      <c r="E723" s="54">
        <v>44</v>
      </c>
      <c r="F723" s="22" t="str">
        <f>INDEX(Master_Data!$C$186:$L$864,D723,2)</f>
        <v>MANDIRI HERINDO ADIPERKASA, PT</v>
      </c>
      <c r="G723" s="24" t="str">
        <f>INDEX(Master_Data!$C$186:$L$864,D723,3)</f>
        <v>I</v>
      </c>
      <c r="H723" s="24">
        <f>INDEX(Master_Data!$C$186:$L$864,D723,1)</f>
        <v>6</v>
      </c>
      <c r="I723" s="24" t="str">
        <f>INDEX(Master_Data!$C$186:$L$864,D723,4)</f>
        <v>VPN IP Site Office Belleza</v>
      </c>
      <c r="J723" s="24" t="str">
        <f>INDEX(Master_Data!$C$186:$L$864,D723,5)</f>
        <v>NOVEMBER</v>
      </c>
      <c r="K723" s="136" t="str">
        <f>INDEX(Master_Data!$C$186:$L$864,D723,6)</f>
        <v>17-036/BKU-004/XII/211</v>
      </c>
      <c r="L723" s="140" t="str">
        <f>INDEX(Master_Data!$C$186:$L$864,D723,7)</f>
        <v>010.020-17.90411064</v>
      </c>
      <c r="M723" s="140">
        <f>INDEX(Master_Data!$C$186:$L$864,D723,8)</f>
        <v>0</v>
      </c>
      <c r="N723" s="264"/>
      <c r="O723" s="245" t="e">
        <f t="shared" si="59"/>
        <v>#VALUE!</v>
      </c>
      <c r="Q723" s="169" t="str">
        <f t="shared" si="57"/>
        <v>MANDIRI HERINDO ADIPERKASA, PTDES</v>
      </c>
    </row>
    <row r="724" spans="2:17" s="61" customFormat="1" ht="14.1" customHeight="1">
      <c r="B724" s="242"/>
      <c r="C724" s="268">
        <f>MATCH($B$680,INDEX(Master_Data!$B$186:$B$864,D723+1,1):'Master_Data'!$B$864,0)</f>
        <v>1</v>
      </c>
      <c r="D724" s="268">
        <f t="shared" si="58"/>
        <v>454</v>
      </c>
      <c r="E724" s="24">
        <v>45</v>
      </c>
      <c r="F724" s="22" t="str">
        <f>INDEX(Master_Data!$C$186:$L$864,D724,2)</f>
        <v>MANDIRI HERINDO ADIPERKASA, PT</v>
      </c>
      <c r="G724" s="24" t="str">
        <f>INDEX(Master_Data!$C$186:$L$864,D724,3)</f>
        <v>M</v>
      </c>
      <c r="H724" s="24">
        <f>INDEX(Master_Data!$C$186:$L$864,D724,1)</f>
        <v>6</v>
      </c>
      <c r="I724" s="24" t="str">
        <f>INDEX(Master_Data!$C$186:$L$864,D724,4)</f>
        <v>MPLS 1 Mbps Site Krassi Sesayap</v>
      </c>
      <c r="J724" s="24" t="str">
        <f>INDEX(Master_Data!$C$186:$L$864,D724,5)</f>
        <v>NOVEMBER</v>
      </c>
      <c r="K724" s="136" t="str">
        <f>INDEX(Master_Data!$C$186:$L$864,D724,6)</f>
        <v>17-037/BKU-004/XII/211</v>
      </c>
      <c r="L724" s="140" t="str">
        <f>INDEX(Master_Data!$C$186:$L$864,D724,7)</f>
        <v>010.020-17.90411065</v>
      </c>
      <c r="M724" s="140">
        <f>INDEX(Master_Data!$C$186:$L$864,D724,8)</f>
        <v>0</v>
      </c>
      <c r="N724" s="264"/>
      <c r="O724" s="245" t="e">
        <f t="shared" si="59"/>
        <v>#VALUE!</v>
      </c>
      <c r="Q724" s="169" t="str">
        <f t="shared" si="57"/>
        <v>MANDIRI HERINDO ADIPERKASA, PTDES</v>
      </c>
    </row>
    <row r="725" spans="2:17" s="61" customFormat="1" ht="14.1" customHeight="1">
      <c r="B725" s="242"/>
      <c r="C725" s="268">
        <f>MATCH($B$680,INDEX(Master_Data!$B$186:$B$864,D724+1,1):'Master_Data'!$B$864,0)</f>
        <v>1</v>
      </c>
      <c r="D725" s="268">
        <f t="shared" si="58"/>
        <v>455</v>
      </c>
      <c r="E725" s="54">
        <v>46</v>
      </c>
      <c r="F725" s="22" t="str">
        <f>INDEX(Master_Data!$C$186:$L$864,D725,2)</f>
        <v>MANDIRI HERINDO ADIPERKASA, PT</v>
      </c>
      <c r="G725" s="24" t="str">
        <f>INDEX(Master_Data!$C$186:$L$864,D725,3)</f>
        <v>V</v>
      </c>
      <c r="H725" s="24">
        <f>INDEX(Master_Data!$C$186:$L$864,D725,1)</f>
        <v>6</v>
      </c>
      <c r="I725" s="24" t="str">
        <f>INDEX(Master_Data!$C$186:$L$864,D725,4)</f>
        <v>Sewa VSAT Bandwith 256/256 Kbps Site Tabang</v>
      </c>
      <c r="J725" s="24" t="str">
        <f>INDEX(Master_Data!$C$186:$L$864,D725,5)</f>
        <v>NOVEMBER</v>
      </c>
      <c r="K725" s="136" t="str">
        <f>INDEX(Master_Data!$C$186:$L$864,D725,6)</f>
        <v>17-038/BKU-004/XII/211</v>
      </c>
      <c r="L725" s="140" t="str">
        <f>INDEX(Master_Data!$C$186:$L$864,D725,7)</f>
        <v>010.020-17.90411066</v>
      </c>
      <c r="M725" s="140">
        <f>INDEX(Master_Data!$C$186:$L$864,D725,8)</f>
        <v>0</v>
      </c>
      <c r="N725" s="264"/>
      <c r="O725" s="245" t="e">
        <f t="shared" si="59"/>
        <v>#VALUE!</v>
      </c>
      <c r="Q725" s="169" t="str">
        <f t="shared" si="57"/>
        <v>MANDIRI HERINDO ADIPERKASA, PTDES</v>
      </c>
    </row>
    <row r="726" spans="2:17" s="61" customFormat="1" ht="14.1" customHeight="1">
      <c r="B726" s="242"/>
      <c r="C726" s="268">
        <f>MATCH($B$680,INDEX(Master_Data!$B$186:$B$864,D725+1,1):'Master_Data'!$B$864,0)</f>
        <v>23</v>
      </c>
      <c r="D726" s="268">
        <f t="shared" si="58"/>
        <v>478</v>
      </c>
      <c r="E726" s="24">
        <v>47</v>
      </c>
      <c r="F726" s="22" t="str">
        <f>INDEX(Master_Data!$C$186:$L$864,D726,2)</f>
        <v>MANDIRI INTI PERKASA, PT</v>
      </c>
      <c r="G726" s="24" t="str">
        <f>INDEX(Master_Data!$C$186:$L$864,D726,3)</f>
        <v>W,I</v>
      </c>
      <c r="H726" s="24">
        <f>INDEX(Master_Data!$C$186:$L$864,D726,1)</f>
        <v>6</v>
      </c>
      <c r="I726" s="24" t="str">
        <f>INDEX(Master_Data!$C$186:$L$864,D726,4)</f>
        <v>WDL &amp; Internet Access 2048 Kbps Site Krassi Sesayap</v>
      </c>
      <c r="J726" s="24" t="str">
        <f>INDEX(Master_Data!$C$186:$L$864,D726,5)</f>
        <v>NOVEMBER</v>
      </c>
      <c r="K726" s="136" t="str">
        <f>INDEX(Master_Data!$C$186:$L$864,D726,6)</f>
        <v>17-023/BKU-004/XII/196</v>
      </c>
      <c r="L726" s="140" t="str">
        <f>INDEX(Master_Data!$C$186:$L$864,D726,7)</f>
        <v>010.020-17.90411067</v>
      </c>
      <c r="M726" s="140">
        <f>INDEX(Master_Data!$C$186:$L$864,D726,8)</f>
        <v>0</v>
      </c>
      <c r="N726" s="264"/>
      <c r="O726" s="245" t="e">
        <f t="shared" si="59"/>
        <v>#VALUE!</v>
      </c>
      <c r="Q726" s="169" t="str">
        <f t="shared" si="57"/>
        <v>MANDIRI INTI PERKASA, PTDES</v>
      </c>
    </row>
    <row r="727" spans="2:17" s="61" customFormat="1" ht="14.1" customHeight="1">
      <c r="B727" s="242"/>
      <c r="C727" s="268">
        <f>MATCH($B$680,INDEX(Master_Data!$B$186:$B$864,D726+1,1):'Master_Data'!$B$864,0)</f>
        <v>1</v>
      </c>
      <c r="D727" s="268">
        <f t="shared" si="58"/>
        <v>479</v>
      </c>
      <c r="E727" s="54">
        <v>48</v>
      </c>
      <c r="F727" s="22" t="str">
        <f>INDEX(Master_Data!$C$186:$L$864,D727,2)</f>
        <v>MANDIRI INTI PERKASA, PT</v>
      </c>
      <c r="G727" s="24" t="str">
        <f>INDEX(Master_Data!$C$186:$L$864,D727,3)</f>
        <v>I</v>
      </c>
      <c r="H727" s="24">
        <f>INDEX(Master_Data!$C$186:$L$864,D727,1)</f>
        <v>6</v>
      </c>
      <c r="I727" s="24" t="str">
        <f>INDEX(Master_Data!$C$186:$L$864,D727,4)</f>
        <v>Internet Bandwith 5 Mbps Site HO Pro Mandiri Building Latumenten</v>
      </c>
      <c r="J727" s="24" t="str">
        <f>INDEX(Master_Data!$C$186:$L$864,D727,5)</f>
        <v>NOVEMBER</v>
      </c>
      <c r="K727" s="136" t="str">
        <f>INDEX(Master_Data!$C$186:$L$864,D727,6)</f>
        <v>17-024/BKU-004/XII/196</v>
      </c>
      <c r="L727" s="140" t="str">
        <f>INDEX(Master_Data!$C$186:$L$864,D727,7)</f>
        <v>010.020-17.90411068</v>
      </c>
      <c r="M727" s="140">
        <f>INDEX(Master_Data!$C$186:$L$864,D727,8)</f>
        <v>0</v>
      </c>
      <c r="N727" s="264"/>
      <c r="O727" s="245" t="e">
        <f t="shared" si="59"/>
        <v>#VALUE!</v>
      </c>
      <c r="Q727" s="169" t="str">
        <f t="shared" si="57"/>
        <v>MANDIRI INTI PERKASA, PTDES</v>
      </c>
    </row>
    <row r="728" spans="2:17" s="61" customFormat="1" ht="14.1" customHeight="1">
      <c r="B728" s="242"/>
      <c r="C728" s="268">
        <f>MATCH($B$680,INDEX(Master_Data!$B$186:$B$864,D727+1,1):'Master_Data'!$B$864,0)</f>
        <v>12</v>
      </c>
      <c r="D728" s="268">
        <f t="shared" si="58"/>
        <v>491</v>
      </c>
      <c r="E728" s="24">
        <v>49</v>
      </c>
      <c r="F728" s="22" t="str">
        <f>INDEX(Master_Data!$C$186:$L$864,D728,2)</f>
        <v>MEDCO PAPUA INDUSTRI LESTARI, PT</v>
      </c>
      <c r="G728" s="24" t="str">
        <f>INDEX(Master_Data!$C$186:$L$864,D728,3)</f>
        <v>V</v>
      </c>
      <c r="H728" s="24">
        <f>INDEX(Master_Data!$C$186:$L$864,D728,1)</f>
        <v>11</v>
      </c>
      <c r="I728" s="24" t="str">
        <f>INDEX(Master_Data!$C$186:$L$864,D728,4)</f>
        <v>Rental VSAT Medco Wapeko</v>
      </c>
      <c r="J728" s="24" t="str">
        <f>INDEX(Master_Data!$C$186:$L$864,D728,5)</f>
        <v>DESEMBER</v>
      </c>
      <c r="K728" s="136" t="str">
        <f>INDEX(Master_Data!$C$186:$L$864,D728,6)</f>
        <v>17-012/BKU-004/XII/145</v>
      </c>
      <c r="L728" s="140" t="str">
        <f>INDEX(Master_Data!$C$186:$L$864,D728,7)</f>
        <v>010.020-17.90411076</v>
      </c>
      <c r="M728" s="140">
        <f>INDEX(Master_Data!$C$186:$L$864,D728,8)</f>
        <v>0</v>
      </c>
      <c r="N728" s="264"/>
      <c r="O728" s="245" t="e">
        <f t="shared" si="59"/>
        <v>#VALUE!</v>
      </c>
      <c r="Q728" s="169" t="str">
        <f t="shared" si="57"/>
        <v>MEDCO PAPUA INDUSTRI LESTARI, PTDES</v>
      </c>
    </row>
    <row r="729" spans="2:17" s="61" customFormat="1" ht="14.1" customHeight="1">
      <c r="B729" s="242"/>
      <c r="C729" s="268">
        <f>MATCH($B$680,INDEX(Master_Data!$B$186:$B$864,D728+1,1):'Master_Data'!$B$864,0)</f>
        <v>12</v>
      </c>
      <c r="D729" s="268">
        <f t="shared" si="58"/>
        <v>503</v>
      </c>
      <c r="E729" s="54">
        <v>50</v>
      </c>
      <c r="F729" s="22" t="str">
        <f>INDEX(Master_Data!$C$186:$L$864,D729,2)</f>
        <v>METALINDO BUMI RAYA, PT</v>
      </c>
      <c r="G729" s="24" t="str">
        <f>INDEX(Master_Data!$C$186:$L$864,D729,3)</f>
        <v>I</v>
      </c>
      <c r="H729" s="24">
        <f>INDEX(Master_Data!$C$186:$L$864,D729,1)</f>
        <v>11</v>
      </c>
      <c r="I729" s="24" t="str">
        <f>INDEX(Master_Data!$C$186:$L$864,D729,4)</f>
        <v>Internet Access Site Sebuku</v>
      </c>
      <c r="J729" s="24" t="str">
        <f>INDEX(Master_Data!$C$186:$L$864,D729,5)</f>
        <v>DESEMBER</v>
      </c>
      <c r="K729" s="136" t="str">
        <f>INDEX(Master_Data!$C$186:$L$864,D729,6)</f>
        <v>17-011/BKU-004/XII/220</v>
      </c>
      <c r="L729" s="140" t="str">
        <f>INDEX(Master_Data!$C$186:$L$864,D729,7)</f>
        <v>010.020-17.90411077</v>
      </c>
      <c r="M729" s="140">
        <f>INDEX(Master_Data!$C$186:$L$864,D729,8)</f>
        <v>0</v>
      </c>
      <c r="N729" s="264"/>
      <c r="O729" s="245" t="e">
        <f t="shared" si="59"/>
        <v>#VALUE!</v>
      </c>
      <c r="Q729" s="169" t="str">
        <f t="shared" si="57"/>
        <v>METALINDO BUMI RAYA, PTDES</v>
      </c>
    </row>
    <row r="730" spans="2:17" s="61" customFormat="1" ht="14.1" customHeight="1">
      <c r="B730" s="242"/>
      <c r="C730" s="268">
        <f>MATCH($B$680,INDEX(Master_Data!$B$186:$B$864,D729+1,1):'Master_Data'!$B$864,0)</f>
        <v>1</v>
      </c>
      <c r="D730" s="268">
        <f t="shared" si="58"/>
        <v>504</v>
      </c>
      <c r="E730" s="24">
        <v>51</v>
      </c>
      <c r="F730" s="22" t="str">
        <f>INDEX(Master_Data!$C$186:$L$864,D730,2)</f>
        <v>MULTIMEDIA NUSANTARA, PT</v>
      </c>
      <c r="G730" s="24" t="str">
        <f>INDEX(Master_Data!$C$186:$L$864,D730,3)</f>
        <v>R</v>
      </c>
      <c r="H730" s="24">
        <f>INDEX(Master_Data!$C$186:$L$864,D730,1)</f>
        <v>5</v>
      </c>
      <c r="I730" s="24" t="str">
        <f>INDEX(Master_Data!$C$186:$L$864,D730,4)</f>
        <v>Biaya Penggantian Repointing HUB untuk Recovery Telkom-1 ke Satelit Pengganti</v>
      </c>
      <c r="J730" s="24">
        <f>INDEX(Master_Data!$C$186:$L$864,D730,5)</f>
        <v>18</v>
      </c>
      <c r="K730" s="136" t="str">
        <f>INDEX(Master_Data!$C$186:$L$864,D730,6)</f>
        <v>17-001/BKU-004/XII/128</v>
      </c>
      <c r="L730" s="140" t="str">
        <f>INDEX(Master_Data!$C$186:$L$864,D730,7)</f>
        <v>010.020-17.90411061</v>
      </c>
      <c r="M730" s="140">
        <f>INDEX(Master_Data!$C$186:$L$864,D730,8)</f>
        <v>0</v>
      </c>
      <c r="N730" s="264"/>
      <c r="O730" s="245" t="e">
        <f t="shared" si="59"/>
        <v>#VALUE!</v>
      </c>
      <c r="Q730" s="169" t="str">
        <f t="shared" si="57"/>
        <v>MULTIMEDIA NUSANTARA, PTDES</v>
      </c>
    </row>
    <row r="731" spans="2:17" s="61" customFormat="1" ht="14.1" customHeight="1">
      <c r="B731" s="242"/>
      <c r="C731" s="268">
        <f>MATCH($B$680,INDEX(Master_Data!$B$186:$B$864,D730+1,1):'Master_Data'!$B$864,0)</f>
        <v>14</v>
      </c>
      <c r="D731" s="268">
        <f t="shared" si="58"/>
        <v>518</v>
      </c>
      <c r="E731" s="54">
        <v>52</v>
      </c>
      <c r="F731" s="22" t="str">
        <f>INDEX(Master_Data!$C$186:$L$864,D731,2)</f>
        <v>NUSANTARA SARANA ALAM, PT</v>
      </c>
      <c r="G731" s="24" t="str">
        <f>INDEX(Master_Data!$C$186:$L$864,D731,3)</f>
        <v>V</v>
      </c>
      <c r="H731" s="24">
        <f>INDEX(Master_Data!$C$186:$L$864,D731,1)</f>
        <v>4</v>
      </c>
      <c r="I731" s="24" t="str">
        <f>INDEX(Master_Data!$C$186:$L$864,D731,4)</f>
        <v>Rental VSAT Site NSA Sandai</v>
      </c>
      <c r="J731" s="24" t="str">
        <f>INDEX(Master_Data!$C$186:$L$864,D731,5)</f>
        <v>NOVEMBER</v>
      </c>
      <c r="K731" s="136" t="str">
        <f>INDEX(Master_Data!$C$186:$L$864,D731,6)</f>
        <v>17-014/BKU-004/XII/245</v>
      </c>
      <c r="L731" s="140" t="str">
        <f>INDEX(Master_Data!$C$186:$L$864,D731,7)</f>
        <v>010.020-17.90411044</v>
      </c>
      <c r="M731" s="140">
        <f>INDEX(Master_Data!$C$186:$L$864,D731,8)</f>
        <v>0</v>
      </c>
      <c r="N731" s="264"/>
      <c r="O731" s="245" t="e">
        <f t="shared" si="59"/>
        <v>#VALUE!</v>
      </c>
      <c r="Q731" s="169" t="str">
        <f t="shared" si="57"/>
        <v>NUSANTARA SARANA ALAM, PTDES</v>
      </c>
    </row>
    <row r="732" spans="2:17" s="61" customFormat="1" ht="14.1" customHeight="1">
      <c r="B732" s="242"/>
      <c r="C732" s="268">
        <f>MATCH($B$680,INDEX(Master_Data!$B$186:$B$864,D731+1,1):'Master_Data'!$B$864,0)</f>
        <v>17</v>
      </c>
      <c r="D732" s="268">
        <f t="shared" si="58"/>
        <v>535</v>
      </c>
      <c r="E732" s="24">
        <v>53</v>
      </c>
      <c r="F732" s="22" t="str">
        <f>INDEX(Master_Data!$C$186:$L$864,D732,2)</f>
        <v>PEMBANGUNAN PERUMAHAN (PERSERO), PT</v>
      </c>
      <c r="G732" s="24" t="str">
        <f>INDEX(Master_Data!$C$186:$L$864,D732,3)</f>
        <v>I</v>
      </c>
      <c r="H732" s="24">
        <f>INDEX(Master_Data!$C$186:$L$864,D732,1)</f>
        <v>16</v>
      </c>
      <c r="I732" s="24" t="str">
        <f>INDEX(Master_Data!$C$186:$L$864,D732,4)</f>
        <v>Internet 1024/256 Kbps Site Lolak</v>
      </c>
      <c r="J732" s="24" t="str">
        <f>INDEX(Master_Data!$C$186:$L$864,D732,5)</f>
        <v>DESEMBER</v>
      </c>
      <c r="K732" s="136" t="str">
        <f>INDEX(Master_Data!$C$186:$L$864,D732,6)</f>
        <v>17-013/BKU-004/XII/226</v>
      </c>
      <c r="L732" s="140" t="str">
        <f>INDEX(Master_Data!$C$186:$L$864,D732,7)</f>
        <v>030.020-17.90411091</v>
      </c>
      <c r="M732" s="140">
        <f>INDEX(Master_Data!$C$186:$L$864,D732,8)</f>
        <v>0</v>
      </c>
      <c r="N732" s="264"/>
      <c r="O732" s="245" t="e">
        <f t="shared" si="59"/>
        <v>#VALUE!</v>
      </c>
      <c r="Q732" s="169" t="str">
        <f t="shared" si="57"/>
        <v>PEMBANGUNAN PERUMAHAN (PERSERO), PTDES</v>
      </c>
    </row>
    <row r="733" spans="2:17" s="61" customFormat="1" ht="14.1" customHeight="1">
      <c r="B733" s="242"/>
      <c r="C733" s="268">
        <f>MATCH($B$680,INDEX(Master_Data!$B$186:$B$864,D732+1,1):'Master_Data'!$B$864,0)</f>
        <v>30</v>
      </c>
      <c r="D733" s="268">
        <f t="shared" si="58"/>
        <v>565</v>
      </c>
      <c r="E733" s="24">
        <v>54</v>
      </c>
      <c r="F733" s="22" t="str">
        <f>INDEX(Master_Data!$C$186:$L$864,D733,2)</f>
        <v>PERTIWI AGRO SEJAHTERA, PT</v>
      </c>
      <c r="G733" s="24" t="str">
        <f>INDEX(Master_Data!$C$186:$L$864,D733,3)</f>
        <v>V</v>
      </c>
      <c r="H733" s="24">
        <f>INDEX(Master_Data!$C$186:$L$864,D733,1)</f>
        <v>4</v>
      </c>
      <c r="I733" s="24" t="str">
        <f>INDEX(Master_Data!$C$186:$L$864,D733,4)</f>
        <v>Monthly Charges VSAT</v>
      </c>
      <c r="J733" s="24" t="str">
        <f>INDEX(Master_Data!$C$186:$L$864,D733,5)</f>
        <v>DESEMBER</v>
      </c>
      <c r="K733" s="136" t="str">
        <f>INDEX(Master_Data!$C$186:$L$864,D733,6)</f>
        <v>17-012/BKU-004/XII/207</v>
      </c>
      <c r="L733" s="140" t="str">
        <f>INDEX(Master_Data!$C$186:$L$864,D733,7)</f>
        <v>010.020-17.90411043</v>
      </c>
      <c r="M733" s="140">
        <f>INDEX(Master_Data!$C$186:$L$864,D733,8)</f>
        <v>0</v>
      </c>
      <c r="N733" s="264"/>
      <c r="O733" s="245" t="e">
        <f t="shared" si="59"/>
        <v>#VALUE!</v>
      </c>
      <c r="Q733" s="169" t="str">
        <f t="shared" si="57"/>
        <v>PERTIWI AGRO SEJAHTERA, PTDES</v>
      </c>
    </row>
    <row r="734" spans="2:17" s="61" customFormat="1" ht="14.1" customHeight="1">
      <c r="B734" s="242"/>
      <c r="C734" s="268">
        <f>MATCH($B$680,INDEX(Master_Data!$B$186:$B$864,D733+1,1):'Master_Data'!$B$864,0)</f>
        <v>42</v>
      </c>
      <c r="D734" s="268">
        <f t="shared" si="58"/>
        <v>607</v>
      </c>
      <c r="E734" s="24">
        <v>55</v>
      </c>
      <c r="F734" s="22" t="str">
        <f>INDEX(Master_Data!$C$186:$L$864,D734,2)</f>
        <v>PETROSEA, PT</v>
      </c>
      <c r="G734" s="24" t="str">
        <f>INDEX(Master_Data!$C$186:$L$864,D734,3)</f>
        <v>V, W</v>
      </c>
      <c r="H734" s="24">
        <f>INDEX(Master_Data!$C$186:$L$864,D734,1)</f>
        <v>11</v>
      </c>
      <c r="I734" s="24" t="str">
        <f>INDEX(Master_Data!$C$186:$L$864,D734,4)</f>
        <v>Monthly WAN 1 Mbps; VSAT Internet 2 Mbps; Sewa Voice Gateway Site Muara Tuhup</v>
      </c>
      <c r="J734" s="24" t="str">
        <f>INDEX(Master_Data!$C$186:$L$864,D734,5)</f>
        <v>NOVEMBER</v>
      </c>
      <c r="K734" s="136" t="str">
        <f>INDEX(Master_Data!$C$186:$L$864,D734,6)</f>
        <v>17-040/BKU-004/XII/009</v>
      </c>
      <c r="L734" s="140" t="str">
        <f>INDEX(Master_Data!$C$186:$L$864,D734,7)</f>
        <v>010.020-17.90411084</v>
      </c>
      <c r="M734" s="140">
        <f>INDEX(Master_Data!$C$186:$L$864,D734,8)</f>
        <v>0</v>
      </c>
      <c r="N734" s="264"/>
      <c r="O734" s="245" t="e">
        <f t="shared" si="59"/>
        <v>#VALUE!</v>
      </c>
      <c r="Q734" s="169" t="str">
        <f t="shared" si="57"/>
        <v>PETROSEA, PTDES</v>
      </c>
    </row>
    <row r="735" spans="2:17" s="61" customFormat="1" ht="14.1" customHeight="1">
      <c r="B735" s="242"/>
      <c r="C735" s="268">
        <f>MATCH($B$680,INDEX(Master_Data!$B$186:$B$864,D734+1,1):'Master_Data'!$B$864,0)</f>
        <v>1</v>
      </c>
      <c r="D735" s="268">
        <f t="shared" si="58"/>
        <v>608</v>
      </c>
      <c r="E735" s="24">
        <v>56</v>
      </c>
      <c r="F735" s="22" t="str">
        <f>INDEX(Master_Data!$C$186:$L$864,D735,2)</f>
        <v>PETROSEA, PT</v>
      </c>
      <c r="G735" s="24" t="str">
        <f>INDEX(Master_Data!$C$186:$L$864,D735,3)</f>
        <v>V</v>
      </c>
      <c r="H735" s="24">
        <f>INDEX(Master_Data!$C$186:$L$864,D735,1)</f>
        <v>11</v>
      </c>
      <c r="I735" s="24" t="str">
        <f>INDEX(Master_Data!$C$186:$L$864,D735,4)</f>
        <v>Monthly Charges VSAT Site Tabang</v>
      </c>
      <c r="J735" s="24" t="str">
        <f>INDEX(Master_Data!$C$186:$L$864,D735,5)</f>
        <v>NOVEMBER</v>
      </c>
      <c r="K735" s="136" t="str">
        <f>INDEX(Master_Data!$C$186:$L$864,D735,6)</f>
        <v>17-041/BKU-004/XII/009</v>
      </c>
      <c r="L735" s="140" t="str">
        <f>INDEX(Master_Data!$C$186:$L$864,D735,7)</f>
        <v>010.020-17.90411081</v>
      </c>
      <c r="M735" s="140">
        <f>INDEX(Master_Data!$C$186:$L$864,D735,8)</f>
        <v>0</v>
      </c>
      <c r="N735" s="264"/>
      <c r="O735" s="245" t="e">
        <f t="shared" si="59"/>
        <v>#VALUE!</v>
      </c>
      <c r="Q735" s="169" t="str">
        <f t="shared" si="57"/>
        <v>PETROSEA, PTDES</v>
      </c>
    </row>
    <row r="736" spans="2:17" s="61" customFormat="1" ht="14.1" customHeight="1">
      <c r="B736" s="242"/>
      <c r="C736" s="268">
        <f>MATCH($B$680,INDEX(Master_Data!$B$186:$B$864,D735+1,1):'Master_Data'!$B$864,0)</f>
        <v>1</v>
      </c>
      <c r="D736" s="268">
        <f t="shared" si="58"/>
        <v>609</v>
      </c>
      <c r="E736" s="24">
        <v>57</v>
      </c>
      <c r="F736" s="22" t="str">
        <f>INDEX(Master_Data!$C$186:$L$864,D736,2)</f>
        <v>PETROSEA, PT</v>
      </c>
      <c r="G736" s="24" t="str">
        <f>INDEX(Master_Data!$C$186:$L$864,D736,3)</f>
        <v>V</v>
      </c>
      <c r="H736" s="24">
        <f>INDEX(Master_Data!$C$186:$L$864,D736,1)</f>
        <v>11</v>
      </c>
      <c r="I736" s="24" t="str">
        <f>INDEX(Master_Data!$C$186:$L$864,D736,4)</f>
        <v>Sewa VSAT Site IAC Kintap</v>
      </c>
      <c r="J736" s="24" t="str">
        <f>INDEX(Master_Data!$C$186:$L$864,D736,5)</f>
        <v>NOVEMBER</v>
      </c>
      <c r="K736" s="136" t="str">
        <f>INDEX(Master_Data!$C$186:$L$864,D736,6)</f>
        <v>17-042/BKU-004/XII/009</v>
      </c>
      <c r="L736" s="140" t="str">
        <f>INDEX(Master_Data!$C$186:$L$864,D736,7)</f>
        <v>010.020-17.90411082</v>
      </c>
      <c r="M736" s="140">
        <f>INDEX(Master_Data!$C$186:$L$864,D736,8)</f>
        <v>0</v>
      </c>
      <c r="N736" s="264"/>
      <c r="O736" s="245" t="e">
        <f t="shared" si="59"/>
        <v>#VALUE!</v>
      </c>
      <c r="Q736" s="169" t="str">
        <f t="shared" si="57"/>
        <v>PETROSEA, PTDES</v>
      </c>
    </row>
    <row r="737" spans="2:17" s="61" customFormat="1" ht="14.1" customHeight="1">
      <c r="B737" s="242"/>
      <c r="C737" s="268">
        <f>MATCH($B$680,INDEX(Master_Data!$B$186:$B$864,D736+1,1):'Master_Data'!$B$864,0)</f>
        <v>1</v>
      </c>
      <c r="D737" s="268">
        <f t="shared" si="58"/>
        <v>610</v>
      </c>
      <c r="E737" s="24">
        <v>58</v>
      </c>
      <c r="F737" s="22" t="str">
        <f>INDEX(Master_Data!$C$186:$L$864,D737,2)</f>
        <v>PETROSEA, PT</v>
      </c>
      <c r="G737" s="24" t="str">
        <f>INDEX(Master_Data!$C$186:$L$864,D737,3)</f>
        <v>V</v>
      </c>
      <c r="H737" s="24">
        <f>INDEX(Master_Data!$C$186:$L$864,D737,1)</f>
        <v>11</v>
      </c>
      <c r="I737" s="24" t="str">
        <f>INDEX(Master_Data!$C$186:$L$864,D737,4)</f>
        <v xml:space="preserve">Sewa VSAT Site Timika </v>
      </c>
      <c r="J737" s="24" t="str">
        <f>INDEX(Master_Data!$C$186:$L$864,D737,5)</f>
        <v>NOVEMBER</v>
      </c>
      <c r="K737" s="136" t="str">
        <f>INDEX(Master_Data!$C$186:$L$864,D737,6)</f>
        <v>17-043/BKU-004/XII/009</v>
      </c>
      <c r="L737" s="140" t="str">
        <f>INDEX(Master_Data!$C$186:$L$864,D737,7)</f>
        <v>010.020-17.90411083</v>
      </c>
      <c r="M737" s="140">
        <f>INDEX(Master_Data!$C$186:$L$864,D737,8)</f>
        <v>0</v>
      </c>
      <c r="N737" s="264"/>
      <c r="O737" s="245" t="e">
        <f t="shared" si="59"/>
        <v>#VALUE!</v>
      </c>
      <c r="Q737" s="169" t="str">
        <f t="shared" si="57"/>
        <v>PETROSEA, PTDES</v>
      </c>
    </row>
    <row r="738" spans="2:17" s="61" customFormat="1" ht="14.1" customHeight="1">
      <c r="B738" s="242"/>
      <c r="C738" s="268">
        <f>MATCH($B$680,INDEX(Master_Data!$B$186:$B$864,D737+1,1):'Master_Data'!$B$864,0)</f>
        <v>1</v>
      </c>
      <c r="D738" s="268">
        <f t="shared" si="58"/>
        <v>611</v>
      </c>
      <c r="E738" s="24">
        <v>59</v>
      </c>
      <c r="F738" s="22" t="str">
        <f>INDEX(Master_Data!$C$186:$L$864,D738,2)</f>
        <v>PETROSEA, PT</v>
      </c>
      <c r="G738" s="24" t="str">
        <f>INDEX(Master_Data!$C$186:$L$864,D738,3)</f>
        <v>V</v>
      </c>
      <c r="H738" s="24">
        <f>INDEX(Master_Data!$C$186:$L$864,D738,1)</f>
        <v>11</v>
      </c>
      <c r="I738" s="24" t="str">
        <f>INDEX(Master_Data!$C$186:$L$864,D738,4)</f>
        <v>Layanan VSAT Internet 4 Mbps Site POSB Sorong</v>
      </c>
      <c r="J738" s="24" t="str">
        <f>INDEX(Master_Data!$C$186:$L$864,D738,5)</f>
        <v>NOVEMBER</v>
      </c>
      <c r="K738" s="136" t="str">
        <f>INDEX(Master_Data!$C$186:$L$864,D738,6)</f>
        <v>17-045/BKU-004/XII/009</v>
      </c>
      <c r="L738" s="140" t="str">
        <f>INDEX(Master_Data!$C$186:$L$864,D738,7)</f>
        <v>010.020-17.90411085</v>
      </c>
      <c r="M738" s="140">
        <f>INDEX(Master_Data!$C$186:$L$864,D738,8)</f>
        <v>0</v>
      </c>
      <c r="N738" s="264"/>
      <c r="O738" s="245" t="e">
        <f t="shared" si="59"/>
        <v>#VALUE!</v>
      </c>
      <c r="Q738" s="169" t="str">
        <f t="shared" si="57"/>
        <v>PETROSEA, PTDES</v>
      </c>
    </row>
    <row r="739" spans="2:17" s="61" customFormat="1" ht="14.1" customHeight="1">
      <c r="B739" s="242"/>
      <c r="C739" s="268">
        <f>MATCH($B$680,INDEX(Master_Data!$B$186:$B$864,D738+1,1):'Master_Data'!$B$864,0)</f>
        <v>1</v>
      </c>
      <c r="D739" s="268">
        <f t="shared" si="58"/>
        <v>612</v>
      </c>
      <c r="E739" s="24">
        <v>60</v>
      </c>
      <c r="F739" s="22" t="str">
        <f>INDEX(Master_Data!$C$186:$L$864,D739,2)</f>
        <v>PETROSEA, PT</v>
      </c>
      <c r="G739" s="24" t="str">
        <f>INDEX(Master_Data!$C$186:$L$864,D739,3)</f>
        <v>V</v>
      </c>
      <c r="H739" s="24">
        <f>INDEX(Master_Data!$C$186:$L$864,D739,1)</f>
        <v>11</v>
      </c>
      <c r="I739" s="24" t="str">
        <f>INDEX(Master_Data!$C$186:$L$864,D739,4)</f>
        <v>Jasa Instalasi VSAT Site Binuang</v>
      </c>
      <c r="J739" s="24">
        <f>INDEX(Master_Data!$C$186:$L$864,D739,5)</f>
        <v>43049</v>
      </c>
      <c r="K739" s="136" t="str">
        <f>INDEX(Master_Data!$C$186:$L$864,D739,6)</f>
        <v>17-046/BKU-004/XII/009</v>
      </c>
      <c r="L739" s="140" t="str">
        <f>INDEX(Master_Data!$C$186:$L$864,D739,7)</f>
        <v>010.020-17.90411086</v>
      </c>
      <c r="M739" s="140">
        <f>INDEX(Master_Data!$C$186:$L$864,D739,8)</f>
        <v>0</v>
      </c>
      <c r="N739" s="264"/>
      <c r="O739" s="245" t="e">
        <f t="shared" si="59"/>
        <v>#VALUE!</v>
      </c>
      <c r="Q739" s="169" t="str">
        <f t="shared" si="57"/>
        <v>PETROSEA, PTDES</v>
      </c>
    </row>
    <row r="740" spans="2:17" s="61" customFormat="1" ht="14.1" customHeight="1">
      <c r="B740" s="242"/>
      <c r="C740" s="268">
        <f>MATCH($B$680,INDEX(Master_Data!$B$186:$B$864,D739+1,1):'Master_Data'!$B$864,0)</f>
        <v>21</v>
      </c>
      <c r="D740" s="268">
        <f t="shared" si="58"/>
        <v>633</v>
      </c>
      <c r="E740" s="24">
        <v>61</v>
      </c>
      <c r="F740" s="22" t="str">
        <f>INDEX(Master_Data!$C$186:$L$864,D740,2)</f>
        <v>RIUNG MITRA LESTARI, PT</v>
      </c>
      <c r="G740" s="24" t="str">
        <f>INDEX(Master_Data!$C$186:$L$864,D740,3)</f>
        <v>M</v>
      </c>
      <c r="H740" s="24">
        <f>INDEX(Master_Data!$C$186:$L$864,D740,1)</f>
        <v>6</v>
      </c>
      <c r="I740" s="24" t="str">
        <f>INDEX(Master_Data!$C$186:$L$864,D740,4)</f>
        <v>Monthly Charges Site Krassi Sesayap</v>
      </c>
      <c r="J740" s="24" t="str">
        <f>INDEX(Master_Data!$C$186:$L$864,D740,5)</f>
        <v>NOVEMBER</v>
      </c>
      <c r="K740" s="136" t="str">
        <f>INDEX(Master_Data!$C$186:$L$864,D740,6)</f>
        <v>17-012/BKU-004/XII/149</v>
      </c>
      <c r="L740" s="140" t="str">
        <f>INDEX(Master_Data!$C$186:$L$864,D740,7)</f>
        <v>010.020-17.90411060</v>
      </c>
      <c r="M740" s="140">
        <f>INDEX(Master_Data!$C$186:$L$864,D740,8)</f>
        <v>0</v>
      </c>
      <c r="N740" s="264"/>
      <c r="O740" s="245" t="e">
        <f t="shared" si="59"/>
        <v>#VALUE!</v>
      </c>
      <c r="Q740" s="169" t="str">
        <f t="shared" si="57"/>
        <v>RIUNG MITRA LESTARI, PTDES</v>
      </c>
    </row>
    <row r="741" spans="2:17" s="61" customFormat="1" ht="14.1" customHeight="1">
      <c r="B741" s="242"/>
      <c r="C741" s="268">
        <f>MATCH($B$680,INDEX(Master_Data!$B$186:$B$864,D740+1,1):'Master_Data'!$B$864,0)</f>
        <v>17</v>
      </c>
      <c r="D741" s="268">
        <f t="shared" si="58"/>
        <v>650</v>
      </c>
      <c r="E741" s="24">
        <v>62</v>
      </c>
      <c r="F741" s="22" t="str">
        <f>INDEX(Master_Data!$C$186:$L$864,D741,2)</f>
        <v>SELARAS INTI SEMESTA, PT</v>
      </c>
      <c r="G741" s="24" t="str">
        <f>INDEX(Master_Data!$C$186:$L$864,D741,3)</f>
        <v>V</v>
      </c>
      <c r="H741" s="24">
        <f>INDEX(Master_Data!$C$186:$L$864,D741,1)</f>
        <v>11</v>
      </c>
      <c r="I741" s="24" t="str">
        <f>INDEX(Master_Data!$C$186:$L$864,D741,4)</f>
        <v>Sewa VSAT 256/512 Kbps Site Tamulik</v>
      </c>
      <c r="J741" s="24" t="str">
        <f>INDEX(Master_Data!$C$186:$L$864,D741,5)</f>
        <v>NOVEMBER</v>
      </c>
      <c r="K741" s="136" t="str">
        <f>INDEX(Master_Data!$C$186:$L$864,D741,6)</f>
        <v>17-008/BKU-004/XII/250</v>
      </c>
      <c r="L741" s="140" t="str">
        <f>INDEX(Master_Data!$C$186:$L$864,D741,7)</f>
        <v>010.020-17.90411075</v>
      </c>
      <c r="M741" s="140">
        <f>INDEX(Master_Data!$C$186:$L$864,D741,8)</f>
        <v>0</v>
      </c>
      <c r="N741" s="264"/>
      <c r="O741" s="245" t="e">
        <f t="shared" si="59"/>
        <v>#VALUE!</v>
      </c>
      <c r="Q741" s="169" t="str">
        <f t="shared" si="57"/>
        <v>SELARAS INTI SEMESTA, PTDES</v>
      </c>
    </row>
    <row r="742" spans="2:17" s="61" customFormat="1" ht="14.1" customHeight="1">
      <c r="B742" s="242"/>
      <c r="C742" s="268">
        <f>MATCH($B$680,INDEX(Master_Data!$B$186:$B$864,D741+1,1):'Master_Data'!$B$864,0)</f>
        <v>13</v>
      </c>
      <c r="D742" s="268">
        <f t="shared" si="58"/>
        <v>663</v>
      </c>
      <c r="E742" s="24">
        <v>63</v>
      </c>
      <c r="F742" s="22" t="str">
        <f>INDEX(Master_Data!$C$186:$L$864,D742,2)</f>
        <v>TEBAR TANDAN TENERA, PT</v>
      </c>
      <c r="G742" s="24" t="str">
        <f>INDEX(Master_Data!$C$186:$L$864,D742,3)</f>
        <v>V</v>
      </c>
      <c r="H742" s="24">
        <f>INDEX(Master_Data!$C$186:$L$864,D742,1)</f>
        <v>4</v>
      </c>
      <c r="I742" s="24" t="str">
        <f>INDEX(Master_Data!$C$186:$L$864,D742,4)</f>
        <v>Rental VSAT Site TTT</v>
      </c>
      <c r="J742" s="24" t="str">
        <f>INDEX(Master_Data!$C$186:$L$864,D742,5)</f>
        <v>NOVEMBER</v>
      </c>
      <c r="K742" s="136" t="str">
        <f>INDEX(Master_Data!$C$186:$L$864,D742,6)</f>
        <v>17-012/BKU-004/XII/227</v>
      </c>
      <c r="L742" s="140" t="str">
        <f>INDEX(Master_Data!$C$186:$L$864,D742,7)</f>
        <v>010.020-17.90411045</v>
      </c>
      <c r="M742" s="140">
        <f>INDEX(Master_Data!$C$186:$L$864,D742,8)</f>
        <v>0</v>
      </c>
      <c r="N742" s="264"/>
      <c r="O742" s="245" t="e">
        <f t="shared" si="59"/>
        <v>#VALUE!</v>
      </c>
      <c r="Q742" s="169" t="str">
        <f t="shared" si="57"/>
        <v>TEBAR TANDAN TENERA, PTDES</v>
      </c>
    </row>
    <row r="743" spans="2:17" s="61" customFormat="1" ht="14.1" customHeight="1">
      <c r="B743" s="242"/>
      <c r="C743" s="268">
        <f>MATCH($B$680,INDEX(Master_Data!$B$186:$B$864,D742+1,1):'Master_Data'!$B$864,0)</f>
        <v>1</v>
      </c>
      <c r="D743" s="268">
        <f>D742+C743</f>
        <v>664</v>
      </c>
      <c r="E743" s="24">
        <v>64</v>
      </c>
      <c r="F743" s="22" t="str">
        <f>INDEX(Master_Data!$C$186:$L$864,D743,2)</f>
        <v>TELEKOMUNIKASI INDONESIA, PT</v>
      </c>
      <c r="G743" s="24">
        <f>INDEX(Master_Data!$C$186:$L$864,D743,3)</f>
        <v>0</v>
      </c>
      <c r="H743" s="24">
        <f>INDEX(Master_Data!$C$186:$L$864,D743,1)</f>
        <v>28</v>
      </c>
      <c r="I743" s="24" t="str">
        <f>INDEX(Master_Data!$C$186:$L$864,D743,4)</f>
        <v>Biaya Kompensasi Gangguan Satelit Telkom 1</v>
      </c>
      <c r="J743" s="24" t="str">
        <f>INDEX(Master_Data!$C$186:$L$864,D743,5)</f>
        <v>-</v>
      </c>
      <c r="K743" s="136" t="str">
        <f>INDEX(Master_Data!$C$186:$L$864,D743,6)</f>
        <v>17-001/BKU-004/XII/081</v>
      </c>
      <c r="L743" s="140" t="str">
        <f>INDEX(Master_Data!$C$186:$L$864,D743,7)</f>
        <v>031.020-17.90411102</v>
      </c>
      <c r="M743" s="140">
        <f>INDEX(Master_Data!$C$186:$L$864,D743,8)</f>
        <v>0</v>
      </c>
      <c r="N743" s="264"/>
      <c r="O743" s="245" t="e">
        <f>L743+M743</f>
        <v>#VALUE!</v>
      </c>
      <c r="Q743" s="169" t="str">
        <f t="shared" si="57"/>
        <v>TELEKOMUNIKASI INDONESIA, PTDES</v>
      </c>
    </row>
    <row r="744" spans="2:17" s="61" customFormat="1" ht="14.1" customHeight="1">
      <c r="B744" s="520"/>
      <c r="C744" s="268" t="e">
        <f>MATCH($B$680,INDEX(Master_Data!$B$186:$B$864,D743+1,1):'Master_Data'!$B$864,0)</f>
        <v>#N/A</v>
      </c>
      <c r="D744" s="268" t="e">
        <f t="shared" ref="D744:D750" si="60">D743+C744</f>
        <v>#N/A</v>
      </c>
      <c r="E744" s="24">
        <v>65</v>
      </c>
      <c r="F744" s="22" t="e">
        <f>INDEX(Master_Data!$C$186:$L$864,D744,2)</f>
        <v>#N/A</v>
      </c>
      <c r="G744" s="24" t="e">
        <f>INDEX(Master_Data!$C$186:$L$864,D744,3)</f>
        <v>#N/A</v>
      </c>
      <c r="H744" s="24" t="e">
        <f>INDEX(Master_Data!$C$186:$L$864,D744,1)</f>
        <v>#N/A</v>
      </c>
      <c r="I744" s="24" t="e">
        <f>INDEX(Master_Data!$C$186:$L$864,D744,4)</f>
        <v>#N/A</v>
      </c>
      <c r="J744" s="24" t="e">
        <f>INDEX(Master_Data!$C$186:$L$864,D744,5)</f>
        <v>#N/A</v>
      </c>
      <c r="K744" s="136" t="e">
        <f>INDEX(Master_Data!$C$186:$L$864,D744,6)</f>
        <v>#N/A</v>
      </c>
      <c r="L744" s="140" t="e">
        <f>INDEX(Master_Data!$C$186:$L$864,D744,7)</f>
        <v>#N/A</v>
      </c>
      <c r="M744" s="140" t="e">
        <f>INDEX(Master_Data!$C$186:$L$864,D744,8)</f>
        <v>#N/A</v>
      </c>
      <c r="N744" s="264"/>
      <c r="O744" s="245" t="e">
        <f t="shared" ref="O744:O749" si="61">L744+M744</f>
        <v>#N/A</v>
      </c>
      <c r="Q744" s="169" t="e">
        <f t="shared" ref="Q744:Q749" si="62">CONCATENATE(F744,$B$680)</f>
        <v>#N/A</v>
      </c>
    </row>
    <row r="745" spans="2:17" s="61" customFormat="1" ht="14.1" customHeight="1">
      <c r="B745" s="520"/>
      <c r="C745" s="268" t="e">
        <f>MATCH($B$680,INDEX(Master_Data!$B$186:$B$864,D744+1,1):'Master_Data'!$B$864,0)</f>
        <v>#N/A</v>
      </c>
      <c r="D745" s="268" t="e">
        <f t="shared" si="60"/>
        <v>#N/A</v>
      </c>
      <c r="E745" s="24">
        <v>66</v>
      </c>
      <c r="F745" s="22" t="e">
        <f>INDEX(Master_Data!$C$186:$L$864,D745,2)</f>
        <v>#N/A</v>
      </c>
      <c r="G745" s="24" t="e">
        <f>INDEX(Master_Data!$C$186:$L$864,D745,3)</f>
        <v>#N/A</v>
      </c>
      <c r="H745" s="24" t="e">
        <f>INDEX(Master_Data!$C$186:$L$864,D745,1)</f>
        <v>#N/A</v>
      </c>
      <c r="I745" s="24" t="e">
        <f>INDEX(Master_Data!$C$186:$L$864,D745,4)</f>
        <v>#N/A</v>
      </c>
      <c r="J745" s="24" t="e">
        <f>INDEX(Master_Data!$C$186:$L$864,D745,5)</f>
        <v>#N/A</v>
      </c>
      <c r="K745" s="136" t="e">
        <f>INDEX(Master_Data!$C$186:$L$864,D745,6)</f>
        <v>#N/A</v>
      </c>
      <c r="L745" s="140" t="e">
        <f>INDEX(Master_Data!$C$186:$L$864,D745,7)</f>
        <v>#N/A</v>
      </c>
      <c r="M745" s="140" t="e">
        <f>INDEX(Master_Data!$C$186:$L$864,D745,8)</f>
        <v>#N/A</v>
      </c>
      <c r="N745" s="264"/>
      <c r="O745" s="245" t="e">
        <f t="shared" si="61"/>
        <v>#N/A</v>
      </c>
      <c r="Q745" s="169" t="e">
        <f t="shared" si="62"/>
        <v>#N/A</v>
      </c>
    </row>
    <row r="746" spans="2:17" s="61" customFormat="1" ht="14.1" customHeight="1">
      <c r="B746" s="520"/>
      <c r="C746" s="268" t="e">
        <f>MATCH($B$680,INDEX(Master_Data!$B$186:$B$864,D745+1,1):'Master_Data'!$B$864,0)</f>
        <v>#N/A</v>
      </c>
      <c r="D746" s="268" t="e">
        <f t="shared" si="60"/>
        <v>#N/A</v>
      </c>
      <c r="E746" s="24">
        <v>67</v>
      </c>
      <c r="F746" s="22" t="e">
        <f>INDEX(Master_Data!$C$186:$L$864,D746,2)</f>
        <v>#N/A</v>
      </c>
      <c r="G746" s="24" t="e">
        <f>INDEX(Master_Data!$C$186:$L$864,D746,3)</f>
        <v>#N/A</v>
      </c>
      <c r="H746" s="24" t="e">
        <f>INDEX(Master_Data!$C$186:$L$864,D746,1)</f>
        <v>#N/A</v>
      </c>
      <c r="I746" s="24" t="e">
        <f>INDEX(Master_Data!$C$186:$L$864,D746,4)</f>
        <v>#N/A</v>
      </c>
      <c r="J746" s="24" t="e">
        <f>INDEX(Master_Data!$C$186:$L$864,D746,5)</f>
        <v>#N/A</v>
      </c>
      <c r="K746" s="136" t="e">
        <f>INDEX(Master_Data!$C$186:$L$864,D746,6)</f>
        <v>#N/A</v>
      </c>
      <c r="L746" s="140" t="e">
        <f>INDEX(Master_Data!$C$186:$L$864,D746,7)</f>
        <v>#N/A</v>
      </c>
      <c r="M746" s="140" t="e">
        <f>INDEX(Master_Data!$C$186:$L$864,D746,8)</f>
        <v>#N/A</v>
      </c>
      <c r="N746" s="264"/>
      <c r="O746" s="245" t="e">
        <f t="shared" si="61"/>
        <v>#N/A</v>
      </c>
      <c r="Q746" s="169" t="e">
        <f t="shared" si="62"/>
        <v>#N/A</v>
      </c>
    </row>
    <row r="747" spans="2:17" s="61" customFormat="1" ht="14.1" customHeight="1">
      <c r="B747" s="520"/>
      <c r="C747" s="268" t="e">
        <f>MATCH($B$680,INDEX(Master_Data!$B$186:$B$864,D746+1,1):'Master_Data'!$B$864,0)</f>
        <v>#N/A</v>
      </c>
      <c r="D747" s="268" t="e">
        <f t="shared" si="60"/>
        <v>#N/A</v>
      </c>
      <c r="E747" s="24">
        <v>68</v>
      </c>
      <c r="F747" s="22" t="e">
        <f>INDEX(Master_Data!$C$186:$L$864,D747,2)</f>
        <v>#N/A</v>
      </c>
      <c r="G747" s="24" t="e">
        <f>INDEX(Master_Data!$C$186:$L$864,D747,3)</f>
        <v>#N/A</v>
      </c>
      <c r="H747" s="24" t="e">
        <f>INDEX(Master_Data!$C$186:$L$864,D747,1)</f>
        <v>#N/A</v>
      </c>
      <c r="I747" s="24" t="e">
        <f>INDEX(Master_Data!$C$186:$L$864,D747,4)</f>
        <v>#N/A</v>
      </c>
      <c r="J747" s="24" t="e">
        <f>INDEX(Master_Data!$C$186:$L$864,D747,5)</f>
        <v>#N/A</v>
      </c>
      <c r="K747" s="136" t="e">
        <f>INDEX(Master_Data!$C$186:$L$864,D747,6)</f>
        <v>#N/A</v>
      </c>
      <c r="L747" s="140" t="e">
        <f>INDEX(Master_Data!$C$186:$L$864,D747,7)</f>
        <v>#N/A</v>
      </c>
      <c r="M747" s="140" t="e">
        <f>INDEX(Master_Data!$C$186:$L$864,D747,8)</f>
        <v>#N/A</v>
      </c>
      <c r="N747" s="264"/>
      <c r="O747" s="245" t="e">
        <f t="shared" si="61"/>
        <v>#N/A</v>
      </c>
      <c r="Q747" s="169" t="e">
        <f t="shared" si="62"/>
        <v>#N/A</v>
      </c>
    </row>
    <row r="748" spans="2:17" s="61" customFormat="1" ht="14.1" customHeight="1">
      <c r="B748" s="520"/>
      <c r="C748" s="268" t="e">
        <f>MATCH($B$680,INDEX(Master_Data!$B$186:$B$864,D747+1,1):'Master_Data'!$B$864,0)</f>
        <v>#N/A</v>
      </c>
      <c r="D748" s="268" t="e">
        <f t="shared" si="60"/>
        <v>#N/A</v>
      </c>
      <c r="E748" s="24">
        <v>69</v>
      </c>
      <c r="F748" s="22" t="e">
        <f>INDEX(Master_Data!$C$186:$L$864,D748,2)</f>
        <v>#N/A</v>
      </c>
      <c r="G748" s="24" t="e">
        <f>INDEX(Master_Data!$C$186:$L$864,D748,3)</f>
        <v>#N/A</v>
      </c>
      <c r="H748" s="24" t="e">
        <f>INDEX(Master_Data!$C$186:$L$864,D748,1)</f>
        <v>#N/A</v>
      </c>
      <c r="I748" s="24" t="e">
        <f>INDEX(Master_Data!$C$186:$L$864,D748,4)</f>
        <v>#N/A</v>
      </c>
      <c r="J748" s="24" t="e">
        <f>INDEX(Master_Data!$C$186:$L$864,D748,5)</f>
        <v>#N/A</v>
      </c>
      <c r="K748" s="136" t="e">
        <f>INDEX(Master_Data!$C$186:$L$864,D748,6)</f>
        <v>#N/A</v>
      </c>
      <c r="L748" s="140" t="e">
        <f>INDEX(Master_Data!$C$186:$L$864,D748,7)</f>
        <v>#N/A</v>
      </c>
      <c r="M748" s="140" t="e">
        <f>INDEX(Master_Data!$C$186:$L$864,D748,8)</f>
        <v>#N/A</v>
      </c>
      <c r="N748" s="264"/>
      <c r="O748" s="245" t="e">
        <f t="shared" si="61"/>
        <v>#N/A</v>
      </c>
      <c r="Q748" s="169" t="e">
        <f t="shared" si="62"/>
        <v>#N/A</v>
      </c>
    </row>
    <row r="749" spans="2:17" s="61" customFormat="1" ht="14.1" customHeight="1">
      <c r="B749" s="520"/>
      <c r="C749" s="268" t="e">
        <f>MATCH($B$680,INDEX(Master_Data!$B$186:$B$864,D748+1,1):'Master_Data'!$B$864,0)</f>
        <v>#N/A</v>
      </c>
      <c r="D749" s="268" t="e">
        <f t="shared" si="60"/>
        <v>#N/A</v>
      </c>
      <c r="E749" s="24">
        <v>70</v>
      </c>
      <c r="F749" s="22" t="e">
        <f>INDEX(Master_Data!$C$186:$L$864,D749,2)</f>
        <v>#N/A</v>
      </c>
      <c r="G749" s="24" t="e">
        <f>INDEX(Master_Data!$C$186:$L$864,D749,3)</f>
        <v>#N/A</v>
      </c>
      <c r="H749" s="24" t="e">
        <f>INDEX(Master_Data!$C$186:$L$864,D749,1)</f>
        <v>#N/A</v>
      </c>
      <c r="I749" s="24" t="e">
        <f>INDEX(Master_Data!$C$186:$L$864,D749,4)</f>
        <v>#N/A</v>
      </c>
      <c r="J749" s="24" t="e">
        <f>INDEX(Master_Data!$C$186:$L$864,D749,5)</f>
        <v>#N/A</v>
      </c>
      <c r="K749" s="136" t="e">
        <f>INDEX(Master_Data!$C$186:$L$864,D749,6)</f>
        <v>#N/A</v>
      </c>
      <c r="L749" s="140" t="e">
        <f>INDEX(Master_Data!$C$186:$L$864,D749,7)</f>
        <v>#N/A</v>
      </c>
      <c r="M749" s="140" t="e">
        <f>INDEX(Master_Data!$C$186:$L$864,D749,8)</f>
        <v>#N/A</v>
      </c>
      <c r="N749" s="264"/>
      <c r="O749" s="245" t="e">
        <f t="shared" si="61"/>
        <v>#N/A</v>
      </c>
      <c r="Q749" s="169" t="e">
        <f t="shared" si="62"/>
        <v>#N/A</v>
      </c>
    </row>
    <row r="750" spans="2:17" s="61" customFormat="1" ht="14.1" customHeight="1">
      <c r="B750" s="520"/>
      <c r="C750" s="268" t="e">
        <f>MATCH($B$680,INDEX(Master_Data!$B$186:$B$864,D749+1,1):'Master_Data'!$B$864,0)</f>
        <v>#N/A</v>
      </c>
      <c r="D750" s="268" t="e">
        <f t="shared" si="60"/>
        <v>#N/A</v>
      </c>
      <c r="E750" s="24">
        <v>71</v>
      </c>
      <c r="F750" s="22" t="e">
        <f>INDEX(Master_Data!$C$186:$L$864,D750,2)</f>
        <v>#N/A</v>
      </c>
      <c r="G750" s="24" t="e">
        <f>INDEX(Master_Data!$C$186:$L$864,D750,3)</f>
        <v>#N/A</v>
      </c>
      <c r="H750" s="24" t="e">
        <f>INDEX(Master_Data!$C$186:$L$864,D750,1)</f>
        <v>#N/A</v>
      </c>
      <c r="I750" s="24" t="e">
        <f>INDEX(Master_Data!$C$186:$L$864,D750,4)</f>
        <v>#N/A</v>
      </c>
      <c r="J750" s="24" t="e">
        <f>INDEX(Master_Data!$C$186:$L$864,D750,5)</f>
        <v>#N/A</v>
      </c>
      <c r="K750" s="136" t="e">
        <f>INDEX(Master_Data!$C$186:$L$864,D750,6)</f>
        <v>#N/A</v>
      </c>
      <c r="L750" s="140" t="e">
        <f>INDEX(Master_Data!$C$186:$L$864,D750,7)</f>
        <v>#N/A</v>
      </c>
      <c r="M750" s="140" t="e">
        <f>INDEX(Master_Data!$C$186:$L$864,D750,8)</f>
        <v>#N/A</v>
      </c>
      <c r="N750" s="264"/>
      <c r="O750" s="245" t="e">
        <f t="shared" ref="O750:O755" si="63">L750+M750</f>
        <v>#N/A</v>
      </c>
      <c r="Q750" s="169" t="e">
        <f t="shared" ref="Q750:Q755" si="64">CONCATENATE(F750,$B$680)</f>
        <v>#N/A</v>
      </c>
    </row>
    <row r="751" spans="2:17" s="61" customFormat="1" ht="14.1" customHeight="1">
      <c r="B751" s="647"/>
      <c r="C751" s="268" t="e">
        <f>MATCH($B$680,INDEX(Master_Data!$B$186:$B$864,D750+1,1):'Master_Data'!$B$864,0)</f>
        <v>#N/A</v>
      </c>
      <c r="D751" s="268" t="e">
        <f>D750+C751</f>
        <v>#N/A</v>
      </c>
      <c r="E751" s="24">
        <v>72</v>
      </c>
      <c r="F751" s="22" t="e">
        <f>INDEX(Master_Data!$C$186:$L$864,D751,2)</f>
        <v>#N/A</v>
      </c>
      <c r="G751" s="24" t="e">
        <f>INDEX(Master_Data!$C$186:$L$864,D751,3)</f>
        <v>#N/A</v>
      </c>
      <c r="H751" s="24" t="e">
        <f>INDEX(Master_Data!$C$186:$L$864,D751,1)</f>
        <v>#N/A</v>
      </c>
      <c r="I751" s="24" t="e">
        <f>INDEX(Master_Data!$C$186:$L$864,D751,4)</f>
        <v>#N/A</v>
      </c>
      <c r="J751" s="24" t="e">
        <f>INDEX(Master_Data!$C$186:$L$864,D751,5)</f>
        <v>#N/A</v>
      </c>
      <c r="K751" s="136" t="e">
        <f>INDEX(Master_Data!$C$186:$L$864,D751,6)</f>
        <v>#N/A</v>
      </c>
      <c r="L751" s="140" t="e">
        <f>INDEX(Master_Data!$C$186:$L$864,D751,7)</f>
        <v>#N/A</v>
      </c>
      <c r="M751" s="140" t="e">
        <f>INDEX(Master_Data!$C$186:$L$864,D751,8)</f>
        <v>#N/A</v>
      </c>
      <c r="N751" s="264"/>
      <c r="O751" s="245" t="e">
        <f t="shared" si="63"/>
        <v>#N/A</v>
      </c>
      <c r="Q751" s="169" t="e">
        <f t="shared" si="64"/>
        <v>#N/A</v>
      </c>
    </row>
    <row r="752" spans="2:17" s="61" customFormat="1" ht="14.1" customHeight="1">
      <c r="B752" s="647"/>
      <c r="C752" s="268" t="e">
        <f>MATCH($B$680,INDEX(Master_Data!$B$186:$B$864,D751+1,1):'Master_Data'!$B$864,0)</f>
        <v>#N/A</v>
      </c>
      <c r="D752" s="268" t="e">
        <f>D751+C752</f>
        <v>#N/A</v>
      </c>
      <c r="E752" s="24">
        <v>73</v>
      </c>
      <c r="F752" s="22" t="e">
        <f>INDEX(Master_Data!$C$186:$L$864,D752,2)</f>
        <v>#N/A</v>
      </c>
      <c r="G752" s="24" t="e">
        <f>INDEX(Master_Data!$C$186:$L$864,D752,3)</f>
        <v>#N/A</v>
      </c>
      <c r="H752" s="24" t="e">
        <f>INDEX(Master_Data!$C$186:$L$864,D752,1)</f>
        <v>#N/A</v>
      </c>
      <c r="I752" s="24" t="e">
        <f>INDEX(Master_Data!$C$186:$L$864,D752,4)</f>
        <v>#N/A</v>
      </c>
      <c r="J752" s="24" t="e">
        <f>INDEX(Master_Data!$C$186:$L$864,D752,5)</f>
        <v>#N/A</v>
      </c>
      <c r="K752" s="136" t="e">
        <f>INDEX(Master_Data!$C$186:$L$864,D752,6)</f>
        <v>#N/A</v>
      </c>
      <c r="L752" s="140" t="e">
        <f>INDEX(Master_Data!$C$186:$L$864,D752,7)</f>
        <v>#N/A</v>
      </c>
      <c r="M752" s="140" t="e">
        <f>INDEX(Master_Data!$C$186:$L$864,D752,8)</f>
        <v>#N/A</v>
      </c>
      <c r="N752" s="264"/>
      <c r="O752" s="245" t="e">
        <f t="shared" si="63"/>
        <v>#N/A</v>
      </c>
      <c r="Q752" s="169" t="e">
        <f t="shared" si="64"/>
        <v>#N/A</v>
      </c>
    </row>
    <row r="753" spans="2:17" s="61" customFormat="1" ht="14.1" customHeight="1">
      <c r="B753" s="647"/>
      <c r="C753" s="268" t="e">
        <f>MATCH($B$680,INDEX(Master_Data!$B$186:$B$864,D752+1,1):'Master_Data'!$B$864,0)</f>
        <v>#N/A</v>
      </c>
      <c r="D753" s="268" t="e">
        <f>D752+C753</f>
        <v>#N/A</v>
      </c>
      <c r="E753" s="24">
        <v>74</v>
      </c>
      <c r="F753" s="22" t="e">
        <f>INDEX(Master_Data!$C$186:$L$864,D753,2)</f>
        <v>#N/A</v>
      </c>
      <c r="G753" s="24" t="e">
        <f>INDEX(Master_Data!$C$186:$L$864,D753,3)</f>
        <v>#N/A</v>
      </c>
      <c r="H753" s="24" t="e">
        <f>INDEX(Master_Data!$C$186:$L$864,D753,1)</f>
        <v>#N/A</v>
      </c>
      <c r="I753" s="24" t="e">
        <f>INDEX(Master_Data!$C$186:$L$864,D753,4)</f>
        <v>#N/A</v>
      </c>
      <c r="J753" s="24" t="e">
        <f>INDEX(Master_Data!$C$186:$L$864,D753,5)</f>
        <v>#N/A</v>
      </c>
      <c r="K753" s="136" t="e">
        <f>INDEX(Master_Data!$C$186:$L$864,D753,6)</f>
        <v>#N/A</v>
      </c>
      <c r="L753" s="140" t="e">
        <f>INDEX(Master_Data!$C$186:$L$864,D753,7)</f>
        <v>#N/A</v>
      </c>
      <c r="M753" s="140" t="e">
        <f>INDEX(Master_Data!$C$186:$L$864,D753,8)</f>
        <v>#N/A</v>
      </c>
      <c r="N753" s="264"/>
      <c r="O753" s="245" t="e">
        <f t="shared" si="63"/>
        <v>#N/A</v>
      </c>
      <c r="Q753" s="169" t="e">
        <f t="shared" si="64"/>
        <v>#N/A</v>
      </c>
    </row>
    <row r="754" spans="2:17" s="61" customFormat="1" ht="14.1" customHeight="1">
      <c r="B754" s="647"/>
      <c r="C754" s="268" t="e">
        <f>MATCH($B$680,INDEX(Master_Data!$B$186:$B$864,D753+1,1):'Master_Data'!$B$864,0)</f>
        <v>#N/A</v>
      </c>
      <c r="D754" s="268" t="e">
        <f>D753+C754</f>
        <v>#N/A</v>
      </c>
      <c r="E754" s="24">
        <v>75</v>
      </c>
      <c r="F754" s="22" t="e">
        <f>INDEX(Master_Data!$C$186:$L$864,D754,2)</f>
        <v>#N/A</v>
      </c>
      <c r="G754" s="24" t="e">
        <f>INDEX(Master_Data!$C$186:$L$864,D754,3)</f>
        <v>#N/A</v>
      </c>
      <c r="H754" s="24" t="e">
        <f>INDEX(Master_Data!$C$186:$L$864,D754,1)</f>
        <v>#N/A</v>
      </c>
      <c r="I754" s="24" t="e">
        <f>INDEX(Master_Data!$C$186:$L$864,D754,4)</f>
        <v>#N/A</v>
      </c>
      <c r="J754" s="24" t="e">
        <f>INDEX(Master_Data!$C$186:$L$864,D754,5)</f>
        <v>#N/A</v>
      </c>
      <c r="K754" s="136" t="e">
        <f>INDEX(Master_Data!$C$186:$L$864,D754,6)</f>
        <v>#N/A</v>
      </c>
      <c r="L754" s="140" t="e">
        <f>INDEX(Master_Data!$C$186:$L$864,D754,7)</f>
        <v>#N/A</v>
      </c>
      <c r="M754" s="140" t="e">
        <f>INDEX(Master_Data!$C$186:$L$864,D754,8)</f>
        <v>#N/A</v>
      </c>
      <c r="N754" s="264"/>
      <c r="O754" s="245" t="e">
        <f t="shared" si="63"/>
        <v>#N/A</v>
      </c>
      <c r="Q754" s="169" t="e">
        <f t="shared" si="64"/>
        <v>#N/A</v>
      </c>
    </row>
    <row r="755" spans="2:17" s="61" customFormat="1" ht="14.1" customHeight="1">
      <c r="B755" s="647"/>
      <c r="C755" s="268" t="e">
        <f>MATCH($B$680,INDEX(Master_Data!$B$186:$B$864,D754+1,1):'Master_Data'!$B$864,0)</f>
        <v>#N/A</v>
      </c>
      <c r="D755" s="268" t="e">
        <f>D754+C755</f>
        <v>#N/A</v>
      </c>
      <c r="E755" s="24">
        <v>76</v>
      </c>
      <c r="F755" s="22" t="e">
        <f>INDEX(Master_Data!$C$186:$L$864,D755,2)</f>
        <v>#N/A</v>
      </c>
      <c r="G755" s="24" t="e">
        <f>INDEX(Master_Data!$C$186:$L$864,D755,3)</f>
        <v>#N/A</v>
      </c>
      <c r="H755" s="24" t="e">
        <f>INDEX(Master_Data!$C$186:$L$864,D755,1)</f>
        <v>#N/A</v>
      </c>
      <c r="I755" s="24" t="e">
        <f>INDEX(Master_Data!$C$186:$L$864,D755,4)</f>
        <v>#N/A</v>
      </c>
      <c r="J755" s="24" t="e">
        <f>INDEX(Master_Data!$C$186:$L$864,D755,5)</f>
        <v>#N/A</v>
      </c>
      <c r="K755" s="136" t="e">
        <f>INDEX(Master_Data!$C$186:$L$864,D755,6)</f>
        <v>#N/A</v>
      </c>
      <c r="L755" s="140" t="e">
        <f>INDEX(Master_Data!$C$186:$L$864,D755,7)</f>
        <v>#N/A</v>
      </c>
      <c r="M755" s="140" t="e">
        <f>INDEX(Master_Data!$C$186:$L$864,D755,8)</f>
        <v>#N/A</v>
      </c>
      <c r="N755" s="264"/>
      <c r="O755" s="245" t="e">
        <f t="shared" si="63"/>
        <v>#N/A</v>
      </c>
      <c r="Q755" s="169" t="e">
        <f t="shared" si="64"/>
        <v>#N/A</v>
      </c>
    </row>
    <row r="756" spans="2:17" ht="20.25" customHeight="1">
      <c r="B756" s="1758" t="s">
        <v>7</v>
      </c>
      <c r="C756" s="1758"/>
      <c r="D756" s="1758"/>
      <c r="E756" s="1758"/>
      <c r="F756" s="1758"/>
      <c r="G756" s="1758"/>
      <c r="H756" s="1758"/>
      <c r="I756" s="1758"/>
      <c r="J756" s="1758"/>
      <c r="K756" s="12" t="e">
        <f>SUM(K680:K755)</f>
        <v>#N/A</v>
      </c>
      <c r="L756" s="142" t="e">
        <f>SUM(L680:L755)</f>
        <v>#N/A</v>
      </c>
      <c r="M756" s="142" t="e">
        <f>SUM(M680:M755)</f>
        <v>#N/A</v>
      </c>
      <c r="N756" s="12">
        <f>SUM(N680:N755)</f>
        <v>0</v>
      </c>
      <c r="O756" s="13" t="e">
        <f>SUM(O680:O755)</f>
        <v>#VALUE!</v>
      </c>
    </row>
  </sheetData>
  <mergeCells count="192">
    <mergeCell ref="B756:J756"/>
    <mergeCell ref="B675:J675"/>
    <mergeCell ref="B677:B679"/>
    <mergeCell ref="C677:D677"/>
    <mergeCell ref="E677:E679"/>
    <mergeCell ref="F677:F679"/>
    <mergeCell ref="G677:G679"/>
    <mergeCell ref="H677:O677"/>
    <mergeCell ref="C678:C679"/>
    <mergeCell ref="D678:D679"/>
    <mergeCell ref="H678:H679"/>
    <mergeCell ref="I678:I679"/>
    <mergeCell ref="J678:J679"/>
    <mergeCell ref="K678:K679"/>
    <mergeCell ref="L678:L679"/>
    <mergeCell ref="M678:M679"/>
    <mergeCell ref="N678:O678"/>
    <mergeCell ref="B608:B610"/>
    <mergeCell ref="C608:D608"/>
    <mergeCell ref="E608:E610"/>
    <mergeCell ref="F608:F610"/>
    <mergeCell ref="G608:G610"/>
    <mergeCell ref="H608:O608"/>
    <mergeCell ref="C609:C610"/>
    <mergeCell ref="D609:D610"/>
    <mergeCell ref="H609:H610"/>
    <mergeCell ref="I609:I610"/>
    <mergeCell ref="J609:J610"/>
    <mergeCell ref="K609:K610"/>
    <mergeCell ref="L609:L610"/>
    <mergeCell ref="M609:M610"/>
    <mergeCell ref="N609:O609"/>
    <mergeCell ref="B530:J530"/>
    <mergeCell ref="B474:B476"/>
    <mergeCell ref="C474:D474"/>
    <mergeCell ref="E474:E476"/>
    <mergeCell ref="F474:F476"/>
    <mergeCell ref="G474:G476"/>
    <mergeCell ref="H474:O474"/>
    <mergeCell ref="C475:C476"/>
    <mergeCell ref="D475:D476"/>
    <mergeCell ref="H475:H476"/>
    <mergeCell ref="I475:I476"/>
    <mergeCell ref="J475:J476"/>
    <mergeCell ref="K475:K476"/>
    <mergeCell ref="L475:L476"/>
    <mergeCell ref="M475:M476"/>
    <mergeCell ref="N475:O475"/>
    <mergeCell ref="B472:J472"/>
    <mergeCell ref="B424:B426"/>
    <mergeCell ref="C424:D424"/>
    <mergeCell ref="E424:E426"/>
    <mergeCell ref="F424:F426"/>
    <mergeCell ref="G424:G426"/>
    <mergeCell ref="H424:O424"/>
    <mergeCell ref="C425:C426"/>
    <mergeCell ref="D425:D426"/>
    <mergeCell ref="H425:H426"/>
    <mergeCell ref="I425:I426"/>
    <mergeCell ref="J425:J426"/>
    <mergeCell ref="K425:K426"/>
    <mergeCell ref="L425:L426"/>
    <mergeCell ref="M425:M426"/>
    <mergeCell ref="N425:O425"/>
    <mergeCell ref="B422:J422"/>
    <mergeCell ref="H373:O373"/>
    <mergeCell ref="C374:C375"/>
    <mergeCell ref="D374:D375"/>
    <mergeCell ref="H374:H375"/>
    <mergeCell ref="I374:I375"/>
    <mergeCell ref="J374:J375"/>
    <mergeCell ref="K374:K375"/>
    <mergeCell ref="L374:L375"/>
    <mergeCell ref="M374:M375"/>
    <mergeCell ref="N374:O374"/>
    <mergeCell ref="B373:B375"/>
    <mergeCell ref="C373:D373"/>
    <mergeCell ref="E373:E375"/>
    <mergeCell ref="F373:F375"/>
    <mergeCell ref="G373:G375"/>
    <mergeCell ref="B188:J188"/>
    <mergeCell ref="H134:O134"/>
    <mergeCell ref="C135:C136"/>
    <mergeCell ref="D135:D136"/>
    <mergeCell ref="H135:H136"/>
    <mergeCell ref="I135:I136"/>
    <mergeCell ref="J135:J136"/>
    <mergeCell ref="K135:K136"/>
    <mergeCell ref="L135:L136"/>
    <mergeCell ref="M135:M136"/>
    <mergeCell ref="N135:O135"/>
    <mergeCell ref="B134:B136"/>
    <mergeCell ref="C134:D134"/>
    <mergeCell ref="E134:E136"/>
    <mergeCell ref="F134:F136"/>
    <mergeCell ref="G134:G136"/>
    <mergeCell ref="B132:J132"/>
    <mergeCell ref="H67:O67"/>
    <mergeCell ref="C68:C69"/>
    <mergeCell ref="D68:D69"/>
    <mergeCell ref="H68:H69"/>
    <mergeCell ref="I68:I69"/>
    <mergeCell ref="J68:J69"/>
    <mergeCell ref="K68:K69"/>
    <mergeCell ref="L68:L69"/>
    <mergeCell ref="M68:M69"/>
    <mergeCell ref="N68:O68"/>
    <mergeCell ref="B67:B69"/>
    <mergeCell ref="C67:D67"/>
    <mergeCell ref="E67:E69"/>
    <mergeCell ref="F67:F69"/>
    <mergeCell ref="G67:G69"/>
    <mergeCell ref="B65:J65"/>
    <mergeCell ref="F3:F5"/>
    <mergeCell ref="G3:G5"/>
    <mergeCell ref="N4:O4"/>
    <mergeCell ref="B3:B5"/>
    <mergeCell ref="E3:E5"/>
    <mergeCell ref="C3:D3"/>
    <mergeCell ref="C4:C5"/>
    <mergeCell ref="D4:D5"/>
    <mergeCell ref="H3:O3"/>
    <mergeCell ref="H4:H5"/>
    <mergeCell ref="I4:I5"/>
    <mergeCell ref="J4:J5"/>
    <mergeCell ref="K4:K5"/>
    <mergeCell ref="L4:L5"/>
    <mergeCell ref="M4:M5"/>
    <mergeCell ref="B258:J258"/>
    <mergeCell ref="H190:O190"/>
    <mergeCell ref="C191:C192"/>
    <mergeCell ref="D191:D192"/>
    <mergeCell ref="H191:H192"/>
    <mergeCell ref="I191:I192"/>
    <mergeCell ref="J191:J192"/>
    <mergeCell ref="K191:K192"/>
    <mergeCell ref="L191:L192"/>
    <mergeCell ref="M191:M192"/>
    <mergeCell ref="N191:O191"/>
    <mergeCell ref="B190:B192"/>
    <mergeCell ref="C190:D190"/>
    <mergeCell ref="E190:E192"/>
    <mergeCell ref="F190:F192"/>
    <mergeCell ref="G190:G192"/>
    <mergeCell ref="B314:J314"/>
    <mergeCell ref="H261:O261"/>
    <mergeCell ref="C262:C263"/>
    <mergeCell ref="D262:D263"/>
    <mergeCell ref="H262:H263"/>
    <mergeCell ref="I262:I263"/>
    <mergeCell ref="J262:J263"/>
    <mergeCell ref="K262:K263"/>
    <mergeCell ref="L262:L263"/>
    <mergeCell ref="M262:M263"/>
    <mergeCell ref="N262:O262"/>
    <mergeCell ref="B261:B263"/>
    <mergeCell ref="C261:D261"/>
    <mergeCell ref="E261:E263"/>
    <mergeCell ref="F261:F263"/>
    <mergeCell ref="G261:G263"/>
    <mergeCell ref="B371:J371"/>
    <mergeCell ref="H316:O316"/>
    <mergeCell ref="C317:C318"/>
    <mergeCell ref="D317:D318"/>
    <mergeCell ref="H317:H318"/>
    <mergeCell ref="I317:I318"/>
    <mergeCell ref="J317:J318"/>
    <mergeCell ref="K317:K318"/>
    <mergeCell ref="L317:L318"/>
    <mergeCell ref="M317:M318"/>
    <mergeCell ref="N317:O317"/>
    <mergeCell ref="B316:B318"/>
    <mergeCell ref="C316:D316"/>
    <mergeCell ref="E316:E318"/>
    <mergeCell ref="F316:F318"/>
    <mergeCell ref="G316:G318"/>
    <mergeCell ref="B606:J606"/>
    <mergeCell ref="B532:B534"/>
    <mergeCell ref="C532:D532"/>
    <mergeCell ref="E532:E534"/>
    <mergeCell ref="F532:F534"/>
    <mergeCell ref="G532:G534"/>
    <mergeCell ref="H532:O532"/>
    <mergeCell ref="C533:C534"/>
    <mergeCell ref="D533:D534"/>
    <mergeCell ref="H533:H534"/>
    <mergeCell ref="I533:I534"/>
    <mergeCell ref="J533:J534"/>
    <mergeCell ref="K533:K534"/>
    <mergeCell ref="L533:L534"/>
    <mergeCell ref="M533:M534"/>
    <mergeCell ref="N533:O533"/>
  </mergeCells>
  <printOptions horizontalCentered="1"/>
  <pageMargins left="0" right="0" top="0.69" bottom="0.34" header="0.3" footer="0.13"/>
  <pageSetup paperSize="9" scale="68" orientation="landscape" horizontalDpi="4294967293" r:id="rId1"/>
  <headerFooter>
    <oddFooter>Page &amp;P of &amp;N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B050"/>
  </sheetPr>
  <dimension ref="A1:AA66"/>
  <sheetViews>
    <sheetView showGridLines="0" view="pageBreakPreview" zoomScale="85" zoomScaleNormal="85" zoomScaleSheetLayoutView="85" workbookViewId="0">
      <pane xSplit="3" ySplit="5" topLeftCell="J54" activePane="bottomRight" state="frozen"/>
      <selection pane="topRight" activeCell="D1" sqref="D1"/>
      <selection pane="bottomLeft" activeCell="A6" sqref="A6"/>
      <selection pane="bottomRight" activeCell="Q70" sqref="Q70"/>
    </sheetView>
  </sheetViews>
  <sheetFormatPr defaultRowHeight="15"/>
  <cols>
    <col min="1" max="1" width="4" style="1" customWidth="1"/>
    <col min="2" max="2" width="4.85546875" style="2" customWidth="1"/>
    <col min="3" max="3" width="34" style="3" customWidth="1"/>
    <col min="4" max="4" width="5.7109375" style="17" customWidth="1"/>
    <col min="5" max="5" width="19.5703125" style="17" bestFit="1" customWidth="1"/>
    <col min="6" max="6" width="5.7109375" style="17" customWidth="1"/>
    <col min="7" max="7" width="16.85546875" style="17" customWidth="1"/>
    <col min="8" max="8" width="5.7109375" style="17" customWidth="1"/>
    <col min="9" max="9" width="16.85546875" style="17" customWidth="1"/>
    <col min="10" max="10" width="5.7109375" style="17" customWidth="1"/>
    <col min="11" max="11" width="16.85546875" style="17" bestFit="1" customWidth="1"/>
    <col min="12" max="12" width="5.7109375" style="17" customWidth="1"/>
    <col min="13" max="13" width="16.85546875" style="17" customWidth="1"/>
    <col min="14" max="14" width="5.7109375" style="17" customWidth="1"/>
    <col min="15" max="15" width="16.85546875" style="17" customWidth="1"/>
    <col min="16" max="16" width="5.7109375" style="17" customWidth="1"/>
    <col min="17" max="17" width="16.85546875" style="17" customWidth="1"/>
    <col min="18" max="18" width="5.7109375" style="17" customWidth="1"/>
    <col min="19" max="19" width="16.85546875" style="17" customWidth="1"/>
    <col min="20" max="20" width="11.5703125" style="17" customWidth="1"/>
    <col min="21" max="21" width="16.85546875" style="17" customWidth="1"/>
    <col min="22" max="22" width="11.5703125" style="17" customWidth="1"/>
    <col min="23" max="23" width="16.85546875" style="17" customWidth="1"/>
    <col min="24" max="24" width="11.5703125" style="17" customWidth="1"/>
    <col min="25" max="25" width="16.85546875" style="17" customWidth="1"/>
    <col min="26" max="26" width="11.5703125" style="17" customWidth="1"/>
    <col min="27" max="27" width="18" style="17" customWidth="1"/>
    <col min="28" max="16384" width="9.140625" style="17"/>
  </cols>
  <sheetData>
    <row r="1" spans="1:27" ht="15.75">
      <c r="A1" s="15" t="s">
        <v>2842</v>
      </c>
    </row>
    <row r="2" spans="1:27">
      <c r="A2" s="14"/>
    </row>
    <row r="3" spans="1:27" ht="15" customHeight="1">
      <c r="A3" s="1771" t="s">
        <v>6</v>
      </c>
      <c r="B3" s="1778" t="s">
        <v>52</v>
      </c>
      <c r="C3" s="1771" t="s">
        <v>3</v>
      </c>
      <c r="D3" s="1774" t="s">
        <v>194</v>
      </c>
      <c r="E3" s="1774"/>
      <c r="F3" s="1774" t="s">
        <v>195</v>
      </c>
      <c r="G3" s="1774"/>
      <c r="H3" s="1774" t="s">
        <v>239</v>
      </c>
      <c r="I3" s="1774"/>
      <c r="J3" s="1774" t="s">
        <v>240</v>
      </c>
      <c r="K3" s="1774"/>
      <c r="L3" s="1774" t="s">
        <v>58</v>
      </c>
      <c r="M3" s="1774"/>
      <c r="N3" s="1774" t="s">
        <v>241</v>
      </c>
      <c r="O3" s="1774"/>
      <c r="P3" s="1774" t="s">
        <v>242</v>
      </c>
      <c r="Q3" s="1774"/>
      <c r="R3" s="1774" t="s">
        <v>243</v>
      </c>
      <c r="S3" s="1774"/>
      <c r="T3" s="1774" t="s">
        <v>244</v>
      </c>
      <c r="U3" s="1774"/>
      <c r="V3" s="1774" t="s">
        <v>245</v>
      </c>
      <c r="W3" s="1774"/>
      <c r="X3" s="1774" t="s">
        <v>238</v>
      </c>
      <c r="Y3" s="1774"/>
      <c r="Z3" s="1774" t="s">
        <v>140</v>
      </c>
      <c r="AA3" s="1774"/>
    </row>
    <row r="4" spans="1:27">
      <c r="A4" s="1772"/>
      <c r="B4" s="1779"/>
      <c r="C4" s="1772"/>
      <c r="D4" s="1775" t="s">
        <v>56</v>
      </c>
      <c r="E4" s="1775"/>
      <c r="F4" s="1775" t="s">
        <v>56</v>
      </c>
      <c r="G4" s="1775"/>
      <c r="H4" s="1775" t="s">
        <v>56</v>
      </c>
      <c r="I4" s="1775"/>
      <c r="J4" s="1775" t="s">
        <v>56</v>
      </c>
      <c r="K4" s="1775"/>
      <c r="L4" s="1775" t="s">
        <v>56</v>
      </c>
      <c r="M4" s="1775"/>
      <c r="N4" s="1775" t="s">
        <v>56</v>
      </c>
      <c r="O4" s="1775"/>
      <c r="P4" s="1775" t="s">
        <v>56</v>
      </c>
      <c r="Q4" s="1775"/>
      <c r="R4" s="1775" t="s">
        <v>56</v>
      </c>
      <c r="S4" s="1775"/>
      <c r="T4" s="1775" t="s">
        <v>56</v>
      </c>
      <c r="U4" s="1775"/>
      <c r="V4" s="1775" t="s">
        <v>56</v>
      </c>
      <c r="W4" s="1775"/>
      <c r="X4" s="1775" t="s">
        <v>56</v>
      </c>
      <c r="Y4" s="1775"/>
      <c r="Z4" s="1775" t="s">
        <v>56</v>
      </c>
      <c r="AA4" s="1775"/>
    </row>
    <row r="5" spans="1:27">
      <c r="A5" s="1773"/>
      <c r="B5" s="1780"/>
      <c r="C5" s="1773"/>
      <c r="D5" s="82" t="s">
        <v>54</v>
      </c>
      <c r="E5" s="82" t="s">
        <v>55</v>
      </c>
      <c r="F5" s="82" t="s">
        <v>54</v>
      </c>
      <c r="G5" s="82" t="s">
        <v>55</v>
      </c>
      <c r="H5" s="82" t="s">
        <v>54</v>
      </c>
      <c r="I5" s="82" t="s">
        <v>55</v>
      </c>
      <c r="J5" s="82" t="s">
        <v>54</v>
      </c>
      <c r="K5" s="82" t="s">
        <v>55</v>
      </c>
      <c r="L5" s="82" t="s">
        <v>54</v>
      </c>
      <c r="M5" s="82" t="s">
        <v>55</v>
      </c>
      <c r="N5" s="82" t="s">
        <v>54</v>
      </c>
      <c r="O5" s="82" t="s">
        <v>55</v>
      </c>
      <c r="P5" s="101" t="s">
        <v>54</v>
      </c>
      <c r="Q5" s="101" t="s">
        <v>55</v>
      </c>
      <c r="R5" s="101" t="s">
        <v>54</v>
      </c>
      <c r="S5" s="101" t="s">
        <v>55</v>
      </c>
      <c r="T5" s="101" t="s">
        <v>54</v>
      </c>
      <c r="U5" s="101" t="s">
        <v>55</v>
      </c>
      <c r="V5" s="101" t="s">
        <v>54</v>
      </c>
      <c r="W5" s="101" t="s">
        <v>55</v>
      </c>
      <c r="X5" s="101" t="s">
        <v>54</v>
      </c>
      <c r="Y5" s="101" t="s">
        <v>55</v>
      </c>
      <c r="Z5" s="101" t="s">
        <v>54</v>
      </c>
      <c r="AA5" s="101" t="s">
        <v>55</v>
      </c>
    </row>
    <row r="6" spans="1:27" s="87" customFormat="1" ht="15" customHeight="1">
      <c r="A6" s="171">
        <v>1</v>
      </c>
      <c r="B6" s="86" t="s">
        <v>109</v>
      </c>
      <c r="C6" s="90" t="s">
        <v>126</v>
      </c>
      <c r="D6" s="106">
        <f>SUMIF(Bill_Out!$Q$5:$Q$65,CONCATENATE($C6,D$3),Bill_Out!$N$5:$N$65)</f>
        <v>0</v>
      </c>
      <c r="E6" s="106">
        <f>SUMIF(Bill_Out!$Q$5:$Q$65,CONCATENATE($C6,D$3),Bill_Out!$O$5:$O$65)</f>
        <v>0</v>
      </c>
      <c r="F6" s="106">
        <f>SUMIF(Bill_Out!$Q$69:$Q$132,CONCATENATE($C6,F$3),Bill_Out!$N$69:$N$132)</f>
        <v>0</v>
      </c>
      <c r="G6" s="106">
        <f>SUMIF(Bill_Out!$Q$69:$Q$132,CONCATENATE($C6,F$3),Bill_Out!$O$69:$O$132)</f>
        <v>0</v>
      </c>
      <c r="H6" s="106">
        <f>SUMIF(Bill_Out!$Q$136:$Q$188,CONCATENATE($C6,H$3),Bill_Out!$N$136:$N$188)</f>
        <v>0</v>
      </c>
      <c r="I6" s="106" t="e">
        <f>SUMIF(Bill_Out!$Q$136:$Q$188,CONCATENATE($C6,H$3),Bill_Out!$O$136:$O$188)</f>
        <v>#VALUE!</v>
      </c>
      <c r="J6" s="329">
        <f>SUMIF(Bill_Out!$Q$192:$Q$258,CONCATENATE($C6,J$3),Bill_Out!$N$192:$N$258)</f>
        <v>0</v>
      </c>
      <c r="K6" s="329">
        <f>SUMIF(Bill_Out!$Q$192:$Q$258,CONCATENATE($C6,J$3),Bill_Out!$O$192:$O$258)</f>
        <v>0</v>
      </c>
      <c r="L6" s="329">
        <f>SUMIF(Bill_Out!$Q$263:$Q$314,CONCATENATE($C6,L$3),Bill_Out!$N$263:$N$314)</f>
        <v>0</v>
      </c>
      <c r="M6" s="329">
        <f>SUMIF(Bill_Out!$Q$263:$Q$314,CONCATENATE($C6,L$3),Bill_Out!$O$263:$O$314)</f>
        <v>0</v>
      </c>
      <c r="N6" s="329">
        <f>SUMIF(Bill_Out!$Q$318:$Q$371,CONCATENATE($C6,N$3),Bill_Out!$N$318:$N$371)</f>
        <v>0</v>
      </c>
      <c r="O6" s="329">
        <f>SUMIF(Bill_Out!$Q$318:$Q$371,CONCATENATE($C6,N$3),Bill_Out!$O$318:$O$371)</f>
        <v>0</v>
      </c>
      <c r="P6" s="329">
        <f>SUMIF(Bill_Out!$Q$375:$Q$422,CONCATENATE($C6,P$3),Bill_Out!$N$375:$N$422)</f>
        <v>0</v>
      </c>
      <c r="Q6" s="329">
        <f>SUMIF(Bill_Out!$Q$375:$Q$422,CONCATENATE($C6,P$3),Bill_Out!$O$375:$O$422)</f>
        <v>0</v>
      </c>
      <c r="R6" s="329">
        <f>SUMIF(Bill_Out!$Q$426:$Q$472,CONCATENATE($C6,R$3),Bill_Out!$N$426:$N$472)</f>
        <v>0</v>
      </c>
      <c r="S6" s="329">
        <f>SUMIF(Bill_Out!$Q$426:$Q$472,CONCATENATE($C6,R$3),Bill_Out!$O$426:$O$472)</f>
        <v>0</v>
      </c>
      <c r="T6" s="329">
        <f>SUMIF(Bill_Out!$Q$476:$Q$530,CONCATENATE($C6,T$3),Bill_Out!$N$476:$N$530)</f>
        <v>0</v>
      </c>
      <c r="U6" s="329">
        <f>SUMIF(Bill_Out!$Q$476:$Q$530,CONCATENATE($C6,T$3),Bill_Out!$O$476:$O$530)</f>
        <v>0</v>
      </c>
      <c r="V6" s="329">
        <f>SUMIF(Bill_Out!$Q$530:$Q$606,CONCATENATE($C6,V$3),Bill_Out!$N$530:$N$606)</f>
        <v>0</v>
      </c>
      <c r="W6" s="329">
        <f>SUMIF(Bill_Out!$Q$530:$Q$606,CONCATENATE($C6,V$3),Bill_Out!$O$530:$O$606)</f>
        <v>0</v>
      </c>
      <c r="X6" s="329">
        <f>SUMIF(Bill_Out!$Q$610:$Q$675,CONCATENATE($C6,X$3),Bill_Out!$N$610:$N$675)</f>
        <v>0</v>
      </c>
      <c r="Y6" s="329">
        <f>SUMIF(Bill_Out!$Q$610:$Q$675,CONCATENATE($C6,X$3),Bill_Out!$O$610:$O$675)</f>
        <v>0</v>
      </c>
      <c r="Z6" s="329">
        <f>SUMIF(Bill_Out!$Q$679:$Q$756,CONCATENATE($C6,Z$3),Bill_Out!$N$679:$N$756)</f>
        <v>0</v>
      </c>
      <c r="AA6" s="329">
        <f>SUMIF(Bill_Out!$Q$679:$Q$756,CONCATENATE($C6,Z$3),Bill_Out!$O$679:$O$756)</f>
        <v>0</v>
      </c>
    </row>
    <row r="7" spans="1:27">
      <c r="A7" s="306">
        <v>2</v>
      </c>
      <c r="B7" s="21" t="s">
        <v>21</v>
      </c>
      <c r="C7" s="8" t="s">
        <v>20</v>
      </c>
      <c r="D7" s="106">
        <f>SUMIF(Bill_Out!$Q$5:$Q$65,CONCATENATE($C7,D$3),Bill_Out!$N$5:$N$65)</f>
        <v>0</v>
      </c>
      <c r="E7" s="106" t="e">
        <f>SUMIF(Bill_Out!$Q$5:$Q$65,CONCATENATE($C7,D$3),Bill_Out!$O$5:$O$65)</f>
        <v>#VALUE!</v>
      </c>
      <c r="F7" s="106">
        <f>SUMIF(Bill_Out!$Q$69:$Q$132,CONCATENATE($C7,F$3),Bill_Out!$N$69:$N$132)</f>
        <v>0</v>
      </c>
      <c r="G7" s="106" t="e">
        <f>SUMIF(Bill_Out!$Q$69:$Q$132,CONCATENATE($C7,F$3),Bill_Out!$O$69:$O$132)</f>
        <v>#VALUE!</v>
      </c>
      <c r="H7" s="106">
        <f>SUMIF(Bill_Out!$Q$136:$Q$188,CONCATENATE($C7,H$3),Bill_Out!$N$136:$N$188)</f>
        <v>0</v>
      </c>
      <c r="I7" s="106" t="e">
        <f>SUMIF(Bill_Out!$Q$136:$Q$188,CONCATENATE($C7,H$3),Bill_Out!$O$136:$O$188)</f>
        <v>#VALUE!</v>
      </c>
      <c r="J7" s="329">
        <f>SUMIF(Bill_Out!$Q$192:$Q$258,CONCATENATE($C7,J$3),Bill_Out!$N$192:$N$258)</f>
        <v>0</v>
      </c>
      <c r="K7" s="329" t="e">
        <f>SUMIF(Bill_Out!$Q$192:$Q$258,CONCATENATE($C7,J$3),Bill_Out!$O$192:$O$258)</f>
        <v>#VALUE!</v>
      </c>
      <c r="L7" s="329">
        <f>SUMIF(Bill_Out!$Q$263:$Q$314,CONCATENATE($C7,L$3),Bill_Out!$N$263:$N$314)</f>
        <v>0</v>
      </c>
      <c r="M7" s="329" t="e">
        <f>SUMIF(Bill_Out!$Q$263:$Q$314,CONCATENATE($C7,L$3),Bill_Out!$O$263:$O$314)</f>
        <v>#VALUE!</v>
      </c>
      <c r="N7" s="329">
        <f>SUMIF(Bill_Out!$Q$318:$Q$371,CONCATENATE($C7,N$3),Bill_Out!$N$318:$N$371)</f>
        <v>0</v>
      </c>
      <c r="O7" s="329" t="e">
        <f>SUMIF(Bill_Out!$Q$318:$Q$371,CONCATENATE($C7,N$3),Bill_Out!$O$318:$O$371)</f>
        <v>#VALUE!</v>
      </c>
      <c r="P7" s="329">
        <f>SUMIF(Bill_Out!$Q$375:$Q$422,CONCATENATE($C7,P$3),Bill_Out!$N$375:$N$422)</f>
        <v>0</v>
      </c>
      <c r="Q7" s="329" t="e">
        <f>SUMIF(Bill_Out!$Q$375:$Q$422,CONCATENATE($C7,P$3),Bill_Out!$O$375:$O$422)</f>
        <v>#VALUE!</v>
      </c>
      <c r="R7" s="329">
        <f>SUMIF(Bill_Out!$Q$426:$Q$472,CONCATENATE($C7,R$3),Bill_Out!$N$426:$N$472)</f>
        <v>0</v>
      </c>
      <c r="S7" s="329" t="e">
        <f>SUMIF(Bill_Out!$Q$426:$Q$472,CONCATENATE($C7,R$3),Bill_Out!$O$426:$O$472)</f>
        <v>#VALUE!</v>
      </c>
      <c r="T7" s="329">
        <f>SUMIF(Bill_Out!$Q$476:$Q$530,CONCATENATE($C7,T$3),Bill_Out!$N$476:$N$530)</f>
        <v>0</v>
      </c>
      <c r="U7" s="329">
        <f>SUMIF(Bill_Out!$Q$476:$Q$530,CONCATENATE($C7,T$3),Bill_Out!$O$476:$O$530)</f>
        <v>0</v>
      </c>
      <c r="V7" s="329">
        <f>SUMIF(Bill_Out!$Q$530:$Q$606,CONCATENATE($C7,V$3),Bill_Out!$N$530:$N$606)</f>
        <v>0</v>
      </c>
      <c r="W7" s="329">
        <f>SUMIF(Bill_Out!$Q$530:$Q$606,CONCATENATE($C7,V$3),Bill_Out!$O$530:$O$606)</f>
        <v>0</v>
      </c>
      <c r="X7" s="329">
        <f>SUMIF(Bill_Out!$Q$610:$Q$675,CONCATENATE($C7,X$3),Bill_Out!$N$610:$N$675)</f>
        <v>0</v>
      </c>
      <c r="Y7" s="329">
        <f>SUMIF(Bill_Out!$Q$610:$Q$675,CONCATENATE($C7,X$3),Bill_Out!$O$610:$O$675)</f>
        <v>0</v>
      </c>
      <c r="Z7" s="329">
        <f>SUMIF(Bill_Out!$Q$679:$Q$756,CONCATENATE($C7,Z$3),Bill_Out!$N$679:$N$756)</f>
        <v>0</v>
      </c>
      <c r="AA7" s="329">
        <f>SUMIF(Bill_Out!$Q$679:$Q$756,CONCATENATE($C7,Z$3),Bill_Out!$O$679:$O$756)</f>
        <v>0</v>
      </c>
    </row>
    <row r="8" spans="1:27">
      <c r="A8" s="89">
        <v>3</v>
      </c>
      <c r="B8" s="21" t="s">
        <v>23</v>
      </c>
      <c r="C8" s="8" t="s">
        <v>22</v>
      </c>
      <c r="D8" s="106">
        <f>SUMIF(Bill_Out!$Q$5:$Q$65,CONCATENATE($C8,D$3),Bill_Out!$N$5:$N$65)</f>
        <v>0</v>
      </c>
      <c r="E8" s="106" t="e">
        <f>SUMIF(Bill_Out!$Q$5:$Q$65,CONCATENATE($C8,D$3),Bill_Out!$O$5:$O$65)</f>
        <v>#VALUE!</v>
      </c>
      <c r="F8" s="106">
        <f>SUMIF(Bill_Out!$Q$69:$Q$132,CONCATENATE($C8,F$3),Bill_Out!$N$69:$N$132)</f>
        <v>0</v>
      </c>
      <c r="G8" s="106" t="e">
        <f>SUMIF(Bill_Out!$Q$69:$Q$132,CONCATENATE($C8,F$3),Bill_Out!$O$69:$O$132)</f>
        <v>#VALUE!</v>
      </c>
      <c r="H8" s="106">
        <f>SUMIF(Bill_Out!$Q$136:$Q$188,CONCATENATE($C8,H$3),Bill_Out!$N$136:$N$188)</f>
        <v>0</v>
      </c>
      <c r="I8" s="106" t="e">
        <f>SUMIF(Bill_Out!$Q$136:$Q$188,CONCATENATE($C8,H$3),Bill_Out!$O$136:$O$188)</f>
        <v>#VALUE!</v>
      </c>
      <c r="J8" s="329">
        <f>SUMIF(Bill_Out!$Q$192:$Q$258,CONCATENATE($C8,J$3),Bill_Out!$N$192:$N$258)</f>
        <v>0</v>
      </c>
      <c r="K8" s="329" t="e">
        <f>SUMIF(Bill_Out!$Q$192:$Q$258,CONCATENATE($C8,J$3),Bill_Out!$O$192:$O$258)</f>
        <v>#VALUE!</v>
      </c>
      <c r="L8" s="329">
        <f>SUMIF(Bill_Out!$Q$263:$Q$314,CONCATENATE($C8,L$3),Bill_Out!$N$263:$N$314)</f>
        <v>0</v>
      </c>
      <c r="M8" s="329" t="e">
        <f>SUMIF(Bill_Out!$Q$263:$Q$314,CONCATENATE($C8,L$3),Bill_Out!$O$263:$O$314)</f>
        <v>#VALUE!</v>
      </c>
      <c r="N8" s="329">
        <f>SUMIF(Bill_Out!$Q$318:$Q$371,CONCATENATE($C8,N$3),Bill_Out!$N$318:$N$371)</f>
        <v>0</v>
      </c>
      <c r="O8" s="329" t="e">
        <f>SUMIF(Bill_Out!$Q$318:$Q$371,CONCATENATE($C8,N$3),Bill_Out!$O$318:$O$371)</f>
        <v>#VALUE!</v>
      </c>
      <c r="P8" s="329">
        <f>SUMIF(Bill_Out!$Q$375:$Q$422,CONCATENATE($C8,P$3),Bill_Out!$N$375:$N$422)</f>
        <v>0</v>
      </c>
      <c r="Q8" s="329" t="e">
        <f>SUMIF(Bill_Out!$Q$375:$Q$422,CONCATENATE($C8,P$3),Bill_Out!$O$375:$O$422)</f>
        <v>#VALUE!</v>
      </c>
      <c r="R8" s="329">
        <f>SUMIF(Bill_Out!$Q$426:$Q$472,CONCATENATE($C8,R$3),Bill_Out!$N$426:$N$472)</f>
        <v>0</v>
      </c>
      <c r="S8" s="329">
        <f>SUMIF(Bill_Out!$Q$426:$Q$472,CONCATENATE($C8,R$3),Bill_Out!$O$426:$O$472)</f>
        <v>0</v>
      </c>
      <c r="T8" s="329">
        <f>SUMIF(Bill_Out!$Q$476:$Q$530,CONCATENATE($C8,T$3),Bill_Out!$N$476:$N$530)</f>
        <v>0</v>
      </c>
      <c r="U8" s="329">
        <f>SUMIF(Bill_Out!$Q$476:$Q$530,CONCATENATE($C8,T$3),Bill_Out!$O$476:$O$530)</f>
        <v>0</v>
      </c>
      <c r="V8" s="329">
        <f>SUMIF(Bill_Out!$Q$530:$Q$606,CONCATENATE($C8,V$3),Bill_Out!$N$530:$N$606)</f>
        <v>0</v>
      </c>
      <c r="W8" s="329">
        <f>SUMIF(Bill_Out!$Q$530:$Q$606,CONCATENATE($C8,V$3),Bill_Out!$O$530:$O$606)</f>
        <v>0</v>
      </c>
      <c r="X8" s="329">
        <f>SUMIF(Bill_Out!$Q$610:$Q$675,CONCATENATE($C8,X$3),Bill_Out!$N$610:$N$675)</f>
        <v>0</v>
      </c>
      <c r="Y8" s="329">
        <f>SUMIF(Bill_Out!$Q$610:$Q$675,CONCATENATE($C8,X$3),Bill_Out!$O$610:$O$675)</f>
        <v>0</v>
      </c>
      <c r="Z8" s="329">
        <f>SUMIF(Bill_Out!$Q$679:$Q$756,CONCATENATE($C8,Z$3),Bill_Out!$N$679:$N$756)</f>
        <v>0</v>
      </c>
      <c r="AA8" s="329">
        <f>SUMIF(Bill_Out!$Q$679:$Q$756,CONCATENATE($C8,Z$3),Bill_Out!$O$679:$O$756)</f>
        <v>0</v>
      </c>
    </row>
    <row r="9" spans="1:27">
      <c r="A9" s="306">
        <v>4</v>
      </c>
      <c r="B9" s="21" t="s">
        <v>2192</v>
      </c>
      <c r="C9" s="8" t="s">
        <v>2070</v>
      </c>
      <c r="D9" s="106">
        <f>SUMIF(Bill_Out!$Q$5:$Q$65,CONCATENATE($C9,D$3),Bill_Out!$N$5:$N$65)</f>
        <v>0</v>
      </c>
      <c r="E9" s="106">
        <f>SUMIF(Bill_Out!$Q$5:$Q$65,CONCATENATE($C9,D$3),Bill_Out!$O$5:$O$65)</f>
        <v>0</v>
      </c>
      <c r="F9" s="106">
        <f>SUMIF(Bill_Out!$Q$69:$Q$132,CONCATENATE($C9,F$3),Bill_Out!$N$69:$N$132)</f>
        <v>0</v>
      </c>
      <c r="G9" s="106" t="e">
        <f>SUMIF(Bill_Out!$Q$69:$Q$132,CONCATENATE($C9,F$3),Bill_Out!$O$69:$O$132)</f>
        <v>#VALUE!</v>
      </c>
      <c r="H9" s="106">
        <f>SUMIF(Bill_Out!$Q$136:$Q$188,CONCATENATE($C9,H$3),Bill_Out!$N$136:$N$188)</f>
        <v>0</v>
      </c>
      <c r="I9" s="106">
        <f>SUMIF(Bill_Out!$Q$136:$Q$188,CONCATENATE($C9,H$3),Bill_Out!$O$136:$O$188)</f>
        <v>0</v>
      </c>
      <c r="J9" s="329">
        <f>SUMIF(Bill_Out!$Q$192:$Q$258,CONCATENATE($C9,J$3),Bill_Out!$N$192:$N$258)</f>
        <v>0</v>
      </c>
      <c r="K9" s="329">
        <f>SUMIF(Bill_Out!$Q$192:$Q$258,CONCATENATE($C9,J$3),Bill_Out!$O$192:$O$258)</f>
        <v>0</v>
      </c>
      <c r="L9" s="329">
        <f>SUMIF(Bill_Out!$Q$263:$Q$314,CONCATENATE($C9,L$3),Bill_Out!$N$263:$N$314)</f>
        <v>0</v>
      </c>
      <c r="M9" s="329" t="e">
        <f>SUMIF(Bill_Out!$Q$263:$Q$314,CONCATENATE($C9,L$3),Bill_Out!$O$263:$O$314)</f>
        <v>#VALUE!</v>
      </c>
      <c r="N9" s="329">
        <f>SUMIF(Bill_Out!$Q$318:$Q$371,CONCATENATE($C9,N$3),Bill_Out!$N$318:$N$371)</f>
        <v>0</v>
      </c>
      <c r="O9" s="329">
        <f>SUMIF(Bill_Out!$Q$318:$Q$371,CONCATENATE($C9,N$3),Bill_Out!$O$318:$O$371)</f>
        <v>0</v>
      </c>
      <c r="P9" s="329">
        <f>SUMIF(Bill_Out!$Q$375:$Q$422,CONCATENATE($C9,P$3),Bill_Out!$N$375:$N$422)</f>
        <v>0</v>
      </c>
      <c r="Q9" s="329">
        <f>SUMIF(Bill_Out!$Q$375:$Q$422,CONCATENATE($C9,P$3),Bill_Out!$O$375:$O$422)</f>
        <v>0</v>
      </c>
      <c r="R9" s="329">
        <f>SUMIF(Bill_Out!$Q$426:$Q$472,CONCATENATE($C9,R$3),Bill_Out!$N$426:$N$472)</f>
        <v>0</v>
      </c>
      <c r="S9" s="329">
        <f>SUMIF(Bill_Out!$Q$426:$Q$472,CONCATENATE($C9,R$3),Bill_Out!$O$426:$O$472)</f>
        <v>0</v>
      </c>
      <c r="T9" s="329"/>
      <c r="U9" s="329"/>
      <c r="V9" s="329"/>
      <c r="W9" s="329"/>
      <c r="X9" s="329"/>
      <c r="Y9" s="329"/>
      <c r="Z9" s="329"/>
      <c r="AA9" s="329"/>
    </row>
    <row r="10" spans="1:27">
      <c r="A10" s="89">
        <v>5</v>
      </c>
      <c r="B10" s="21" t="s">
        <v>25</v>
      </c>
      <c r="C10" s="8" t="s">
        <v>24</v>
      </c>
      <c r="D10" s="106">
        <f>SUMIF(Bill_Out!$Q$5:$Q$65,CONCATENATE($C10,D$3),Bill_Out!$N$5:$N$65)</f>
        <v>0</v>
      </c>
      <c r="E10" s="106" t="e">
        <f>SUMIF(Bill_Out!$Q$5:$Q$65,CONCATENATE($C10,D$3),Bill_Out!$O$5:$O$65)</f>
        <v>#VALUE!</v>
      </c>
      <c r="F10" s="106">
        <f>SUMIF(Bill_Out!$Q$69:$Q$132,CONCATENATE($C10,F$3),Bill_Out!$N$69:$N$132)</f>
        <v>0</v>
      </c>
      <c r="G10" s="106" t="e">
        <f>SUMIF(Bill_Out!$Q$69:$Q$132,CONCATENATE($C10,F$3),Bill_Out!$O$69:$O$132)</f>
        <v>#VALUE!</v>
      </c>
      <c r="H10" s="106">
        <f>SUMIF(Bill_Out!$Q$136:$Q$188,CONCATENATE($C10,H$3),Bill_Out!$N$136:$N$188)</f>
        <v>0</v>
      </c>
      <c r="I10" s="106" t="e">
        <f>SUMIF(Bill_Out!$Q$136:$Q$188,CONCATENATE($C10,H$3),Bill_Out!$O$136:$O$188)</f>
        <v>#VALUE!</v>
      </c>
      <c r="J10" s="329">
        <f>SUMIF(Bill_Out!$Q$192:$Q$258,CONCATENATE($C10,J$3),Bill_Out!$N$192:$N$258)</f>
        <v>0</v>
      </c>
      <c r="K10" s="329" t="e">
        <f>SUMIF(Bill_Out!$Q$192:$Q$258,CONCATENATE($C10,J$3),Bill_Out!$O$192:$O$258)</f>
        <v>#VALUE!</v>
      </c>
      <c r="L10" s="329">
        <f>SUMIF(Bill_Out!$Q$263:$Q$314,CONCATENATE($C10,L$3),Bill_Out!$N$263:$N$314)</f>
        <v>0</v>
      </c>
      <c r="M10" s="329" t="e">
        <f>SUMIF(Bill_Out!$Q$263:$Q$314,CONCATENATE($C10,L$3),Bill_Out!$O$263:$O$314)</f>
        <v>#VALUE!</v>
      </c>
      <c r="N10" s="329">
        <f>SUMIF(Bill_Out!$Q$318:$Q$371,CONCATENATE($C10,N$3),Bill_Out!$N$318:$N$371)</f>
        <v>0</v>
      </c>
      <c r="O10" s="329" t="e">
        <f>SUMIF(Bill_Out!$Q$318:$Q$371,CONCATENATE($C10,N$3),Bill_Out!$O$318:$O$371)</f>
        <v>#VALUE!</v>
      </c>
      <c r="P10" s="329">
        <f>SUMIF(Bill_Out!$Q$375:$Q$422,CONCATENATE($C10,P$3),Bill_Out!$N$375:$N$422)</f>
        <v>0</v>
      </c>
      <c r="Q10" s="329" t="e">
        <f>SUMIF(Bill_Out!$Q$375:$Q$422,CONCATENATE($C10,P$3),Bill_Out!$O$375:$O$422)</f>
        <v>#VALUE!</v>
      </c>
      <c r="R10" s="329">
        <f>SUMIF(Bill_Out!$Q$426:$Q$472,CONCATENATE($C10,R$3),Bill_Out!$N$426:$N$472)</f>
        <v>0</v>
      </c>
      <c r="S10" s="329">
        <f>SUMIF(Bill_Out!$Q$426:$Q$472,CONCATENATE($C10,R$3),Bill_Out!$O$426:$O$472)</f>
        <v>0</v>
      </c>
      <c r="T10" s="329">
        <f>SUMIF(Bill_Out!$Q$476:$Q$530,CONCATENATE($C10,T$3),Bill_Out!$N$476:$N$530)</f>
        <v>0</v>
      </c>
      <c r="U10" s="329">
        <f>SUMIF(Bill_Out!$Q$476:$Q$530,CONCATENATE($C10,T$3),Bill_Out!$O$476:$O$530)</f>
        <v>0</v>
      </c>
      <c r="V10" s="329">
        <f>SUMIF(Bill_Out!$Q$530:$Q$606,CONCATENATE($C10,V$3),Bill_Out!$N$530:$N$606)</f>
        <v>0</v>
      </c>
      <c r="W10" s="329">
        <f>SUMIF(Bill_Out!$Q$530:$Q$606,CONCATENATE($C10,V$3),Bill_Out!$O$530:$O$606)</f>
        <v>0</v>
      </c>
      <c r="X10" s="329">
        <f>SUMIF(Bill_Out!$Q$610:$Q$675,CONCATENATE($C10,X$3),Bill_Out!$N$610:$N$675)</f>
        <v>0</v>
      </c>
      <c r="Y10" s="329">
        <f>SUMIF(Bill_Out!$Q$610:$Q$675,CONCATENATE($C10,X$3),Bill_Out!$O$610:$O$675)</f>
        <v>0</v>
      </c>
      <c r="Z10" s="329">
        <f>SUMIF(Bill_Out!$Q$679:$Q$756,CONCATENATE($C10,Z$3),Bill_Out!$N$679:$N$756)</f>
        <v>0</v>
      </c>
      <c r="AA10" s="329">
        <f>SUMIF(Bill_Out!$Q$679:$Q$756,CONCATENATE($C10,Z$3),Bill_Out!$O$679:$O$756)</f>
        <v>0</v>
      </c>
    </row>
    <row r="11" spans="1:27">
      <c r="A11" s="306">
        <v>6</v>
      </c>
      <c r="B11" s="21" t="s">
        <v>1665</v>
      </c>
      <c r="C11" s="8" t="s">
        <v>1625</v>
      </c>
      <c r="D11" s="106">
        <f>SUMIF(Bill_Out!$Q$5:$Q$65,CONCATENATE($C11,D$3),Bill_Out!$N$5:$N$65)</f>
        <v>0</v>
      </c>
      <c r="E11" s="106">
        <f>SUMIF(Bill_Out!$Q$5:$Q$65,CONCATENATE($C11,D$3),Bill_Out!$O$5:$O$65)</f>
        <v>0</v>
      </c>
      <c r="F11" s="106">
        <f>SUMIF(Bill_Out!$Q$69:$Q$132,CONCATENATE($C11,F$3),Bill_Out!$N$69:$N$132)</f>
        <v>0</v>
      </c>
      <c r="G11" s="106">
        <f>SUMIF(Bill_Out!$Q$69:$Q$132,CONCATENATE($C11,F$3),Bill_Out!$O$69:$O$132)</f>
        <v>0</v>
      </c>
      <c r="H11" s="106">
        <f>SUMIF(Bill_Out!$Q$136:$Q$188,CONCATENATE($C11,H$3),Bill_Out!$N$136:$N$188)</f>
        <v>0</v>
      </c>
      <c r="I11" s="106">
        <f>SUMIF(Bill_Out!$Q$136:$Q$188,CONCATENATE($C11,H$3),Bill_Out!$O$136:$O$188)</f>
        <v>0</v>
      </c>
      <c r="J11" s="329">
        <f>SUMIF(Bill_Out!$Q$192:$Q$258,CONCATENATE($C11,J$3),Bill_Out!$N$192:$N$258)</f>
        <v>0</v>
      </c>
      <c r="K11" s="329">
        <f>SUMIF(Bill_Out!$Q$192:$Q$258,CONCATENATE($C11,J$3),Bill_Out!$O$192:$O$258)</f>
        <v>0</v>
      </c>
      <c r="L11" s="329">
        <f>SUMIF(Bill_Out!$Q$263:$Q$314,CONCATENATE($C11,L$3),Bill_Out!$N$263:$N$314)</f>
        <v>0</v>
      </c>
      <c r="M11" s="329" t="e">
        <f>SUMIF(Bill_Out!$Q$263:$Q$314,CONCATENATE($C11,L$3),Bill_Out!$O$263:$O$314)</f>
        <v>#VALUE!</v>
      </c>
      <c r="N11" s="329">
        <f>SUMIF(Bill_Out!$Q$318:$Q$371,CONCATENATE($C11,N$3),Bill_Out!$N$318:$N$371)</f>
        <v>0</v>
      </c>
      <c r="O11" s="329">
        <f>SUMIF(Bill_Out!$Q$318:$Q$371,CONCATENATE($C11,N$3),Bill_Out!$O$318:$O$371)</f>
        <v>0</v>
      </c>
      <c r="P11" s="329">
        <f>SUMIF(Bill_Out!$Q$375:$Q$422,CONCATENATE($C11,P$3),Bill_Out!$N$375:$N$422)</f>
        <v>0</v>
      </c>
      <c r="Q11" s="329">
        <f>SUMIF(Bill_Out!$Q$375:$Q$422,CONCATENATE($C11,P$3),Bill_Out!$O$375:$O$422)</f>
        <v>0</v>
      </c>
      <c r="R11" s="329">
        <f>SUMIF(Bill_Out!$Q$426:$Q$472,CONCATENATE($C11,R$3),Bill_Out!$N$426:$N$472)</f>
        <v>0</v>
      </c>
      <c r="S11" s="329" t="e">
        <f>SUMIF(Bill_Out!$Q$426:$Q$472,CONCATENATE($C11,R$3),Bill_Out!$O$426:$O$472)</f>
        <v>#VALUE!</v>
      </c>
      <c r="T11" s="329">
        <f>SUMIF(Bill_Out!$Q$476:$Q$530,CONCATENATE($C11,T$3),Bill_Out!$N$476:$N$530)</f>
        <v>0</v>
      </c>
      <c r="U11" s="329" t="e">
        <f>SUMIF(Bill_Out!$Q$476:$Q$530,CONCATENATE($C11,T$3),Bill_Out!$O$476:$O$530)</f>
        <v>#VALUE!</v>
      </c>
      <c r="V11" s="329">
        <f>SUMIF(Bill_Out!$Q$530:$Q$606,CONCATENATE($C11,V$3),Bill_Out!$N$530:$N$606)</f>
        <v>0</v>
      </c>
      <c r="W11" s="329" t="e">
        <f>SUMIF(Bill_Out!$Q$530:$Q$606,CONCATENATE($C11,V$3),Bill_Out!$O$530:$O$606)</f>
        <v>#VALUE!</v>
      </c>
      <c r="X11" s="329">
        <f>SUMIF(Bill_Out!$Q$610:$Q$675,CONCATENATE($C11,X$3),Bill_Out!$N$610:$N$675)</f>
        <v>0</v>
      </c>
      <c r="Y11" s="329" t="e">
        <f>SUMIF(Bill_Out!$Q$610:$Q$675,CONCATENATE($C11,X$3),Bill_Out!$O$610:$O$675)</f>
        <v>#VALUE!</v>
      </c>
      <c r="Z11" s="329">
        <f>SUMIF(Bill_Out!$Q$679:$Q$756,CONCATENATE($C11,Z$3),Bill_Out!$N$679:$N$756)</f>
        <v>0</v>
      </c>
      <c r="AA11" s="329" t="e">
        <f>SUMIF(Bill_Out!$Q$679:$Q$756,CONCATENATE($C11,Z$3),Bill_Out!$O$679:$O$756)</f>
        <v>#VALUE!</v>
      </c>
    </row>
    <row r="12" spans="1:27">
      <c r="A12" s="89">
        <v>7</v>
      </c>
      <c r="B12" s="21" t="s">
        <v>27</v>
      </c>
      <c r="C12" s="8" t="s">
        <v>49</v>
      </c>
      <c r="D12" s="106">
        <f>SUMIF(Bill_Out!$Q$5:$Q$65,CONCATENATE($C12,D$3),Bill_Out!$N$5:$N$65)</f>
        <v>0</v>
      </c>
      <c r="E12" s="106" t="e">
        <f>SUMIF(Bill_Out!$Q$5:$Q$65,CONCATENATE($C12,D$3),Bill_Out!$O$5:$O$65)</f>
        <v>#VALUE!</v>
      </c>
      <c r="F12" s="106">
        <f>SUMIF(Bill_Out!$Q$69:$Q$132,CONCATENATE($C12,F$3),Bill_Out!$N$69:$N$132)</f>
        <v>0</v>
      </c>
      <c r="G12" s="106" t="e">
        <f>SUMIF(Bill_Out!$Q$69:$Q$132,CONCATENATE($C12,F$3),Bill_Out!$O$69:$O$132)</f>
        <v>#VALUE!</v>
      </c>
      <c r="H12" s="106">
        <f>SUMIF(Bill_Out!$Q$136:$Q$188,CONCATENATE($C12,H$3),Bill_Out!$N$136:$N$188)</f>
        <v>0</v>
      </c>
      <c r="I12" s="106" t="e">
        <f>SUMIF(Bill_Out!$Q$136:$Q$188,CONCATENATE($C12,H$3),Bill_Out!$O$136:$O$188)</f>
        <v>#VALUE!</v>
      </c>
      <c r="J12" s="329">
        <f>SUMIF(Bill_Out!$Q$192:$Q$258,CONCATENATE($C12,J$3),Bill_Out!$N$192:$N$258)</f>
        <v>0</v>
      </c>
      <c r="K12" s="329" t="e">
        <f>SUMIF(Bill_Out!$Q$192:$Q$258,CONCATENATE($C12,J$3),Bill_Out!$O$192:$O$258)</f>
        <v>#VALUE!</v>
      </c>
      <c r="L12" s="329">
        <f>SUMIF(Bill_Out!$Q$263:$Q$314,CONCATENATE($C12,L$3),Bill_Out!$N$263:$N$314)</f>
        <v>0</v>
      </c>
      <c r="M12" s="329" t="e">
        <f>SUMIF(Bill_Out!$Q$263:$Q$314,CONCATENATE($C12,L$3),Bill_Out!$O$263:$O$314)</f>
        <v>#VALUE!</v>
      </c>
      <c r="N12" s="329">
        <f>SUMIF(Bill_Out!$Q$318:$Q$371,CONCATENATE($C12,N$3),Bill_Out!$N$318:$N$371)</f>
        <v>0</v>
      </c>
      <c r="O12" s="329" t="e">
        <f>SUMIF(Bill_Out!$Q$318:$Q$371,CONCATENATE($C12,N$3),Bill_Out!$O$318:$O$371)</f>
        <v>#VALUE!</v>
      </c>
      <c r="P12" s="329">
        <f>SUMIF(Bill_Out!$Q$375:$Q$422,CONCATENATE($C12,P$3),Bill_Out!$N$375:$N$422)</f>
        <v>0</v>
      </c>
      <c r="Q12" s="329">
        <f>SUMIF(Bill_Out!$Q$375:$Q$422,CONCATENATE($C12,P$3),Bill_Out!$O$375:$O$422)</f>
        <v>0</v>
      </c>
      <c r="R12" s="329">
        <f>SUMIF(Bill_Out!$Q$426:$Q$472,CONCATENATE($C12,R$3),Bill_Out!$N$426:$N$472)</f>
        <v>0</v>
      </c>
      <c r="S12" s="329">
        <f>SUMIF(Bill_Out!$Q$426:$Q$472,CONCATENATE($C12,R$3),Bill_Out!$O$426:$O$472)</f>
        <v>0</v>
      </c>
      <c r="T12" s="329">
        <f>SUMIF(Bill_Out!$Q$476:$Q$530,CONCATENATE($C12,T$3),Bill_Out!$N$476:$N$530)</f>
        <v>0</v>
      </c>
      <c r="U12" s="329">
        <f>SUMIF(Bill_Out!$Q$476:$Q$530,CONCATENATE($C12,T$3),Bill_Out!$O$476:$O$530)</f>
        <v>0</v>
      </c>
      <c r="V12" s="329">
        <f>SUMIF(Bill_Out!$Q$530:$Q$606,CONCATENATE($C12,V$3),Bill_Out!$N$530:$N$606)</f>
        <v>0</v>
      </c>
      <c r="W12" s="329">
        <f>SUMIF(Bill_Out!$Q$530:$Q$606,CONCATENATE($C12,V$3),Bill_Out!$O$530:$O$606)</f>
        <v>0</v>
      </c>
      <c r="X12" s="329">
        <f>SUMIF(Bill_Out!$Q$610:$Q$675,CONCATENATE($C12,X$3),Bill_Out!$N$610:$N$675)</f>
        <v>0</v>
      </c>
      <c r="Y12" s="329">
        <f>SUMIF(Bill_Out!$Q$610:$Q$675,CONCATENATE($C12,X$3),Bill_Out!$O$610:$O$675)</f>
        <v>0</v>
      </c>
      <c r="Z12" s="329">
        <f>SUMIF(Bill_Out!$Q$679:$Q$756,CONCATENATE($C12,Z$3),Bill_Out!$N$679:$N$756)</f>
        <v>0</v>
      </c>
      <c r="AA12" s="329">
        <f>SUMIF(Bill_Out!$Q$679:$Q$756,CONCATENATE($C12,Z$3),Bill_Out!$O$679:$O$756)</f>
        <v>0</v>
      </c>
    </row>
    <row r="13" spans="1:27">
      <c r="A13" s="306">
        <v>8</v>
      </c>
      <c r="B13" s="21" t="s">
        <v>29</v>
      </c>
      <c r="C13" s="22" t="s">
        <v>28</v>
      </c>
      <c r="D13" s="106">
        <f>SUMIF(Bill_Out!$Q$5:$Q$65,CONCATENATE($C13,D$3),Bill_Out!$N$5:$N$65)</f>
        <v>0</v>
      </c>
      <c r="E13" s="106" t="e">
        <f>SUMIF(Bill_Out!$Q$5:$Q$65,CONCATENATE($C13,D$3),Bill_Out!$O$5:$O$65)</f>
        <v>#VALUE!</v>
      </c>
      <c r="F13" s="106">
        <f>SUMIF(Bill_Out!$Q$69:$Q$132,CONCATENATE($C13,F$3),Bill_Out!$N$69:$N$132)</f>
        <v>0</v>
      </c>
      <c r="G13" s="106" t="e">
        <f>SUMIF(Bill_Out!$Q$69:$Q$132,CONCATENATE($C13,F$3),Bill_Out!$O$69:$O$132)</f>
        <v>#VALUE!</v>
      </c>
      <c r="H13" s="106">
        <f>SUMIF(Bill_Out!$Q$136:$Q$188,CONCATENATE($C13,H$3),Bill_Out!$N$136:$N$188)</f>
        <v>0</v>
      </c>
      <c r="I13" s="106" t="e">
        <f>SUMIF(Bill_Out!$Q$136:$Q$188,CONCATENATE($C13,H$3),Bill_Out!$O$136:$O$188)</f>
        <v>#VALUE!</v>
      </c>
      <c r="J13" s="329">
        <f>SUMIF(Bill_Out!$Q$192:$Q$258,CONCATENATE($C13,J$3),Bill_Out!$N$192:$N$258)</f>
        <v>0</v>
      </c>
      <c r="K13" s="329">
        <f>SUMIF(Bill_Out!$Q$192:$Q$258,CONCATENATE($C13,J$3),Bill_Out!$O$192:$O$258)</f>
        <v>0</v>
      </c>
      <c r="L13" s="329">
        <f>SUMIF(Bill_Out!$Q$263:$Q$314,CONCATENATE($C13,L$3),Bill_Out!$N$263:$N$314)</f>
        <v>0</v>
      </c>
      <c r="M13" s="329">
        <f>SUMIF(Bill_Out!$Q$263:$Q$314,CONCATENATE($C13,L$3),Bill_Out!$O$263:$O$314)</f>
        <v>0</v>
      </c>
      <c r="N13" s="329">
        <f>SUMIF(Bill_Out!$Q$318:$Q$371,CONCATENATE($C13,N$3),Bill_Out!$N$318:$N$371)</f>
        <v>0</v>
      </c>
      <c r="O13" s="329">
        <f>SUMIF(Bill_Out!$Q$318:$Q$371,CONCATENATE($C13,N$3),Bill_Out!$O$318:$O$371)</f>
        <v>0</v>
      </c>
      <c r="P13" s="329">
        <f>SUMIF(Bill_Out!$Q$375:$Q$422,CONCATENATE($C13,P$3),Bill_Out!$N$375:$N$422)</f>
        <v>0</v>
      </c>
      <c r="Q13" s="329">
        <f>SUMIF(Bill_Out!$Q$375:$Q$422,CONCATENATE($C13,P$3),Bill_Out!$O$375:$O$422)</f>
        <v>0</v>
      </c>
      <c r="R13" s="329">
        <f>SUMIF(Bill_Out!$Q$426:$Q$472,CONCATENATE($C13,R$3),Bill_Out!$N$426:$N$472)</f>
        <v>0</v>
      </c>
      <c r="S13" s="329">
        <f>SUMIF(Bill_Out!$Q$426:$Q$472,CONCATENATE($C13,R$3),Bill_Out!$O$426:$O$472)</f>
        <v>0</v>
      </c>
      <c r="T13" s="329">
        <f>SUMIF(Bill_Out!$Q$476:$Q$530,CONCATENATE($C13,T$3),Bill_Out!$N$476:$N$530)</f>
        <v>0</v>
      </c>
      <c r="U13" s="329">
        <f>SUMIF(Bill_Out!$Q$476:$Q$530,CONCATENATE($C13,T$3),Bill_Out!$O$476:$O$530)</f>
        <v>0</v>
      </c>
      <c r="V13" s="329">
        <f>SUMIF(Bill_Out!$Q$530:$Q$606,CONCATENATE($C13,V$3),Bill_Out!$N$530:$N$606)</f>
        <v>0</v>
      </c>
      <c r="W13" s="329" t="e">
        <f>SUMIF(Bill_Out!$Q$530:$Q$606,CONCATENATE($C13,V$3),Bill_Out!$O$530:$O$606)</f>
        <v>#VALUE!</v>
      </c>
      <c r="X13" s="329">
        <f>SUMIF(Bill_Out!$Q$610:$Q$675,CONCATENATE($C13,X$3),Bill_Out!$N$610:$N$675)</f>
        <v>0</v>
      </c>
      <c r="Y13" s="329">
        <f>SUMIF(Bill_Out!$Q$610:$Q$675,CONCATENATE($C13,X$3),Bill_Out!$O$610:$O$675)</f>
        <v>0</v>
      </c>
      <c r="Z13" s="329">
        <f>SUMIF(Bill_Out!$Q$679:$Q$756,CONCATENATE($C13,Z$3),Bill_Out!$N$679:$N$756)</f>
        <v>0</v>
      </c>
      <c r="AA13" s="329" t="e">
        <f>SUMIF(Bill_Out!$Q$679:$Q$756,CONCATENATE($C13,Z$3),Bill_Out!$O$679:$O$756)</f>
        <v>#VALUE!</v>
      </c>
    </row>
    <row r="14" spans="1:27">
      <c r="A14" s="89">
        <v>9</v>
      </c>
      <c r="B14" s="21" t="s">
        <v>30</v>
      </c>
      <c r="C14" s="22" t="s">
        <v>95</v>
      </c>
      <c r="D14" s="106">
        <f>SUMIF(Bill_Out!$Q$5:$Q$65,CONCATENATE($C14,D$3),Bill_Out!$N$5:$N$65)</f>
        <v>0</v>
      </c>
      <c r="E14" s="106" t="e">
        <f>SUMIF(Bill_Out!$Q$5:$Q$65,CONCATENATE($C14,D$3),Bill_Out!$O$5:$O$65)</f>
        <v>#VALUE!</v>
      </c>
      <c r="F14" s="106">
        <f>SUMIF(Bill_Out!$Q$69:$Q$132,CONCATENATE($C14,F$3),Bill_Out!$N$69:$N$132)</f>
        <v>0</v>
      </c>
      <c r="G14" s="106" t="e">
        <f>SUMIF(Bill_Out!$Q$69:$Q$132,CONCATENATE($C14,F$3),Bill_Out!$O$69:$O$132)</f>
        <v>#VALUE!</v>
      </c>
      <c r="H14" s="106">
        <f>SUMIF(Bill_Out!$Q$136:$Q$188,CONCATENATE($C14,H$3),Bill_Out!$N$136:$N$188)</f>
        <v>0</v>
      </c>
      <c r="I14" s="106" t="e">
        <f>SUMIF(Bill_Out!$Q$136:$Q$188,CONCATENATE($C14,H$3),Bill_Out!$O$136:$O$188)</f>
        <v>#VALUE!</v>
      </c>
      <c r="J14" s="329">
        <f>SUMIF(Bill_Out!$Q$192:$Q$258,CONCATENATE($C14,J$3),Bill_Out!$N$192:$N$258)</f>
        <v>0</v>
      </c>
      <c r="K14" s="329" t="e">
        <f>SUMIF(Bill_Out!$Q$192:$Q$258,CONCATENATE($C14,J$3),Bill_Out!$O$192:$O$258)</f>
        <v>#VALUE!</v>
      </c>
      <c r="L14" s="329">
        <f>SUMIF(Bill_Out!$Q$263:$Q$314,CONCATENATE($C14,L$3),Bill_Out!$N$263:$N$314)</f>
        <v>0</v>
      </c>
      <c r="M14" s="329" t="e">
        <f>SUMIF(Bill_Out!$Q$263:$Q$314,CONCATENATE($C14,L$3),Bill_Out!$O$263:$O$314)</f>
        <v>#VALUE!</v>
      </c>
      <c r="N14" s="329">
        <f>SUMIF(Bill_Out!$Q$318:$Q$371,CONCATENATE($C14,N$3),Bill_Out!$N$318:$N$371)</f>
        <v>0</v>
      </c>
      <c r="O14" s="329" t="e">
        <f>SUMIF(Bill_Out!$Q$318:$Q$371,CONCATENATE($C14,N$3),Bill_Out!$O$318:$O$371)</f>
        <v>#VALUE!</v>
      </c>
      <c r="P14" s="329">
        <f>SUMIF(Bill_Out!$Q$375:$Q$422,CONCATENATE($C14,P$3),Bill_Out!$N$375:$N$422)</f>
        <v>0</v>
      </c>
      <c r="Q14" s="329" t="e">
        <f>SUMIF(Bill_Out!$Q$375:$Q$422,CONCATENATE($C14,P$3),Bill_Out!$O$375:$O$422)</f>
        <v>#VALUE!</v>
      </c>
      <c r="R14" s="329">
        <f>SUMIF(Bill_Out!$Q$426:$Q$472,CONCATENATE($C14,R$3),Bill_Out!$N$426:$N$472)</f>
        <v>0</v>
      </c>
      <c r="S14" s="329" t="e">
        <f>SUMIF(Bill_Out!$Q$426:$Q$472,CONCATENATE($C14,R$3),Bill_Out!$O$426:$O$472)</f>
        <v>#VALUE!</v>
      </c>
      <c r="T14" s="329">
        <f>SUMIF(Bill_Out!$Q$476:$Q$530,CONCATENATE($C14,T$3),Bill_Out!$N$476:$N$530)</f>
        <v>0</v>
      </c>
      <c r="U14" s="329" t="e">
        <f>SUMIF(Bill_Out!$Q$476:$Q$530,CONCATENATE($C14,T$3),Bill_Out!$O$476:$O$530)</f>
        <v>#VALUE!</v>
      </c>
      <c r="V14" s="329">
        <f>SUMIF(Bill_Out!$Q$530:$Q$606,CONCATENATE($C14,V$3),Bill_Out!$N$530:$N$606)</f>
        <v>0</v>
      </c>
      <c r="W14" s="329" t="e">
        <f>SUMIF(Bill_Out!$Q$530:$Q$606,CONCATENATE($C14,V$3),Bill_Out!$O$530:$O$606)</f>
        <v>#VALUE!</v>
      </c>
      <c r="X14" s="329">
        <f>SUMIF(Bill_Out!$Q$610:$Q$675,CONCATENATE($C14,X$3),Bill_Out!$N$610:$N$675)</f>
        <v>0</v>
      </c>
      <c r="Y14" s="329" t="e">
        <f>SUMIF(Bill_Out!$Q$610:$Q$675,CONCATENATE($C14,X$3),Bill_Out!$O$610:$O$675)</f>
        <v>#VALUE!</v>
      </c>
      <c r="Z14" s="329">
        <f>SUMIF(Bill_Out!$Q$679:$Q$756,CONCATENATE($C14,Z$3),Bill_Out!$N$679:$N$756)</f>
        <v>0</v>
      </c>
      <c r="AA14" s="329" t="e">
        <f>SUMIF(Bill_Out!$Q$679:$Q$756,CONCATENATE($C14,Z$3),Bill_Out!$O$679:$O$756)</f>
        <v>#VALUE!</v>
      </c>
    </row>
    <row r="15" spans="1:27">
      <c r="A15" s="306">
        <v>10</v>
      </c>
      <c r="B15" s="21" t="s">
        <v>32</v>
      </c>
      <c r="C15" s="22" t="s">
        <v>96</v>
      </c>
      <c r="D15" s="106">
        <f>SUMIF(Bill_Out!$Q$5:$Q$65,CONCATENATE($C15,D$3),Bill_Out!$N$5:$N$65)</f>
        <v>0</v>
      </c>
      <c r="E15" s="106" t="e">
        <f>SUMIF(Bill_Out!$Q$5:$Q$65,CONCATENATE($C15,D$3),Bill_Out!$O$5:$O$65)</f>
        <v>#VALUE!</v>
      </c>
      <c r="F15" s="106">
        <f>SUMIF(Bill_Out!$Q$69:$Q$132,CONCATENATE($C15,F$3),Bill_Out!$N$69:$N$132)</f>
        <v>0</v>
      </c>
      <c r="G15" s="106" t="e">
        <f>SUMIF(Bill_Out!$Q$69:$Q$132,CONCATENATE($C15,F$3),Bill_Out!$O$69:$O$132)</f>
        <v>#VALUE!</v>
      </c>
      <c r="H15" s="106">
        <f>SUMIF(Bill_Out!$Q$136:$Q$188,CONCATENATE($C15,H$3),Bill_Out!$N$136:$N$188)</f>
        <v>0</v>
      </c>
      <c r="I15" s="106" t="e">
        <f>SUMIF(Bill_Out!$Q$136:$Q$188,CONCATENATE($C15,H$3),Bill_Out!$O$136:$O$188)</f>
        <v>#VALUE!</v>
      </c>
      <c r="J15" s="329">
        <f>SUMIF(Bill_Out!$Q$192:$Q$258,CONCATENATE($C15,J$3),Bill_Out!$N$192:$N$258)</f>
        <v>0</v>
      </c>
      <c r="K15" s="329" t="e">
        <f>SUMIF(Bill_Out!$Q$192:$Q$258,CONCATENATE($C15,J$3),Bill_Out!$O$192:$O$258)</f>
        <v>#VALUE!</v>
      </c>
      <c r="L15" s="329">
        <f>SUMIF(Bill_Out!$Q$263:$Q$314,CONCATENATE($C15,L$3),Bill_Out!$N$263:$N$314)</f>
        <v>0</v>
      </c>
      <c r="M15" s="329" t="e">
        <f>SUMIF(Bill_Out!$Q$263:$Q$314,CONCATENATE($C15,L$3),Bill_Out!$O$263:$O$314)</f>
        <v>#VALUE!</v>
      </c>
      <c r="N15" s="329">
        <f>SUMIF(Bill_Out!$Q$318:$Q$371,CONCATENATE($C15,N$3),Bill_Out!$N$318:$N$371)</f>
        <v>0</v>
      </c>
      <c r="O15" s="329" t="e">
        <f>SUMIF(Bill_Out!$Q$318:$Q$371,CONCATENATE($C15,N$3),Bill_Out!$O$318:$O$371)</f>
        <v>#VALUE!</v>
      </c>
      <c r="P15" s="329">
        <f>SUMIF(Bill_Out!$Q$375:$Q$422,CONCATENATE($C15,P$3),Bill_Out!$N$375:$N$422)</f>
        <v>0</v>
      </c>
      <c r="Q15" s="329" t="e">
        <f>SUMIF(Bill_Out!$Q$375:$Q$422,CONCATENATE($C15,P$3),Bill_Out!$O$375:$O$422)</f>
        <v>#VALUE!</v>
      </c>
      <c r="R15" s="329">
        <f>SUMIF(Bill_Out!$Q$426:$Q$472,CONCATENATE($C15,R$3),Bill_Out!$N$426:$N$472)</f>
        <v>0</v>
      </c>
      <c r="S15" s="329" t="e">
        <f>SUMIF(Bill_Out!$Q$426:$Q$472,CONCATENATE($C15,R$3),Bill_Out!$O$426:$O$472)</f>
        <v>#VALUE!</v>
      </c>
      <c r="T15" s="329">
        <f>SUMIF(Bill_Out!$Q$476:$Q$530,CONCATENATE($C15,T$3),Bill_Out!$N$476:$N$530)</f>
        <v>0</v>
      </c>
      <c r="U15" s="329">
        <f>SUMIF(Bill_Out!$Q$476:$Q$530,CONCATENATE($C15,T$3),Bill_Out!$O$476:$O$530)</f>
        <v>0</v>
      </c>
      <c r="V15" s="329">
        <f>SUMIF(Bill_Out!$Q$530:$Q$606,CONCATENATE($C15,V$3),Bill_Out!$N$530:$N$606)</f>
        <v>0</v>
      </c>
      <c r="W15" s="329" t="e">
        <f>SUMIF(Bill_Out!$Q$530:$Q$606,CONCATENATE($C15,V$3),Bill_Out!$O$530:$O$606)</f>
        <v>#VALUE!</v>
      </c>
      <c r="X15" s="329">
        <f>SUMIF(Bill_Out!$Q$610:$Q$675,CONCATENATE($C15,X$3),Bill_Out!$N$610:$N$675)</f>
        <v>0</v>
      </c>
      <c r="Y15" s="329" t="e">
        <f>SUMIF(Bill_Out!$Q$610:$Q$675,CONCATENATE($C15,X$3),Bill_Out!$O$610:$O$675)</f>
        <v>#VALUE!</v>
      </c>
      <c r="Z15" s="329">
        <f>SUMIF(Bill_Out!$Q$679:$Q$756,CONCATENATE($C15,Z$3),Bill_Out!$N$679:$N$756)</f>
        <v>0</v>
      </c>
      <c r="AA15" s="329" t="e">
        <f>SUMIF(Bill_Out!$Q$679:$Q$756,CONCATENATE($C15,Z$3),Bill_Out!$O$679:$O$756)</f>
        <v>#VALUE!</v>
      </c>
    </row>
    <row r="16" spans="1:27">
      <c r="A16" s="89">
        <v>11</v>
      </c>
      <c r="B16" s="21" t="s">
        <v>33</v>
      </c>
      <c r="C16" s="22" t="s">
        <v>206</v>
      </c>
      <c r="D16" s="106">
        <f>SUMIF(Bill_Out!$Q$5:$Q$65,CONCATENATE($C16,D$3),Bill_Out!$N$5:$N$65)</f>
        <v>0</v>
      </c>
      <c r="E16" s="106" t="e">
        <f>SUMIF(Bill_Out!$Q$5:$Q$65,CONCATENATE($C16,D$3),Bill_Out!$O$5:$O$65)</f>
        <v>#VALUE!</v>
      </c>
      <c r="F16" s="106">
        <f>SUMIF(Bill_Out!$Q$69:$Q$132,CONCATENATE($C16,F$3),Bill_Out!$N$69:$N$132)</f>
        <v>0</v>
      </c>
      <c r="G16" s="106" t="e">
        <f>SUMIF(Bill_Out!$Q$69:$Q$132,CONCATENATE($C16,F$3),Bill_Out!$O$69:$O$132)</f>
        <v>#VALUE!</v>
      </c>
      <c r="H16" s="106">
        <f>SUMIF(Bill_Out!$Q$136:$Q$188,CONCATENATE($C16,H$3),Bill_Out!$N$136:$N$188)</f>
        <v>0</v>
      </c>
      <c r="I16" s="106" t="e">
        <f>SUMIF(Bill_Out!$Q$136:$Q$188,CONCATENATE($C16,H$3),Bill_Out!$O$136:$O$188)</f>
        <v>#VALUE!</v>
      </c>
      <c r="J16" s="329">
        <f>SUMIF(Bill_Out!$Q$192:$Q$258,CONCATENATE($C16,J$3),Bill_Out!$N$192:$N$258)</f>
        <v>0</v>
      </c>
      <c r="K16" s="329" t="e">
        <f>SUMIF(Bill_Out!$Q$192:$Q$258,CONCATENATE($C16,J$3),Bill_Out!$O$192:$O$258)</f>
        <v>#VALUE!</v>
      </c>
      <c r="L16" s="329">
        <f>SUMIF(Bill_Out!$Q$263:$Q$314,CONCATENATE($C16,L$3),Bill_Out!$N$263:$N$314)</f>
        <v>0</v>
      </c>
      <c r="M16" s="329" t="e">
        <f>SUMIF(Bill_Out!$Q$263:$Q$314,CONCATENATE($C16,L$3),Bill_Out!$O$263:$O$314)</f>
        <v>#VALUE!</v>
      </c>
      <c r="N16" s="329">
        <f>SUMIF(Bill_Out!$Q$318:$Q$371,CONCATENATE($C16,N$3),Bill_Out!$N$318:$N$371)</f>
        <v>0</v>
      </c>
      <c r="O16" s="329" t="e">
        <f>SUMIF(Bill_Out!$Q$318:$Q$371,CONCATENATE($C16,N$3),Bill_Out!$O$318:$O$371)</f>
        <v>#VALUE!</v>
      </c>
      <c r="P16" s="329">
        <f>SUMIF(Bill_Out!$Q$375:$Q$422,CONCATENATE($C16,P$3),Bill_Out!$N$375:$N$422)</f>
        <v>0</v>
      </c>
      <c r="Q16" s="329" t="e">
        <f>SUMIF(Bill_Out!$Q$375:$Q$422,CONCATENATE($C16,P$3),Bill_Out!$O$375:$O$422)</f>
        <v>#VALUE!</v>
      </c>
      <c r="R16" s="329">
        <f>SUMIF(Bill_Out!$Q$426:$Q$472,CONCATENATE($C16,R$3),Bill_Out!$N$426:$N$472)</f>
        <v>0</v>
      </c>
      <c r="S16" s="329" t="e">
        <f>SUMIF(Bill_Out!$Q$426:$Q$472,CONCATENATE($C16,R$3),Bill_Out!$O$426:$O$472)</f>
        <v>#VALUE!</v>
      </c>
      <c r="T16" s="329">
        <f>SUMIF(Bill_Out!$Q$476:$Q$530,CONCATENATE($C16,T$3),Bill_Out!$N$476:$N$530)</f>
        <v>0</v>
      </c>
      <c r="U16" s="329" t="e">
        <f>SUMIF(Bill_Out!$Q$476:$Q$530,CONCATENATE($C16,T$3),Bill_Out!$O$476:$O$530)</f>
        <v>#VALUE!</v>
      </c>
      <c r="V16" s="329">
        <f>SUMIF(Bill_Out!$Q$530:$Q$606,CONCATENATE($C16,V$3),Bill_Out!$N$530:$N$606)</f>
        <v>0</v>
      </c>
      <c r="W16" s="329" t="e">
        <f>SUMIF(Bill_Out!$Q$530:$Q$606,CONCATENATE($C16,V$3),Bill_Out!$O$530:$O$606)</f>
        <v>#VALUE!</v>
      </c>
      <c r="X16" s="329">
        <f>SUMIF(Bill_Out!$Q$610:$Q$675,CONCATENATE($C16,X$3),Bill_Out!$N$610:$N$675)</f>
        <v>0</v>
      </c>
      <c r="Y16" s="329" t="e">
        <f>SUMIF(Bill_Out!$Q$610:$Q$675,CONCATENATE($C16,X$3),Bill_Out!$O$610:$O$675)</f>
        <v>#VALUE!</v>
      </c>
      <c r="Z16" s="329">
        <f>SUMIF(Bill_Out!$Q$679:$Q$756,CONCATENATE($C16,Z$3),Bill_Out!$N$679:$N$756)</f>
        <v>0</v>
      </c>
      <c r="AA16" s="329" t="e">
        <f>SUMIF(Bill_Out!$Q$679:$Q$756,CONCATENATE($C16,Z$3),Bill_Out!$O$679:$O$756)</f>
        <v>#VALUE!</v>
      </c>
    </row>
    <row r="17" spans="1:27">
      <c r="A17" s="306">
        <v>12</v>
      </c>
      <c r="B17" s="21" t="s">
        <v>2514</v>
      </c>
      <c r="C17" s="22" t="s">
        <v>2405</v>
      </c>
      <c r="D17" s="106">
        <f>SUMIF(Bill_Out!$Q$5:$Q$65,CONCATENATE($C17,D$3),Bill_Out!$N$5:$N$65)</f>
        <v>0</v>
      </c>
      <c r="E17" s="106">
        <f>SUMIF(Bill_Out!$Q$5:$Q$65,CONCATENATE($C17,D$3),Bill_Out!$O$5:$O$65)</f>
        <v>0</v>
      </c>
      <c r="F17" s="106">
        <f>SUMIF(Bill_Out!$Q$69:$Q$132,CONCATENATE($C17,F$3),Bill_Out!$N$69:$N$132)</f>
        <v>0</v>
      </c>
      <c r="G17" s="106">
        <f>SUMIF(Bill_Out!$Q$69:$Q$132,CONCATENATE($C17,F$3),Bill_Out!$O$69:$O$132)</f>
        <v>0</v>
      </c>
      <c r="H17" s="106">
        <f>SUMIF(Bill_Out!$Q$136:$Q$188,CONCATENATE($C17,H$3),Bill_Out!$N$136:$N$188)</f>
        <v>0</v>
      </c>
      <c r="I17" s="106">
        <f>SUMIF(Bill_Out!$Q$136:$Q$188,CONCATENATE($C17,H$3),Bill_Out!$O$136:$O$188)</f>
        <v>0</v>
      </c>
      <c r="J17" s="329">
        <f>SUMIF(Bill_Out!$Q$192:$Q$258,CONCATENATE($C17,J$3),Bill_Out!$N$192:$N$258)</f>
        <v>0</v>
      </c>
      <c r="K17" s="329" t="e">
        <f>SUMIF(Bill_Out!$Q$192:$Q$258,CONCATENATE($C17,J$3),Bill_Out!$O$192:$O$258)</f>
        <v>#VALUE!</v>
      </c>
      <c r="L17" s="329">
        <f>SUMIF(Bill_Out!$Q$263:$Q$314,CONCATENATE($C17,L$3),Bill_Out!$N$263:$N$314)</f>
        <v>0</v>
      </c>
      <c r="M17" s="329">
        <f>SUMIF(Bill_Out!$Q$263:$Q$314,CONCATENATE($C17,L$3),Bill_Out!$O$263:$O$314)</f>
        <v>0</v>
      </c>
      <c r="N17" s="329">
        <f>SUMIF(Bill_Out!$Q$318:$Q$371,CONCATENATE($C17,N$3),Bill_Out!$N$318:$N$371)</f>
        <v>0</v>
      </c>
      <c r="O17" s="329">
        <f>SUMIF(Bill_Out!$Q$318:$Q$371,CONCATENATE($C17,N$3),Bill_Out!$O$318:$O$371)</f>
        <v>0</v>
      </c>
      <c r="P17" s="329">
        <f>SUMIF(Bill_Out!$Q$375:$Q$422,CONCATENATE($C17,P$3),Bill_Out!$N$375:$N$422)</f>
        <v>0</v>
      </c>
      <c r="Q17" s="329">
        <f>SUMIF(Bill_Out!$Q$375:$Q$422,CONCATENATE($C17,P$3),Bill_Out!$O$375:$O$422)</f>
        <v>0</v>
      </c>
      <c r="R17" s="329">
        <f>SUMIF(Bill_Out!$Q$426:$Q$472,CONCATENATE($C17,R$3),Bill_Out!$N$426:$N$472)</f>
        <v>0</v>
      </c>
      <c r="S17" s="329">
        <f>SUMIF(Bill_Out!$Q$426:$Q$472,CONCATENATE($C17,R$3),Bill_Out!$O$426:$O$472)</f>
        <v>0</v>
      </c>
      <c r="T17" s="329"/>
      <c r="U17" s="329"/>
      <c r="V17" s="329"/>
      <c r="W17" s="329"/>
      <c r="X17" s="329"/>
      <c r="Y17" s="329"/>
      <c r="Z17" s="329"/>
      <c r="AA17" s="329"/>
    </row>
    <row r="18" spans="1:27">
      <c r="A18" s="89">
        <v>13</v>
      </c>
      <c r="B18" s="21" t="s">
        <v>380</v>
      </c>
      <c r="C18" s="8" t="s">
        <v>349</v>
      </c>
      <c r="D18" s="106">
        <f>SUMIF(Bill_Out!$Q$5:$Q$65,CONCATENATE($C18,D$3),Bill_Out!$N$5:$N$65)</f>
        <v>0</v>
      </c>
      <c r="E18" s="106">
        <f>SUMIF(Bill_Out!$Q$5:$Q$65,CONCATENATE($C18,D$3),Bill_Out!$O$5:$O$65)</f>
        <v>0</v>
      </c>
      <c r="F18" s="106">
        <f>SUMIF(Bill_Out!$Q$69:$Q$132,CONCATENATE($C18,F$3),Bill_Out!$N$69:$N$132)</f>
        <v>0</v>
      </c>
      <c r="G18" s="106">
        <f>SUMIF(Bill_Out!$Q$69:$Q$132,CONCATENATE($C18,F$3),Bill_Out!$O$69:$O$132)</f>
        <v>0</v>
      </c>
      <c r="H18" s="106">
        <f>SUMIF(Bill_Out!$Q$136:$Q$188,CONCATENATE($C18,H$3),Bill_Out!$N$136:$N$188)</f>
        <v>0</v>
      </c>
      <c r="I18" s="106">
        <f>SUMIF(Bill_Out!$Q$136:$Q$188,CONCATENATE($C18,H$3),Bill_Out!$O$136:$O$188)</f>
        <v>0</v>
      </c>
      <c r="J18" s="329">
        <f>SUMIF(Bill_Out!$Q$192:$Q$258,CONCATENATE($C18,J$3),Bill_Out!$N$192:$N$258)</f>
        <v>0</v>
      </c>
      <c r="K18" s="329">
        <f>SUMIF(Bill_Out!$Q$192:$Q$258,CONCATENATE($C18,J$3),Bill_Out!$O$192:$O$258)</f>
        <v>0</v>
      </c>
      <c r="L18" s="329">
        <f>SUMIF(Bill_Out!$Q$263:$Q$314,CONCATENATE($C18,L$3),Bill_Out!$N$263:$N$314)</f>
        <v>0</v>
      </c>
      <c r="M18" s="329">
        <f>SUMIF(Bill_Out!$Q$263:$Q$314,CONCATENATE($C18,L$3),Bill_Out!$O$263:$O$314)</f>
        <v>0</v>
      </c>
      <c r="N18" s="329">
        <f>SUMIF(Bill_Out!$Q$318:$Q$371,CONCATENATE($C18,N$3),Bill_Out!$N$318:$N$371)</f>
        <v>0</v>
      </c>
      <c r="O18" s="329">
        <f>SUMIF(Bill_Out!$Q$318:$Q$371,CONCATENATE($C18,N$3),Bill_Out!$O$318:$O$371)</f>
        <v>0</v>
      </c>
      <c r="P18" s="329">
        <f>SUMIF(Bill_Out!$Q$375:$Q$422,CONCATENATE($C18,P$3),Bill_Out!$N$375:$N$422)</f>
        <v>0</v>
      </c>
      <c r="Q18" s="329">
        <f>SUMIF(Bill_Out!$Q$375:$Q$422,CONCATENATE($C18,P$3),Bill_Out!$O$375:$O$422)</f>
        <v>0</v>
      </c>
      <c r="R18" s="329">
        <f>SUMIF(Bill_Out!$Q$426:$Q$472,CONCATENATE($C18,R$3),Bill_Out!$N$426:$N$472)</f>
        <v>0</v>
      </c>
      <c r="S18" s="329">
        <f>SUMIF(Bill_Out!$Q$426:$Q$472,CONCATENATE($C18,R$3),Bill_Out!$O$426:$O$472)</f>
        <v>0</v>
      </c>
      <c r="T18" s="329">
        <f>SUMIF(Bill_Out!$Q$476:$Q$530,CONCATENATE($C18,T$3),Bill_Out!$N$476:$N$530)</f>
        <v>0</v>
      </c>
      <c r="U18" s="329">
        <f>SUMIF(Bill_Out!$Q$476:$Q$530,CONCATENATE($C18,T$3),Bill_Out!$O$476:$O$530)</f>
        <v>0</v>
      </c>
      <c r="V18" s="329">
        <f>SUMIF(Bill_Out!$Q$530:$Q$606,CONCATENATE($C18,V$3),Bill_Out!$N$530:$N$606)</f>
        <v>0</v>
      </c>
      <c r="W18" s="329">
        <f>SUMIF(Bill_Out!$Q$530:$Q$606,CONCATENATE($C18,V$3),Bill_Out!$O$530:$O$606)</f>
        <v>0</v>
      </c>
      <c r="X18" s="329">
        <f>SUMIF(Bill_Out!$Q$610:$Q$675,CONCATENATE($C18,X$3),Bill_Out!$N$610:$N$675)</f>
        <v>0</v>
      </c>
      <c r="Y18" s="329">
        <f>SUMIF(Bill_Out!$Q$610:$Q$675,CONCATENATE($C18,X$3),Bill_Out!$O$610:$O$675)</f>
        <v>0</v>
      </c>
      <c r="Z18" s="329">
        <f>SUMIF(Bill_Out!$Q$679:$Q$756,CONCATENATE($C18,Z$3),Bill_Out!$N$679:$N$756)</f>
        <v>0</v>
      </c>
      <c r="AA18" s="329">
        <f>SUMIF(Bill_Out!$Q$679:$Q$756,CONCATENATE($C18,Z$3),Bill_Out!$O$679:$O$756)</f>
        <v>0</v>
      </c>
    </row>
    <row r="19" spans="1:27">
      <c r="A19" s="306">
        <v>14</v>
      </c>
      <c r="B19" s="21" t="s">
        <v>603</v>
      </c>
      <c r="C19" s="8" t="s">
        <v>591</v>
      </c>
      <c r="D19" s="106">
        <f>SUMIF(Bill_Out!$Q$5:$Q$65,CONCATENATE($C19,D$3),Bill_Out!$N$5:$N$65)</f>
        <v>0</v>
      </c>
      <c r="E19" s="106">
        <f>SUMIF(Bill_Out!$Q$5:$Q$65,CONCATENATE($C19,D$3),Bill_Out!$O$5:$O$65)</f>
        <v>0</v>
      </c>
      <c r="F19" s="106">
        <f>SUMIF(Bill_Out!$Q$69:$Q$132,CONCATENATE($C19,F$3),Bill_Out!$N$69:$N$132)</f>
        <v>0</v>
      </c>
      <c r="G19" s="106">
        <f>SUMIF(Bill_Out!$Q$69:$Q$132,CONCATENATE($C19,F$3),Bill_Out!$O$69:$O$132)</f>
        <v>0</v>
      </c>
      <c r="H19" s="106">
        <f>SUMIF(Bill_Out!$Q$136:$Q$188,CONCATENATE($C19,H$3),Bill_Out!$N$136:$N$188)</f>
        <v>0</v>
      </c>
      <c r="I19" s="106">
        <f>SUMIF(Bill_Out!$Q$136:$Q$188,CONCATENATE($C19,H$3),Bill_Out!$O$136:$O$188)</f>
        <v>0</v>
      </c>
      <c r="J19" s="329">
        <f>SUMIF(Bill_Out!$Q$192:$Q$258,CONCATENATE($C19,J$3),Bill_Out!$N$192:$N$258)</f>
        <v>0</v>
      </c>
      <c r="K19" s="329">
        <f>SUMIF(Bill_Out!$Q$192:$Q$258,CONCATENATE($C19,J$3),Bill_Out!$O$192:$O$258)</f>
        <v>0</v>
      </c>
      <c r="L19" s="329">
        <f>SUMIF(Bill_Out!$Q$263:$Q$314,CONCATENATE($C19,L$3),Bill_Out!$N$263:$N$314)</f>
        <v>0</v>
      </c>
      <c r="M19" s="329">
        <f>SUMIF(Bill_Out!$Q$263:$Q$314,CONCATENATE($C19,L$3),Bill_Out!$O$263:$O$314)</f>
        <v>0</v>
      </c>
      <c r="N19" s="329">
        <f>SUMIF(Bill_Out!$Q$318:$Q$371,CONCATENATE($C19,N$3),Bill_Out!$N$318:$N$371)</f>
        <v>0</v>
      </c>
      <c r="O19" s="329">
        <f>SUMIF(Bill_Out!$Q$318:$Q$371,CONCATENATE($C19,N$3),Bill_Out!$O$318:$O$371)</f>
        <v>0</v>
      </c>
      <c r="P19" s="329">
        <f>SUMIF(Bill_Out!$Q$375:$Q$422,CONCATENATE($C19,P$3),Bill_Out!$N$375:$N$422)</f>
        <v>0</v>
      </c>
      <c r="Q19" s="329">
        <f>SUMIF(Bill_Out!$Q$375:$Q$422,CONCATENATE($C19,P$3),Bill_Out!$O$375:$O$422)</f>
        <v>0</v>
      </c>
      <c r="R19" s="329">
        <f>SUMIF(Bill_Out!$Q$426:$Q$472,CONCATENATE($C19,R$3),Bill_Out!$N$426:$N$472)</f>
        <v>0</v>
      </c>
      <c r="S19" s="329">
        <f>SUMIF(Bill_Out!$Q$426:$Q$472,CONCATENATE($C19,R$3),Bill_Out!$O$426:$O$472)</f>
        <v>0</v>
      </c>
      <c r="T19" s="329">
        <f>SUMIF(Bill_Out!$Q$476:$Q$530,CONCATENATE($C19,T$3),Bill_Out!$N$476:$N$530)</f>
        <v>0</v>
      </c>
      <c r="U19" s="329">
        <f>SUMIF(Bill_Out!$Q$476:$Q$530,CONCATENATE($C19,T$3),Bill_Out!$O$476:$O$530)</f>
        <v>0</v>
      </c>
      <c r="V19" s="329">
        <f>SUMIF(Bill_Out!$Q$530:$Q$606,CONCATENATE($C19,V$3),Bill_Out!$N$530:$N$606)</f>
        <v>0</v>
      </c>
      <c r="W19" s="329">
        <f>SUMIF(Bill_Out!$Q$530:$Q$606,CONCATENATE($C19,V$3),Bill_Out!$O$530:$O$606)</f>
        <v>0</v>
      </c>
      <c r="X19" s="329">
        <f>SUMIF(Bill_Out!$Q$610:$Q$675,CONCATENATE($C19,X$3),Bill_Out!$N$610:$N$675)</f>
        <v>0</v>
      </c>
      <c r="Y19" s="329">
        <f>SUMIF(Bill_Out!$Q$610:$Q$675,CONCATENATE($C19,X$3),Bill_Out!$O$610:$O$675)</f>
        <v>0</v>
      </c>
      <c r="Z19" s="329">
        <f>SUMIF(Bill_Out!$Q$679:$Q$756,CONCATENATE($C19,Z$3),Bill_Out!$N$679:$N$756)</f>
        <v>0</v>
      </c>
      <c r="AA19" s="329">
        <f>SUMIF(Bill_Out!$Q$679:$Q$756,CONCATENATE($C19,Z$3),Bill_Out!$O$679:$O$756)</f>
        <v>0</v>
      </c>
    </row>
    <row r="20" spans="1:27">
      <c r="A20" s="89">
        <v>15</v>
      </c>
      <c r="B20" s="21" t="s">
        <v>36</v>
      </c>
      <c r="C20" s="8" t="s">
        <v>35</v>
      </c>
      <c r="D20" s="106">
        <f>SUMIF(Bill_Out!$Q$5:$Q$65,CONCATENATE($C20,D$3),Bill_Out!$N$5:$N$65)</f>
        <v>0</v>
      </c>
      <c r="E20" s="106">
        <f>SUMIF(Bill_Out!$Q$5:$Q$65,CONCATENATE($C20,D$3),Bill_Out!$O$5:$O$65)</f>
        <v>0</v>
      </c>
      <c r="F20" s="106">
        <f>SUMIF(Bill_Out!$Q$69:$Q$132,CONCATENATE($C20,F$3),Bill_Out!$N$69:$N$132)</f>
        <v>0</v>
      </c>
      <c r="G20" s="106">
        <f>SUMIF(Bill_Out!$Q$69:$Q$132,CONCATENATE($C20,F$3),Bill_Out!$O$69:$O$132)</f>
        <v>0</v>
      </c>
      <c r="H20" s="106">
        <f>SUMIF(Bill_Out!$Q$136:$Q$188,CONCATENATE($C20,H$3),Bill_Out!$N$136:$N$188)</f>
        <v>0</v>
      </c>
      <c r="I20" s="106">
        <f>SUMIF(Bill_Out!$Q$136:$Q$188,CONCATENATE($C20,H$3),Bill_Out!$O$136:$O$188)</f>
        <v>0</v>
      </c>
      <c r="J20" s="329">
        <f>SUMIF(Bill_Out!$Q$192:$Q$258,CONCATENATE($C20,J$3),Bill_Out!$N$192:$N$258)</f>
        <v>0</v>
      </c>
      <c r="K20" s="329">
        <f>SUMIF(Bill_Out!$Q$192:$Q$258,CONCATENATE($C20,J$3),Bill_Out!$O$192:$O$258)</f>
        <v>0</v>
      </c>
      <c r="L20" s="329">
        <f>SUMIF(Bill_Out!$Q$263:$Q$314,CONCATENATE($C20,L$3),Bill_Out!$N$263:$N$314)</f>
        <v>0</v>
      </c>
      <c r="M20" s="329">
        <f>SUMIF(Bill_Out!$Q$263:$Q$314,CONCATENATE($C20,L$3),Bill_Out!$O$263:$O$314)</f>
        <v>0</v>
      </c>
      <c r="N20" s="329">
        <f>SUMIF(Bill_Out!$Q$318:$Q$371,CONCATENATE($C20,N$3),Bill_Out!$N$318:$N$371)</f>
        <v>0</v>
      </c>
      <c r="O20" s="329">
        <f>SUMIF(Bill_Out!$Q$318:$Q$371,CONCATENATE($C20,N$3),Bill_Out!$O$318:$O$371)</f>
        <v>0</v>
      </c>
      <c r="P20" s="329">
        <f>SUMIF(Bill_Out!$Q$375:$Q$422,CONCATENATE($C20,P$3),Bill_Out!$N$375:$N$422)</f>
        <v>0</v>
      </c>
      <c r="Q20" s="329">
        <f>SUMIF(Bill_Out!$Q$375:$Q$422,CONCATENATE($C20,P$3),Bill_Out!$O$375:$O$422)</f>
        <v>0</v>
      </c>
      <c r="R20" s="329">
        <f>SUMIF(Bill_Out!$Q$426:$Q$472,CONCATENATE($C20,R$3),Bill_Out!$N$426:$N$472)</f>
        <v>0</v>
      </c>
      <c r="S20" s="329">
        <f>SUMIF(Bill_Out!$Q$426:$Q$472,CONCATENATE($C20,R$3),Bill_Out!$O$426:$O$472)</f>
        <v>0</v>
      </c>
      <c r="T20" s="329">
        <f>SUMIF(Bill_Out!$Q$476:$Q$530,CONCATENATE($C20,T$3),Bill_Out!$N$476:$N$530)</f>
        <v>0</v>
      </c>
      <c r="U20" s="329">
        <f>SUMIF(Bill_Out!$Q$476:$Q$530,CONCATENATE($C20,T$3),Bill_Out!$O$476:$O$530)</f>
        <v>0</v>
      </c>
      <c r="V20" s="329">
        <f>SUMIF(Bill_Out!$Q$530:$Q$606,CONCATENATE($C20,V$3),Bill_Out!$N$530:$N$606)</f>
        <v>0</v>
      </c>
      <c r="W20" s="329">
        <f>SUMIF(Bill_Out!$Q$530:$Q$606,CONCATENATE($C20,V$3),Bill_Out!$O$530:$O$606)</f>
        <v>0</v>
      </c>
      <c r="X20" s="329">
        <f>SUMIF(Bill_Out!$Q$610:$Q$675,CONCATENATE($C20,X$3),Bill_Out!$N$610:$N$675)</f>
        <v>0</v>
      </c>
      <c r="Y20" s="329">
        <f>SUMIF(Bill_Out!$Q$610:$Q$675,CONCATENATE($C20,X$3),Bill_Out!$O$610:$O$675)</f>
        <v>0</v>
      </c>
      <c r="Z20" s="329">
        <f>SUMIF(Bill_Out!$Q$679:$Q$756,CONCATENATE($C20,Z$3),Bill_Out!$N$679:$N$756)</f>
        <v>0</v>
      </c>
      <c r="AA20" s="329">
        <f>SUMIF(Bill_Out!$Q$679:$Q$756,CONCATENATE($C20,Z$3),Bill_Out!$O$679:$O$756)</f>
        <v>0</v>
      </c>
    </row>
    <row r="21" spans="1:27">
      <c r="A21" s="306">
        <v>16</v>
      </c>
      <c r="B21" s="21" t="s">
        <v>132</v>
      </c>
      <c r="C21" s="8" t="s">
        <v>131</v>
      </c>
      <c r="D21" s="106">
        <f>SUMIF(Bill_Out!$Q$5:$Q$65,CONCATENATE($C21,D$3),Bill_Out!$N$5:$N$65)</f>
        <v>0</v>
      </c>
      <c r="E21" s="106">
        <f>SUMIF(Bill_Out!$Q$5:$Q$65,CONCATENATE($C21,D$3),Bill_Out!$O$5:$O$65)</f>
        <v>0</v>
      </c>
      <c r="F21" s="106">
        <f>SUMIF(Bill_Out!$Q$69:$Q$132,CONCATENATE($C21,F$3),Bill_Out!$N$69:$N$132)</f>
        <v>0</v>
      </c>
      <c r="G21" s="106">
        <f>SUMIF(Bill_Out!$Q$69:$Q$132,CONCATENATE($C21,F$3),Bill_Out!$O$69:$O$132)</f>
        <v>0</v>
      </c>
      <c r="H21" s="106">
        <f>SUMIF(Bill_Out!$Q$136:$Q$188,CONCATENATE($C21,H$3),Bill_Out!$N$136:$N$188)</f>
        <v>0</v>
      </c>
      <c r="I21" s="106">
        <f>SUMIF(Bill_Out!$Q$136:$Q$188,CONCATENATE($C21,H$3),Bill_Out!$O$136:$O$188)</f>
        <v>0</v>
      </c>
      <c r="J21" s="329">
        <f>SUMIF(Bill_Out!$Q$192:$Q$258,CONCATENATE($C21,J$3),Bill_Out!$N$192:$N$258)</f>
        <v>0</v>
      </c>
      <c r="K21" s="329">
        <f>SUMIF(Bill_Out!$Q$192:$Q$258,CONCATENATE($C21,J$3),Bill_Out!$O$192:$O$258)</f>
        <v>0</v>
      </c>
      <c r="L21" s="329">
        <f>SUMIF(Bill_Out!$Q$263:$Q$314,CONCATENATE($C21,L$3),Bill_Out!$N$263:$N$314)</f>
        <v>0</v>
      </c>
      <c r="M21" s="329">
        <f>SUMIF(Bill_Out!$Q$263:$Q$314,CONCATENATE($C21,L$3),Bill_Out!$O$263:$O$314)</f>
        <v>0</v>
      </c>
      <c r="N21" s="329">
        <f>SUMIF(Bill_Out!$Q$318:$Q$371,CONCATENATE($C21,N$3),Bill_Out!$N$318:$N$371)</f>
        <v>0</v>
      </c>
      <c r="O21" s="329">
        <f>SUMIF(Bill_Out!$Q$318:$Q$371,CONCATENATE($C21,N$3),Bill_Out!$O$318:$O$371)</f>
        <v>0</v>
      </c>
      <c r="P21" s="329">
        <f>SUMIF(Bill_Out!$Q$375:$Q$422,CONCATENATE($C21,P$3),Bill_Out!$N$375:$N$422)</f>
        <v>0</v>
      </c>
      <c r="Q21" s="329">
        <f>SUMIF(Bill_Out!$Q$375:$Q$422,CONCATENATE($C21,P$3),Bill_Out!$O$375:$O$422)</f>
        <v>0</v>
      </c>
      <c r="R21" s="329">
        <f>SUMIF(Bill_Out!$Q$426:$Q$472,CONCATENATE($C21,R$3),Bill_Out!$N$426:$N$472)</f>
        <v>0</v>
      </c>
      <c r="S21" s="329" t="e">
        <f>SUMIF(Bill_Out!$Q$426:$Q$472,CONCATENATE($C21,R$3),Bill_Out!$O$426:$O$472)</f>
        <v>#VALUE!</v>
      </c>
      <c r="T21" s="329">
        <f>SUMIF(Bill_Out!$Q$476:$Q$530,CONCATENATE($C21,T$3),Bill_Out!$N$476:$N$530)</f>
        <v>0</v>
      </c>
      <c r="U21" s="329">
        <f>SUMIF(Bill_Out!$Q$476:$Q$530,CONCATENATE($C21,T$3),Bill_Out!$O$476:$O$530)</f>
        <v>0</v>
      </c>
      <c r="V21" s="329">
        <f>SUMIF(Bill_Out!$Q$530:$Q$606,CONCATENATE($C21,V$3),Bill_Out!$N$530:$N$606)</f>
        <v>0</v>
      </c>
      <c r="W21" s="329">
        <f>SUMIF(Bill_Out!$Q$530:$Q$606,CONCATENATE($C21,V$3),Bill_Out!$O$530:$O$606)</f>
        <v>0</v>
      </c>
      <c r="X21" s="329">
        <f>SUMIF(Bill_Out!$Q$610:$Q$675,CONCATENATE($C21,X$3),Bill_Out!$N$610:$N$675)</f>
        <v>0</v>
      </c>
      <c r="Y21" s="329">
        <f>SUMIF(Bill_Out!$Q$610:$Q$675,CONCATENATE($C21,X$3),Bill_Out!$O$610:$O$675)</f>
        <v>0</v>
      </c>
      <c r="Z21" s="329">
        <f>SUMIF(Bill_Out!$Q$679:$Q$756,CONCATENATE($C21,Z$3),Bill_Out!$N$679:$N$756)</f>
        <v>0</v>
      </c>
      <c r="AA21" s="329">
        <f>SUMIF(Bill_Out!$Q$679:$Q$756,CONCATENATE($C21,Z$3),Bill_Out!$O$679:$O$756)</f>
        <v>0</v>
      </c>
    </row>
    <row r="22" spans="1:27">
      <c r="A22" s="89">
        <v>17</v>
      </c>
      <c r="B22" s="21" t="s">
        <v>402</v>
      </c>
      <c r="C22" s="8" t="s">
        <v>395</v>
      </c>
      <c r="D22" s="106">
        <f>SUMIF(Bill_Out!$Q$5:$Q$65,CONCATENATE($C22,D$3),Bill_Out!$N$5:$N$65)</f>
        <v>0</v>
      </c>
      <c r="E22" s="106">
        <f>SUMIF(Bill_Out!$Q$5:$Q$65,CONCATENATE($C22,D$3),Bill_Out!$O$5:$O$65)</f>
        <v>0</v>
      </c>
      <c r="F22" s="106">
        <f>SUMIF(Bill_Out!$Q$69:$Q$132,CONCATENATE($C22,F$3),Bill_Out!$N$69:$N$132)</f>
        <v>0</v>
      </c>
      <c r="G22" s="106">
        <f>SUMIF(Bill_Out!$Q$69:$Q$132,CONCATENATE($C22,F$3),Bill_Out!$O$69:$O$132)</f>
        <v>0</v>
      </c>
      <c r="H22" s="106">
        <f>SUMIF(Bill_Out!$Q$136:$Q$188,CONCATENATE($C22,H$3),Bill_Out!$N$136:$N$188)</f>
        <v>0</v>
      </c>
      <c r="I22" s="106">
        <f>SUMIF(Bill_Out!$Q$136:$Q$188,CONCATENATE($C22,H$3),Bill_Out!$O$136:$O$188)</f>
        <v>0</v>
      </c>
      <c r="J22" s="329">
        <f>SUMIF(Bill_Out!$Q$192:$Q$258,CONCATENATE($C22,J$3),Bill_Out!$N$192:$N$258)</f>
        <v>0</v>
      </c>
      <c r="K22" s="329">
        <f>SUMIF(Bill_Out!$Q$192:$Q$258,CONCATENATE($C22,J$3),Bill_Out!$O$192:$O$258)</f>
        <v>0</v>
      </c>
      <c r="L22" s="329">
        <f>SUMIF(Bill_Out!$Q$263:$Q$314,CONCATENATE($C22,L$3),Bill_Out!$N$263:$N$314)</f>
        <v>0</v>
      </c>
      <c r="M22" s="329">
        <f>SUMIF(Bill_Out!$Q$263:$Q$314,CONCATENATE($C22,L$3),Bill_Out!$O$263:$O$314)</f>
        <v>0</v>
      </c>
      <c r="N22" s="329">
        <f>SUMIF(Bill_Out!$Q$318:$Q$371,CONCATENATE($C22,N$3),Bill_Out!$N$318:$N$371)</f>
        <v>0</v>
      </c>
      <c r="O22" s="329">
        <f>SUMIF(Bill_Out!$Q$318:$Q$371,CONCATENATE($C22,N$3),Bill_Out!$O$318:$O$371)</f>
        <v>0</v>
      </c>
      <c r="P22" s="329">
        <f>SUMIF(Bill_Out!$Q$375:$Q$422,CONCATENATE($C22,P$3),Bill_Out!$N$375:$N$422)</f>
        <v>0</v>
      </c>
      <c r="Q22" s="329">
        <f>SUMIF(Bill_Out!$Q$375:$Q$422,CONCATENATE($C22,P$3),Bill_Out!$O$375:$O$422)</f>
        <v>0</v>
      </c>
      <c r="R22" s="329">
        <f>SUMIF(Bill_Out!$Q$426:$Q$472,CONCATENATE($C22,R$3),Bill_Out!$N$426:$N$472)</f>
        <v>0</v>
      </c>
      <c r="S22" s="329">
        <f>SUMIF(Bill_Out!$Q$426:$Q$472,CONCATENATE($C22,R$3),Bill_Out!$O$426:$O$472)</f>
        <v>0</v>
      </c>
      <c r="T22" s="329">
        <f>SUMIF(Bill_Out!$Q$476:$Q$530,CONCATENATE($C22,T$3),Bill_Out!$N$476:$N$530)</f>
        <v>0</v>
      </c>
      <c r="U22" s="329">
        <f>SUMIF(Bill_Out!$Q$476:$Q$530,CONCATENATE($C22,T$3),Bill_Out!$O$476:$O$530)</f>
        <v>0</v>
      </c>
      <c r="V22" s="329">
        <f>SUMIF(Bill_Out!$Q$530:$Q$606,CONCATENATE($C22,V$3),Bill_Out!$N$530:$N$606)</f>
        <v>0</v>
      </c>
      <c r="W22" s="329">
        <f>SUMIF(Bill_Out!$Q$530:$Q$606,CONCATENATE($C22,V$3),Bill_Out!$O$530:$O$606)</f>
        <v>0</v>
      </c>
      <c r="X22" s="329">
        <f>SUMIF(Bill_Out!$Q$610:$Q$675,CONCATENATE($C22,X$3),Bill_Out!$N$610:$N$675)</f>
        <v>0</v>
      </c>
      <c r="Y22" s="329">
        <f>SUMIF(Bill_Out!$Q$610:$Q$675,CONCATENATE($C22,X$3),Bill_Out!$O$610:$O$675)</f>
        <v>0</v>
      </c>
      <c r="Z22" s="329">
        <f>SUMIF(Bill_Out!$Q$679:$Q$756,CONCATENATE($C22,Z$3),Bill_Out!$N$679:$N$756)</f>
        <v>0</v>
      </c>
      <c r="AA22" s="329">
        <f>SUMIF(Bill_Out!$Q$679:$Q$756,CONCATENATE($C22,Z$3),Bill_Out!$O$679:$O$756)</f>
        <v>0</v>
      </c>
    </row>
    <row r="23" spans="1:27">
      <c r="A23" s="306">
        <v>18</v>
      </c>
      <c r="B23" s="21" t="s">
        <v>120</v>
      </c>
      <c r="C23" s="8" t="s">
        <v>121</v>
      </c>
      <c r="D23" s="106">
        <f>SUMIF(Bill_Out!$Q$5:$Q$65,CONCATENATE($C23,D$3),Bill_Out!$N$5:$N$65)</f>
        <v>0</v>
      </c>
      <c r="E23" s="106" t="e">
        <f>SUMIF(Bill_Out!$Q$5:$Q$65,CONCATENATE($C23,D$3),Bill_Out!$O$5:$O$65)</f>
        <v>#VALUE!</v>
      </c>
      <c r="F23" s="106">
        <f>SUMIF(Bill_Out!$Q$69:$Q$132,CONCATENATE($C23,F$3),Bill_Out!$N$69:$N$132)</f>
        <v>0</v>
      </c>
      <c r="G23" s="106" t="e">
        <f>SUMIF(Bill_Out!$Q$69:$Q$132,CONCATENATE($C23,F$3),Bill_Out!$O$69:$O$132)</f>
        <v>#VALUE!</v>
      </c>
      <c r="H23" s="106">
        <f>SUMIF(Bill_Out!$Q$136:$Q$188,CONCATENATE($C23,H$3),Bill_Out!$N$136:$N$188)</f>
        <v>0</v>
      </c>
      <c r="I23" s="106" t="e">
        <f>SUMIF(Bill_Out!$Q$136:$Q$188,CONCATENATE($C23,H$3),Bill_Out!$O$136:$O$188)</f>
        <v>#VALUE!</v>
      </c>
      <c r="J23" s="329">
        <f>SUMIF(Bill_Out!$Q$192:$Q$258,CONCATENATE($C23,J$3),Bill_Out!$N$192:$N$258)</f>
        <v>0</v>
      </c>
      <c r="K23" s="329" t="e">
        <f>SUMIF(Bill_Out!$Q$192:$Q$258,CONCATENATE($C23,J$3),Bill_Out!$O$192:$O$258)</f>
        <v>#VALUE!</v>
      </c>
      <c r="L23" s="329">
        <f>SUMIF(Bill_Out!$Q$263:$Q$314,CONCATENATE($C23,L$3),Bill_Out!$N$263:$N$314)</f>
        <v>0</v>
      </c>
      <c r="M23" s="329" t="e">
        <f>SUMIF(Bill_Out!$Q$263:$Q$314,CONCATENATE($C23,L$3),Bill_Out!$O$263:$O$314)</f>
        <v>#VALUE!</v>
      </c>
      <c r="N23" s="329">
        <f>SUMIF(Bill_Out!$Q$318:$Q$371,CONCATENATE($C23,N$3),Bill_Out!$N$318:$N$371)</f>
        <v>0</v>
      </c>
      <c r="O23" s="329" t="e">
        <f>SUMIF(Bill_Out!$Q$318:$Q$371,CONCATENATE($C23,N$3),Bill_Out!$O$318:$O$371)</f>
        <v>#VALUE!</v>
      </c>
      <c r="P23" s="329">
        <f>SUMIF(Bill_Out!$Q$375:$Q$422,CONCATENATE($C23,P$3),Bill_Out!$N$375:$N$422)</f>
        <v>0</v>
      </c>
      <c r="Q23" s="329" t="e">
        <f>SUMIF(Bill_Out!$Q$375:$Q$422,CONCATENATE($C23,P$3),Bill_Out!$O$375:$O$422)</f>
        <v>#VALUE!</v>
      </c>
      <c r="R23" s="329">
        <f>SUMIF(Bill_Out!$Q$426:$Q$472,CONCATENATE($C23,R$3),Bill_Out!$N$426:$N$472)</f>
        <v>0</v>
      </c>
      <c r="S23" s="329" t="e">
        <f>SUMIF(Bill_Out!$Q$426:$Q$472,CONCATENATE($C23,R$3),Bill_Out!$O$426:$O$472)</f>
        <v>#VALUE!</v>
      </c>
      <c r="T23" s="329">
        <f>SUMIF(Bill_Out!$Q$476:$Q$530,CONCATENATE($C23,T$3),Bill_Out!$N$476:$N$530)</f>
        <v>0</v>
      </c>
      <c r="U23" s="329" t="e">
        <f>SUMIF(Bill_Out!$Q$476:$Q$530,CONCATENATE($C23,T$3),Bill_Out!$O$476:$O$530)</f>
        <v>#VALUE!</v>
      </c>
      <c r="V23" s="329">
        <f>SUMIF(Bill_Out!$Q$530:$Q$606,CONCATENATE($C23,V$3),Bill_Out!$N$530:$N$606)</f>
        <v>0</v>
      </c>
      <c r="W23" s="329" t="e">
        <f>SUMIF(Bill_Out!$Q$530:$Q$606,CONCATENATE($C23,V$3),Bill_Out!$O$530:$O$606)</f>
        <v>#VALUE!</v>
      </c>
      <c r="X23" s="329">
        <f>SUMIF(Bill_Out!$Q$610:$Q$675,CONCATENATE($C23,X$3),Bill_Out!$N$610:$N$675)</f>
        <v>0</v>
      </c>
      <c r="Y23" s="329" t="e">
        <f>SUMIF(Bill_Out!$Q$610:$Q$675,CONCATENATE($C23,X$3),Bill_Out!$O$610:$O$675)</f>
        <v>#VALUE!</v>
      </c>
      <c r="Z23" s="329">
        <f>SUMIF(Bill_Out!$Q$679:$Q$756,CONCATENATE($C23,Z$3),Bill_Out!$N$679:$N$756)</f>
        <v>0</v>
      </c>
      <c r="AA23" s="329" t="e">
        <f>SUMIF(Bill_Out!$Q$679:$Q$756,CONCATENATE($C23,Z$3),Bill_Out!$O$679:$O$756)</f>
        <v>#VALUE!</v>
      </c>
    </row>
    <row r="24" spans="1:27">
      <c r="A24" s="89">
        <v>19</v>
      </c>
      <c r="B24" s="21" t="s">
        <v>2191</v>
      </c>
      <c r="C24" s="8" t="s">
        <v>1655</v>
      </c>
      <c r="D24" s="106">
        <f>SUMIF(Bill_Out!$Q$5:$Q$65,CONCATENATE($C24,D$3),Bill_Out!$N$5:$N$65)</f>
        <v>0</v>
      </c>
      <c r="E24" s="106">
        <f>SUMIF(Bill_Out!$Q$5:$Q$65,CONCATENATE($C24,D$3),Bill_Out!$O$5:$O$65)</f>
        <v>0</v>
      </c>
      <c r="F24" s="106">
        <f>SUMIF(Bill_Out!$Q$69:$Q$132,CONCATENATE($C24,F$3),Bill_Out!$N$69:$N$132)</f>
        <v>0</v>
      </c>
      <c r="G24" s="106">
        <f>SUMIF(Bill_Out!$Q$69:$Q$132,CONCATENATE($C24,F$3),Bill_Out!$O$69:$O$132)</f>
        <v>0</v>
      </c>
      <c r="H24" s="106">
        <f>SUMIF(Bill_Out!$Q$136:$Q$188,CONCATENATE($C24,H$3),Bill_Out!$N$136:$N$188)</f>
        <v>0</v>
      </c>
      <c r="I24" s="106">
        <f>SUMIF(Bill_Out!$Q$136:$Q$188,CONCATENATE($C24,H$3),Bill_Out!$O$136:$O$188)</f>
        <v>0</v>
      </c>
      <c r="J24" s="329">
        <f>SUMIF(Bill_Out!$Q$192:$Q$258,CONCATENATE($C24,J$3),Bill_Out!$N$192:$N$258)</f>
        <v>0</v>
      </c>
      <c r="K24" s="329">
        <f>SUMIF(Bill_Out!$Q$192:$Q$258,CONCATENATE($C24,J$3),Bill_Out!$O$192:$O$258)</f>
        <v>0</v>
      </c>
      <c r="L24" s="329">
        <f>SUMIF(Bill_Out!$Q$263:$Q$314,CONCATENATE($C24,L$3),Bill_Out!$N$263:$N$314)</f>
        <v>0</v>
      </c>
      <c r="M24" s="329">
        <f>SUMIF(Bill_Out!$Q$263:$Q$314,CONCATENATE($C24,L$3),Bill_Out!$O$263:$O$314)</f>
        <v>0</v>
      </c>
      <c r="N24" s="329">
        <f>SUMIF(Bill_Out!$Q$318:$Q$371,CONCATENATE($C24,N$3),Bill_Out!$N$318:$N$371)</f>
        <v>0</v>
      </c>
      <c r="O24" s="329">
        <f>SUMIF(Bill_Out!$Q$318:$Q$371,CONCATENATE($C24,N$3),Bill_Out!$O$318:$O$371)</f>
        <v>0</v>
      </c>
      <c r="P24" s="329">
        <f>SUMIF(Bill_Out!$Q$375:$Q$422,CONCATENATE($C24,P$3),Bill_Out!$N$375:$N$422)</f>
        <v>0</v>
      </c>
      <c r="Q24" s="329">
        <f>SUMIF(Bill_Out!$Q$375:$Q$422,CONCATENATE($C24,P$3),Bill_Out!$O$375:$O$422)</f>
        <v>0</v>
      </c>
      <c r="R24" s="329">
        <f>SUMIF(Bill_Out!$Q$426:$Q$472,CONCATENATE($C24,R$3),Bill_Out!$N$426:$N$472)</f>
        <v>0</v>
      </c>
      <c r="S24" s="329">
        <f>SUMIF(Bill_Out!$Q$426:$Q$472,CONCATENATE($C24,R$3),Bill_Out!$O$426:$O$472)</f>
        <v>0</v>
      </c>
      <c r="T24" s="329">
        <f>SUMIF(Bill_Out!$Q$476:$Q$530,CONCATENATE($C24,T$3),Bill_Out!$N$476:$N$530)</f>
        <v>0</v>
      </c>
      <c r="U24" s="329">
        <f>SUMIF(Bill_Out!$Q$476:$Q$530,CONCATENATE($C24,T$3),Bill_Out!$O$476:$O$530)</f>
        <v>0</v>
      </c>
      <c r="V24" s="329">
        <f>SUMIF(Bill_Out!$Q$530:$Q$606,CONCATENATE($C24,V$3),Bill_Out!$N$530:$N$606)</f>
        <v>0</v>
      </c>
      <c r="W24" s="329">
        <f>SUMIF(Bill_Out!$Q$530:$Q$606,CONCATENATE($C24,V$3),Bill_Out!$O$530:$O$606)</f>
        <v>0</v>
      </c>
      <c r="X24" s="329">
        <f>SUMIF(Bill_Out!$Q$610:$Q$675,CONCATENATE($C24,X$3),Bill_Out!$N$610:$N$675)</f>
        <v>0</v>
      </c>
      <c r="Y24" s="329">
        <f>SUMIF(Bill_Out!$Q$610:$Q$675,CONCATENATE($C24,X$3),Bill_Out!$O$610:$O$675)</f>
        <v>0</v>
      </c>
      <c r="Z24" s="329">
        <f>SUMIF(Bill_Out!$Q$679:$Q$756,CONCATENATE($C24,Z$3),Bill_Out!$N$679:$N$756)</f>
        <v>0</v>
      </c>
      <c r="AA24" s="329">
        <f>SUMIF(Bill_Out!$Q$679:$Q$756,CONCATENATE($C24,Z$3),Bill_Out!$O$679:$O$756)</f>
        <v>0</v>
      </c>
    </row>
    <row r="25" spans="1:27">
      <c r="A25" s="306">
        <v>20</v>
      </c>
      <c r="B25" s="21" t="s">
        <v>201</v>
      </c>
      <c r="C25" s="8" t="s">
        <v>151</v>
      </c>
      <c r="D25" s="106">
        <f>SUMIF(Bill_Out!$Q$5:$Q$65,CONCATENATE($C25,D$3),Bill_Out!$N$5:$N$65)</f>
        <v>0</v>
      </c>
      <c r="E25" s="106" t="e">
        <f>SUMIF(Bill_Out!$Q$5:$Q$65,CONCATENATE($C25,D$3),Bill_Out!$O$5:$O$65)</f>
        <v>#VALUE!</v>
      </c>
      <c r="F25" s="106">
        <f>SUMIF(Bill_Out!$Q$69:$Q$132,CONCATENATE($C25,F$3),Bill_Out!$N$69:$N$132)</f>
        <v>0</v>
      </c>
      <c r="G25" s="106" t="e">
        <f>SUMIF(Bill_Out!$Q$69:$Q$132,CONCATENATE($C25,F$3),Bill_Out!$O$69:$O$132)</f>
        <v>#VALUE!</v>
      </c>
      <c r="H25" s="106">
        <f>SUMIF(Bill_Out!$Q$136:$Q$188,CONCATENATE($C25,H$3),Bill_Out!$N$136:$N$188)</f>
        <v>0</v>
      </c>
      <c r="I25" s="106" t="e">
        <f>SUMIF(Bill_Out!$Q$136:$Q$188,CONCATENATE($C25,H$3),Bill_Out!$O$136:$O$188)</f>
        <v>#VALUE!</v>
      </c>
      <c r="J25" s="329">
        <f>SUMIF(Bill_Out!$Q$192:$Q$258,CONCATENATE($C25,J$3),Bill_Out!$N$192:$N$258)</f>
        <v>0</v>
      </c>
      <c r="K25" s="329" t="e">
        <f>SUMIF(Bill_Out!$Q$192:$Q$258,CONCATENATE($C25,J$3),Bill_Out!$O$192:$O$258)</f>
        <v>#VALUE!</v>
      </c>
      <c r="L25" s="329">
        <f>SUMIF(Bill_Out!$Q$263:$Q$314,CONCATENATE($C25,L$3),Bill_Out!$N$263:$N$314)</f>
        <v>0</v>
      </c>
      <c r="M25" s="329" t="e">
        <f>SUMIF(Bill_Out!$Q$263:$Q$314,CONCATENATE($C25,L$3),Bill_Out!$O$263:$O$314)</f>
        <v>#VALUE!</v>
      </c>
      <c r="N25" s="329">
        <f>SUMIF(Bill_Out!$Q$318:$Q$371,CONCATENATE($C25,N$3),Bill_Out!$N$318:$N$371)</f>
        <v>0</v>
      </c>
      <c r="O25" s="329" t="e">
        <f>SUMIF(Bill_Out!$Q$318:$Q$371,CONCATENATE($C25,N$3),Bill_Out!$O$318:$O$371)</f>
        <v>#VALUE!</v>
      </c>
      <c r="P25" s="329">
        <f>SUMIF(Bill_Out!$Q$375:$Q$422,CONCATENATE($C25,P$3),Bill_Out!$N$375:$N$422)</f>
        <v>0</v>
      </c>
      <c r="Q25" s="329" t="e">
        <f>SUMIF(Bill_Out!$Q$375:$Q$422,CONCATENATE($C25,P$3),Bill_Out!$O$375:$O$422)</f>
        <v>#VALUE!</v>
      </c>
      <c r="R25" s="329">
        <f>SUMIF(Bill_Out!$Q$426:$Q$472,CONCATENATE($C25,R$3),Bill_Out!$N$426:$N$472)</f>
        <v>0</v>
      </c>
      <c r="S25" s="329" t="e">
        <f>SUMIF(Bill_Out!$Q$426:$Q$472,CONCATENATE($C25,R$3),Bill_Out!$O$426:$O$472)</f>
        <v>#VALUE!</v>
      </c>
      <c r="T25" s="329">
        <f>SUMIF(Bill_Out!$Q$476:$Q$530,CONCATENATE($C25,T$3),Bill_Out!$N$476:$N$530)</f>
        <v>0</v>
      </c>
      <c r="U25" s="329" t="e">
        <f>SUMIF(Bill_Out!$Q$476:$Q$530,CONCATENATE($C25,T$3),Bill_Out!$O$476:$O$530)</f>
        <v>#VALUE!</v>
      </c>
      <c r="V25" s="329">
        <f>SUMIF(Bill_Out!$Q$530:$Q$606,CONCATENATE($C25,V$3),Bill_Out!$N$530:$N$606)</f>
        <v>0</v>
      </c>
      <c r="W25" s="329" t="e">
        <f>SUMIF(Bill_Out!$Q$530:$Q$606,CONCATENATE($C25,V$3),Bill_Out!$O$530:$O$606)</f>
        <v>#VALUE!</v>
      </c>
      <c r="X25" s="329">
        <f>SUMIF(Bill_Out!$Q$610:$Q$675,CONCATENATE($C25,X$3),Bill_Out!$N$610:$N$675)</f>
        <v>0</v>
      </c>
      <c r="Y25" s="329" t="e">
        <f>SUMIF(Bill_Out!$Q$610:$Q$675,CONCATENATE($C25,X$3),Bill_Out!$O$610:$O$675)</f>
        <v>#VALUE!</v>
      </c>
      <c r="Z25" s="329">
        <f>SUMIF(Bill_Out!$Q$679:$Q$756,CONCATENATE($C25,Z$3),Bill_Out!$N$679:$N$756)</f>
        <v>0</v>
      </c>
      <c r="AA25" s="329" t="e">
        <f>SUMIF(Bill_Out!$Q$679:$Q$756,CONCATENATE($C25,Z$3),Bill_Out!$O$679:$O$756)</f>
        <v>#VALUE!</v>
      </c>
    </row>
    <row r="26" spans="1:27">
      <c r="A26" s="89">
        <v>21</v>
      </c>
      <c r="B26" s="21" t="s">
        <v>138</v>
      </c>
      <c r="C26" s="8" t="s">
        <v>139</v>
      </c>
      <c r="D26" s="106">
        <f>SUMIF(Bill_Out!$Q$5:$Q$65,CONCATENATE($C26,D$3),Bill_Out!$N$5:$N$65)</f>
        <v>0</v>
      </c>
      <c r="E26" s="106">
        <f>SUMIF(Bill_Out!$Q$5:$Q$65,CONCATENATE($C26,D$3),Bill_Out!$O$5:$O$65)</f>
        <v>0</v>
      </c>
      <c r="F26" s="106">
        <f>SUMIF(Bill_Out!$Q$69:$Q$132,CONCATENATE($C26,F$3),Bill_Out!$N$69:$N$132)</f>
        <v>0</v>
      </c>
      <c r="G26" s="106">
        <f>SUMIF(Bill_Out!$Q$69:$Q$132,CONCATENATE($C26,F$3),Bill_Out!$O$69:$O$132)</f>
        <v>0</v>
      </c>
      <c r="H26" s="106">
        <f>SUMIF(Bill_Out!$Q$136:$Q$188,CONCATENATE($C26,H$3),Bill_Out!$N$136:$N$188)</f>
        <v>0</v>
      </c>
      <c r="I26" s="106">
        <f>SUMIF(Bill_Out!$Q$136:$Q$188,CONCATENATE($C26,H$3),Bill_Out!$O$136:$O$188)</f>
        <v>0</v>
      </c>
      <c r="J26" s="329">
        <f>SUMIF(Bill_Out!$Q$192:$Q$258,CONCATENATE($C26,J$3),Bill_Out!$N$192:$N$258)</f>
        <v>0</v>
      </c>
      <c r="K26" s="329">
        <f>SUMIF(Bill_Out!$Q$192:$Q$258,CONCATENATE($C26,J$3),Bill_Out!$O$192:$O$258)</f>
        <v>0</v>
      </c>
      <c r="L26" s="329">
        <f>SUMIF(Bill_Out!$Q$263:$Q$314,CONCATENATE($C26,L$3),Bill_Out!$N$263:$N$314)</f>
        <v>0</v>
      </c>
      <c r="M26" s="329">
        <f>SUMIF(Bill_Out!$Q$263:$Q$314,CONCATENATE($C26,L$3),Bill_Out!$O$263:$O$314)</f>
        <v>0</v>
      </c>
      <c r="N26" s="329">
        <f>SUMIF(Bill_Out!$Q$318:$Q$371,CONCATENATE($C26,N$3),Bill_Out!$N$318:$N$371)</f>
        <v>0</v>
      </c>
      <c r="O26" s="329">
        <f>SUMIF(Bill_Out!$Q$318:$Q$371,CONCATENATE($C26,N$3),Bill_Out!$O$318:$O$371)</f>
        <v>0</v>
      </c>
      <c r="P26" s="329">
        <f>SUMIF(Bill_Out!$Q$375:$Q$422,CONCATENATE($C26,P$3),Bill_Out!$N$375:$N$422)</f>
        <v>0</v>
      </c>
      <c r="Q26" s="329">
        <f>SUMIF(Bill_Out!$Q$375:$Q$422,CONCATENATE($C26,P$3),Bill_Out!$O$375:$O$422)</f>
        <v>0</v>
      </c>
      <c r="R26" s="329">
        <f>SUMIF(Bill_Out!$Q$426:$Q$472,CONCATENATE($C26,R$3),Bill_Out!$N$426:$N$472)</f>
        <v>0</v>
      </c>
      <c r="S26" s="329">
        <f>SUMIF(Bill_Out!$Q$426:$Q$472,CONCATENATE($C26,R$3),Bill_Out!$O$426:$O$472)</f>
        <v>0</v>
      </c>
      <c r="T26" s="329">
        <f>SUMIF(Bill_Out!$Q$476:$Q$530,CONCATENATE($C26,T$3),Bill_Out!$N$476:$N$530)</f>
        <v>0</v>
      </c>
      <c r="U26" s="329">
        <f>SUMIF(Bill_Out!$Q$476:$Q$530,CONCATENATE($C26,T$3),Bill_Out!$O$476:$O$530)</f>
        <v>0</v>
      </c>
      <c r="V26" s="329">
        <f>SUMIF(Bill_Out!$Q$530:$Q$606,CONCATENATE($C26,V$3),Bill_Out!$N$530:$N$606)</f>
        <v>0</v>
      </c>
      <c r="W26" s="329">
        <f>SUMIF(Bill_Out!$Q$530:$Q$606,CONCATENATE($C26,V$3),Bill_Out!$O$530:$O$606)</f>
        <v>0</v>
      </c>
      <c r="X26" s="329">
        <f>SUMIF(Bill_Out!$Q$610:$Q$675,CONCATENATE($C26,X$3),Bill_Out!$N$610:$N$675)</f>
        <v>0</v>
      </c>
      <c r="Y26" s="329">
        <f>SUMIF(Bill_Out!$Q$610:$Q$675,CONCATENATE($C26,X$3),Bill_Out!$O$610:$O$675)</f>
        <v>0</v>
      </c>
      <c r="Z26" s="329">
        <f>SUMIF(Bill_Out!$Q$679:$Q$756,CONCATENATE($C26,Z$3),Bill_Out!$N$679:$N$756)</f>
        <v>0</v>
      </c>
      <c r="AA26" s="329">
        <f>SUMIF(Bill_Out!$Q$679:$Q$756,CONCATENATE($C26,Z$3),Bill_Out!$O$679:$O$756)</f>
        <v>0</v>
      </c>
    </row>
    <row r="27" spans="1:27">
      <c r="A27" s="306">
        <v>22</v>
      </c>
      <c r="B27" s="21" t="s">
        <v>119</v>
      </c>
      <c r="C27" s="8" t="s">
        <v>117</v>
      </c>
      <c r="D27" s="106">
        <f>SUMIF(Bill_Out!$Q$5:$Q$65,CONCATENATE($C27,D$3),Bill_Out!$N$5:$N$65)</f>
        <v>0</v>
      </c>
      <c r="E27" s="106" t="e">
        <f>SUMIF(Bill_Out!$Q$5:$Q$65,CONCATENATE($C27,D$3),Bill_Out!$O$5:$O$65)</f>
        <v>#VALUE!</v>
      </c>
      <c r="F27" s="106">
        <f>SUMIF(Bill_Out!$Q$69:$Q$132,CONCATENATE($C27,F$3),Bill_Out!$N$69:$N$132)</f>
        <v>0</v>
      </c>
      <c r="G27" s="106" t="e">
        <f>SUMIF(Bill_Out!$Q$69:$Q$132,CONCATENATE($C27,F$3),Bill_Out!$O$69:$O$132)</f>
        <v>#VALUE!</v>
      </c>
      <c r="H27" s="106">
        <f>SUMIF(Bill_Out!$Q$136:$Q$188,CONCATENATE($C27,H$3),Bill_Out!$N$136:$N$188)</f>
        <v>0</v>
      </c>
      <c r="I27" s="106" t="e">
        <f>SUMIF(Bill_Out!$Q$136:$Q$188,CONCATENATE($C27,H$3),Bill_Out!$O$136:$O$188)</f>
        <v>#VALUE!</v>
      </c>
      <c r="J27" s="329">
        <f>SUMIF(Bill_Out!$Q$192:$Q$258,CONCATENATE($C27,J$3),Bill_Out!$N$192:$N$258)</f>
        <v>0</v>
      </c>
      <c r="K27" s="329" t="e">
        <f>SUMIF(Bill_Out!$Q$192:$Q$258,CONCATENATE($C27,J$3),Bill_Out!$O$192:$O$258)</f>
        <v>#VALUE!</v>
      </c>
      <c r="L27" s="329">
        <f>SUMIF(Bill_Out!$Q$263:$Q$314,CONCATENATE($C27,L$3),Bill_Out!$N$263:$N$314)</f>
        <v>0</v>
      </c>
      <c r="M27" s="329" t="e">
        <f>SUMIF(Bill_Out!$Q$263:$Q$314,CONCATENATE($C27,L$3),Bill_Out!$O$263:$O$314)</f>
        <v>#VALUE!</v>
      </c>
      <c r="N27" s="329">
        <f>SUMIF(Bill_Out!$Q$318:$Q$371,CONCATENATE($C27,N$3),Bill_Out!$N$318:$N$371)</f>
        <v>0</v>
      </c>
      <c r="O27" s="329" t="e">
        <f>SUMIF(Bill_Out!$Q$318:$Q$371,CONCATENATE($C27,N$3),Bill_Out!$O$318:$O$371)</f>
        <v>#VALUE!</v>
      </c>
      <c r="P27" s="329">
        <f>SUMIF(Bill_Out!$Q$375:$Q$422,CONCATENATE($C27,P$3),Bill_Out!$N$375:$N$422)</f>
        <v>0</v>
      </c>
      <c r="Q27" s="329" t="e">
        <f>SUMIF(Bill_Out!$Q$375:$Q$422,CONCATENATE($C27,P$3),Bill_Out!$O$375:$O$422)</f>
        <v>#VALUE!</v>
      </c>
      <c r="R27" s="329">
        <f>SUMIF(Bill_Out!$Q$426:$Q$472,CONCATENATE($C27,R$3),Bill_Out!$N$426:$N$472)</f>
        <v>0</v>
      </c>
      <c r="S27" s="329" t="e">
        <f>SUMIF(Bill_Out!$Q$426:$Q$472,CONCATENATE($C27,R$3),Bill_Out!$O$426:$O$472)</f>
        <v>#VALUE!</v>
      </c>
      <c r="T27" s="329">
        <f>SUMIF(Bill_Out!$Q$476:$Q$530,CONCATENATE($C27,T$3),Bill_Out!$N$476:$N$530)</f>
        <v>0</v>
      </c>
      <c r="U27" s="329" t="e">
        <f>SUMIF(Bill_Out!$Q$476:$Q$530,CONCATENATE($C27,T$3),Bill_Out!$O$476:$O$530)</f>
        <v>#VALUE!</v>
      </c>
      <c r="V27" s="329">
        <f>SUMIF(Bill_Out!$Q$530:$Q$606,CONCATENATE($C27,V$3),Bill_Out!$N$530:$N$606)</f>
        <v>0</v>
      </c>
      <c r="W27" s="329" t="e">
        <f>SUMIF(Bill_Out!$Q$530:$Q$606,CONCATENATE($C27,V$3),Bill_Out!$O$530:$O$606)</f>
        <v>#VALUE!</v>
      </c>
      <c r="X27" s="329">
        <f>SUMIF(Bill_Out!$Q$610:$Q$675,CONCATENATE($C27,X$3),Bill_Out!$N$610:$N$675)</f>
        <v>0</v>
      </c>
      <c r="Y27" s="329" t="e">
        <f>SUMIF(Bill_Out!$Q$610:$Q$675,CONCATENATE($C27,X$3),Bill_Out!$O$610:$O$675)</f>
        <v>#VALUE!</v>
      </c>
      <c r="Z27" s="329">
        <f>SUMIF(Bill_Out!$Q$679:$Q$756,CONCATENATE($C27,Z$3),Bill_Out!$N$679:$N$756)</f>
        <v>0</v>
      </c>
      <c r="AA27" s="329" t="e">
        <f>SUMIF(Bill_Out!$Q$679:$Q$756,CONCATENATE($C27,Z$3),Bill_Out!$O$679:$O$756)</f>
        <v>#VALUE!</v>
      </c>
    </row>
    <row r="28" spans="1:27">
      <c r="A28" s="89">
        <v>23</v>
      </c>
      <c r="B28" s="21" t="s">
        <v>14</v>
      </c>
      <c r="C28" s="8" t="s">
        <v>387</v>
      </c>
      <c r="D28" s="106">
        <f>SUMIF(Bill_Out!$Q$5:$Q$65,CONCATENATE($C28,D$3),Bill_Out!$N$5:$N$65)</f>
        <v>0</v>
      </c>
      <c r="E28" s="106">
        <f>SUMIF(Bill_Out!$Q$5:$Q$65,CONCATENATE($C28,D$3),Bill_Out!$O$5:$O$65)</f>
        <v>0</v>
      </c>
      <c r="F28" s="106">
        <f>SUMIF(Bill_Out!$Q$69:$Q$132,CONCATENATE($C28,F$3),Bill_Out!$N$69:$N$132)</f>
        <v>0</v>
      </c>
      <c r="G28" s="106">
        <f>SUMIF(Bill_Out!$Q$69:$Q$132,CONCATENATE($C28,F$3),Bill_Out!$O$69:$O$132)</f>
        <v>0</v>
      </c>
      <c r="H28" s="106">
        <f>SUMIF(Bill_Out!$Q$136:$Q$188,CONCATENATE($C28,H$3),Bill_Out!$N$136:$N$188)</f>
        <v>0</v>
      </c>
      <c r="I28" s="106">
        <f>SUMIF(Bill_Out!$Q$136:$Q$188,CONCATENATE($C28,H$3),Bill_Out!$O$136:$O$188)</f>
        <v>0</v>
      </c>
      <c r="J28" s="329">
        <f>SUMIF(Bill_Out!$Q$192:$Q$258,CONCATENATE($C28,J$3),Bill_Out!$N$192:$N$258)</f>
        <v>0</v>
      </c>
      <c r="K28" s="329">
        <f>SUMIF(Bill_Out!$Q$192:$Q$258,CONCATENATE($C28,J$3),Bill_Out!$O$192:$O$258)</f>
        <v>0</v>
      </c>
      <c r="L28" s="329">
        <f>SUMIF(Bill_Out!$Q$263:$Q$314,CONCATENATE($C28,L$3),Bill_Out!$N$263:$N$314)</f>
        <v>0</v>
      </c>
      <c r="M28" s="329">
        <f>SUMIF(Bill_Out!$Q$263:$Q$314,CONCATENATE($C28,L$3),Bill_Out!$O$263:$O$314)</f>
        <v>0</v>
      </c>
      <c r="N28" s="329">
        <f>SUMIF(Bill_Out!$Q$318:$Q$371,CONCATENATE($C28,N$3),Bill_Out!$N$318:$N$371)</f>
        <v>0</v>
      </c>
      <c r="O28" s="329">
        <f>SUMIF(Bill_Out!$Q$318:$Q$371,CONCATENATE($C28,N$3),Bill_Out!$O$318:$O$371)</f>
        <v>0</v>
      </c>
      <c r="P28" s="329">
        <f>SUMIF(Bill_Out!$Q$375:$Q$422,CONCATENATE($C28,P$3),Bill_Out!$N$375:$N$422)</f>
        <v>0</v>
      </c>
      <c r="Q28" s="329">
        <f>SUMIF(Bill_Out!$Q$375:$Q$422,CONCATENATE($C28,P$3),Bill_Out!$O$375:$O$422)</f>
        <v>0</v>
      </c>
      <c r="R28" s="329">
        <f>SUMIF(Bill_Out!$Q$426:$Q$472,CONCATENATE($C28,R$3),Bill_Out!$N$426:$N$472)</f>
        <v>0</v>
      </c>
      <c r="S28" s="329">
        <f>SUMIF(Bill_Out!$Q$426:$Q$472,CONCATENATE($C28,R$3),Bill_Out!$O$426:$O$472)</f>
        <v>0</v>
      </c>
      <c r="T28" s="329">
        <f>SUMIF(Bill_Out!$Q$476:$Q$530,CONCATENATE($C28,T$3),Bill_Out!$N$476:$N$530)</f>
        <v>0</v>
      </c>
      <c r="U28" s="329">
        <f>SUMIF(Bill_Out!$Q$476:$Q$530,CONCATENATE($C28,T$3),Bill_Out!$O$476:$O$530)</f>
        <v>0</v>
      </c>
      <c r="V28" s="329">
        <f>SUMIF(Bill_Out!$Q$530:$Q$606,CONCATENATE($C28,V$3),Bill_Out!$N$530:$N$606)</f>
        <v>0</v>
      </c>
      <c r="W28" s="329">
        <f>SUMIF(Bill_Out!$Q$530:$Q$606,CONCATENATE($C28,V$3),Bill_Out!$O$530:$O$606)</f>
        <v>0</v>
      </c>
      <c r="X28" s="329">
        <f>SUMIF(Bill_Out!$Q$610:$Q$675,CONCATENATE($C28,X$3),Bill_Out!$N$610:$N$675)</f>
        <v>0</v>
      </c>
      <c r="Y28" s="329">
        <f>SUMIF(Bill_Out!$Q$610:$Q$675,CONCATENATE($C28,X$3),Bill_Out!$O$610:$O$675)</f>
        <v>0</v>
      </c>
      <c r="Z28" s="329">
        <f>SUMIF(Bill_Out!$Q$679:$Q$756,CONCATENATE($C28,Z$3),Bill_Out!$N$679:$N$756)</f>
        <v>0</v>
      </c>
      <c r="AA28" s="329">
        <f>SUMIF(Bill_Out!$Q$679:$Q$756,CONCATENATE($C28,Z$3),Bill_Out!$O$679:$O$756)</f>
        <v>0</v>
      </c>
    </row>
    <row r="29" spans="1:27">
      <c r="A29" s="306">
        <v>24</v>
      </c>
      <c r="B29" s="21" t="s">
        <v>41</v>
      </c>
      <c r="C29" s="22" t="s">
        <v>40</v>
      </c>
      <c r="D29" s="106">
        <f>SUMIF(Bill_Out!$Q$5:$Q$65,CONCATENATE($C29,D$3),Bill_Out!$N$5:$N$65)</f>
        <v>0</v>
      </c>
      <c r="E29" s="106" t="e">
        <f>SUMIF(Bill_Out!$Q$5:$Q$65,CONCATENATE($C29,D$3),Bill_Out!$O$5:$O$65)</f>
        <v>#VALUE!</v>
      </c>
      <c r="F29" s="106">
        <f>SUMIF(Bill_Out!$Q$69:$Q$132,CONCATENATE($C29,F$3),Bill_Out!$N$69:$N$132)</f>
        <v>0</v>
      </c>
      <c r="G29" s="106" t="e">
        <f>SUMIF(Bill_Out!$Q$69:$Q$132,CONCATENATE($C29,F$3),Bill_Out!$O$69:$O$132)</f>
        <v>#VALUE!</v>
      </c>
      <c r="H29" s="106">
        <f>SUMIF(Bill_Out!$Q$136:$Q$188,CONCATENATE($C29,H$3),Bill_Out!$N$136:$N$188)</f>
        <v>0</v>
      </c>
      <c r="I29" s="106">
        <f>SUMIF(Bill_Out!$Q$136:$Q$188,CONCATENATE($C29,H$3),Bill_Out!$O$136:$O$188)</f>
        <v>0</v>
      </c>
      <c r="J29" s="329">
        <f>SUMIF(Bill_Out!$Q$192:$Q$258,CONCATENATE($C29,J$3),Bill_Out!$N$192:$N$258)</f>
        <v>0</v>
      </c>
      <c r="K29" s="329" t="e">
        <f>SUMIF(Bill_Out!$Q$192:$Q$258,CONCATENATE($C29,J$3),Bill_Out!$O$192:$O$258)</f>
        <v>#VALUE!</v>
      </c>
      <c r="L29" s="329">
        <f>SUMIF(Bill_Out!$Q$263:$Q$314,CONCATENATE($C29,L$3),Bill_Out!$N$263:$N$314)</f>
        <v>0</v>
      </c>
      <c r="M29" s="329" t="e">
        <f>SUMIF(Bill_Out!$Q$263:$Q$314,CONCATENATE($C29,L$3),Bill_Out!$O$263:$O$314)</f>
        <v>#VALUE!</v>
      </c>
      <c r="N29" s="329">
        <f>SUMIF(Bill_Out!$Q$318:$Q$371,CONCATENATE($C29,N$3),Bill_Out!$N$318:$N$371)</f>
        <v>0</v>
      </c>
      <c r="O29" s="329" t="e">
        <f>SUMIF(Bill_Out!$Q$318:$Q$371,CONCATENATE($C29,N$3),Bill_Out!$O$318:$O$371)</f>
        <v>#VALUE!</v>
      </c>
      <c r="P29" s="329">
        <f>SUMIF(Bill_Out!$Q$375:$Q$422,CONCATENATE($C29,P$3),Bill_Out!$N$375:$N$422)</f>
        <v>0</v>
      </c>
      <c r="Q29" s="329" t="e">
        <f>SUMIF(Bill_Out!$Q$375:$Q$422,CONCATENATE($C29,P$3),Bill_Out!$O$375:$O$422)</f>
        <v>#VALUE!</v>
      </c>
      <c r="R29" s="329">
        <f>SUMIF(Bill_Out!$Q$426:$Q$472,CONCATENATE($C29,R$3),Bill_Out!$N$426:$N$472)</f>
        <v>0</v>
      </c>
      <c r="S29" s="329">
        <f>SUMIF(Bill_Out!$Q$426:$Q$472,CONCATENATE($C29,R$3),Bill_Out!$O$426:$O$472)</f>
        <v>0</v>
      </c>
      <c r="T29" s="329">
        <f>SUMIF(Bill_Out!$Q$476:$Q$530,CONCATENATE($C29,T$3),Bill_Out!$N$476:$N$530)</f>
        <v>0</v>
      </c>
      <c r="U29" s="329" t="e">
        <f>SUMIF(Bill_Out!$Q$476:$Q$530,CONCATENATE($C29,T$3),Bill_Out!$O$476:$O$530)</f>
        <v>#VALUE!</v>
      </c>
      <c r="V29" s="329">
        <f>SUMIF(Bill_Out!$Q$530:$Q$606,CONCATENATE($C29,V$3),Bill_Out!$N$530:$N$606)</f>
        <v>0</v>
      </c>
      <c r="W29" s="329" t="e">
        <f>SUMIF(Bill_Out!$Q$530:$Q$606,CONCATENATE($C29,V$3),Bill_Out!$O$530:$O$606)</f>
        <v>#VALUE!</v>
      </c>
      <c r="X29" s="329">
        <f>SUMIF(Bill_Out!$Q$610:$Q$675,CONCATENATE($C29,X$3),Bill_Out!$N$610:$N$675)</f>
        <v>0</v>
      </c>
      <c r="Y29" s="329" t="e">
        <f>SUMIF(Bill_Out!$Q$610:$Q$675,CONCATENATE($C29,X$3),Bill_Out!$O$610:$O$675)</f>
        <v>#VALUE!</v>
      </c>
      <c r="Z29" s="329">
        <f>SUMIF(Bill_Out!$Q$679:$Q$756,CONCATENATE($C29,Z$3),Bill_Out!$N$679:$N$756)</f>
        <v>0</v>
      </c>
      <c r="AA29" s="329" t="e">
        <f>SUMIF(Bill_Out!$Q$679:$Q$756,CONCATENATE($C29,Z$3),Bill_Out!$O$679:$O$756)</f>
        <v>#VALUE!</v>
      </c>
    </row>
    <row r="30" spans="1:27">
      <c r="A30" s="89">
        <v>25</v>
      </c>
      <c r="B30" s="21" t="s">
        <v>137</v>
      </c>
      <c r="C30" s="22" t="s">
        <v>84</v>
      </c>
      <c r="D30" s="106">
        <f>SUMIF(Bill_Out!$Q$5:$Q$65,CONCATENATE($C30,D$3),Bill_Out!$N$5:$N$65)</f>
        <v>0</v>
      </c>
      <c r="E30" s="106">
        <f>SUMIF(Bill_Out!$Q$5:$Q$65,CONCATENATE($C30,D$3),Bill_Out!$O$5:$O$65)</f>
        <v>0</v>
      </c>
      <c r="F30" s="106">
        <f>SUMIF(Bill_Out!$Q$69:$Q$132,CONCATENATE($C30,F$3),Bill_Out!$N$69:$N$132)</f>
        <v>0</v>
      </c>
      <c r="G30" s="106">
        <f>SUMIF(Bill_Out!$Q$69:$Q$132,CONCATENATE($C30,F$3),Bill_Out!$O$69:$O$132)</f>
        <v>0</v>
      </c>
      <c r="H30" s="106">
        <f>SUMIF(Bill_Out!$Q$136:$Q$188,CONCATENATE($C30,H$3),Bill_Out!$N$136:$N$188)</f>
        <v>0</v>
      </c>
      <c r="I30" s="106">
        <f>SUMIF(Bill_Out!$Q$136:$Q$188,CONCATENATE($C30,H$3),Bill_Out!$O$136:$O$188)</f>
        <v>0</v>
      </c>
      <c r="J30" s="329">
        <f>SUMIF(Bill_Out!$Q$192:$Q$258,CONCATENATE($C30,J$3),Bill_Out!$N$192:$N$258)</f>
        <v>0</v>
      </c>
      <c r="K30" s="329">
        <f>SUMIF(Bill_Out!$Q$192:$Q$258,CONCATENATE($C30,J$3),Bill_Out!$O$192:$O$258)</f>
        <v>0</v>
      </c>
      <c r="L30" s="329">
        <f>SUMIF(Bill_Out!$Q$263:$Q$314,CONCATENATE($C30,L$3),Bill_Out!$N$263:$N$314)</f>
        <v>0</v>
      </c>
      <c r="M30" s="329">
        <f>SUMIF(Bill_Out!$Q$263:$Q$314,CONCATENATE($C30,L$3),Bill_Out!$O$263:$O$314)</f>
        <v>0</v>
      </c>
      <c r="N30" s="329">
        <f>SUMIF(Bill_Out!$Q$318:$Q$371,CONCATENATE($C30,N$3),Bill_Out!$N$318:$N$371)</f>
        <v>0</v>
      </c>
      <c r="O30" s="329">
        <f>SUMIF(Bill_Out!$Q$318:$Q$371,CONCATENATE($C30,N$3),Bill_Out!$O$318:$O$371)</f>
        <v>0</v>
      </c>
      <c r="P30" s="329">
        <f>SUMIF(Bill_Out!$Q$375:$Q$422,CONCATENATE($C30,P$3),Bill_Out!$N$375:$N$422)</f>
        <v>0</v>
      </c>
      <c r="Q30" s="329">
        <f>SUMIF(Bill_Out!$Q$375:$Q$422,CONCATENATE($C30,P$3),Bill_Out!$O$375:$O$422)</f>
        <v>0</v>
      </c>
      <c r="R30" s="329">
        <f>SUMIF(Bill_Out!$Q$426:$Q$472,CONCATENATE($C30,R$3),Bill_Out!$N$426:$N$472)</f>
        <v>0</v>
      </c>
      <c r="S30" s="329">
        <f>SUMIF(Bill_Out!$Q$426:$Q$472,CONCATENATE($C30,R$3),Bill_Out!$O$426:$O$472)</f>
        <v>0</v>
      </c>
      <c r="T30" s="329">
        <f>SUMIF(Bill_Out!$Q$476:$Q$530,CONCATENATE($C30,T$3),Bill_Out!$N$476:$N$530)</f>
        <v>0</v>
      </c>
      <c r="U30" s="329">
        <f>SUMIF(Bill_Out!$Q$476:$Q$530,CONCATENATE($C30,T$3),Bill_Out!$O$476:$O$530)</f>
        <v>0</v>
      </c>
      <c r="V30" s="329">
        <f>SUMIF(Bill_Out!$Q$530:$Q$606,CONCATENATE($C30,V$3),Bill_Out!$N$530:$N$606)</f>
        <v>0</v>
      </c>
      <c r="W30" s="329">
        <f>SUMIF(Bill_Out!$Q$530:$Q$606,CONCATENATE($C30,V$3),Bill_Out!$O$530:$O$606)</f>
        <v>0</v>
      </c>
      <c r="X30" s="329">
        <f>SUMIF(Bill_Out!$Q$610:$Q$675,CONCATENATE($C30,X$3),Bill_Out!$N$610:$N$675)</f>
        <v>0</v>
      </c>
      <c r="Y30" s="329">
        <f>SUMIF(Bill_Out!$Q$610:$Q$675,CONCATENATE($C30,X$3),Bill_Out!$O$610:$O$675)</f>
        <v>0</v>
      </c>
      <c r="Z30" s="329">
        <f>SUMIF(Bill_Out!$Q$679:$Q$756,CONCATENATE($C30,Z$3),Bill_Out!$N$679:$N$756)</f>
        <v>0</v>
      </c>
      <c r="AA30" s="329">
        <f>SUMIF(Bill_Out!$Q$679:$Q$756,CONCATENATE($C30,Z$3),Bill_Out!$O$679:$O$756)</f>
        <v>0</v>
      </c>
    </row>
    <row r="31" spans="1:27">
      <c r="A31" s="306">
        <v>26</v>
      </c>
      <c r="B31" s="21" t="s">
        <v>127</v>
      </c>
      <c r="C31" s="22" t="s">
        <v>128</v>
      </c>
      <c r="D31" s="106">
        <f>SUMIF(Bill_Out!$Q$5:$Q$65,CONCATENATE($C31,D$3),Bill_Out!$N$5:$N$65)</f>
        <v>0</v>
      </c>
      <c r="E31" s="106" t="e">
        <f>SUMIF(Bill_Out!$Q$5:$Q$65,CONCATENATE($C31,D$3),Bill_Out!$O$5:$O$65)</f>
        <v>#VALUE!</v>
      </c>
      <c r="F31" s="106">
        <f>SUMIF(Bill_Out!$Q$69:$Q$132,CONCATENATE($C31,F$3),Bill_Out!$N$69:$N$132)</f>
        <v>0</v>
      </c>
      <c r="G31" s="106" t="e">
        <f>SUMIF(Bill_Out!$Q$69:$Q$132,CONCATENATE($C31,F$3),Bill_Out!$O$69:$O$132)</f>
        <v>#VALUE!</v>
      </c>
      <c r="H31" s="106">
        <f>SUMIF(Bill_Out!$Q$136:$Q$188,CONCATENATE($C31,H$3),Bill_Out!$N$136:$N$188)</f>
        <v>0</v>
      </c>
      <c r="I31" s="106" t="e">
        <f>SUMIF(Bill_Out!$Q$136:$Q$188,CONCATENATE($C31,H$3),Bill_Out!$O$136:$O$188)</f>
        <v>#VALUE!</v>
      </c>
      <c r="J31" s="329">
        <f>SUMIF(Bill_Out!$Q$192:$Q$258,CONCATENATE($C31,J$3),Bill_Out!$N$192:$N$258)</f>
        <v>0</v>
      </c>
      <c r="K31" s="329" t="e">
        <f>SUMIF(Bill_Out!$Q$192:$Q$258,CONCATENATE($C31,J$3),Bill_Out!$O$192:$O$258)</f>
        <v>#VALUE!</v>
      </c>
      <c r="L31" s="329">
        <f>SUMIF(Bill_Out!$Q$263:$Q$314,CONCATENATE($C31,L$3),Bill_Out!$N$263:$N$314)</f>
        <v>0</v>
      </c>
      <c r="M31" s="329" t="e">
        <f>SUMIF(Bill_Out!$Q$263:$Q$314,CONCATENATE($C31,L$3),Bill_Out!$O$263:$O$314)</f>
        <v>#VALUE!</v>
      </c>
      <c r="N31" s="329">
        <f>SUMIF(Bill_Out!$Q$318:$Q$371,CONCATENATE($C31,N$3),Bill_Out!$N$318:$N$371)</f>
        <v>0</v>
      </c>
      <c r="O31" s="329" t="e">
        <f>SUMIF(Bill_Out!$Q$318:$Q$371,CONCATENATE($C31,N$3),Bill_Out!$O$318:$O$371)</f>
        <v>#VALUE!</v>
      </c>
      <c r="P31" s="329">
        <f>SUMIF(Bill_Out!$Q$375:$Q$422,CONCATENATE($C31,P$3),Bill_Out!$N$375:$N$422)</f>
        <v>0</v>
      </c>
      <c r="Q31" s="329" t="e">
        <f>SUMIF(Bill_Out!$Q$375:$Q$422,CONCATENATE($C31,P$3),Bill_Out!$O$375:$O$422)</f>
        <v>#VALUE!</v>
      </c>
      <c r="R31" s="329">
        <f>SUMIF(Bill_Out!$Q$426:$Q$472,CONCATENATE($C31,R$3),Bill_Out!$N$426:$N$472)</f>
        <v>0</v>
      </c>
      <c r="S31" s="329" t="e">
        <f>SUMIF(Bill_Out!$Q$426:$Q$472,CONCATENATE($C31,R$3),Bill_Out!$O$426:$O$472)</f>
        <v>#VALUE!</v>
      </c>
      <c r="T31" s="329">
        <f>SUMIF(Bill_Out!$Q$476:$Q$530,CONCATENATE($C31,T$3),Bill_Out!$N$476:$N$530)</f>
        <v>0</v>
      </c>
      <c r="U31" s="329" t="e">
        <f>SUMIF(Bill_Out!$Q$476:$Q$530,CONCATENATE($C31,T$3),Bill_Out!$O$476:$O$530)</f>
        <v>#VALUE!</v>
      </c>
      <c r="V31" s="329">
        <f>SUMIF(Bill_Out!$Q$530:$Q$606,CONCATENATE($C31,V$3),Bill_Out!$N$530:$N$606)</f>
        <v>0</v>
      </c>
      <c r="W31" s="329" t="e">
        <f>SUMIF(Bill_Out!$Q$530:$Q$606,CONCATENATE($C31,V$3),Bill_Out!$O$530:$O$606)</f>
        <v>#VALUE!</v>
      </c>
      <c r="X31" s="329">
        <f>SUMIF(Bill_Out!$Q$610:$Q$675,CONCATENATE($C31,X$3),Bill_Out!$N$610:$N$675)</f>
        <v>0</v>
      </c>
      <c r="Y31" s="329" t="e">
        <f>SUMIF(Bill_Out!$Q$610:$Q$675,CONCATENATE($C31,X$3),Bill_Out!$O$610:$O$675)</f>
        <v>#VALUE!</v>
      </c>
      <c r="Z31" s="329">
        <f>SUMIF(Bill_Out!$Q$679:$Q$756,CONCATENATE($C31,Z$3),Bill_Out!$N$679:$N$756)</f>
        <v>0</v>
      </c>
      <c r="AA31" s="329" t="e">
        <f>SUMIF(Bill_Out!$Q$679:$Q$756,CONCATENATE($C31,Z$3),Bill_Out!$O$679:$O$756)</f>
        <v>#VALUE!</v>
      </c>
    </row>
    <row r="32" spans="1:27">
      <c r="A32" s="89">
        <v>27</v>
      </c>
      <c r="B32" s="21" t="s">
        <v>202</v>
      </c>
      <c r="C32" s="8" t="s">
        <v>159</v>
      </c>
      <c r="D32" s="106">
        <f>SUMIF(Bill_Out!$Q$5:$Q$65,CONCATENATE($C32,D$3),Bill_Out!$N$5:$N$65)</f>
        <v>0</v>
      </c>
      <c r="E32" s="106" t="e">
        <f>SUMIF(Bill_Out!$Q$5:$Q$65,CONCATENATE($C32,D$3),Bill_Out!$O$5:$O$65)</f>
        <v>#VALUE!</v>
      </c>
      <c r="F32" s="106">
        <f>SUMIF(Bill_Out!$Q$69:$Q$132,CONCATENATE($C32,F$3),Bill_Out!$N$69:$N$132)</f>
        <v>0</v>
      </c>
      <c r="G32" s="106" t="e">
        <f>SUMIF(Bill_Out!$Q$69:$Q$132,CONCATENATE($C32,F$3),Bill_Out!$O$69:$O$132)</f>
        <v>#VALUE!</v>
      </c>
      <c r="H32" s="106">
        <f>SUMIF(Bill_Out!$Q$136:$Q$188,CONCATENATE($C32,H$3),Bill_Out!$N$136:$N$188)</f>
        <v>0</v>
      </c>
      <c r="I32" s="106" t="e">
        <f>SUMIF(Bill_Out!$Q$136:$Q$188,CONCATENATE($C32,H$3),Bill_Out!$O$136:$O$188)</f>
        <v>#VALUE!</v>
      </c>
      <c r="J32" s="329">
        <f>SUMIF(Bill_Out!$Q$192:$Q$258,CONCATENATE($C32,J$3),Bill_Out!$N$192:$N$258)</f>
        <v>0</v>
      </c>
      <c r="K32" s="329" t="e">
        <f>SUMIF(Bill_Out!$Q$192:$Q$258,CONCATENATE($C32,J$3),Bill_Out!$O$192:$O$258)</f>
        <v>#VALUE!</v>
      </c>
      <c r="L32" s="329">
        <f>SUMIF(Bill_Out!$Q$263:$Q$314,CONCATENATE($C32,L$3),Bill_Out!$N$263:$N$314)</f>
        <v>0</v>
      </c>
      <c r="M32" s="329" t="e">
        <f>SUMIF(Bill_Out!$Q$263:$Q$314,CONCATENATE($C32,L$3),Bill_Out!$O$263:$O$314)</f>
        <v>#VALUE!</v>
      </c>
      <c r="N32" s="329">
        <f>SUMIF(Bill_Out!$Q$318:$Q$371,CONCATENATE($C32,N$3),Bill_Out!$N$318:$N$371)</f>
        <v>0</v>
      </c>
      <c r="O32" s="329">
        <f>SUMIF(Bill_Out!$Q$318:$Q$371,CONCATENATE($C32,N$3),Bill_Out!$O$318:$O$371)</f>
        <v>0</v>
      </c>
      <c r="P32" s="329">
        <f>SUMIF(Bill_Out!$Q$375:$Q$422,CONCATENATE($C32,P$3),Bill_Out!$N$375:$N$422)</f>
        <v>0</v>
      </c>
      <c r="Q32" s="329" t="e">
        <f>SUMIF(Bill_Out!$Q$375:$Q$422,CONCATENATE($C32,P$3),Bill_Out!$O$375:$O$422)</f>
        <v>#VALUE!</v>
      </c>
      <c r="R32" s="329">
        <f>SUMIF(Bill_Out!$Q$426:$Q$472,CONCATENATE($C32,R$3),Bill_Out!$N$426:$N$472)</f>
        <v>0</v>
      </c>
      <c r="S32" s="329" t="e">
        <f>SUMIF(Bill_Out!$Q$426:$Q$472,CONCATENATE($C32,R$3),Bill_Out!$O$426:$O$472)</f>
        <v>#VALUE!</v>
      </c>
      <c r="T32" s="329">
        <f>SUMIF(Bill_Out!$Q$476:$Q$530,CONCATENATE($C32,T$3),Bill_Out!$N$476:$N$530)</f>
        <v>0</v>
      </c>
      <c r="U32" s="329" t="e">
        <f>SUMIF(Bill_Out!$Q$476:$Q$530,CONCATENATE($C32,T$3),Bill_Out!$O$476:$O$530)</f>
        <v>#VALUE!</v>
      </c>
      <c r="V32" s="329">
        <f>SUMIF(Bill_Out!$Q$530:$Q$606,CONCATENATE($C32,V$3),Bill_Out!$N$530:$N$606)</f>
        <v>0</v>
      </c>
      <c r="W32" s="329" t="e">
        <f>SUMIF(Bill_Out!$Q$530:$Q$606,CONCATENATE($C32,V$3),Bill_Out!$O$530:$O$606)</f>
        <v>#VALUE!</v>
      </c>
      <c r="X32" s="329">
        <f>SUMIF(Bill_Out!$Q$610:$Q$675,CONCATENATE($C32,X$3),Bill_Out!$N$610:$N$675)</f>
        <v>0</v>
      </c>
      <c r="Y32" s="329" t="e">
        <f>SUMIF(Bill_Out!$Q$610:$Q$675,CONCATENATE($C32,X$3),Bill_Out!$O$610:$O$675)</f>
        <v>#VALUE!</v>
      </c>
      <c r="Z32" s="329">
        <f>SUMIF(Bill_Out!$Q$679:$Q$756,CONCATENATE($C32,Z$3),Bill_Out!$N$679:$N$756)</f>
        <v>0</v>
      </c>
      <c r="AA32" s="329" t="e">
        <f>SUMIF(Bill_Out!$Q$679:$Q$756,CONCATENATE($C32,Z$3),Bill_Out!$O$679:$O$756)</f>
        <v>#VALUE!</v>
      </c>
    </row>
    <row r="33" spans="1:27">
      <c r="A33" s="306">
        <v>28</v>
      </c>
      <c r="B33" s="21" t="s">
        <v>43</v>
      </c>
      <c r="C33" s="8" t="s">
        <v>164</v>
      </c>
      <c r="D33" s="106">
        <f>SUMIF(Bill_Out!$Q$5:$Q$65,CONCATENATE($C33,D$3),Bill_Out!$N$5:$N$65)</f>
        <v>0</v>
      </c>
      <c r="E33" s="106" t="e">
        <f>SUMIF(Bill_Out!$Q$5:$Q$65,CONCATENATE($C33,D$3),Bill_Out!$O$5:$O$65)</f>
        <v>#VALUE!</v>
      </c>
      <c r="F33" s="106">
        <f>SUMIF(Bill_Out!$Q$69:$Q$132,CONCATENATE($C33,F$3),Bill_Out!$N$69:$N$132)</f>
        <v>0</v>
      </c>
      <c r="G33" s="106" t="e">
        <f>SUMIF(Bill_Out!$Q$69:$Q$132,CONCATENATE($C33,F$3),Bill_Out!$O$69:$O$132)</f>
        <v>#VALUE!</v>
      </c>
      <c r="H33" s="106">
        <f>SUMIF(Bill_Out!$Q$136:$Q$188,CONCATENATE($C33,H$3),Bill_Out!$N$136:$N$188)</f>
        <v>0</v>
      </c>
      <c r="I33" s="106" t="e">
        <f>SUMIF(Bill_Out!$Q$136:$Q$188,CONCATENATE($C33,H$3),Bill_Out!$O$136:$O$188)</f>
        <v>#VALUE!</v>
      </c>
      <c r="J33" s="329">
        <f>SUMIF(Bill_Out!$Q$192:$Q$258,CONCATENATE($C33,J$3),Bill_Out!$N$192:$N$258)</f>
        <v>0</v>
      </c>
      <c r="K33" s="329" t="e">
        <f>SUMIF(Bill_Out!$Q$192:$Q$258,CONCATENATE($C33,J$3),Bill_Out!$O$192:$O$258)</f>
        <v>#VALUE!</v>
      </c>
      <c r="L33" s="329">
        <f>SUMIF(Bill_Out!$Q$263:$Q$314,CONCATENATE($C33,L$3),Bill_Out!$N$263:$N$314)</f>
        <v>0</v>
      </c>
      <c r="M33" s="329" t="e">
        <f>SUMIF(Bill_Out!$Q$263:$Q$314,CONCATENATE($C33,L$3),Bill_Out!$O$263:$O$314)</f>
        <v>#VALUE!</v>
      </c>
      <c r="N33" s="329">
        <f>SUMIF(Bill_Out!$Q$318:$Q$371,CONCATENATE($C33,N$3),Bill_Out!$N$318:$N$371)</f>
        <v>0</v>
      </c>
      <c r="O33" s="329" t="e">
        <f>SUMIF(Bill_Out!$Q$318:$Q$371,CONCATENATE($C33,N$3),Bill_Out!$O$318:$O$371)</f>
        <v>#VALUE!</v>
      </c>
      <c r="P33" s="329">
        <f>SUMIF(Bill_Out!$Q$375:$Q$422,CONCATENATE($C33,P$3),Bill_Out!$N$375:$N$422)</f>
        <v>0</v>
      </c>
      <c r="Q33" s="329" t="e">
        <f>SUMIF(Bill_Out!$Q$375:$Q$422,CONCATENATE($C33,P$3),Bill_Out!$O$375:$O$422)</f>
        <v>#VALUE!</v>
      </c>
      <c r="R33" s="329">
        <f>SUMIF(Bill_Out!$Q$426:$Q$472,CONCATENATE($C33,R$3),Bill_Out!$N$426:$N$472)</f>
        <v>0</v>
      </c>
      <c r="S33" s="329" t="e">
        <f>SUMIF(Bill_Out!$Q$426:$Q$472,CONCATENATE($C33,R$3),Bill_Out!$O$426:$O$472)</f>
        <v>#VALUE!</v>
      </c>
      <c r="T33" s="329">
        <f>SUMIF(Bill_Out!$Q$476:$Q$530,CONCATENATE($C33,T$3),Bill_Out!$N$476:$N$530)</f>
        <v>0</v>
      </c>
      <c r="U33" s="329" t="e">
        <f>SUMIF(Bill_Out!$Q$476:$Q$530,CONCATENATE($C33,T$3),Bill_Out!$O$476:$O$530)</f>
        <v>#VALUE!</v>
      </c>
      <c r="V33" s="329">
        <f>SUMIF(Bill_Out!$Q$530:$Q$606,CONCATENATE($C33,V$3),Bill_Out!$N$530:$N$606)</f>
        <v>0</v>
      </c>
      <c r="W33" s="329" t="e">
        <f>SUMIF(Bill_Out!$Q$530:$Q$606,CONCATENATE($C33,V$3),Bill_Out!$O$530:$O$606)</f>
        <v>#VALUE!</v>
      </c>
      <c r="X33" s="329">
        <f>SUMIF(Bill_Out!$Q$610:$Q$675,CONCATENATE($C33,X$3),Bill_Out!$N$610:$N$675)</f>
        <v>0</v>
      </c>
      <c r="Y33" s="329" t="e">
        <f>SUMIF(Bill_Out!$Q$610:$Q$675,CONCATENATE($C33,X$3),Bill_Out!$O$610:$O$675)</f>
        <v>#VALUE!</v>
      </c>
      <c r="Z33" s="329">
        <f>SUMIF(Bill_Out!$Q$679:$Q$756,CONCATENATE($C33,Z$3),Bill_Out!$N$679:$N$756)</f>
        <v>0</v>
      </c>
      <c r="AA33" s="329" t="e">
        <f>SUMIF(Bill_Out!$Q$679:$Q$756,CONCATENATE($C33,Z$3),Bill_Out!$O$679:$O$756)</f>
        <v>#VALUE!</v>
      </c>
    </row>
    <row r="34" spans="1:27">
      <c r="A34" s="89">
        <v>29</v>
      </c>
      <c r="B34" s="21" t="s">
        <v>46</v>
      </c>
      <c r="C34" s="11" t="s">
        <v>45</v>
      </c>
      <c r="D34" s="106">
        <f>SUMIF(Bill_Out!$Q$5:$Q$65,CONCATENATE($C34,D$3),Bill_Out!$N$5:$N$65)</f>
        <v>0</v>
      </c>
      <c r="E34" s="106" t="e">
        <f>SUMIF(Bill_Out!$Q$5:$Q$65,CONCATENATE($C34,D$3),Bill_Out!$O$5:$O$65)</f>
        <v>#VALUE!</v>
      </c>
      <c r="F34" s="106">
        <f>SUMIF(Bill_Out!$Q$69:$Q$132,CONCATENATE($C34,F$3),Bill_Out!$N$69:$N$132)</f>
        <v>0</v>
      </c>
      <c r="G34" s="106" t="e">
        <f>SUMIF(Bill_Out!$Q$69:$Q$132,CONCATENATE($C34,F$3),Bill_Out!$O$69:$O$132)</f>
        <v>#VALUE!</v>
      </c>
      <c r="H34" s="106">
        <f>SUMIF(Bill_Out!$Q$136:$Q$188,CONCATENATE($C34,H$3),Bill_Out!$N$136:$N$188)</f>
        <v>0</v>
      </c>
      <c r="I34" s="106" t="e">
        <f>SUMIF(Bill_Out!$Q$136:$Q$188,CONCATENATE($C34,H$3),Bill_Out!$O$136:$O$188)</f>
        <v>#VALUE!</v>
      </c>
      <c r="J34" s="329">
        <f>SUMIF(Bill_Out!$Q$192:$Q$258,CONCATENATE($C34,J$3),Bill_Out!$N$192:$N$258)</f>
        <v>0</v>
      </c>
      <c r="K34" s="329" t="e">
        <f>SUMIF(Bill_Out!$Q$192:$Q$258,CONCATENATE($C34,J$3),Bill_Out!$O$192:$O$258)</f>
        <v>#VALUE!</v>
      </c>
      <c r="L34" s="329">
        <f>SUMIF(Bill_Out!$Q$263:$Q$314,CONCATENATE($C34,L$3),Bill_Out!$N$263:$N$314)</f>
        <v>0</v>
      </c>
      <c r="M34" s="329" t="e">
        <f>SUMIF(Bill_Out!$Q$263:$Q$314,CONCATENATE($C34,L$3),Bill_Out!$O$263:$O$314)</f>
        <v>#VALUE!</v>
      </c>
      <c r="N34" s="329">
        <f>SUMIF(Bill_Out!$Q$318:$Q$371,CONCATENATE($C34,N$3),Bill_Out!$N$318:$N$371)</f>
        <v>0</v>
      </c>
      <c r="O34" s="329" t="e">
        <f>SUMIF(Bill_Out!$Q$318:$Q$371,CONCATENATE($C34,N$3),Bill_Out!$O$318:$O$371)</f>
        <v>#VALUE!</v>
      </c>
      <c r="P34" s="329">
        <f>SUMIF(Bill_Out!$Q$375:$Q$422,CONCATENATE($C34,P$3),Bill_Out!$N$375:$N$422)</f>
        <v>0</v>
      </c>
      <c r="Q34" s="329" t="e">
        <f>SUMIF(Bill_Out!$Q$375:$Q$422,CONCATENATE($C34,P$3),Bill_Out!$O$375:$O$422)</f>
        <v>#VALUE!</v>
      </c>
      <c r="R34" s="329">
        <f>SUMIF(Bill_Out!$Q$426:$Q$472,CONCATENATE($C34,R$3),Bill_Out!$N$426:$N$472)</f>
        <v>0</v>
      </c>
      <c r="S34" s="329" t="e">
        <f>SUMIF(Bill_Out!$Q$426:$Q$472,CONCATENATE($C34,R$3),Bill_Out!$O$426:$O$472)</f>
        <v>#VALUE!</v>
      </c>
      <c r="T34" s="329">
        <f>SUMIF(Bill_Out!$Q$476:$Q$530,CONCATENATE($C34,T$3),Bill_Out!$N$476:$N$530)</f>
        <v>0</v>
      </c>
      <c r="U34" s="329">
        <f>SUMIF(Bill_Out!$Q$476:$Q$530,CONCATENATE($C34,T$3),Bill_Out!$O$476:$O$530)</f>
        <v>0</v>
      </c>
      <c r="V34" s="329">
        <f>SUMIF(Bill_Out!$Q$530:$Q$606,CONCATENATE($C34,V$3),Bill_Out!$N$530:$N$606)</f>
        <v>0</v>
      </c>
      <c r="W34" s="329" t="e">
        <f>SUMIF(Bill_Out!$Q$530:$Q$606,CONCATENATE($C34,V$3),Bill_Out!$O$530:$O$606)</f>
        <v>#VALUE!</v>
      </c>
      <c r="X34" s="329">
        <f>SUMIF(Bill_Out!$Q$610:$Q$675,CONCATENATE($C34,X$3),Bill_Out!$N$610:$N$675)</f>
        <v>0</v>
      </c>
      <c r="Y34" s="329" t="e">
        <f>SUMIF(Bill_Out!$Q$610:$Q$675,CONCATENATE($C34,X$3),Bill_Out!$O$610:$O$675)</f>
        <v>#VALUE!</v>
      </c>
      <c r="Z34" s="329">
        <f>SUMIF(Bill_Out!$Q$679:$Q$756,CONCATENATE($C34,Z$3),Bill_Out!$N$679:$N$756)</f>
        <v>0</v>
      </c>
      <c r="AA34" s="329" t="e">
        <f>SUMIF(Bill_Out!$Q$679:$Q$756,CONCATENATE($C34,Z$3),Bill_Out!$O$679:$O$756)</f>
        <v>#VALUE!</v>
      </c>
    </row>
    <row r="35" spans="1:27">
      <c r="A35" s="306">
        <v>30</v>
      </c>
      <c r="B35" s="21" t="s">
        <v>134</v>
      </c>
      <c r="C35" s="8" t="s">
        <v>133</v>
      </c>
      <c r="D35" s="106">
        <f>SUMIF(Bill_Out!$Q$5:$Q$65,CONCATENATE($C35,D$3),Bill_Out!$N$5:$N$65)</f>
        <v>0</v>
      </c>
      <c r="E35" s="106" t="e">
        <f>SUMIF(Bill_Out!$Q$5:$Q$65,CONCATENATE($C35,D$3),Bill_Out!$O$5:$O$65)</f>
        <v>#VALUE!</v>
      </c>
      <c r="F35" s="106">
        <f>SUMIF(Bill_Out!$Q$69:$Q$132,CONCATENATE($C35,F$3),Bill_Out!$N$69:$N$132)</f>
        <v>0</v>
      </c>
      <c r="G35" s="106" t="e">
        <f>SUMIF(Bill_Out!$Q$69:$Q$132,CONCATENATE($C35,F$3),Bill_Out!$O$69:$O$132)</f>
        <v>#VALUE!</v>
      </c>
      <c r="H35" s="106">
        <f>SUMIF(Bill_Out!$Q$136:$Q$188,CONCATENATE($C35,H$3),Bill_Out!$N$136:$N$188)</f>
        <v>0</v>
      </c>
      <c r="I35" s="106" t="e">
        <f>SUMIF(Bill_Out!$Q$136:$Q$188,CONCATENATE($C35,H$3),Bill_Out!$O$136:$O$188)</f>
        <v>#VALUE!</v>
      </c>
      <c r="J35" s="329">
        <f>SUMIF(Bill_Out!$Q$192:$Q$258,CONCATENATE($C35,J$3),Bill_Out!$N$192:$N$258)</f>
        <v>0</v>
      </c>
      <c r="K35" s="329" t="e">
        <f>SUMIF(Bill_Out!$Q$192:$Q$258,CONCATENATE($C35,J$3),Bill_Out!$O$192:$O$258)</f>
        <v>#VALUE!</v>
      </c>
      <c r="L35" s="329">
        <f>SUMIF(Bill_Out!$Q$263:$Q$314,CONCATENATE($C35,L$3),Bill_Out!$N$263:$N$314)</f>
        <v>0</v>
      </c>
      <c r="M35" s="329" t="e">
        <f>SUMIF(Bill_Out!$Q$263:$Q$314,CONCATENATE($C35,L$3),Bill_Out!$O$263:$O$314)</f>
        <v>#VALUE!</v>
      </c>
      <c r="N35" s="329">
        <f>SUMIF(Bill_Out!$Q$318:$Q$371,CONCATENATE($C35,N$3),Bill_Out!$N$318:$N$371)</f>
        <v>0</v>
      </c>
      <c r="O35" s="329" t="e">
        <f>SUMIF(Bill_Out!$Q$318:$Q$371,CONCATENATE($C35,N$3),Bill_Out!$O$318:$O$371)</f>
        <v>#VALUE!</v>
      </c>
      <c r="P35" s="329">
        <f>SUMIF(Bill_Out!$Q$375:$Q$422,CONCATENATE($C35,P$3),Bill_Out!$N$375:$N$422)</f>
        <v>0</v>
      </c>
      <c r="Q35" s="329" t="e">
        <f>SUMIF(Bill_Out!$Q$375:$Q$422,CONCATENATE($C35,P$3),Bill_Out!$O$375:$O$422)</f>
        <v>#VALUE!</v>
      </c>
      <c r="R35" s="329">
        <f>SUMIF(Bill_Out!$Q$426:$Q$472,CONCATENATE($C35,R$3),Bill_Out!$N$426:$N$472)</f>
        <v>0</v>
      </c>
      <c r="S35" s="329" t="e">
        <f>SUMIF(Bill_Out!$Q$426:$Q$472,CONCATENATE($C35,R$3),Bill_Out!$O$426:$O$472)</f>
        <v>#VALUE!</v>
      </c>
      <c r="T35" s="329">
        <f>SUMIF(Bill_Out!$Q$476:$Q$530,CONCATENATE($C35,T$3),Bill_Out!$N$476:$N$530)</f>
        <v>0</v>
      </c>
      <c r="U35" s="329">
        <f>SUMIF(Bill_Out!$Q$476:$Q$530,CONCATENATE($C35,T$3),Bill_Out!$O$476:$O$530)</f>
        <v>0</v>
      </c>
      <c r="V35" s="329">
        <f>SUMIF(Bill_Out!$Q$530:$Q$606,CONCATENATE($C35,V$3),Bill_Out!$N$530:$N$606)</f>
        <v>0</v>
      </c>
      <c r="W35" s="329" t="e">
        <f>SUMIF(Bill_Out!$Q$530:$Q$606,CONCATENATE($C35,V$3),Bill_Out!$O$530:$O$606)</f>
        <v>#VALUE!</v>
      </c>
      <c r="X35" s="329">
        <f>SUMIF(Bill_Out!$Q$610:$Q$675,CONCATENATE($C35,X$3),Bill_Out!$N$610:$N$675)</f>
        <v>0</v>
      </c>
      <c r="Y35" s="329" t="e">
        <f>SUMIF(Bill_Out!$Q$610:$Q$675,CONCATENATE($C35,X$3),Bill_Out!$O$610:$O$675)</f>
        <v>#VALUE!</v>
      </c>
      <c r="Z35" s="329">
        <f>SUMIF(Bill_Out!$Q$679:$Q$756,CONCATENATE($C35,Z$3),Bill_Out!$N$679:$N$756)</f>
        <v>0</v>
      </c>
      <c r="AA35" s="329" t="e">
        <f>SUMIF(Bill_Out!$Q$679:$Q$756,CONCATENATE($C35,Z$3),Bill_Out!$O$679:$O$756)</f>
        <v>#VALUE!</v>
      </c>
    </row>
    <row r="36" spans="1:27">
      <c r="A36" s="89">
        <v>31</v>
      </c>
      <c r="B36" s="21" t="s">
        <v>124</v>
      </c>
      <c r="C36" s="8" t="s">
        <v>125</v>
      </c>
      <c r="D36" s="106">
        <f>SUMIF(Bill_Out!$Q$5:$Q$65,CONCATENATE($C36,D$3),Bill_Out!$N$5:$N$65)</f>
        <v>0</v>
      </c>
      <c r="E36" s="106">
        <f>SUMIF(Bill_Out!$Q$5:$Q$65,CONCATENATE($C36,D$3),Bill_Out!$O$5:$O$65)</f>
        <v>0</v>
      </c>
      <c r="F36" s="106">
        <f>SUMIF(Bill_Out!$Q$69:$Q$132,CONCATENATE($C36,F$3),Bill_Out!$N$69:$N$132)</f>
        <v>0</v>
      </c>
      <c r="G36" s="106">
        <f>SUMIF(Bill_Out!$Q$69:$Q$132,CONCATENATE($C36,F$3),Bill_Out!$O$69:$O$132)</f>
        <v>0</v>
      </c>
      <c r="H36" s="106">
        <f>SUMIF(Bill_Out!$Q$136:$Q$188,CONCATENATE($C36,H$3),Bill_Out!$N$136:$N$188)</f>
        <v>0</v>
      </c>
      <c r="I36" s="106">
        <f>SUMIF(Bill_Out!$Q$136:$Q$188,CONCATENATE($C36,H$3),Bill_Out!$O$136:$O$188)</f>
        <v>0</v>
      </c>
      <c r="J36" s="329">
        <f>SUMIF(Bill_Out!$Q$192:$Q$258,CONCATENATE($C36,J$3),Bill_Out!$N$192:$N$258)</f>
        <v>0</v>
      </c>
      <c r="K36" s="329">
        <f>SUMIF(Bill_Out!$Q$192:$Q$258,CONCATENATE($C36,J$3),Bill_Out!$O$192:$O$258)</f>
        <v>0</v>
      </c>
      <c r="L36" s="329">
        <f>SUMIF(Bill_Out!$Q$263:$Q$314,CONCATENATE($C36,L$3),Bill_Out!$N$263:$N$314)</f>
        <v>0</v>
      </c>
      <c r="M36" s="329">
        <f>SUMIF(Bill_Out!$Q$263:$Q$314,CONCATENATE($C36,L$3),Bill_Out!$O$263:$O$314)</f>
        <v>0</v>
      </c>
      <c r="N36" s="329">
        <f>SUMIF(Bill_Out!$Q$318:$Q$371,CONCATENATE($C36,N$3),Bill_Out!$N$318:$N$371)</f>
        <v>0</v>
      </c>
      <c r="O36" s="329">
        <f>SUMIF(Bill_Out!$Q$318:$Q$371,CONCATENATE($C36,N$3),Bill_Out!$O$318:$O$371)</f>
        <v>0</v>
      </c>
      <c r="P36" s="329">
        <f>SUMIF(Bill_Out!$Q$375:$Q$422,CONCATENATE($C36,P$3),Bill_Out!$N$375:$N$422)</f>
        <v>0</v>
      </c>
      <c r="Q36" s="329">
        <f>SUMIF(Bill_Out!$Q$375:$Q$422,CONCATENATE($C36,P$3),Bill_Out!$O$375:$O$422)</f>
        <v>0</v>
      </c>
      <c r="R36" s="329">
        <f>SUMIF(Bill_Out!$Q$426:$Q$472,CONCATENATE($C36,R$3),Bill_Out!$N$426:$N$472)</f>
        <v>0</v>
      </c>
      <c r="S36" s="329">
        <f>SUMIF(Bill_Out!$Q$426:$Q$472,CONCATENATE($C36,R$3),Bill_Out!$O$426:$O$472)</f>
        <v>0</v>
      </c>
      <c r="T36" s="329">
        <f>SUMIF(Bill_Out!$Q$476:$Q$530,CONCATENATE($C36,T$3),Bill_Out!$N$476:$N$530)</f>
        <v>0</v>
      </c>
      <c r="U36" s="329">
        <f>SUMIF(Bill_Out!$Q$476:$Q$530,CONCATENATE($C36,T$3),Bill_Out!$O$476:$O$530)</f>
        <v>0</v>
      </c>
      <c r="V36" s="329">
        <f>SUMIF(Bill_Out!$Q$530:$Q$606,CONCATENATE($C36,V$3),Bill_Out!$N$530:$N$606)</f>
        <v>0</v>
      </c>
      <c r="W36" s="329">
        <f>SUMIF(Bill_Out!$Q$530:$Q$606,CONCATENATE($C36,V$3),Bill_Out!$O$530:$O$606)</f>
        <v>0</v>
      </c>
      <c r="X36" s="329">
        <f>SUMIF(Bill_Out!$Q$610:$Q$675,CONCATENATE($C36,X$3),Bill_Out!$N$610:$N$675)</f>
        <v>0</v>
      </c>
      <c r="Y36" s="329">
        <f>SUMIF(Bill_Out!$Q$610:$Q$675,CONCATENATE($C36,X$3),Bill_Out!$O$610:$O$675)</f>
        <v>0</v>
      </c>
      <c r="Z36" s="329">
        <f>SUMIF(Bill_Out!$Q$679:$Q$756,CONCATENATE($C36,Z$3),Bill_Out!$N$679:$N$756)</f>
        <v>0</v>
      </c>
      <c r="AA36" s="329">
        <f>SUMIF(Bill_Out!$Q$679:$Q$756,CONCATENATE($C36,Z$3),Bill_Out!$O$679:$O$756)</f>
        <v>0</v>
      </c>
    </row>
    <row r="37" spans="1:27">
      <c r="A37" s="306">
        <v>32</v>
      </c>
      <c r="B37" s="21" t="s">
        <v>2193</v>
      </c>
      <c r="C37" s="8" t="s">
        <v>2064</v>
      </c>
      <c r="D37" s="106">
        <f>SUMIF(Bill_Out!$Q$5:$Q$65,CONCATENATE($C37,D$3),Bill_Out!$N$5:$N$65)</f>
        <v>0</v>
      </c>
      <c r="E37" s="106">
        <f>SUMIF(Bill_Out!$Q$5:$Q$65,CONCATENATE($C37,D$3),Bill_Out!$O$5:$O$65)</f>
        <v>0</v>
      </c>
      <c r="F37" s="106">
        <f>SUMIF(Bill_Out!$Q$69:$Q$132,CONCATENATE($C37,F$3),Bill_Out!$N$69:$N$132)</f>
        <v>0</v>
      </c>
      <c r="G37" s="106" t="e">
        <f>SUMIF(Bill_Out!$Q$69:$Q$132,CONCATENATE($C37,F$3),Bill_Out!$O$69:$O$132)</f>
        <v>#VALUE!</v>
      </c>
      <c r="H37" s="106">
        <f>SUMIF(Bill_Out!$Q$136:$Q$188,CONCATENATE($C37,H$3),Bill_Out!$N$136:$N$188)</f>
        <v>0</v>
      </c>
      <c r="I37" s="106" t="e">
        <f>SUMIF(Bill_Out!$Q$136:$Q$188,CONCATENATE($C37,H$3),Bill_Out!$O$136:$O$188)</f>
        <v>#VALUE!</v>
      </c>
      <c r="J37" s="329">
        <f>SUMIF(Bill_Out!$Q$192:$Q$258,CONCATENATE($C37,J$3),Bill_Out!$N$192:$N$258)</f>
        <v>0</v>
      </c>
      <c r="K37" s="329" t="e">
        <f>SUMIF(Bill_Out!$Q$192:$Q$258,CONCATENATE($C37,J$3),Bill_Out!$O$192:$O$258)</f>
        <v>#VALUE!</v>
      </c>
      <c r="L37" s="329">
        <f>SUMIF(Bill_Out!$Q$263:$Q$314,CONCATENATE($C37,L$3),Bill_Out!$N$263:$N$314)</f>
        <v>0</v>
      </c>
      <c r="M37" s="329" t="e">
        <f>SUMIF(Bill_Out!$Q$263:$Q$314,CONCATENATE($C37,L$3),Bill_Out!$O$263:$O$314)</f>
        <v>#VALUE!</v>
      </c>
      <c r="N37" s="329">
        <f>SUMIF(Bill_Out!$Q$318:$Q$371,CONCATENATE($C37,N$3),Bill_Out!$N$318:$N$371)</f>
        <v>0</v>
      </c>
      <c r="O37" s="329" t="e">
        <f>SUMIF(Bill_Out!$Q$318:$Q$371,CONCATENATE($C37,N$3),Bill_Out!$O$318:$O$371)</f>
        <v>#VALUE!</v>
      </c>
      <c r="P37" s="329">
        <f>SUMIF(Bill_Out!$Q$375:$Q$422,CONCATENATE($C37,P$3),Bill_Out!$N$375:$N$422)</f>
        <v>0</v>
      </c>
      <c r="Q37" s="329" t="e">
        <f>SUMIF(Bill_Out!$Q$375:$Q$422,CONCATENATE($C37,P$3),Bill_Out!$O$375:$O$422)</f>
        <v>#VALUE!</v>
      </c>
      <c r="R37" s="329">
        <f>SUMIF(Bill_Out!$Q$426:$Q$472,CONCATENATE($C37,R$3),Bill_Out!$N$426:$N$472)</f>
        <v>0</v>
      </c>
      <c r="S37" s="329" t="e">
        <f>SUMIF(Bill_Out!$Q$426:$Q$472,CONCATENATE($C37,R$3),Bill_Out!$O$426:$O$472)</f>
        <v>#VALUE!</v>
      </c>
      <c r="T37" s="329"/>
      <c r="U37" s="329"/>
      <c r="V37" s="329"/>
      <c r="W37" s="329"/>
      <c r="X37" s="329"/>
      <c r="Y37" s="329"/>
      <c r="Z37" s="329"/>
      <c r="AA37" s="329"/>
    </row>
    <row r="38" spans="1:27">
      <c r="A38" s="89">
        <v>33</v>
      </c>
      <c r="B38" s="21" t="s">
        <v>381</v>
      </c>
      <c r="C38" s="8" t="s">
        <v>352</v>
      </c>
      <c r="D38" s="106">
        <f>SUMIF(Bill_Out!$Q$5:$Q$65,CONCATENATE($C38,D$3),Bill_Out!$N$5:$N$65)</f>
        <v>0</v>
      </c>
      <c r="E38" s="106">
        <f>SUMIF(Bill_Out!$Q$5:$Q$65,CONCATENATE($C38,D$3),Bill_Out!$O$5:$O$65)</f>
        <v>0</v>
      </c>
      <c r="F38" s="106">
        <f>SUMIF(Bill_Out!$Q$69:$Q$132,CONCATENATE($C38,F$3),Bill_Out!$N$69:$N$132)</f>
        <v>0</v>
      </c>
      <c r="G38" s="106">
        <f>SUMIF(Bill_Out!$Q$69:$Q$132,CONCATENATE($C38,F$3),Bill_Out!$O$69:$O$132)</f>
        <v>0</v>
      </c>
      <c r="H38" s="106">
        <f>SUMIF(Bill_Out!$Q$136:$Q$188,CONCATENATE($C38,H$3),Bill_Out!$N$136:$N$188)</f>
        <v>0</v>
      </c>
      <c r="I38" s="106">
        <f>SUMIF(Bill_Out!$Q$136:$Q$188,CONCATENATE($C38,H$3),Bill_Out!$O$136:$O$188)</f>
        <v>0</v>
      </c>
      <c r="J38" s="329">
        <f>SUMIF(Bill_Out!$Q$192:$Q$258,CONCATENATE($C38,J$3),Bill_Out!$N$192:$N$258)</f>
        <v>0</v>
      </c>
      <c r="K38" s="329">
        <f>SUMIF(Bill_Out!$Q$192:$Q$258,CONCATENATE($C38,J$3),Bill_Out!$O$192:$O$258)</f>
        <v>0</v>
      </c>
      <c r="L38" s="329">
        <f>SUMIF(Bill_Out!$Q$263:$Q$314,CONCATENATE($C38,L$3),Bill_Out!$N$263:$N$314)</f>
        <v>0</v>
      </c>
      <c r="M38" s="329">
        <f>SUMIF(Bill_Out!$Q$263:$Q$314,CONCATENATE($C38,L$3),Bill_Out!$O$263:$O$314)</f>
        <v>0</v>
      </c>
      <c r="N38" s="329">
        <f>SUMIF(Bill_Out!$Q$318:$Q$371,CONCATENATE($C38,N$3),Bill_Out!$N$318:$N$371)</f>
        <v>0</v>
      </c>
      <c r="O38" s="329">
        <f>SUMIF(Bill_Out!$Q$318:$Q$371,CONCATENATE($C38,N$3),Bill_Out!$O$318:$O$371)</f>
        <v>0</v>
      </c>
      <c r="P38" s="329">
        <f>SUMIF(Bill_Out!$Q$375:$Q$422,CONCATENATE($C38,P$3),Bill_Out!$N$375:$N$422)</f>
        <v>0</v>
      </c>
      <c r="Q38" s="329">
        <f>SUMIF(Bill_Out!$Q$375:$Q$422,CONCATENATE($C38,P$3),Bill_Out!$O$375:$O$422)</f>
        <v>0</v>
      </c>
      <c r="R38" s="329">
        <f>SUMIF(Bill_Out!$Q$426:$Q$472,CONCATENATE($C38,R$3),Bill_Out!$N$426:$N$472)</f>
        <v>0</v>
      </c>
      <c r="S38" s="329">
        <f>SUMIF(Bill_Out!$Q$426:$Q$472,CONCATENATE($C38,R$3),Bill_Out!$O$426:$O$472)</f>
        <v>0</v>
      </c>
      <c r="T38" s="329">
        <f>SUMIF(Bill_Out!$Q$476:$Q$530,CONCATENATE($C38,T$3),Bill_Out!$N$476:$N$530)</f>
        <v>0</v>
      </c>
      <c r="U38" s="329">
        <f>SUMIF(Bill_Out!$Q$476:$Q$530,CONCATENATE($C38,T$3),Bill_Out!$O$476:$O$530)</f>
        <v>0</v>
      </c>
      <c r="V38" s="329">
        <f>SUMIF(Bill_Out!$Q$530:$Q$606,CONCATENATE($C38,V$3),Bill_Out!$N$530:$N$606)</f>
        <v>0</v>
      </c>
      <c r="W38" s="329">
        <f>SUMIF(Bill_Out!$Q$530:$Q$606,CONCATENATE($C38,V$3),Bill_Out!$O$530:$O$606)</f>
        <v>0</v>
      </c>
      <c r="X38" s="329">
        <f>SUMIF(Bill_Out!$Q$610:$Q$675,CONCATENATE($C38,X$3),Bill_Out!$N$610:$N$675)</f>
        <v>0</v>
      </c>
      <c r="Y38" s="329">
        <f>SUMIF(Bill_Out!$Q$610:$Q$675,CONCATENATE($C38,X$3),Bill_Out!$O$610:$O$675)</f>
        <v>0</v>
      </c>
      <c r="Z38" s="329">
        <f>SUMIF(Bill_Out!$Q$679:$Q$756,CONCATENATE($C38,Z$3),Bill_Out!$N$679:$N$756)</f>
        <v>0</v>
      </c>
      <c r="AA38" s="329">
        <f>SUMIF(Bill_Out!$Q$679:$Q$756,CONCATENATE($C38,Z$3),Bill_Out!$O$679:$O$756)</f>
        <v>0</v>
      </c>
    </row>
    <row r="39" spans="1:27">
      <c r="A39" s="306">
        <v>34</v>
      </c>
      <c r="B39" s="21" t="s">
        <v>2983</v>
      </c>
      <c r="C39" s="8" t="s">
        <v>2894</v>
      </c>
      <c r="D39" s="106">
        <f>SUMIF(Bill_Out!$Q$5:$Q$65,CONCATENATE($C39,D$3),Bill_Out!$N$5:$N$65)</f>
        <v>0</v>
      </c>
      <c r="E39" s="106">
        <f>SUMIF(Bill_Out!$Q$5:$Q$65,CONCATENATE($C39,D$3),Bill_Out!$O$5:$O$65)</f>
        <v>0</v>
      </c>
      <c r="F39" s="106">
        <f>SUMIF(Bill_Out!$Q$69:$Q$132,CONCATENATE($C39,F$3),Bill_Out!$N$69:$N$132)</f>
        <v>0</v>
      </c>
      <c r="G39" s="106">
        <f>SUMIF(Bill_Out!$Q$69:$Q$132,CONCATENATE($C39,F$3),Bill_Out!$O$69:$O$132)</f>
        <v>0</v>
      </c>
      <c r="H39" s="106">
        <f>SUMIF(Bill_Out!$Q$136:$Q$188,CONCATENATE($C39,H$3),Bill_Out!$N$136:$N$188)</f>
        <v>0</v>
      </c>
      <c r="I39" s="106">
        <f>SUMIF(Bill_Out!$Q$136:$Q$188,CONCATENATE($C39,H$3),Bill_Out!$O$136:$O$188)</f>
        <v>0</v>
      </c>
      <c r="J39" s="329">
        <f>SUMIF(Bill_Out!$Q$192:$Q$258,CONCATENATE($C39,J$3),Bill_Out!$N$192:$N$258)</f>
        <v>0</v>
      </c>
      <c r="K39" s="329">
        <f>SUMIF(Bill_Out!$Q$192:$Q$258,CONCATENATE($C39,J$3),Bill_Out!$O$192:$O$258)</f>
        <v>0</v>
      </c>
      <c r="L39" s="329">
        <f>SUMIF(Bill_Out!$Q$263:$Q$314,CONCATENATE($C39,L$3),Bill_Out!$N$263:$N$314)</f>
        <v>0</v>
      </c>
      <c r="M39" s="329">
        <f>SUMIF(Bill_Out!$Q$263:$Q$314,CONCATENATE($C39,L$3),Bill_Out!$O$263:$O$314)</f>
        <v>0</v>
      </c>
      <c r="N39" s="329">
        <f>SUMIF(Bill_Out!$Q$318:$Q$371,CONCATENATE($C39,N$3),Bill_Out!$N$318:$N$371)</f>
        <v>0</v>
      </c>
      <c r="O39" s="329">
        <f>SUMIF(Bill_Out!$Q$318:$Q$371,CONCATENATE($C39,N$3),Bill_Out!$O$318:$O$371)</f>
        <v>0</v>
      </c>
      <c r="P39" s="329">
        <f>SUMIF(Bill_Out!$Q$375:$Q$422,CONCATENATE($C39,P$3),Bill_Out!$N$375:$N$422)</f>
        <v>0</v>
      </c>
      <c r="Q39" s="329" t="e">
        <f>SUMIF(Bill_Out!$Q$375:$Q$422,CONCATENATE($C39,P$3),Bill_Out!$O$375:$O$422)</f>
        <v>#VALUE!</v>
      </c>
      <c r="R39" s="329">
        <f>SUMIF(Bill_Out!$Q$426:$Q$472,CONCATENATE($C39,R$3),Bill_Out!$N$426:$N$472)</f>
        <v>0</v>
      </c>
      <c r="S39" s="329">
        <f>SUMIF(Bill_Out!$Q$426:$Q$472,CONCATENATE($C39,R$3),Bill_Out!$O$426:$O$472)</f>
        <v>0</v>
      </c>
      <c r="T39" s="329"/>
      <c r="U39" s="329"/>
      <c r="V39" s="329"/>
      <c r="W39" s="329"/>
      <c r="X39" s="329"/>
      <c r="Y39" s="329"/>
      <c r="Z39" s="329"/>
      <c r="AA39" s="329"/>
    </row>
    <row r="40" spans="1:27">
      <c r="A40" s="89">
        <v>35</v>
      </c>
      <c r="B40" s="21" t="s">
        <v>72</v>
      </c>
      <c r="C40" s="8" t="s">
        <v>111</v>
      </c>
      <c r="D40" s="106">
        <f>SUMIF(Bill_Out!$Q$5:$Q$65,CONCATENATE($C40,D$3),Bill_Out!$N$5:$N$65)</f>
        <v>0</v>
      </c>
      <c r="E40" s="106">
        <f>SUMIF(Bill_Out!$Q$5:$Q$65,CONCATENATE($C40,D$3),Bill_Out!$O$5:$O$65)</f>
        <v>0</v>
      </c>
      <c r="F40" s="106">
        <f>SUMIF(Bill_Out!$Q$69:$Q$132,CONCATENATE($C40,F$3),Bill_Out!$N$69:$N$132)</f>
        <v>0</v>
      </c>
      <c r="G40" s="106">
        <f>SUMIF(Bill_Out!$Q$69:$Q$132,CONCATENATE($C40,F$3),Bill_Out!$O$69:$O$132)</f>
        <v>0</v>
      </c>
      <c r="H40" s="106">
        <f>SUMIF(Bill_Out!$Q$136:$Q$188,CONCATENATE($C40,H$3),Bill_Out!$N$136:$N$188)</f>
        <v>0</v>
      </c>
      <c r="I40" s="106">
        <f>SUMIF(Bill_Out!$Q$136:$Q$188,CONCATENATE($C40,H$3),Bill_Out!$O$136:$O$188)</f>
        <v>0</v>
      </c>
      <c r="J40" s="329">
        <f>SUMIF(Bill_Out!$Q$192:$Q$258,CONCATENATE($C40,J$3),Bill_Out!$N$192:$N$258)</f>
        <v>0</v>
      </c>
      <c r="K40" s="329">
        <f>SUMIF(Bill_Out!$Q$192:$Q$258,CONCATENATE($C40,J$3),Bill_Out!$O$192:$O$258)</f>
        <v>0</v>
      </c>
      <c r="L40" s="329">
        <f>SUMIF(Bill_Out!$Q$263:$Q$314,CONCATENATE($C40,L$3),Bill_Out!$N$263:$N$314)</f>
        <v>0</v>
      </c>
      <c r="M40" s="329">
        <f>SUMIF(Bill_Out!$Q$263:$Q$314,CONCATENATE($C40,L$3),Bill_Out!$O$263:$O$314)</f>
        <v>0</v>
      </c>
      <c r="N40" s="329">
        <f>SUMIF(Bill_Out!$Q$318:$Q$371,CONCATENATE($C40,N$3),Bill_Out!$N$318:$N$371)</f>
        <v>0</v>
      </c>
      <c r="O40" s="329">
        <f>SUMIF(Bill_Out!$Q$318:$Q$371,CONCATENATE($C40,N$3),Bill_Out!$O$318:$O$371)</f>
        <v>0</v>
      </c>
      <c r="P40" s="329">
        <f>SUMIF(Bill_Out!$Q$375:$Q$422,CONCATENATE($C40,P$3),Bill_Out!$N$375:$N$422)</f>
        <v>0</v>
      </c>
      <c r="Q40" s="329">
        <f>SUMIF(Bill_Out!$Q$375:$Q$422,CONCATENATE($C40,P$3),Bill_Out!$O$375:$O$422)</f>
        <v>0</v>
      </c>
      <c r="R40" s="329">
        <f>SUMIF(Bill_Out!$Q$426:$Q$472,CONCATENATE($C40,R$3),Bill_Out!$N$426:$N$472)</f>
        <v>0</v>
      </c>
      <c r="S40" s="329">
        <f>SUMIF(Bill_Out!$Q$426:$Q$472,CONCATENATE($C40,R$3),Bill_Out!$O$426:$O$472)</f>
        <v>0</v>
      </c>
      <c r="T40" s="329">
        <f>SUMIF(Bill_Out!$Q$476:$Q$530,CONCATENATE($C40,T$3),Bill_Out!$N$476:$N$530)</f>
        <v>0</v>
      </c>
      <c r="U40" s="329">
        <f>SUMIF(Bill_Out!$Q$476:$Q$530,CONCATENATE($C40,T$3),Bill_Out!$O$476:$O$530)</f>
        <v>0</v>
      </c>
      <c r="V40" s="329">
        <f>SUMIF(Bill_Out!$Q$530:$Q$606,CONCATENATE($C40,V$3),Bill_Out!$N$530:$N$606)</f>
        <v>0</v>
      </c>
      <c r="W40" s="329">
        <f>SUMIF(Bill_Out!$Q$530:$Q$606,CONCATENATE($C40,V$3),Bill_Out!$O$530:$O$606)</f>
        <v>0</v>
      </c>
      <c r="X40" s="329">
        <f>SUMIF(Bill_Out!$Q$610:$Q$675,CONCATENATE($C40,X$3),Bill_Out!$N$610:$N$675)</f>
        <v>0</v>
      </c>
      <c r="Y40" s="329">
        <f>SUMIF(Bill_Out!$Q$610:$Q$675,CONCATENATE($C40,X$3),Bill_Out!$O$610:$O$675)</f>
        <v>0</v>
      </c>
      <c r="Z40" s="329">
        <f>SUMIF(Bill_Out!$Q$679:$Q$756,CONCATENATE($C40,Z$3),Bill_Out!$N$679:$N$756)</f>
        <v>0</v>
      </c>
      <c r="AA40" s="329">
        <f>SUMIF(Bill_Out!$Q$679:$Q$756,CONCATENATE($C40,Z$3),Bill_Out!$O$679:$O$756)</f>
        <v>0</v>
      </c>
    </row>
    <row r="41" spans="1:27">
      <c r="A41" s="306">
        <v>36</v>
      </c>
      <c r="B41" s="21" t="s">
        <v>452</v>
      </c>
      <c r="C41" s="8" t="s">
        <v>430</v>
      </c>
      <c r="D41" s="106">
        <f>SUMIF(Bill_Out!$Q$5:$Q$65,CONCATENATE($C41,D$3),Bill_Out!$N$5:$N$65)</f>
        <v>0</v>
      </c>
      <c r="E41" s="106" t="e">
        <f>SUMIF(Bill_Out!$Q$5:$Q$65,CONCATENATE($C41,D$3),Bill_Out!$O$5:$O$65)</f>
        <v>#VALUE!</v>
      </c>
      <c r="F41" s="106">
        <f>SUMIF(Bill_Out!$Q$69:$Q$132,CONCATENATE($C41,F$3),Bill_Out!$N$69:$N$132)</f>
        <v>0</v>
      </c>
      <c r="G41" s="106" t="e">
        <f>SUMIF(Bill_Out!$Q$69:$Q$132,CONCATENATE($C41,F$3),Bill_Out!$O$69:$O$132)</f>
        <v>#VALUE!</v>
      </c>
      <c r="H41" s="106">
        <f>SUMIF(Bill_Out!$Q$136:$Q$188,CONCATENATE($C41,H$3),Bill_Out!$N$136:$N$188)</f>
        <v>0</v>
      </c>
      <c r="I41" s="106" t="e">
        <f>SUMIF(Bill_Out!$Q$136:$Q$188,CONCATENATE($C41,H$3),Bill_Out!$O$136:$O$188)</f>
        <v>#VALUE!</v>
      </c>
      <c r="J41" s="329">
        <f>SUMIF(Bill_Out!$Q$192:$Q$258,CONCATENATE($C41,J$3),Bill_Out!$N$192:$N$258)</f>
        <v>0</v>
      </c>
      <c r="K41" s="329" t="e">
        <f>SUMIF(Bill_Out!$Q$192:$Q$258,CONCATENATE($C41,J$3),Bill_Out!$O$192:$O$258)</f>
        <v>#VALUE!</v>
      </c>
      <c r="L41" s="329">
        <f>SUMIF(Bill_Out!$Q$263:$Q$314,CONCATENATE($C41,L$3),Bill_Out!$N$263:$N$314)</f>
        <v>0</v>
      </c>
      <c r="M41" s="329" t="e">
        <f>SUMIF(Bill_Out!$Q$263:$Q$314,CONCATENATE($C41,L$3),Bill_Out!$O$263:$O$314)</f>
        <v>#VALUE!</v>
      </c>
      <c r="N41" s="329">
        <f>SUMIF(Bill_Out!$Q$318:$Q$371,CONCATENATE($C41,N$3),Bill_Out!$N$318:$N$371)</f>
        <v>0</v>
      </c>
      <c r="O41" s="329" t="e">
        <f>SUMIF(Bill_Out!$Q$318:$Q$371,CONCATENATE($C41,N$3),Bill_Out!$O$318:$O$371)</f>
        <v>#VALUE!</v>
      </c>
      <c r="P41" s="329">
        <f>SUMIF(Bill_Out!$Q$375:$Q$422,CONCATENATE($C41,P$3),Bill_Out!$N$375:$N$422)</f>
        <v>0</v>
      </c>
      <c r="Q41" s="329" t="e">
        <f>SUMIF(Bill_Out!$Q$375:$Q$422,CONCATENATE($C41,P$3),Bill_Out!$O$375:$O$422)</f>
        <v>#VALUE!</v>
      </c>
      <c r="R41" s="329">
        <f>SUMIF(Bill_Out!$Q$426:$Q$472,CONCATENATE($C41,R$3),Bill_Out!$N$426:$N$472)</f>
        <v>0</v>
      </c>
      <c r="S41" s="329" t="e">
        <f>SUMIF(Bill_Out!$Q$426:$Q$472,CONCATENATE($C41,R$3),Bill_Out!$O$426:$O$472)</f>
        <v>#VALUE!</v>
      </c>
      <c r="T41" s="329">
        <f>SUMIF(Bill_Out!$Q$476:$Q$530,CONCATENATE($C41,T$3),Bill_Out!$N$476:$N$530)</f>
        <v>0</v>
      </c>
      <c r="U41" s="329">
        <f>SUMIF(Bill_Out!$Q$476:$Q$530,CONCATENATE($C41,T$3),Bill_Out!$O$476:$O$530)</f>
        <v>0</v>
      </c>
      <c r="V41" s="329">
        <f>SUMIF(Bill_Out!$Q$530:$Q$606,CONCATENATE($C41,V$3),Bill_Out!$N$530:$N$606)</f>
        <v>0</v>
      </c>
      <c r="W41" s="329" t="e">
        <f>SUMIF(Bill_Out!$Q$530:$Q$606,CONCATENATE($C41,V$3),Bill_Out!$O$530:$O$606)</f>
        <v>#VALUE!</v>
      </c>
      <c r="X41" s="329">
        <f>SUMIF(Bill_Out!$Q$610:$Q$675,CONCATENATE($C41,X$3),Bill_Out!$N$610:$N$675)</f>
        <v>0</v>
      </c>
      <c r="Y41" s="329" t="e">
        <f>SUMIF(Bill_Out!$Q$610:$Q$675,CONCATENATE($C41,X$3),Bill_Out!$O$610:$O$675)</f>
        <v>#VALUE!</v>
      </c>
      <c r="Z41" s="329">
        <f>SUMIF(Bill_Out!$Q$679:$Q$756,CONCATENATE($C41,Z$3),Bill_Out!$N$679:$N$756)</f>
        <v>0</v>
      </c>
      <c r="AA41" s="329" t="e">
        <f>SUMIF(Bill_Out!$Q$679:$Q$756,CONCATENATE($C41,Z$3),Bill_Out!$O$679:$O$756)</f>
        <v>#VALUE!</v>
      </c>
    </row>
    <row r="42" spans="1:27">
      <c r="A42" s="89">
        <v>37</v>
      </c>
      <c r="B42" s="21" t="s">
        <v>2190</v>
      </c>
      <c r="C42" s="8" t="s">
        <v>1621</v>
      </c>
      <c r="D42" s="106">
        <f>SUMIF(Bill_Out!$Q$5:$Q$65,CONCATENATE($C42,D$3),Bill_Out!$N$5:$N$65)</f>
        <v>0</v>
      </c>
      <c r="E42" s="106">
        <f>SUMIF(Bill_Out!$Q$5:$Q$65,CONCATENATE($C42,D$3),Bill_Out!$O$5:$O$65)</f>
        <v>0</v>
      </c>
      <c r="F42" s="106">
        <f>SUMIF(Bill_Out!$Q$69:$Q$132,CONCATENATE($C42,F$3),Bill_Out!$N$69:$N$132)</f>
        <v>0</v>
      </c>
      <c r="G42" s="106">
        <f>SUMIF(Bill_Out!$Q$69:$Q$132,CONCATENATE($C42,F$3),Bill_Out!$O$69:$O$132)</f>
        <v>0</v>
      </c>
      <c r="H42" s="106">
        <f>SUMIF(Bill_Out!$Q$136:$Q$188,CONCATENATE($C42,H$3),Bill_Out!$N$136:$N$188)</f>
        <v>0</v>
      </c>
      <c r="I42" s="106">
        <f>SUMIF(Bill_Out!$Q$136:$Q$188,CONCATENATE($C42,H$3),Bill_Out!$O$136:$O$188)</f>
        <v>0</v>
      </c>
      <c r="J42" s="329">
        <f>SUMIF(Bill_Out!$Q$192:$Q$258,CONCATENATE($C42,J$3),Bill_Out!$N$192:$N$258)</f>
        <v>0</v>
      </c>
      <c r="K42" s="329">
        <f>SUMIF(Bill_Out!$Q$192:$Q$258,CONCATENATE($C42,J$3),Bill_Out!$O$192:$O$258)</f>
        <v>0</v>
      </c>
      <c r="L42" s="329">
        <f>SUMIF(Bill_Out!$Q$263:$Q$314,CONCATENATE($C42,L$3),Bill_Out!$N$263:$N$314)</f>
        <v>0</v>
      </c>
      <c r="M42" s="329">
        <f>SUMIF(Bill_Out!$Q$263:$Q$314,CONCATENATE($C42,L$3),Bill_Out!$O$263:$O$314)</f>
        <v>0</v>
      </c>
      <c r="N42" s="329">
        <f>SUMIF(Bill_Out!$Q$318:$Q$371,CONCATENATE($C42,N$3),Bill_Out!$N$318:$N$371)</f>
        <v>0</v>
      </c>
      <c r="O42" s="329">
        <f>SUMIF(Bill_Out!$Q$318:$Q$371,CONCATENATE($C42,N$3),Bill_Out!$O$318:$O$371)</f>
        <v>0</v>
      </c>
      <c r="P42" s="329">
        <f>SUMIF(Bill_Out!$Q$375:$Q$422,CONCATENATE($C42,P$3),Bill_Out!$N$375:$N$422)</f>
        <v>0</v>
      </c>
      <c r="Q42" s="329">
        <f>SUMIF(Bill_Out!$Q$375:$Q$422,CONCATENATE($C42,P$3),Bill_Out!$O$375:$O$422)</f>
        <v>0</v>
      </c>
      <c r="R42" s="329">
        <f>SUMIF(Bill_Out!$Q$426:$Q$472,CONCATENATE($C42,R$3),Bill_Out!$N$426:$N$472)</f>
        <v>0</v>
      </c>
      <c r="S42" s="329">
        <f>SUMIF(Bill_Out!$Q$426:$Q$472,CONCATENATE($C42,R$3),Bill_Out!$O$426:$O$472)</f>
        <v>0</v>
      </c>
      <c r="T42" s="329">
        <f>SUMIF(Bill_Out!$Q$476:$Q$530,CONCATENATE($C42,T$3),Bill_Out!$N$476:$N$530)</f>
        <v>0</v>
      </c>
      <c r="U42" s="329">
        <f>SUMIF(Bill_Out!$Q$476:$Q$530,CONCATENATE($C42,T$3),Bill_Out!$O$476:$O$530)</f>
        <v>0</v>
      </c>
      <c r="V42" s="329">
        <f>SUMIF(Bill_Out!$Q$530:$Q$606,CONCATENATE($C42,V$3),Bill_Out!$N$530:$N$606)</f>
        <v>0</v>
      </c>
      <c r="W42" s="329">
        <f>SUMIF(Bill_Out!$Q$530:$Q$606,CONCATENATE($C42,V$3),Bill_Out!$O$530:$O$606)</f>
        <v>0</v>
      </c>
      <c r="X42" s="329">
        <f>SUMIF(Bill_Out!$Q$610:$Q$675,CONCATENATE($C42,X$3),Bill_Out!$N$610:$N$675)</f>
        <v>0</v>
      </c>
      <c r="Y42" s="329">
        <f>SUMIF(Bill_Out!$Q$610:$Q$675,CONCATENATE($C42,X$3),Bill_Out!$O$610:$O$675)</f>
        <v>0</v>
      </c>
      <c r="Z42" s="329">
        <f>SUMIF(Bill_Out!$Q$679:$Q$756,CONCATENATE($C42,Z$3),Bill_Out!$N$679:$N$756)</f>
        <v>0</v>
      </c>
      <c r="AA42" s="329">
        <f>SUMIF(Bill_Out!$Q$679:$Q$756,CONCATENATE($C42,Z$3),Bill_Out!$O$679:$O$756)</f>
        <v>0</v>
      </c>
    </row>
    <row r="43" spans="1:27">
      <c r="A43" s="306">
        <v>38</v>
      </c>
      <c r="B43" s="21" t="s">
        <v>14</v>
      </c>
      <c r="C43" s="8" t="s">
        <v>762</v>
      </c>
      <c r="D43" s="106">
        <f>SUMIF(Bill_Out!$Q$5:$Q$65,CONCATENATE($C43,D$3),Bill_Out!$N$5:$N$65)</f>
        <v>0</v>
      </c>
      <c r="E43" s="106">
        <f>SUMIF(Bill_Out!$Q$5:$Q$65,CONCATENATE($C43,D$3),Bill_Out!$O$5:$O$65)</f>
        <v>0</v>
      </c>
      <c r="F43" s="106">
        <f>SUMIF(Bill_Out!$Q$69:$Q$132,CONCATENATE($C43,F$3),Bill_Out!$N$69:$N$132)</f>
        <v>0</v>
      </c>
      <c r="G43" s="106">
        <f>SUMIF(Bill_Out!$Q$69:$Q$132,CONCATENATE($C43,F$3),Bill_Out!$O$69:$O$132)</f>
        <v>0</v>
      </c>
      <c r="H43" s="106">
        <f>SUMIF(Bill_Out!$Q$136:$Q$188,CONCATENATE($C43,H$3),Bill_Out!$N$136:$N$188)</f>
        <v>0</v>
      </c>
      <c r="I43" s="106">
        <f>SUMIF(Bill_Out!$Q$136:$Q$188,CONCATENATE($C43,H$3),Bill_Out!$O$136:$O$188)</f>
        <v>0</v>
      </c>
      <c r="J43" s="329">
        <f>SUMIF(Bill_Out!$Q$192:$Q$258,CONCATENATE($C43,J$3),Bill_Out!$N$192:$N$258)</f>
        <v>0</v>
      </c>
      <c r="K43" s="329">
        <f>SUMIF(Bill_Out!$Q$192:$Q$258,CONCATENATE($C43,J$3),Bill_Out!$O$192:$O$258)</f>
        <v>0</v>
      </c>
      <c r="L43" s="329">
        <f>SUMIF(Bill_Out!$Q$263:$Q$314,CONCATENATE($C43,L$3),Bill_Out!$N$263:$N$314)</f>
        <v>0</v>
      </c>
      <c r="M43" s="329">
        <f>SUMIF(Bill_Out!$Q$263:$Q$314,CONCATENATE($C43,L$3),Bill_Out!$O$263:$O$314)</f>
        <v>0</v>
      </c>
      <c r="N43" s="329">
        <f>SUMIF(Bill_Out!$Q$318:$Q$371,CONCATENATE($C43,N$3),Bill_Out!$N$318:$N$371)</f>
        <v>0</v>
      </c>
      <c r="O43" s="329">
        <f>SUMIF(Bill_Out!$Q$318:$Q$371,CONCATENATE($C43,N$3),Bill_Out!$O$318:$O$371)</f>
        <v>0</v>
      </c>
      <c r="P43" s="329">
        <f>SUMIF(Bill_Out!$Q$375:$Q$422,CONCATENATE($C43,P$3),Bill_Out!$N$375:$N$422)</f>
        <v>0</v>
      </c>
      <c r="Q43" s="329">
        <f>SUMIF(Bill_Out!$Q$375:$Q$422,CONCATENATE($C43,P$3),Bill_Out!$O$375:$O$422)</f>
        <v>0</v>
      </c>
      <c r="R43" s="329">
        <f>SUMIF(Bill_Out!$Q$426:$Q$472,CONCATENATE($C43,R$3),Bill_Out!$N$426:$N$472)</f>
        <v>0</v>
      </c>
      <c r="S43" s="329">
        <f>SUMIF(Bill_Out!$Q$426:$Q$472,CONCATENATE($C43,R$3),Bill_Out!$O$426:$O$472)</f>
        <v>0</v>
      </c>
      <c r="T43" s="329">
        <f>SUMIF(Bill_Out!$Q$476:$Q$530,CONCATENATE($C43,T$3),Bill_Out!$N$476:$N$530)</f>
        <v>0</v>
      </c>
      <c r="U43" s="329">
        <f>SUMIF(Bill_Out!$Q$476:$Q$530,CONCATENATE($C43,T$3),Bill_Out!$O$476:$O$530)</f>
        <v>0</v>
      </c>
      <c r="V43" s="329">
        <f>SUMIF(Bill_Out!$Q$530:$Q$606,CONCATENATE($C43,V$3),Bill_Out!$N$530:$N$606)</f>
        <v>0</v>
      </c>
      <c r="W43" s="329">
        <f>SUMIF(Bill_Out!$Q$530:$Q$606,CONCATENATE($C43,V$3),Bill_Out!$O$530:$O$606)</f>
        <v>0</v>
      </c>
      <c r="X43" s="329">
        <f>SUMIF(Bill_Out!$Q$610:$Q$675,CONCATENATE($C43,X$3),Bill_Out!$N$610:$N$675)</f>
        <v>0</v>
      </c>
      <c r="Y43" s="329">
        <f>SUMIF(Bill_Out!$Q$610:$Q$675,CONCATENATE($C43,X$3),Bill_Out!$O$610:$O$675)</f>
        <v>0</v>
      </c>
      <c r="Z43" s="329">
        <f>SUMIF(Bill_Out!$Q$679:$Q$756,CONCATENATE($C43,Z$3),Bill_Out!$N$679:$N$756)</f>
        <v>0</v>
      </c>
      <c r="AA43" s="329">
        <f>SUMIF(Bill_Out!$Q$679:$Q$756,CONCATENATE($C43,Z$3),Bill_Out!$O$679:$O$756)</f>
        <v>0</v>
      </c>
    </row>
    <row r="44" spans="1:27">
      <c r="A44" s="89">
        <v>39</v>
      </c>
      <c r="B44" s="783" t="s">
        <v>114</v>
      </c>
      <c r="C44" s="8" t="s">
        <v>760</v>
      </c>
      <c r="D44" s="106">
        <f>SUMIF(Bill_Out!$Q$5:$Q$65,CONCATENATE($C44,D$3),Bill_Out!$N$5:$N$65)</f>
        <v>0</v>
      </c>
      <c r="E44" s="106">
        <f>SUMIF(Bill_Out!$Q$5:$Q$65,CONCATENATE($C44,D$3),Bill_Out!$O$5:$O$65)</f>
        <v>0</v>
      </c>
      <c r="F44" s="106">
        <f>SUMIF(Bill_Out!$Q$69:$Q$132,CONCATENATE($C44,F$3),Bill_Out!$N$69:$N$132)</f>
        <v>0</v>
      </c>
      <c r="G44" s="106">
        <f>SUMIF(Bill_Out!$Q$69:$Q$132,CONCATENATE($C44,F$3),Bill_Out!$O$69:$O$132)</f>
        <v>0</v>
      </c>
      <c r="H44" s="106">
        <f>SUMIF(Bill_Out!$Q$136:$Q$188,CONCATENATE($C44,H$3),Bill_Out!$N$136:$N$188)</f>
        <v>0</v>
      </c>
      <c r="I44" s="106">
        <f>SUMIF(Bill_Out!$Q$136:$Q$188,CONCATENATE($C44,H$3),Bill_Out!$O$136:$O$188)</f>
        <v>0</v>
      </c>
      <c r="J44" s="329">
        <f>SUMIF(Bill_Out!$Q$192:$Q$258,CONCATENATE($C44,J$3),Bill_Out!$N$192:$N$258)</f>
        <v>0</v>
      </c>
      <c r="K44" s="329">
        <f>SUMIF(Bill_Out!$Q$192:$Q$258,CONCATENATE($C44,J$3),Bill_Out!$O$192:$O$258)</f>
        <v>0</v>
      </c>
      <c r="L44" s="329">
        <f>SUMIF(Bill_Out!$Q$263:$Q$314,CONCATENATE($C44,L$3),Bill_Out!$N$263:$N$314)</f>
        <v>0</v>
      </c>
      <c r="M44" s="329">
        <f>SUMIF(Bill_Out!$Q$263:$Q$314,CONCATENATE($C44,L$3),Bill_Out!$O$263:$O$314)</f>
        <v>0</v>
      </c>
      <c r="N44" s="329">
        <f>SUMIF(Bill_Out!$Q$318:$Q$371,CONCATENATE($C44,N$3),Bill_Out!$N$318:$N$371)</f>
        <v>0</v>
      </c>
      <c r="O44" s="329">
        <f>SUMIF(Bill_Out!$Q$318:$Q$371,CONCATENATE($C44,N$3),Bill_Out!$O$318:$O$371)</f>
        <v>0</v>
      </c>
      <c r="P44" s="329">
        <f>SUMIF(Bill_Out!$Q$375:$Q$422,CONCATENATE($C44,P$3),Bill_Out!$N$375:$N$422)</f>
        <v>0</v>
      </c>
      <c r="Q44" s="329">
        <f>SUMIF(Bill_Out!$Q$375:$Q$422,CONCATENATE($C44,P$3),Bill_Out!$O$375:$O$422)</f>
        <v>0</v>
      </c>
      <c r="R44" s="329">
        <f>SUMIF(Bill_Out!$Q$426:$Q$472,CONCATENATE($C44,R$3),Bill_Out!$N$426:$N$472)</f>
        <v>0</v>
      </c>
      <c r="S44" s="329">
        <f>SUMIF(Bill_Out!$Q$426:$Q$472,CONCATENATE($C44,R$3),Bill_Out!$O$426:$O$472)</f>
        <v>0</v>
      </c>
      <c r="T44" s="329">
        <f>SUMIF(Bill_Out!$Q$476:$Q$530,CONCATENATE($C44,T$3),Bill_Out!$N$476:$N$530)</f>
        <v>0</v>
      </c>
      <c r="U44" s="329">
        <f>SUMIF(Bill_Out!$Q$476:$Q$530,CONCATENATE($C44,T$3),Bill_Out!$O$476:$O$530)</f>
        <v>0</v>
      </c>
      <c r="V44" s="329">
        <f>SUMIF(Bill_Out!$Q$530:$Q$606,CONCATENATE($C44,V$3),Bill_Out!$N$530:$N$606)</f>
        <v>0</v>
      </c>
      <c r="W44" s="329">
        <f>SUMIF(Bill_Out!$Q$530:$Q$606,CONCATENATE($C44,V$3),Bill_Out!$O$530:$O$606)</f>
        <v>0</v>
      </c>
      <c r="X44" s="329">
        <f>SUMIF(Bill_Out!$Q$610:$Q$675,CONCATENATE($C44,X$3),Bill_Out!$N$610:$N$675)</f>
        <v>0</v>
      </c>
      <c r="Y44" s="329">
        <f>SUMIF(Bill_Out!$Q$610:$Q$675,CONCATENATE($C44,X$3),Bill_Out!$O$610:$O$675)</f>
        <v>0</v>
      </c>
      <c r="Z44" s="329">
        <f>SUMIF(Bill_Out!$Q$679:$Q$756,CONCATENATE($C44,Z$3),Bill_Out!$N$679:$N$756)</f>
        <v>0</v>
      </c>
      <c r="AA44" s="329">
        <f>SUMIF(Bill_Out!$Q$679:$Q$756,CONCATENATE($C44,Z$3),Bill_Out!$O$679:$O$756)</f>
        <v>0</v>
      </c>
    </row>
    <row r="45" spans="1:27">
      <c r="A45" s="306">
        <v>40</v>
      </c>
      <c r="B45" s="21" t="s">
        <v>123</v>
      </c>
      <c r="C45" s="8" t="s">
        <v>396</v>
      </c>
      <c r="D45" s="106">
        <f>SUMIF(Bill_Out!$Q$5:$Q$65,CONCATENATE($C45,D$3),Bill_Out!$N$5:$N$65)</f>
        <v>0</v>
      </c>
      <c r="E45" s="106">
        <f>SUMIF(Bill_Out!$Q$5:$Q$65,CONCATENATE($C45,D$3),Bill_Out!$O$5:$O$65)</f>
        <v>0</v>
      </c>
      <c r="F45" s="106">
        <f>SUMIF(Bill_Out!$Q$69:$Q$132,CONCATENATE($C45,F$3),Bill_Out!$N$69:$N$132)</f>
        <v>0</v>
      </c>
      <c r="G45" s="106">
        <f>SUMIF(Bill_Out!$Q$69:$Q$132,CONCATENATE($C45,F$3),Bill_Out!$O$69:$O$132)</f>
        <v>0</v>
      </c>
      <c r="H45" s="106">
        <f>SUMIF(Bill_Out!$Q$136:$Q$188,CONCATENATE($C45,H$3),Bill_Out!$N$136:$N$188)</f>
        <v>0</v>
      </c>
      <c r="I45" s="106">
        <f>SUMIF(Bill_Out!$Q$136:$Q$188,CONCATENATE($C45,H$3),Bill_Out!$O$136:$O$188)</f>
        <v>0</v>
      </c>
      <c r="J45" s="329">
        <f>SUMIF(Bill_Out!$Q$192:$Q$258,CONCATENATE($C45,J$3),Bill_Out!$N$192:$N$258)</f>
        <v>0</v>
      </c>
      <c r="K45" s="329" t="e">
        <f>SUMIF(Bill_Out!$Q$192:$Q$258,CONCATENATE($C45,J$3),Bill_Out!$O$192:$O$258)</f>
        <v>#VALUE!</v>
      </c>
      <c r="L45" s="329">
        <f>SUMIF(Bill_Out!$Q$263:$Q$314,CONCATENATE($C45,L$3),Bill_Out!$N$263:$N$314)</f>
        <v>0</v>
      </c>
      <c r="M45" s="329" t="e">
        <f>SUMIF(Bill_Out!$Q$263:$Q$314,CONCATENATE($C45,L$3),Bill_Out!$O$263:$O$314)</f>
        <v>#VALUE!</v>
      </c>
      <c r="N45" s="329">
        <f>SUMIF(Bill_Out!$Q$318:$Q$371,CONCATENATE($C45,N$3),Bill_Out!$N$318:$N$371)</f>
        <v>0</v>
      </c>
      <c r="O45" s="329">
        <f>SUMIF(Bill_Out!$Q$318:$Q$371,CONCATENATE($C45,N$3),Bill_Out!$O$318:$O$371)</f>
        <v>0</v>
      </c>
      <c r="P45" s="329">
        <f>SUMIF(Bill_Out!$Q$375:$Q$422,CONCATENATE($C45,P$3),Bill_Out!$N$375:$N$422)</f>
        <v>0</v>
      </c>
      <c r="Q45" s="329" t="e">
        <f>SUMIF(Bill_Out!$Q$375:$Q$422,CONCATENATE($C45,P$3),Bill_Out!$O$375:$O$422)</f>
        <v>#VALUE!</v>
      </c>
      <c r="R45" s="329">
        <f>SUMIF(Bill_Out!$Q$426:$Q$472,CONCATENATE($C45,R$3),Bill_Out!$N$426:$N$472)</f>
        <v>0</v>
      </c>
      <c r="S45" s="329" t="e">
        <f>SUMIF(Bill_Out!$Q$426:$Q$472,CONCATENATE($C45,R$3),Bill_Out!$O$426:$O$472)</f>
        <v>#VALUE!</v>
      </c>
      <c r="T45" s="329">
        <f>SUMIF(Bill_Out!$Q$476:$Q$530,CONCATENATE($C45,T$3),Bill_Out!$N$476:$N$530)</f>
        <v>0</v>
      </c>
      <c r="U45" s="329">
        <f>SUMIF(Bill_Out!$Q$476:$Q$530,CONCATENATE($C45,T$3),Bill_Out!$O$476:$O$530)</f>
        <v>0</v>
      </c>
      <c r="V45" s="329">
        <f>SUMIF(Bill_Out!$Q$530:$Q$606,CONCATENATE($C45,V$3),Bill_Out!$N$530:$N$606)</f>
        <v>0</v>
      </c>
      <c r="W45" s="329">
        <f>SUMIF(Bill_Out!$Q$530:$Q$606,CONCATENATE($C45,V$3),Bill_Out!$O$530:$O$606)</f>
        <v>0</v>
      </c>
      <c r="X45" s="329">
        <f>SUMIF(Bill_Out!$Q$610:$Q$675,CONCATENATE($C45,X$3),Bill_Out!$N$610:$N$675)</f>
        <v>0</v>
      </c>
      <c r="Y45" s="329">
        <f>SUMIF(Bill_Out!$Q$610:$Q$675,CONCATENATE($C45,X$3),Bill_Out!$O$610:$O$675)</f>
        <v>0</v>
      </c>
      <c r="Z45" s="329">
        <f>SUMIF(Bill_Out!$Q$679:$Q$756,CONCATENATE($C45,Z$3),Bill_Out!$N$679:$N$756)</f>
        <v>0</v>
      </c>
      <c r="AA45" s="329">
        <f>SUMIF(Bill_Out!$Q$679:$Q$756,CONCATENATE($C45,Z$3),Bill_Out!$O$679:$O$756)</f>
        <v>0</v>
      </c>
    </row>
    <row r="46" spans="1:27">
      <c r="A46" s="89">
        <v>41</v>
      </c>
      <c r="B46" s="783" t="s">
        <v>2195</v>
      </c>
      <c r="C46" s="8" t="s">
        <v>2194</v>
      </c>
      <c r="D46" s="106">
        <f>SUMIF(Bill_Out!$Q$5:$Q$65,CONCATENATE($C46,D$3),Bill_Out!$N$5:$N$65)</f>
        <v>0</v>
      </c>
      <c r="E46" s="106">
        <f>SUMIF(Bill_Out!$Q$5:$Q$65,CONCATENATE($C46,D$3),Bill_Out!$O$5:$O$65)</f>
        <v>0</v>
      </c>
      <c r="F46" s="106">
        <f>SUMIF(Bill_Out!$Q$69:$Q$132,CONCATENATE($C46,F$3),Bill_Out!$N$69:$N$132)</f>
        <v>0</v>
      </c>
      <c r="G46" s="106" t="e">
        <f>SUMIF(Bill_Out!$Q$69:$Q$132,CONCATENATE($C46,F$3),Bill_Out!$O$69:$O$132)</f>
        <v>#VALUE!</v>
      </c>
      <c r="H46" s="106">
        <f>SUMIF(Bill_Out!$Q$136:$Q$188,CONCATENATE($C46,H$3),Bill_Out!$N$136:$N$188)</f>
        <v>0</v>
      </c>
      <c r="I46" s="106">
        <f>SUMIF(Bill_Out!$Q$136:$Q$188,CONCATENATE($C46,H$3),Bill_Out!$O$136:$O$188)</f>
        <v>0</v>
      </c>
      <c r="J46" s="329">
        <f>SUMIF(Bill_Out!$Q$192:$Q$258,CONCATENATE($C46,J$3),Bill_Out!$N$192:$N$258)</f>
        <v>0</v>
      </c>
      <c r="K46" s="329">
        <f>SUMIF(Bill_Out!$Q$192:$Q$258,CONCATENATE($C46,J$3),Bill_Out!$O$192:$O$258)</f>
        <v>0</v>
      </c>
      <c r="L46" s="329">
        <f>SUMIF(Bill_Out!$Q$263:$Q$314,CONCATENATE($C46,L$3),Bill_Out!$N$263:$N$314)</f>
        <v>0</v>
      </c>
      <c r="M46" s="329">
        <f>SUMIF(Bill_Out!$Q$263:$Q$314,CONCATENATE($C46,L$3),Bill_Out!$O$263:$O$314)</f>
        <v>0</v>
      </c>
      <c r="N46" s="329">
        <f>SUMIF(Bill_Out!$Q$318:$Q$371,CONCATENATE($C46,N$3),Bill_Out!$N$318:$N$371)</f>
        <v>0</v>
      </c>
      <c r="O46" s="329">
        <f>SUMIF(Bill_Out!$Q$318:$Q$371,CONCATENATE($C46,N$3),Bill_Out!$O$318:$O$371)</f>
        <v>0</v>
      </c>
      <c r="P46" s="329">
        <f>SUMIF(Bill_Out!$Q$375:$Q$422,CONCATENATE($C46,P$3),Bill_Out!$N$375:$N$422)</f>
        <v>0</v>
      </c>
      <c r="Q46" s="329">
        <f>SUMIF(Bill_Out!$Q$375:$Q$422,CONCATENATE($C46,P$3),Bill_Out!$O$375:$O$422)</f>
        <v>0</v>
      </c>
      <c r="R46" s="329">
        <f>SUMIF(Bill_Out!$Q$426:$Q$472,CONCATENATE($C46,R$3),Bill_Out!$N$426:$N$472)</f>
        <v>0</v>
      </c>
      <c r="S46" s="329">
        <f>SUMIF(Bill_Out!$Q$426:$Q$472,CONCATENATE($C46,R$3),Bill_Out!$O$426:$O$472)</f>
        <v>0</v>
      </c>
      <c r="T46" s="329"/>
      <c r="U46" s="329"/>
      <c r="V46" s="329"/>
      <c r="W46" s="329"/>
      <c r="X46" s="329"/>
      <c r="Y46" s="329"/>
      <c r="Z46" s="329"/>
      <c r="AA46" s="329"/>
    </row>
    <row r="47" spans="1:27">
      <c r="A47" s="306">
        <v>42</v>
      </c>
      <c r="B47" s="21" t="s">
        <v>107</v>
      </c>
      <c r="C47" s="11" t="s">
        <v>108</v>
      </c>
      <c r="D47" s="106">
        <f>SUMIF(Bill_Out!$Q$5:$Q$65,CONCATENATE($C47,D$3),Bill_Out!$N$5:$N$65)</f>
        <v>0</v>
      </c>
      <c r="E47" s="106" t="e">
        <f>SUMIF(Bill_Out!$Q$5:$Q$65,CONCATENATE($C47,D$3),Bill_Out!$O$5:$O$65)</f>
        <v>#VALUE!</v>
      </c>
      <c r="F47" s="106">
        <f>SUMIF(Bill_Out!$Q$69:$Q$132,CONCATENATE($C47,F$3),Bill_Out!$N$69:$N$132)</f>
        <v>0</v>
      </c>
      <c r="G47" s="106">
        <f>SUMIF(Bill_Out!$Q$69:$Q$132,CONCATENATE($C47,F$3),Bill_Out!$O$69:$O$132)</f>
        <v>0</v>
      </c>
      <c r="H47" s="106">
        <f>SUMIF(Bill_Out!$Q$136:$Q$188,CONCATENATE($C47,H$3),Bill_Out!$N$136:$N$188)</f>
        <v>0</v>
      </c>
      <c r="I47" s="106" t="e">
        <f>SUMIF(Bill_Out!$Q$136:$Q$188,CONCATENATE($C47,H$3),Bill_Out!$O$136:$O$188)</f>
        <v>#VALUE!</v>
      </c>
      <c r="J47" s="329">
        <f>SUMIF(Bill_Out!$Q$192:$Q$258,CONCATENATE($C47,J$3),Bill_Out!$N$192:$N$258)</f>
        <v>0</v>
      </c>
      <c r="K47" s="329" t="e">
        <f>SUMIF(Bill_Out!$Q$192:$Q$258,CONCATENATE($C47,J$3),Bill_Out!$O$192:$O$258)</f>
        <v>#VALUE!</v>
      </c>
      <c r="L47" s="329">
        <f>SUMIF(Bill_Out!$Q$263:$Q$314,CONCATENATE($C47,L$3),Bill_Out!$N$263:$N$314)</f>
        <v>0</v>
      </c>
      <c r="M47" s="329" t="e">
        <f>SUMIF(Bill_Out!$Q$263:$Q$314,CONCATENATE($C47,L$3),Bill_Out!$O$263:$O$314)</f>
        <v>#VALUE!</v>
      </c>
      <c r="N47" s="329">
        <f>SUMIF(Bill_Out!$Q$318:$Q$371,CONCATENATE($C47,N$3),Bill_Out!$N$318:$N$371)</f>
        <v>0</v>
      </c>
      <c r="O47" s="329" t="e">
        <f>SUMIF(Bill_Out!$Q$318:$Q$371,CONCATENATE($C47,N$3),Bill_Out!$O$318:$O$371)</f>
        <v>#VALUE!</v>
      </c>
      <c r="P47" s="329">
        <f>SUMIF(Bill_Out!$Q$375:$Q$422,CONCATENATE($C47,P$3),Bill_Out!$N$375:$N$422)</f>
        <v>0</v>
      </c>
      <c r="Q47" s="329" t="e">
        <f>SUMIF(Bill_Out!$Q$375:$Q$422,CONCATENATE($C47,P$3),Bill_Out!$O$375:$O$422)</f>
        <v>#VALUE!</v>
      </c>
      <c r="R47" s="329">
        <f>SUMIF(Bill_Out!$Q$426:$Q$472,CONCATENATE($C47,R$3),Bill_Out!$N$426:$N$472)</f>
        <v>0</v>
      </c>
      <c r="S47" s="329" t="e">
        <f>SUMIF(Bill_Out!$Q$426:$Q$472,CONCATENATE($C47,R$3),Bill_Out!$O$426:$O$472)</f>
        <v>#VALUE!</v>
      </c>
      <c r="T47" s="329">
        <f>SUMIF(Bill_Out!$Q$476:$Q$530,CONCATENATE($C47,T$3),Bill_Out!$N$476:$N$530)</f>
        <v>0</v>
      </c>
      <c r="U47" s="329">
        <f>SUMIF(Bill_Out!$Q$476:$Q$530,CONCATENATE($C47,T$3),Bill_Out!$O$476:$O$530)</f>
        <v>0</v>
      </c>
      <c r="V47" s="329">
        <f>SUMIF(Bill_Out!$Q$530:$Q$606,CONCATENATE($C47,V$3),Bill_Out!$N$530:$N$606)</f>
        <v>0</v>
      </c>
      <c r="W47" s="329" t="e">
        <f>SUMIF(Bill_Out!$Q$530:$Q$606,CONCATENATE($C47,V$3),Bill_Out!$O$530:$O$606)</f>
        <v>#VALUE!</v>
      </c>
      <c r="X47" s="329">
        <f>SUMIF(Bill_Out!$Q$610:$Q$675,CONCATENATE($C47,X$3),Bill_Out!$N$610:$N$675)</f>
        <v>0</v>
      </c>
      <c r="Y47" s="329" t="e">
        <f>SUMIF(Bill_Out!$Q$610:$Q$675,CONCATENATE($C47,X$3),Bill_Out!$O$610:$O$675)</f>
        <v>#VALUE!</v>
      </c>
      <c r="Z47" s="329">
        <f>SUMIF(Bill_Out!$Q$679:$Q$756,CONCATENATE($C47,Z$3),Bill_Out!$N$679:$N$756)</f>
        <v>0</v>
      </c>
      <c r="AA47" s="329" t="e">
        <f>SUMIF(Bill_Out!$Q$679:$Q$756,CONCATENATE($C47,Z$3),Bill_Out!$O$679:$O$756)</f>
        <v>#VALUE!</v>
      </c>
    </row>
    <row r="48" spans="1:27">
      <c r="A48" s="89">
        <v>43</v>
      </c>
      <c r="B48" s="21" t="s">
        <v>608</v>
      </c>
      <c r="C48" s="11" t="s">
        <v>606</v>
      </c>
      <c r="D48" s="106">
        <f>SUMIF(Bill_Out!$Q$5:$Q$65,CONCATENATE($C48,D$3),Bill_Out!$N$5:$N$65)</f>
        <v>0</v>
      </c>
      <c r="E48" s="106" t="e">
        <f>SUMIF(Bill_Out!$Q$5:$Q$65,CONCATENATE($C48,D$3),Bill_Out!$O$5:$O$65)</f>
        <v>#VALUE!</v>
      </c>
      <c r="F48" s="106">
        <f>SUMIF(Bill_Out!$Q$69:$Q$132,CONCATENATE($C48,F$3),Bill_Out!$N$69:$N$132)</f>
        <v>0</v>
      </c>
      <c r="G48" s="106" t="e">
        <f>SUMIF(Bill_Out!$Q$69:$Q$132,CONCATENATE($C48,F$3),Bill_Out!$O$69:$O$132)</f>
        <v>#VALUE!</v>
      </c>
      <c r="H48" s="106">
        <f>SUMIF(Bill_Out!$Q$136:$Q$188,CONCATENATE($C48,H$3),Bill_Out!$N$136:$N$188)</f>
        <v>0</v>
      </c>
      <c r="I48" s="106">
        <f>SUMIF(Bill_Out!$Q$136:$Q$188,CONCATENATE($C48,H$3),Bill_Out!$O$136:$O$188)</f>
        <v>0</v>
      </c>
      <c r="J48" s="329">
        <f>SUMIF(Bill_Out!$Q$192:$Q$258,CONCATENATE($C48,J$3),Bill_Out!$N$192:$N$258)</f>
        <v>0</v>
      </c>
      <c r="K48" s="329">
        <f>SUMIF(Bill_Out!$Q$192:$Q$258,CONCATENATE($C48,J$3),Bill_Out!$O$192:$O$258)</f>
        <v>0</v>
      </c>
      <c r="L48" s="329">
        <f>SUMIF(Bill_Out!$Q$263:$Q$314,CONCATENATE($C48,L$3),Bill_Out!$N$263:$N$314)</f>
        <v>0</v>
      </c>
      <c r="M48" s="329">
        <f>SUMIF(Bill_Out!$Q$263:$Q$314,CONCATENATE($C48,L$3),Bill_Out!$O$263:$O$314)</f>
        <v>0</v>
      </c>
      <c r="N48" s="329">
        <f>SUMIF(Bill_Out!$Q$318:$Q$371,CONCATENATE($C48,N$3),Bill_Out!$N$318:$N$371)</f>
        <v>0</v>
      </c>
      <c r="O48" s="329">
        <f>SUMIF(Bill_Out!$Q$318:$Q$371,CONCATENATE($C48,N$3),Bill_Out!$O$318:$O$371)</f>
        <v>0</v>
      </c>
      <c r="P48" s="329">
        <f>SUMIF(Bill_Out!$Q$375:$Q$422,CONCATENATE($C48,P$3),Bill_Out!$N$375:$N$422)</f>
        <v>0</v>
      </c>
      <c r="Q48" s="329">
        <f>SUMIF(Bill_Out!$Q$375:$Q$422,CONCATENATE($C48,P$3),Bill_Out!$O$375:$O$422)</f>
        <v>0</v>
      </c>
      <c r="R48" s="329">
        <f>SUMIF(Bill_Out!$Q$426:$Q$472,CONCATENATE($C48,R$3),Bill_Out!$N$426:$N$472)</f>
        <v>0</v>
      </c>
      <c r="S48" s="329">
        <f>SUMIF(Bill_Out!$Q$426:$Q$472,CONCATENATE($C48,R$3),Bill_Out!$O$426:$O$472)</f>
        <v>0</v>
      </c>
      <c r="T48" s="329">
        <f>SUMIF(Bill_Out!$Q$476:$Q$530,CONCATENATE($C48,T$3),Bill_Out!$N$476:$N$530)</f>
        <v>0</v>
      </c>
      <c r="U48" s="329">
        <f>SUMIF(Bill_Out!$Q$476:$Q$530,CONCATENATE($C48,T$3),Bill_Out!$O$476:$O$530)</f>
        <v>0</v>
      </c>
      <c r="V48" s="329">
        <f>SUMIF(Bill_Out!$Q$530:$Q$606,CONCATENATE($C48,V$3),Bill_Out!$N$530:$N$606)</f>
        <v>0</v>
      </c>
      <c r="W48" s="329">
        <f>SUMIF(Bill_Out!$Q$530:$Q$606,CONCATENATE($C48,V$3),Bill_Out!$O$530:$O$606)</f>
        <v>0</v>
      </c>
      <c r="X48" s="329">
        <f>SUMIF(Bill_Out!$Q$610:$Q$675,CONCATENATE($C48,X$3),Bill_Out!$N$610:$N$675)</f>
        <v>0</v>
      </c>
      <c r="Y48" s="329">
        <f>SUMIF(Bill_Out!$Q$610:$Q$675,CONCATENATE($C48,X$3),Bill_Out!$O$610:$O$675)</f>
        <v>0</v>
      </c>
      <c r="Z48" s="329">
        <f>SUMIF(Bill_Out!$Q$679:$Q$756,CONCATENATE($C48,Z$3),Bill_Out!$N$679:$N$756)</f>
        <v>0</v>
      </c>
      <c r="AA48" s="329">
        <f>SUMIF(Bill_Out!$Q$679:$Q$756,CONCATENATE($C48,Z$3),Bill_Out!$O$679:$O$756)</f>
        <v>0</v>
      </c>
    </row>
    <row r="49" spans="1:27">
      <c r="A49" s="306">
        <v>44</v>
      </c>
      <c r="B49" s="21" t="s">
        <v>642</v>
      </c>
      <c r="C49" s="11" t="s">
        <v>639</v>
      </c>
      <c r="D49" s="106">
        <f>SUMIF(Bill_Out!$Q$5:$Q$65,CONCATENATE($C49,D$3),Bill_Out!$N$5:$N$65)</f>
        <v>0</v>
      </c>
      <c r="E49" s="106">
        <f>SUMIF(Bill_Out!$Q$5:$Q$65,CONCATENATE($C49,D$3),Bill_Out!$O$5:$O$65)</f>
        <v>0</v>
      </c>
      <c r="F49" s="106">
        <f>SUMIF(Bill_Out!$Q$69:$Q$132,CONCATENATE($C49,F$3),Bill_Out!$N$69:$N$132)</f>
        <v>0</v>
      </c>
      <c r="G49" s="106">
        <f>SUMIF(Bill_Out!$Q$69:$Q$132,CONCATENATE($C49,F$3),Bill_Out!$O$69:$O$132)</f>
        <v>0</v>
      </c>
      <c r="H49" s="106">
        <f>SUMIF(Bill_Out!$Q$136:$Q$188,CONCATENATE($C49,H$3),Bill_Out!$N$136:$N$188)</f>
        <v>0</v>
      </c>
      <c r="I49" s="106">
        <f>SUMIF(Bill_Out!$Q$136:$Q$188,CONCATENATE($C49,H$3),Bill_Out!$O$136:$O$188)</f>
        <v>0</v>
      </c>
      <c r="J49" s="329">
        <f>SUMIF(Bill_Out!$Q$192:$Q$258,CONCATENATE($C49,J$3),Bill_Out!$N$192:$N$258)</f>
        <v>0</v>
      </c>
      <c r="K49" s="329">
        <f>SUMIF(Bill_Out!$Q$192:$Q$258,CONCATENATE($C49,J$3),Bill_Out!$O$192:$O$258)</f>
        <v>0</v>
      </c>
      <c r="L49" s="329">
        <f>SUMIF(Bill_Out!$Q$263:$Q$314,CONCATENATE($C49,L$3),Bill_Out!$N$263:$N$314)</f>
        <v>0</v>
      </c>
      <c r="M49" s="329">
        <f>SUMIF(Bill_Out!$Q$263:$Q$314,CONCATENATE($C49,L$3),Bill_Out!$O$263:$O$314)</f>
        <v>0</v>
      </c>
      <c r="N49" s="329">
        <f>SUMIF(Bill_Out!$Q$318:$Q$371,CONCATENATE($C49,N$3),Bill_Out!$N$318:$N$371)</f>
        <v>0</v>
      </c>
      <c r="O49" s="329">
        <f>SUMIF(Bill_Out!$Q$318:$Q$371,CONCATENATE($C49,N$3),Bill_Out!$O$318:$O$371)</f>
        <v>0</v>
      </c>
      <c r="P49" s="329">
        <f>SUMIF(Bill_Out!$Q$375:$Q$422,CONCATENATE($C49,P$3),Bill_Out!$N$375:$N$422)</f>
        <v>0</v>
      </c>
      <c r="Q49" s="329">
        <f>SUMIF(Bill_Out!$Q$375:$Q$422,CONCATENATE($C49,P$3),Bill_Out!$O$375:$O$422)</f>
        <v>0</v>
      </c>
      <c r="R49" s="329">
        <f>SUMIF(Bill_Out!$Q$426:$Q$472,CONCATENATE($C49,R$3),Bill_Out!$N$426:$N$472)</f>
        <v>0</v>
      </c>
      <c r="S49" s="329">
        <f>SUMIF(Bill_Out!$Q$426:$Q$472,CONCATENATE($C49,R$3),Bill_Out!$O$426:$O$472)</f>
        <v>0</v>
      </c>
      <c r="T49" s="329">
        <f>SUMIF(Bill_Out!$Q$476:$Q$530,CONCATENATE($C49,T$3),Bill_Out!$N$476:$N$530)</f>
        <v>0</v>
      </c>
      <c r="U49" s="329">
        <f>SUMIF(Bill_Out!$Q$476:$Q$530,CONCATENATE($C49,T$3),Bill_Out!$O$476:$O$530)</f>
        <v>0</v>
      </c>
      <c r="V49" s="329">
        <f>SUMIF(Bill_Out!$Q$530:$Q$606,CONCATENATE($C49,V$3),Bill_Out!$N$530:$N$606)</f>
        <v>0</v>
      </c>
      <c r="W49" s="329">
        <f>SUMIF(Bill_Out!$Q$530:$Q$606,CONCATENATE($C49,V$3),Bill_Out!$O$530:$O$606)</f>
        <v>0</v>
      </c>
      <c r="X49" s="329">
        <f>SUMIF(Bill_Out!$Q$610:$Q$675,CONCATENATE($C49,X$3),Bill_Out!$N$610:$N$675)</f>
        <v>0</v>
      </c>
      <c r="Y49" s="329">
        <f>SUMIF(Bill_Out!$Q$610:$Q$675,CONCATENATE($C49,X$3),Bill_Out!$O$610:$O$675)</f>
        <v>0</v>
      </c>
      <c r="Z49" s="329">
        <f>SUMIF(Bill_Out!$Q$679:$Q$756,CONCATENATE($C49,Z$3),Bill_Out!$N$679:$N$756)</f>
        <v>0</v>
      </c>
      <c r="AA49" s="329">
        <f>SUMIF(Bill_Out!$Q$679:$Q$756,CONCATENATE($C49,Z$3),Bill_Out!$O$679:$O$756)</f>
        <v>0</v>
      </c>
    </row>
    <row r="50" spans="1:27">
      <c r="A50" s="89">
        <v>45</v>
      </c>
      <c r="B50" s="21" t="s">
        <v>135</v>
      </c>
      <c r="C50" s="8" t="s">
        <v>136</v>
      </c>
      <c r="D50" s="106">
        <f>SUMIF(Bill_Out!$Q$5:$Q$65,CONCATENATE($C50,D$3),Bill_Out!$N$5:$N$65)</f>
        <v>0</v>
      </c>
      <c r="E50" s="106" t="e">
        <f>SUMIF(Bill_Out!$Q$5:$Q$65,CONCATENATE($C50,D$3),Bill_Out!$O$5:$O$65)</f>
        <v>#VALUE!</v>
      </c>
      <c r="F50" s="106">
        <f>SUMIF(Bill_Out!$Q$69:$Q$132,CONCATENATE($C50,F$3),Bill_Out!$N$69:$N$132)</f>
        <v>0</v>
      </c>
      <c r="G50" s="106" t="e">
        <f>SUMIF(Bill_Out!$Q$69:$Q$132,CONCATENATE($C50,F$3),Bill_Out!$O$69:$O$132)</f>
        <v>#VALUE!</v>
      </c>
      <c r="H50" s="106">
        <f>SUMIF(Bill_Out!$Q$136:$Q$188,CONCATENATE($C50,H$3),Bill_Out!$N$136:$N$188)</f>
        <v>0</v>
      </c>
      <c r="I50" s="106" t="e">
        <f>SUMIF(Bill_Out!$Q$136:$Q$188,CONCATENATE($C50,H$3),Bill_Out!$O$136:$O$188)</f>
        <v>#VALUE!</v>
      </c>
      <c r="J50" s="329">
        <f>SUMIF(Bill_Out!$Q$192:$Q$258,CONCATENATE($C50,J$3),Bill_Out!$N$192:$N$258)</f>
        <v>0</v>
      </c>
      <c r="K50" s="329" t="e">
        <f>SUMIF(Bill_Out!$Q$192:$Q$258,CONCATENATE($C50,J$3),Bill_Out!$O$192:$O$258)</f>
        <v>#VALUE!</v>
      </c>
      <c r="L50" s="329">
        <f>SUMIF(Bill_Out!$Q$263:$Q$314,CONCATENATE($C50,L$3),Bill_Out!$N$263:$N$314)</f>
        <v>0</v>
      </c>
      <c r="M50" s="329" t="e">
        <f>SUMIF(Bill_Out!$Q$263:$Q$314,CONCATENATE($C50,L$3),Bill_Out!$O$263:$O$314)</f>
        <v>#VALUE!</v>
      </c>
      <c r="N50" s="329">
        <f>SUMIF(Bill_Out!$Q$318:$Q$371,CONCATENATE($C50,N$3),Bill_Out!$N$318:$N$371)</f>
        <v>0</v>
      </c>
      <c r="O50" s="329" t="e">
        <f>SUMIF(Bill_Out!$Q$318:$Q$371,CONCATENATE($C50,N$3),Bill_Out!$O$318:$O$371)</f>
        <v>#VALUE!</v>
      </c>
      <c r="P50" s="329">
        <f>SUMIF(Bill_Out!$Q$375:$Q$422,CONCATENATE($C50,P$3),Bill_Out!$N$375:$N$422)</f>
        <v>0</v>
      </c>
      <c r="Q50" s="329" t="e">
        <f>SUMIF(Bill_Out!$Q$375:$Q$422,CONCATENATE($C50,P$3),Bill_Out!$O$375:$O$422)</f>
        <v>#VALUE!</v>
      </c>
      <c r="R50" s="329">
        <f>SUMIF(Bill_Out!$Q$426:$Q$472,CONCATENATE($C50,R$3),Bill_Out!$N$426:$N$472)</f>
        <v>0</v>
      </c>
      <c r="S50" s="329" t="e">
        <f>SUMIF(Bill_Out!$Q$426:$Q$472,CONCATENATE($C50,R$3),Bill_Out!$O$426:$O$472)</f>
        <v>#VALUE!</v>
      </c>
      <c r="T50" s="329">
        <f>SUMIF(Bill_Out!$Q$476:$Q$530,CONCATENATE($C50,T$3),Bill_Out!$N$476:$N$530)</f>
        <v>0</v>
      </c>
      <c r="U50" s="329">
        <f>SUMIF(Bill_Out!$Q$476:$Q$530,CONCATENATE($C50,T$3),Bill_Out!$O$476:$O$530)</f>
        <v>0</v>
      </c>
      <c r="V50" s="329">
        <f>SUMIF(Bill_Out!$Q$530:$Q$606,CONCATENATE($C50,V$3),Bill_Out!$N$530:$N$606)</f>
        <v>0</v>
      </c>
      <c r="W50" s="329" t="e">
        <f>SUMIF(Bill_Out!$Q$530:$Q$606,CONCATENATE($C50,V$3),Bill_Out!$O$530:$O$606)</f>
        <v>#VALUE!</v>
      </c>
      <c r="X50" s="329">
        <f>SUMIF(Bill_Out!$Q$610:$Q$675,CONCATENATE($C50,X$3),Bill_Out!$N$610:$N$675)</f>
        <v>0</v>
      </c>
      <c r="Y50" s="329" t="e">
        <f>SUMIF(Bill_Out!$Q$610:$Q$675,CONCATENATE($C50,X$3),Bill_Out!$O$610:$O$675)</f>
        <v>#VALUE!</v>
      </c>
      <c r="Z50" s="329">
        <f>SUMIF(Bill_Out!$Q$679:$Q$756,CONCATENATE($C50,Z$3),Bill_Out!$N$679:$N$756)</f>
        <v>0</v>
      </c>
      <c r="AA50" s="329" t="e">
        <f>SUMIF(Bill_Out!$Q$679:$Q$756,CONCATENATE($C50,Z$3),Bill_Out!$O$679:$O$756)</f>
        <v>#VALUE!</v>
      </c>
    </row>
    <row r="51" spans="1:27">
      <c r="A51" s="306">
        <v>46</v>
      </c>
      <c r="B51" s="21" t="s">
        <v>73</v>
      </c>
      <c r="C51" s="11" t="s">
        <v>212</v>
      </c>
      <c r="D51" s="106">
        <f>SUMIF(Bill_Out!$Q$5:$Q$65,CONCATENATE($C51,D$3),Bill_Out!$N$5:$N$65)</f>
        <v>0</v>
      </c>
      <c r="E51" s="106">
        <f>SUMIF(Bill_Out!$Q$5:$Q$65,CONCATENATE($C51,D$3),Bill_Out!$O$5:$O$65)</f>
        <v>0</v>
      </c>
      <c r="F51" s="106">
        <f>SUMIF(Bill_Out!$Q$69:$Q$132,CONCATENATE($C51,F$3),Bill_Out!$N$69:$N$132)</f>
        <v>0</v>
      </c>
      <c r="G51" s="106">
        <f>SUMIF(Bill_Out!$Q$69:$Q$132,CONCATENATE($C51,F$3),Bill_Out!$O$69:$O$132)</f>
        <v>0</v>
      </c>
      <c r="H51" s="106">
        <f>SUMIF(Bill_Out!$Q$136:$Q$188,CONCATENATE($C51,H$3),Bill_Out!$N$136:$N$188)</f>
        <v>0</v>
      </c>
      <c r="I51" s="106">
        <f>SUMIF(Bill_Out!$Q$136:$Q$188,CONCATENATE($C51,H$3),Bill_Out!$O$136:$O$188)</f>
        <v>0</v>
      </c>
      <c r="J51" s="329">
        <f>SUMIF(Bill_Out!$Q$192:$Q$258,CONCATENATE($C51,J$3),Bill_Out!$N$192:$N$258)</f>
        <v>0</v>
      </c>
      <c r="K51" s="329">
        <f>SUMIF(Bill_Out!$Q$192:$Q$258,CONCATENATE($C51,J$3),Bill_Out!$O$192:$O$258)</f>
        <v>0</v>
      </c>
      <c r="L51" s="329">
        <f>SUMIF(Bill_Out!$Q$263:$Q$314,CONCATENATE($C51,L$3),Bill_Out!$N$263:$N$314)</f>
        <v>0</v>
      </c>
      <c r="M51" s="329">
        <f>SUMIF(Bill_Out!$Q$263:$Q$314,CONCATENATE($C51,L$3),Bill_Out!$O$263:$O$314)</f>
        <v>0</v>
      </c>
      <c r="N51" s="329">
        <f>SUMIF(Bill_Out!$Q$318:$Q$371,CONCATENATE($C51,N$3),Bill_Out!$N$318:$N$371)</f>
        <v>0</v>
      </c>
      <c r="O51" s="329">
        <f>SUMIF(Bill_Out!$Q$318:$Q$371,CONCATENATE($C51,N$3),Bill_Out!$O$318:$O$371)</f>
        <v>0</v>
      </c>
      <c r="P51" s="329">
        <f>SUMIF(Bill_Out!$Q$375:$Q$422,CONCATENATE($C51,P$3),Bill_Out!$N$375:$N$422)</f>
        <v>0</v>
      </c>
      <c r="Q51" s="329">
        <f>SUMIF(Bill_Out!$Q$375:$Q$422,CONCATENATE($C51,P$3),Bill_Out!$O$375:$O$422)</f>
        <v>0</v>
      </c>
      <c r="R51" s="329">
        <f>SUMIF(Bill_Out!$Q$426:$Q$472,CONCATENATE($C51,R$3),Bill_Out!$N$426:$N$472)</f>
        <v>0</v>
      </c>
      <c r="S51" s="329">
        <f>SUMIF(Bill_Out!$Q$426:$Q$472,CONCATENATE($C51,R$3),Bill_Out!$O$426:$O$472)</f>
        <v>0</v>
      </c>
      <c r="T51" s="329">
        <f>SUMIF(Bill_Out!$Q$476:$Q$530,CONCATENATE($C51,T$3),Bill_Out!$N$476:$N$530)</f>
        <v>0</v>
      </c>
      <c r="U51" s="329">
        <f>SUMIF(Bill_Out!$Q$476:$Q$530,CONCATENATE($C51,T$3),Bill_Out!$O$476:$O$530)</f>
        <v>0</v>
      </c>
      <c r="V51" s="329">
        <f>SUMIF(Bill_Out!$Q$530:$Q$606,CONCATENATE($C51,V$3),Bill_Out!$N$530:$N$606)</f>
        <v>0</v>
      </c>
      <c r="W51" s="329">
        <f>SUMIF(Bill_Out!$Q$530:$Q$606,CONCATENATE($C51,V$3),Bill_Out!$O$530:$O$606)</f>
        <v>0</v>
      </c>
      <c r="X51" s="329">
        <f>SUMIF(Bill_Out!$Q$610:$Q$675,CONCATENATE($C51,X$3),Bill_Out!$N$610:$N$675)</f>
        <v>0</v>
      </c>
      <c r="Y51" s="329">
        <f>SUMIF(Bill_Out!$Q$610:$Q$675,CONCATENATE($C51,X$3),Bill_Out!$O$610:$O$675)</f>
        <v>0</v>
      </c>
      <c r="Z51" s="329">
        <f>SUMIF(Bill_Out!$Q$679:$Q$756,CONCATENATE($C51,Z$3),Bill_Out!$N$679:$N$756)</f>
        <v>0</v>
      </c>
      <c r="AA51" s="329">
        <f>SUMIF(Bill_Out!$Q$679:$Q$756,CONCATENATE($C51,Z$3),Bill_Out!$O$679:$O$756)</f>
        <v>0</v>
      </c>
    </row>
    <row r="52" spans="1:27">
      <c r="A52" s="89">
        <v>47</v>
      </c>
      <c r="B52" s="21" t="s">
        <v>645</v>
      </c>
      <c r="C52" s="8" t="s">
        <v>764</v>
      </c>
      <c r="D52" s="106">
        <f>SUMIF(Bill_Out!$Q$5:$Q$65,CONCATENATE($C52,D$3),Bill_Out!$N$5:$N$65)</f>
        <v>0</v>
      </c>
      <c r="E52" s="106" t="e">
        <f>SUMIF(Bill_Out!$Q$5:$Q$65,CONCATENATE($C52,D$3),Bill_Out!$O$5:$O$65)</f>
        <v>#VALUE!</v>
      </c>
      <c r="F52" s="106">
        <f>SUMIF(Bill_Out!$Q$69:$Q$132,CONCATENATE($C52,F$3),Bill_Out!$N$69:$N$132)</f>
        <v>0</v>
      </c>
      <c r="G52" s="106" t="e">
        <f>SUMIF(Bill_Out!$Q$69:$Q$132,CONCATENATE($C52,F$3),Bill_Out!$O$69:$O$132)</f>
        <v>#VALUE!</v>
      </c>
      <c r="H52" s="106">
        <f>SUMIF(Bill_Out!$Q$136:$Q$188,CONCATENATE($C52,H$3),Bill_Out!$N$136:$N$188)</f>
        <v>0</v>
      </c>
      <c r="I52" s="106">
        <f>SUMIF(Bill_Out!$Q$136:$Q$188,CONCATENATE($C52,H$3),Bill_Out!$O$136:$O$188)</f>
        <v>0</v>
      </c>
      <c r="J52" s="329">
        <f>SUMIF(Bill_Out!$Q$192:$Q$258,CONCATENATE($C52,J$3),Bill_Out!$N$192:$N$258)</f>
        <v>0</v>
      </c>
      <c r="K52" s="329" t="e">
        <f>SUMIF(Bill_Out!$Q$192:$Q$258,CONCATENATE($C52,J$3),Bill_Out!$O$192:$O$258)</f>
        <v>#VALUE!</v>
      </c>
      <c r="L52" s="329">
        <f>SUMIF(Bill_Out!$Q$263:$Q$314,CONCATENATE($C52,L$3),Bill_Out!$N$263:$N$314)</f>
        <v>0</v>
      </c>
      <c r="M52" s="329" t="e">
        <f>SUMIF(Bill_Out!$Q$263:$Q$314,CONCATENATE($C52,L$3),Bill_Out!$O$263:$O$314)</f>
        <v>#VALUE!</v>
      </c>
      <c r="N52" s="329">
        <f>SUMIF(Bill_Out!$Q$318:$Q$371,CONCATENATE($C52,N$3),Bill_Out!$N$318:$N$371)</f>
        <v>0</v>
      </c>
      <c r="O52" s="329" t="e">
        <f>SUMIF(Bill_Out!$Q$318:$Q$371,CONCATENATE($C52,N$3),Bill_Out!$O$318:$O$371)</f>
        <v>#VALUE!</v>
      </c>
      <c r="P52" s="329">
        <f>SUMIF(Bill_Out!$Q$375:$Q$422,CONCATENATE($C52,P$3),Bill_Out!$N$375:$N$422)</f>
        <v>0</v>
      </c>
      <c r="Q52" s="329" t="e">
        <f>SUMIF(Bill_Out!$Q$375:$Q$422,CONCATENATE($C52,P$3),Bill_Out!$O$375:$O$422)</f>
        <v>#VALUE!</v>
      </c>
      <c r="R52" s="329">
        <f>SUMIF(Bill_Out!$Q$426:$Q$472,CONCATENATE($C52,R$3),Bill_Out!$N$426:$N$472)</f>
        <v>0</v>
      </c>
      <c r="S52" s="329" t="e">
        <f>SUMIF(Bill_Out!$Q$426:$Q$472,CONCATENATE($C52,R$3),Bill_Out!$O$426:$O$472)</f>
        <v>#VALUE!</v>
      </c>
      <c r="T52" s="329">
        <f>SUMIF(Bill_Out!$Q$476:$Q$530,CONCATENATE($C52,T$3),Bill_Out!$N$476:$N$530)</f>
        <v>0</v>
      </c>
      <c r="U52" s="329">
        <f>SUMIF(Bill_Out!$Q$476:$Q$530,CONCATENATE($C52,T$3),Bill_Out!$O$476:$O$530)</f>
        <v>0</v>
      </c>
      <c r="V52" s="329">
        <f>SUMIF(Bill_Out!$Q$530:$Q$606,CONCATENATE($C52,V$3),Bill_Out!$N$530:$N$606)</f>
        <v>0</v>
      </c>
      <c r="W52" s="329" t="e">
        <f>SUMIF(Bill_Out!$Q$530:$Q$606,CONCATENATE($C52,V$3),Bill_Out!$O$530:$O$606)</f>
        <v>#VALUE!</v>
      </c>
      <c r="X52" s="329">
        <f>SUMIF(Bill_Out!$Q$610:$Q$675,CONCATENATE($C52,X$3),Bill_Out!$N$610:$N$675)</f>
        <v>0</v>
      </c>
      <c r="Y52" s="329">
        <f>SUMIF(Bill_Out!$Q$610:$Q$675,CONCATENATE($C52,X$3),Bill_Out!$O$610:$O$675)</f>
        <v>0</v>
      </c>
      <c r="Z52" s="329">
        <f>SUMIF(Bill_Out!$Q$679:$Q$756,CONCATENATE($C52,Z$3),Bill_Out!$N$679:$N$756)</f>
        <v>0</v>
      </c>
      <c r="AA52" s="329">
        <f>SUMIF(Bill_Out!$Q$679:$Q$756,CONCATENATE($C52,Z$3),Bill_Out!$O$679:$O$756)</f>
        <v>0</v>
      </c>
    </row>
    <row r="53" spans="1:27">
      <c r="A53" s="306">
        <v>48</v>
      </c>
      <c r="B53" s="21" t="s">
        <v>453</v>
      </c>
      <c r="C53" s="8" t="s">
        <v>445</v>
      </c>
      <c r="D53" s="106">
        <f>SUMIF(Bill_Out!$Q$5:$Q$65,CONCATENATE($C53,D$3),Bill_Out!$N$5:$N$65)</f>
        <v>0</v>
      </c>
      <c r="E53" s="106" t="e">
        <f>SUMIF(Bill_Out!$Q$5:$Q$65,CONCATENATE($C53,D$3),Bill_Out!$O$5:$O$65)</f>
        <v>#VALUE!</v>
      </c>
      <c r="F53" s="106">
        <f>SUMIF(Bill_Out!$Q$69:$Q$132,CONCATENATE($C53,F$3),Bill_Out!$N$69:$N$132)</f>
        <v>0</v>
      </c>
      <c r="G53" s="106" t="e">
        <f>SUMIF(Bill_Out!$Q$69:$Q$132,CONCATENATE($C53,F$3),Bill_Out!$O$69:$O$132)</f>
        <v>#VALUE!</v>
      </c>
      <c r="H53" s="106">
        <f>SUMIF(Bill_Out!$Q$136:$Q$188,CONCATENATE($C53,H$3),Bill_Out!$N$136:$N$188)</f>
        <v>0</v>
      </c>
      <c r="I53" s="106" t="e">
        <f>SUMIF(Bill_Out!$Q$136:$Q$188,CONCATENATE($C53,H$3),Bill_Out!$O$136:$O$188)</f>
        <v>#VALUE!</v>
      </c>
      <c r="J53" s="329">
        <f>SUMIF(Bill_Out!$Q$192:$Q$258,CONCATENATE($C53,J$3),Bill_Out!$N$192:$N$258)</f>
        <v>0</v>
      </c>
      <c r="K53" s="329" t="e">
        <f>SUMIF(Bill_Out!$Q$192:$Q$258,CONCATENATE($C53,J$3),Bill_Out!$O$192:$O$258)</f>
        <v>#VALUE!</v>
      </c>
      <c r="L53" s="329">
        <f>SUMIF(Bill_Out!$Q$263:$Q$314,CONCATENATE($C53,L$3),Bill_Out!$N$263:$N$314)</f>
        <v>0</v>
      </c>
      <c r="M53" s="329" t="e">
        <f>SUMIF(Bill_Out!$Q$263:$Q$314,CONCATENATE($C53,L$3),Bill_Out!$O$263:$O$314)</f>
        <v>#VALUE!</v>
      </c>
      <c r="N53" s="329">
        <f>SUMIF(Bill_Out!$Q$318:$Q$371,CONCATENATE($C53,N$3),Bill_Out!$N$318:$N$371)</f>
        <v>0</v>
      </c>
      <c r="O53" s="329" t="e">
        <f>SUMIF(Bill_Out!$Q$318:$Q$371,CONCATENATE($C53,N$3),Bill_Out!$O$318:$O$371)</f>
        <v>#VALUE!</v>
      </c>
      <c r="P53" s="329">
        <f>SUMIF(Bill_Out!$Q$375:$Q$422,CONCATENATE($C53,P$3),Bill_Out!$N$375:$N$422)</f>
        <v>0</v>
      </c>
      <c r="Q53" s="329" t="e">
        <f>SUMIF(Bill_Out!$Q$375:$Q$422,CONCATENATE($C53,P$3),Bill_Out!$O$375:$O$422)</f>
        <v>#VALUE!</v>
      </c>
      <c r="R53" s="329">
        <f>SUMIF(Bill_Out!$Q$426:$Q$472,CONCATENATE($C53,R$3),Bill_Out!$N$426:$N$472)</f>
        <v>0</v>
      </c>
      <c r="S53" s="329">
        <f>SUMIF(Bill_Out!$Q$426:$Q$472,CONCATENATE($C53,R$3),Bill_Out!$O$426:$O$472)</f>
        <v>0</v>
      </c>
      <c r="T53" s="329">
        <f>SUMIF(Bill_Out!$Q$476:$Q$530,CONCATENATE($C53,T$3),Bill_Out!$N$476:$N$530)</f>
        <v>0</v>
      </c>
      <c r="U53" s="329">
        <f>SUMIF(Bill_Out!$Q$476:$Q$530,CONCATENATE($C53,T$3),Bill_Out!$O$476:$O$530)</f>
        <v>0</v>
      </c>
      <c r="V53" s="329">
        <f>SUMIF(Bill_Out!$Q$530:$Q$606,CONCATENATE($C53,V$3),Bill_Out!$N$530:$N$606)</f>
        <v>0</v>
      </c>
      <c r="W53" s="329" t="e">
        <f>SUMIF(Bill_Out!$Q$530:$Q$606,CONCATENATE($C53,V$3),Bill_Out!$O$530:$O$606)</f>
        <v>#VALUE!</v>
      </c>
      <c r="X53" s="329">
        <f>SUMIF(Bill_Out!$Q$610:$Q$675,CONCATENATE($C53,X$3),Bill_Out!$N$610:$N$675)</f>
        <v>0</v>
      </c>
      <c r="Y53" s="329" t="e">
        <f>SUMIF(Bill_Out!$Q$610:$Q$675,CONCATENATE($C53,X$3),Bill_Out!$O$610:$O$675)</f>
        <v>#VALUE!</v>
      </c>
      <c r="Z53" s="329">
        <f>SUMIF(Bill_Out!$Q$679:$Q$756,CONCATENATE($C53,Z$3),Bill_Out!$N$679:$N$756)</f>
        <v>0</v>
      </c>
      <c r="AA53" s="329" t="e">
        <f>SUMIF(Bill_Out!$Q$679:$Q$756,CONCATENATE($C53,Z$3),Bill_Out!$O$679:$O$756)</f>
        <v>#VALUE!</v>
      </c>
    </row>
    <row r="54" spans="1:27">
      <c r="A54" s="89">
        <v>49</v>
      </c>
      <c r="B54" s="21" t="s">
        <v>1664</v>
      </c>
      <c r="C54" s="8" t="s">
        <v>1623</v>
      </c>
      <c r="D54" s="106">
        <f>SUMIF(Bill_Out!$Q$5:$Q$65,CONCATENATE($C54,D$3),Bill_Out!$N$5:$N$65)</f>
        <v>0</v>
      </c>
      <c r="E54" s="106" t="e">
        <f>SUMIF(Bill_Out!$Q$5:$Q$65,CONCATENATE($C54,D$3),Bill_Out!$O$5:$O$65)</f>
        <v>#VALUE!</v>
      </c>
      <c r="F54" s="106">
        <f>SUMIF(Bill_Out!$Q$69:$Q$132,CONCATENATE($C54,F$3),Bill_Out!$N$69:$N$132)</f>
        <v>0</v>
      </c>
      <c r="G54" s="106" t="e">
        <f>SUMIF(Bill_Out!$Q$69:$Q$132,CONCATENATE($C54,F$3),Bill_Out!$O$69:$O$132)</f>
        <v>#VALUE!</v>
      </c>
      <c r="H54" s="106">
        <f>SUMIF(Bill_Out!$Q$136:$Q$188,CONCATENATE($C54,H$3),Bill_Out!$N$136:$N$188)</f>
        <v>0</v>
      </c>
      <c r="I54" s="106" t="e">
        <f>SUMIF(Bill_Out!$Q$136:$Q$188,CONCATENATE($C54,H$3),Bill_Out!$O$136:$O$188)</f>
        <v>#VALUE!</v>
      </c>
      <c r="J54" s="329">
        <f>SUMIF(Bill_Out!$Q$192:$Q$258,CONCATENATE($C54,J$3),Bill_Out!$N$192:$N$258)</f>
        <v>0</v>
      </c>
      <c r="K54" s="329" t="e">
        <f>SUMIF(Bill_Out!$Q$192:$Q$258,CONCATENATE($C54,J$3),Bill_Out!$O$192:$O$258)</f>
        <v>#VALUE!</v>
      </c>
      <c r="L54" s="329">
        <f>SUMIF(Bill_Out!$Q$263:$Q$314,CONCATENATE($C54,L$3),Bill_Out!$N$263:$N$314)</f>
        <v>0</v>
      </c>
      <c r="M54" s="329" t="e">
        <f>SUMIF(Bill_Out!$Q$263:$Q$314,CONCATENATE($C54,L$3),Bill_Out!$O$263:$O$314)</f>
        <v>#VALUE!</v>
      </c>
      <c r="N54" s="329">
        <f>SUMIF(Bill_Out!$Q$318:$Q$371,CONCATENATE($C54,N$3),Bill_Out!$N$318:$N$371)</f>
        <v>0</v>
      </c>
      <c r="O54" s="329" t="e">
        <f>SUMIF(Bill_Out!$Q$318:$Q$371,CONCATENATE($C54,N$3),Bill_Out!$O$318:$O$371)</f>
        <v>#VALUE!</v>
      </c>
      <c r="P54" s="329">
        <f>SUMIF(Bill_Out!$Q$375:$Q$422,CONCATENATE($C54,P$3),Bill_Out!$N$375:$N$422)</f>
        <v>0</v>
      </c>
      <c r="Q54" s="329" t="e">
        <f>SUMIF(Bill_Out!$Q$375:$Q$422,CONCATENATE($C54,P$3),Bill_Out!$O$375:$O$422)</f>
        <v>#VALUE!</v>
      </c>
      <c r="R54" s="329">
        <f>SUMIF(Bill_Out!$Q$426:$Q$472,CONCATENATE($C54,R$3),Bill_Out!$N$426:$N$472)</f>
        <v>0</v>
      </c>
      <c r="S54" s="329">
        <f>SUMIF(Bill_Out!$Q$426:$Q$472,CONCATENATE($C54,R$3),Bill_Out!$O$426:$O$472)</f>
        <v>0</v>
      </c>
      <c r="T54" s="329">
        <f>SUMIF(Bill_Out!$Q$476:$Q$530,CONCATENATE($C54,T$3),Bill_Out!$N$476:$N$530)</f>
        <v>0</v>
      </c>
      <c r="U54" s="329">
        <f>SUMIF(Bill_Out!$Q$476:$Q$530,CONCATENATE($C54,T$3),Bill_Out!$O$476:$O$530)</f>
        <v>0</v>
      </c>
      <c r="V54" s="329">
        <f>SUMIF(Bill_Out!$Q$530:$Q$606,CONCATENATE($C54,V$3),Bill_Out!$N$530:$N$606)</f>
        <v>0</v>
      </c>
      <c r="W54" s="329">
        <f>SUMIF(Bill_Out!$Q$530:$Q$606,CONCATENATE($C54,V$3),Bill_Out!$O$530:$O$606)</f>
        <v>0</v>
      </c>
      <c r="X54" s="329">
        <f>SUMIF(Bill_Out!$Q$610:$Q$675,CONCATENATE($C54,X$3),Bill_Out!$N$610:$N$675)</f>
        <v>0</v>
      </c>
      <c r="Y54" s="329">
        <f>SUMIF(Bill_Out!$Q$610:$Q$675,CONCATENATE($C54,X$3),Bill_Out!$O$610:$O$675)</f>
        <v>0</v>
      </c>
      <c r="Z54" s="329">
        <f>SUMIF(Bill_Out!$Q$679:$Q$756,CONCATENATE($C54,Z$3),Bill_Out!$N$679:$N$756)</f>
        <v>0</v>
      </c>
      <c r="AA54" s="329">
        <f>SUMIF(Bill_Out!$Q$679:$Q$756,CONCATENATE($C54,Z$3),Bill_Out!$O$679:$O$756)</f>
        <v>0</v>
      </c>
    </row>
    <row r="55" spans="1:27">
      <c r="A55" s="306">
        <v>50</v>
      </c>
      <c r="B55" s="21" t="s">
        <v>129</v>
      </c>
      <c r="C55" s="8" t="s">
        <v>130</v>
      </c>
      <c r="D55" s="106">
        <f>SUMIF(Bill_Out!$Q$5:$Q$65,CONCATENATE($C55,D$3),Bill_Out!$N$5:$N$65)</f>
        <v>0</v>
      </c>
      <c r="E55" s="106">
        <f>SUMIF(Bill_Out!$Q$5:$Q$65,CONCATENATE($C55,D$3),Bill_Out!$O$5:$O$65)</f>
        <v>0</v>
      </c>
      <c r="F55" s="106">
        <f>SUMIF(Bill_Out!$Q$69:$Q$132,CONCATENATE($C55,F$3),Bill_Out!$N$69:$N$132)</f>
        <v>0</v>
      </c>
      <c r="G55" s="106">
        <f>SUMIF(Bill_Out!$Q$69:$Q$132,CONCATENATE($C55,F$3),Bill_Out!$O$69:$O$132)</f>
        <v>0</v>
      </c>
      <c r="H55" s="106">
        <f>SUMIF(Bill_Out!$Q$136:$Q$188,CONCATENATE($C55,H$3),Bill_Out!$N$136:$N$188)</f>
        <v>0</v>
      </c>
      <c r="I55" s="106">
        <f>SUMIF(Bill_Out!$Q$136:$Q$188,CONCATENATE($C55,H$3),Bill_Out!$O$136:$O$188)</f>
        <v>0</v>
      </c>
      <c r="J55" s="329">
        <f>SUMIF(Bill_Out!$Q$192:$Q$258,CONCATENATE($C55,J$3),Bill_Out!$N$192:$N$258)</f>
        <v>0</v>
      </c>
      <c r="K55" s="329">
        <f>SUMIF(Bill_Out!$Q$192:$Q$258,CONCATENATE($C55,J$3),Bill_Out!$O$192:$O$258)</f>
        <v>0</v>
      </c>
      <c r="L55" s="329">
        <f>SUMIF(Bill_Out!$Q$263:$Q$314,CONCATENATE($C55,L$3),Bill_Out!$N$263:$N$314)</f>
        <v>0</v>
      </c>
      <c r="M55" s="329">
        <f>SUMIF(Bill_Out!$Q$263:$Q$314,CONCATENATE($C55,L$3),Bill_Out!$O$263:$O$314)</f>
        <v>0</v>
      </c>
      <c r="N55" s="329">
        <f>SUMIF(Bill_Out!$Q$318:$Q$371,CONCATENATE($C55,N$3),Bill_Out!$N$318:$N$371)</f>
        <v>0</v>
      </c>
      <c r="O55" s="329">
        <f>SUMIF(Bill_Out!$Q$318:$Q$371,CONCATENATE($C55,N$3),Bill_Out!$O$318:$O$371)</f>
        <v>0</v>
      </c>
      <c r="P55" s="329">
        <f>SUMIF(Bill_Out!$Q$375:$Q$422,CONCATENATE($C55,P$3),Bill_Out!$N$375:$N$422)</f>
        <v>0</v>
      </c>
      <c r="Q55" s="329">
        <f>SUMIF(Bill_Out!$Q$375:$Q$422,CONCATENATE($C55,P$3),Bill_Out!$O$375:$O$422)</f>
        <v>0</v>
      </c>
      <c r="R55" s="329">
        <f>SUMIF(Bill_Out!$Q$426:$Q$472,CONCATENATE($C55,R$3),Bill_Out!$N$426:$N$472)</f>
        <v>0</v>
      </c>
      <c r="S55" s="329">
        <f>SUMIF(Bill_Out!$Q$426:$Q$472,CONCATENATE($C55,R$3),Bill_Out!$O$426:$O$472)</f>
        <v>0</v>
      </c>
      <c r="T55" s="329">
        <f>SUMIF(Bill_Out!$Q$476:$Q$530,CONCATENATE($C55,T$3),Bill_Out!$N$476:$N$530)</f>
        <v>0</v>
      </c>
      <c r="U55" s="329">
        <f>SUMIF(Bill_Out!$Q$476:$Q$530,CONCATENATE($C55,T$3),Bill_Out!$O$476:$O$530)</f>
        <v>0</v>
      </c>
      <c r="V55" s="329">
        <f>SUMIF(Bill_Out!$Q$530:$Q$606,CONCATENATE($C55,V$3),Bill_Out!$N$530:$N$606)</f>
        <v>0</v>
      </c>
      <c r="W55" s="329">
        <f>SUMIF(Bill_Out!$Q$530:$Q$606,CONCATENATE($C55,V$3),Bill_Out!$O$530:$O$606)</f>
        <v>0</v>
      </c>
      <c r="X55" s="329">
        <f>SUMIF(Bill_Out!$Q$610:$Q$675,CONCATENATE($C55,X$3),Bill_Out!$N$610:$N$675)</f>
        <v>0</v>
      </c>
      <c r="Y55" s="329">
        <f>SUMIF(Bill_Out!$Q$610:$Q$675,CONCATENATE($C55,X$3),Bill_Out!$O$610:$O$675)</f>
        <v>0</v>
      </c>
      <c r="Z55" s="329">
        <f>SUMIF(Bill_Out!$Q$679:$Q$756,CONCATENATE($C55,Z$3),Bill_Out!$N$679:$N$756)</f>
        <v>0</v>
      </c>
      <c r="AA55" s="329">
        <f>SUMIF(Bill_Out!$Q$679:$Q$756,CONCATENATE($C55,Z$3),Bill_Out!$O$679:$O$756)</f>
        <v>0</v>
      </c>
    </row>
    <row r="56" spans="1:27">
      <c r="A56" s="89">
        <v>51</v>
      </c>
      <c r="B56" s="21" t="s">
        <v>2836</v>
      </c>
      <c r="C56" s="8" t="s">
        <v>2686</v>
      </c>
      <c r="D56" s="106"/>
      <c r="E56" s="106"/>
      <c r="F56" s="106"/>
      <c r="G56" s="106"/>
      <c r="H56" s="106"/>
      <c r="I56" s="106"/>
      <c r="J56" s="329"/>
      <c r="K56" s="329"/>
      <c r="L56" s="329"/>
      <c r="M56" s="329"/>
      <c r="N56" s="329"/>
      <c r="O56" s="329" t="e">
        <f>SUMIF(Bill_Out!$Q$318:$Q$371,CONCATENATE($C56,N$3),Bill_Out!$O$318:$O$371)</f>
        <v>#VALUE!</v>
      </c>
      <c r="P56" s="329">
        <f>SUMIF(Bill_Out!$Q$375:$Q$422,CONCATENATE($C56,P$3),Bill_Out!$N$375:$N$422)</f>
        <v>0</v>
      </c>
      <c r="Q56" s="329" t="e">
        <f>SUMIF(Bill_Out!$Q$375:$Q$422,CONCATENATE($C56,P$3),Bill_Out!$O$375:$O$422)</f>
        <v>#VALUE!</v>
      </c>
      <c r="R56" s="329">
        <f>SUMIF(Bill_Out!$Q$426:$Q$472,CONCATENATE($C56,R$3),Bill_Out!$N$426:$N$472)</f>
        <v>0</v>
      </c>
      <c r="S56" s="329">
        <f>SUMIF(Bill_Out!$Q$426:$Q$472,CONCATENATE($C56,R$3),Bill_Out!$O$426:$O$472)</f>
        <v>0</v>
      </c>
      <c r="T56" s="329"/>
      <c r="U56" s="329"/>
      <c r="V56" s="329"/>
      <c r="W56" s="329"/>
      <c r="X56" s="329"/>
      <c r="Y56" s="329"/>
      <c r="Z56" s="329"/>
      <c r="AA56" s="329"/>
    </row>
    <row r="57" spans="1:27">
      <c r="A57" s="306">
        <v>52</v>
      </c>
      <c r="B57" s="21" t="s">
        <v>110</v>
      </c>
      <c r="C57" s="11" t="s">
        <v>122</v>
      </c>
      <c r="D57" s="106">
        <f>SUMIF(Bill_Out!$Q$5:$Q$65,CONCATENATE($C57,D$3),Bill_Out!$N$5:$N$65)</f>
        <v>0</v>
      </c>
      <c r="E57" s="106">
        <f>SUMIF(Bill_Out!$Q$5:$Q$65,CONCATENATE($C57,D$3),Bill_Out!$O$5:$O$65)</f>
        <v>0</v>
      </c>
      <c r="F57" s="106">
        <f>SUMIF(Bill_Out!$Q$69:$Q$132,CONCATENATE($C57,F$3),Bill_Out!$N$69:$N$132)</f>
        <v>0</v>
      </c>
      <c r="G57" s="106">
        <f>SUMIF(Bill_Out!$Q$69:$Q$132,CONCATENATE($C57,F$3),Bill_Out!$O$69:$O$132)</f>
        <v>0</v>
      </c>
      <c r="H57" s="106">
        <f>SUMIF(Bill_Out!$Q$136:$Q$188,CONCATENATE($C57,H$3),Bill_Out!$N$136:$N$188)</f>
        <v>0</v>
      </c>
      <c r="I57" s="106">
        <f>SUMIF(Bill_Out!$Q$136:$Q$188,CONCATENATE($C57,H$3),Bill_Out!$O$136:$O$188)</f>
        <v>0</v>
      </c>
      <c r="J57" s="329">
        <f>SUMIF(Bill_Out!$Q$192:$Q$258,CONCATENATE($C57,J$3),Bill_Out!$N$192:$N$258)</f>
        <v>0</v>
      </c>
      <c r="K57" s="329">
        <f>SUMIF(Bill_Out!$Q$192:$Q$258,CONCATENATE($C57,J$3),Bill_Out!$O$192:$O$258)</f>
        <v>0</v>
      </c>
      <c r="L57" s="329">
        <f>SUMIF(Bill_Out!$Q$263:$Q$314,CONCATENATE($C57,L$3),Bill_Out!$N$263:$N$314)</f>
        <v>0</v>
      </c>
      <c r="M57" s="329">
        <f>SUMIF(Bill_Out!$Q$263:$Q$314,CONCATENATE($C57,L$3),Bill_Out!$O$263:$O$314)</f>
        <v>0</v>
      </c>
      <c r="N57" s="329">
        <f>SUMIF(Bill_Out!$Q$318:$Q$371,CONCATENATE($C57,N$3),Bill_Out!$N$318:$N$371)</f>
        <v>0</v>
      </c>
      <c r="O57" s="329">
        <f>SUMIF(Bill_Out!$Q$318:$Q$371,CONCATENATE($C57,N$3),Bill_Out!$O$318:$O$371)</f>
        <v>0</v>
      </c>
      <c r="P57" s="329">
        <f>SUMIF(Bill_Out!$Q$375:$Q$422,CONCATENATE($C57,P$3),Bill_Out!$N$375:$N$422)</f>
        <v>0</v>
      </c>
      <c r="Q57" s="329">
        <f>SUMIF(Bill_Out!$Q$375:$Q$422,CONCATENATE($C57,P$3),Bill_Out!$O$375:$O$422)</f>
        <v>0</v>
      </c>
      <c r="R57" s="329">
        <f>SUMIF(Bill_Out!$Q$426:$Q$472,CONCATENATE($C57,R$3),Bill_Out!$N$426:$N$472)</f>
        <v>0</v>
      </c>
      <c r="S57" s="329">
        <f>SUMIF(Bill_Out!$Q$426:$Q$472,CONCATENATE($C57,R$3),Bill_Out!$O$426:$O$472)</f>
        <v>0</v>
      </c>
      <c r="T57" s="329">
        <f>SUMIF(Bill_Out!$Q$476:$Q$530,CONCATENATE($C57,T$3),Bill_Out!$N$476:$N$530)</f>
        <v>0</v>
      </c>
      <c r="U57" s="329">
        <f>SUMIF(Bill_Out!$Q$476:$Q$530,CONCATENATE($C57,T$3),Bill_Out!$O$476:$O$530)</f>
        <v>0</v>
      </c>
      <c r="V57" s="329">
        <f>SUMIF(Bill_Out!$Q$530:$Q$606,CONCATENATE($C57,V$3),Bill_Out!$N$530:$N$606)</f>
        <v>0</v>
      </c>
      <c r="W57" s="329">
        <f>SUMIF(Bill_Out!$Q$530:$Q$606,CONCATENATE($C57,V$3),Bill_Out!$O$530:$O$606)</f>
        <v>0</v>
      </c>
      <c r="X57" s="329">
        <f>SUMIF(Bill_Out!$Q$610:$Q$675,CONCATENATE($C57,X$3),Bill_Out!$N$610:$N$675)</f>
        <v>0</v>
      </c>
      <c r="Y57" s="329">
        <f>SUMIF(Bill_Out!$Q$610:$Q$675,CONCATENATE($C57,X$3),Bill_Out!$O$610:$O$675)</f>
        <v>0</v>
      </c>
      <c r="Z57" s="329">
        <f>SUMIF(Bill_Out!$Q$679:$Q$756,CONCATENATE($C57,Z$3),Bill_Out!$N$679:$N$756)</f>
        <v>0</v>
      </c>
      <c r="AA57" s="329">
        <f>SUMIF(Bill_Out!$Q$679:$Q$756,CONCATENATE($C57,Z$3),Bill_Out!$O$679:$O$756)</f>
        <v>0</v>
      </c>
    </row>
    <row r="58" spans="1:27">
      <c r="A58" s="89">
        <v>53</v>
      </c>
      <c r="B58" s="21" t="s">
        <v>422</v>
      </c>
      <c r="C58" s="8" t="s">
        <v>412</v>
      </c>
      <c r="D58" s="106">
        <f>SUMIF(Bill_Out!$Q$5:$Q$65,CONCATENATE($C58,D$3),Bill_Out!$N$5:$N$65)</f>
        <v>0</v>
      </c>
      <c r="E58" s="106" t="e">
        <f>SUMIF(Bill_Out!$Q$5:$Q$65,CONCATENATE($C58,D$3),Bill_Out!$O$5:$O$65)</f>
        <v>#VALUE!</v>
      </c>
      <c r="F58" s="106">
        <f>SUMIF(Bill_Out!$Q$69:$Q$132,CONCATENATE($C58,F$3),Bill_Out!$N$69:$N$132)</f>
        <v>0</v>
      </c>
      <c r="G58" s="106" t="e">
        <f>SUMIF(Bill_Out!$Q$69:$Q$132,CONCATENATE($C58,F$3),Bill_Out!$O$69:$O$132)</f>
        <v>#VALUE!</v>
      </c>
      <c r="H58" s="106">
        <f>SUMIF(Bill_Out!$Q$136:$Q$188,CONCATENATE($C58,H$3),Bill_Out!$N$136:$N$188)</f>
        <v>0</v>
      </c>
      <c r="I58" s="106" t="e">
        <f>SUMIF(Bill_Out!$Q$136:$Q$188,CONCATENATE($C58,H$3),Bill_Out!$O$136:$O$188)</f>
        <v>#VALUE!</v>
      </c>
      <c r="J58" s="329">
        <f>SUMIF(Bill_Out!$Q$192:$Q$258,CONCATENATE($C58,J$3),Bill_Out!$N$192:$N$258)</f>
        <v>0</v>
      </c>
      <c r="K58" s="329" t="e">
        <f>SUMIF(Bill_Out!$Q$192:$Q$258,CONCATENATE($C58,J$3),Bill_Out!$O$192:$O$258)</f>
        <v>#VALUE!</v>
      </c>
      <c r="L58" s="329">
        <f>SUMIF(Bill_Out!$Q$263:$Q$314,CONCATENATE($C58,L$3),Bill_Out!$N$263:$N$314)</f>
        <v>0</v>
      </c>
      <c r="M58" s="329" t="e">
        <f>SUMIF(Bill_Out!$Q$263:$Q$314,CONCATENATE($C58,L$3),Bill_Out!$O$263:$O$314)</f>
        <v>#VALUE!</v>
      </c>
      <c r="N58" s="329">
        <f>SUMIF(Bill_Out!$Q$318:$Q$371,CONCATENATE($C58,N$3),Bill_Out!$N$318:$N$371)</f>
        <v>0</v>
      </c>
      <c r="O58" s="329" t="e">
        <f>SUMIF(Bill_Out!$Q$318:$Q$371,CONCATENATE($C58,N$3),Bill_Out!$O$318:$O$371)</f>
        <v>#VALUE!</v>
      </c>
      <c r="P58" s="329">
        <f>SUMIF(Bill_Out!$Q$375:$Q$422,CONCATENATE($C58,P$3),Bill_Out!$N$375:$N$422)</f>
        <v>0</v>
      </c>
      <c r="Q58" s="329" t="e">
        <f>SUMIF(Bill_Out!$Q$375:$Q$422,CONCATENATE($C58,P$3),Bill_Out!$O$375:$O$422)</f>
        <v>#VALUE!</v>
      </c>
      <c r="R58" s="329">
        <f>SUMIF(Bill_Out!$Q$426:$Q$472,CONCATENATE($C58,R$3),Bill_Out!$N$426:$N$472)</f>
        <v>0</v>
      </c>
      <c r="S58" s="329">
        <f>SUMIF(Bill_Out!$Q$426:$Q$472,CONCATENATE($C58,R$3),Bill_Out!$O$426:$O$472)</f>
        <v>0</v>
      </c>
      <c r="T58" s="329">
        <f>SUMIF(Bill_Out!$Q$476:$Q$530,CONCATENATE($C58,T$3),Bill_Out!$N$476:$N$530)</f>
        <v>0</v>
      </c>
      <c r="U58" s="329">
        <f>SUMIF(Bill_Out!$Q$476:$Q$530,CONCATENATE($C58,T$3),Bill_Out!$O$476:$O$530)</f>
        <v>0</v>
      </c>
      <c r="V58" s="329">
        <f>SUMIF(Bill_Out!$Q$530:$Q$606,CONCATENATE($C58,V$3),Bill_Out!$N$530:$N$606)</f>
        <v>0</v>
      </c>
      <c r="W58" s="329" t="e">
        <f>SUMIF(Bill_Out!$Q$530:$Q$606,CONCATENATE($C58,V$3),Bill_Out!$O$530:$O$606)</f>
        <v>#VALUE!</v>
      </c>
      <c r="X58" s="329">
        <f>SUMIF(Bill_Out!$Q$610:$Q$675,CONCATENATE($C58,X$3),Bill_Out!$N$610:$N$675)</f>
        <v>0</v>
      </c>
      <c r="Y58" s="329" t="e">
        <f>SUMIF(Bill_Out!$Q$610:$Q$675,CONCATENATE($C58,X$3),Bill_Out!$O$610:$O$675)</f>
        <v>#VALUE!</v>
      </c>
      <c r="Z58" s="329">
        <f>SUMIF(Bill_Out!$Q$679:$Q$756,CONCATENATE($C58,Z$3),Bill_Out!$N$679:$N$756)</f>
        <v>0</v>
      </c>
      <c r="AA58" s="329" t="e">
        <f>SUMIF(Bill_Out!$Q$679:$Q$756,CONCATENATE($C58,Z$3),Bill_Out!$O$679:$O$756)</f>
        <v>#VALUE!</v>
      </c>
    </row>
    <row r="59" spans="1:27">
      <c r="A59" s="306">
        <v>54</v>
      </c>
      <c r="B59" s="21" t="s">
        <v>17</v>
      </c>
      <c r="C59" s="8" t="s">
        <v>47</v>
      </c>
      <c r="D59" s="106">
        <f>SUMIF(Bill_Out!$Q$5:$Q$65,CONCATENATE($C59,D$3),Bill_Out!$N$5:$N$65)</f>
        <v>0</v>
      </c>
      <c r="E59" s="106">
        <f>SUMIF(Bill_Out!$Q$5:$Q$65,CONCATENATE($C59,D$3),Bill_Out!$O$5:$O$65)</f>
        <v>0</v>
      </c>
      <c r="F59" s="106">
        <f>SUMIF(Bill_Out!$Q$69:$Q$132,CONCATENATE($C59,F$3),Bill_Out!$N$69:$N$132)</f>
        <v>0</v>
      </c>
      <c r="G59" s="106">
        <f>SUMIF(Bill_Out!$Q$69:$Q$132,CONCATENATE($C59,F$3),Bill_Out!$O$69:$O$132)</f>
        <v>0</v>
      </c>
      <c r="H59" s="106">
        <f>SUMIF(Bill_Out!$Q$136:$Q$188,CONCATENATE($C59,H$3),Bill_Out!$N$136:$N$188)</f>
        <v>0</v>
      </c>
      <c r="I59" s="106">
        <f>SUMIF(Bill_Out!$Q$136:$Q$188,CONCATENATE($C59,H$3),Bill_Out!$O$136:$O$188)</f>
        <v>0</v>
      </c>
      <c r="J59" s="329">
        <f>SUMIF(Bill_Out!$Q$192:$Q$258,CONCATENATE($C59,J$3),Bill_Out!$N$192:$N$258)</f>
        <v>0</v>
      </c>
      <c r="K59" s="329" t="e">
        <f>SUMIF(Bill_Out!$Q$192:$Q$258,CONCATENATE($C59,J$3),Bill_Out!$O$192:$O$258)</f>
        <v>#VALUE!</v>
      </c>
      <c r="L59" s="329">
        <f>SUMIF(Bill_Out!$Q$263:$Q$314,CONCATENATE($C59,L$3),Bill_Out!$N$263:$N$314)</f>
        <v>0</v>
      </c>
      <c r="M59" s="329">
        <f>SUMIF(Bill_Out!$Q$263:$Q$314,CONCATENATE($C59,L$3),Bill_Out!$O$263:$O$314)</f>
        <v>0</v>
      </c>
      <c r="N59" s="329">
        <f>SUMIF(Bill_Out!$Q$318:$Q$371,CONCATENATE($C59,N$3),Bill_Out!$N$318:$N$371)</f>
        <v>0</v>
      </c>
      <c r="O59" s="329">
        <f>SUMIF(Bill_Out!$Q$318:$Q$371,CONCATENATE($C59,N$3),Bill_Out!$O$318:$O$371)</f>
        <v>0</v>
      </c>
      <c r="P59" s="329">
        <f>SUMIF(Bill_Out!$Q$375:$Q$422,CONCATENATE($C59,P$3),Bill_Out!$N$375:$N$422)</f>
        <v>0</v>
      </c>
      <c r="Q59" s="329">
        <f>SUMIF(Bill_Out!$Q$375:$Q$422,CONCATENATE($C59,P$3),Bill_Out!$O$375:$O$422)</f>
        <v>0</v>
      </c>
      <c r="R59" s="329">
        <f>SUMIF(Bill_Out!$Q$426:$Q$472,CONCATENATE($C59,R$3),Bill_Out!$N$426:$N$472)</f>
        <v>0</v>
      </c>
      <c r="S59" s="329">
        <f>SUMIF(Bill_Out!$Q$426:$Q$472,CONCATENATE($C59,R$3),Bill_Out!$O$426:$O$472)</f>
        <v>0</v>
      </c>
      <c r="T59" s="329">
        <f>SUMIF(Bill_Out!$Q$476:$Q$530,CONCATENATE($C59,T$3),Bill_Out!$N$476:$N$530)</f>
        <v>0</v>
      </c>
      <c r="U59" s="329">
        <f>SUMIF(Bill_Out!$Q$476:$Q$530,CONCATENATE($C59,T$3),Bill_Out!$O$476:$O$530)</f>
        <v>0</v>
      </c>
      <c r="V59" s="329">
        <f>SUMIF(Bill_Out!$Q$530:$Q$606,CONCATENATE($C59,V$3),Bill_Out!$N$530:$N$606)</f>
        <v>0</v>
      </c>
      <c r="W59" s="329">
        <f>SUMIF(Bill_Out!$Q$530:$Q$606,CONCATENATE($C59,V$3),Bill_Out!$O$530:$O$606)</f>
        <v>0</v>
      </c>
      <c r="X59" s="329">
        <f>SUMIF(Bill_Out!$Q$610:$Q$675,CONCATENATE($C59,X$3),Bill_Out!$N$610:$N$675)</f>
        <v>0</v>
      </c>
      <c r="Y59" s="329">
        <f>SUMIF(Bill_Out!$Q$610:$Q$675,CONCATENATE($C59,X$3),Bill_Out!$O$610:$O$675)</f>
        <v>0</v>
      </c>
      <c r="Z59" s="329">
        <f>SUMIF(Bill_Out!$Q$679:$Q$756,CONCATENATE($C59,Z$3),Bill_Out!$N$679:$N$756)</f>
        <v>0</v>
      </c>
      <c r="AA59" s="329">
        <f>SUMIF(Bill_Out!$Q$679:$Q$756,CONCATENATE($C59,Z$3),Bill_Out!$O$679:$O$756)</f>
        <v>0</v>
      </c>
    </row>
    <row r="60" spans="1:27">
      <c r="A60" s="27">
        <v>55</v>
      </c>
      <c r="B60" s="25" t="s">
        <v>74</v>
      </c>
      <c r="C60" s="16" t="s">
        <v>98</v>
      </c>
      <c r="D60" s="107">
        <f>SUMIF(Bill_Out!$Q$5:$Q$65,CONCATENATE($C60,D$3),Bill_Out!$N$5:$N$65)</f>
        <v>0</v>
      </c>
      <c r="E60" s="107">
        <f>SUMIF(Bill_Out!$Q$5:$Q$65,CONCATENATE($C60,D$3),Bill_Out!$O$5:$O$65)</f>
        <v>0</v>
      </c>
      <c r="F60" s="107">
        <f>SUMIF(Bill_Out!$Q$69:$Q$132,CONCATENATE($C60,F$3),Bill_Out!$N$69:$N$132)</f>
        <v>0</v>
      </c>
      <c r="G60" s="107">
        <f>SUMIF(Bill_Out!$Q$69:$Q$132,CONCATENATE($C60,F$3),Bill_Out!$O$69:$O$132)</f>
        <v>0</v>
      </c>
      <c r="H60" s="107">
        <f>SUMIF(Bill_Out!$Q$136:$Q$188,CONCATENATE($C60,H$3),Bill_Out!$N$136:$N$188)</f>
        <v>0</v>
      </c>
      <c r="I60" s="106">
        <f>SUMIF(Bill_Out!$Q$136:$Q$188,CONCATENATE($C60,H$3),Bill_Out!$O$136:$O$188)</f>
        <v>0</v>
      </c>
      <c r="J60" s="329">
        <f>SUMIF(Bill_Out!$Q$192:$Q$258,CONCATENATE($C60,J$3),Bill_Out!$N$192:$N$258)</f>
        <v>0</v>
      </c>
      <c r="K60" s="329" t="e">
        <f>SUMIF(Bill_Out!$Q$192:$Q$258,CONCATENATE($C60,J$3),Bill_Out!$O$192:$O$258)</f>
        <v>#VALUE!</v>
      </c>
      <c r="L60" s="329">
        <f>SUMIF(Bill_Out!$Q$263:$Q$314,CONCATENATE($C60,L$3),Bill_Out!$N$263:$N$314)</f>
        <v>0</v>
      </c>
      <c r="M60" s="329">
        <f>SUMIF(Bill_Out!$Q$263:$Q$314,CONCATENATE($C60,L$3),Bill_Out!$O$263:$O$314)</f>
        <v>0</v>
      </c>
      <c r="N60" s="329">
        <f>SUMIF(Bill_Out!$Q$318:$Q$371,CONCATENATE($C60,N$3),Bill_Out!$N$318:$N$371)</f>
        <v>0</v>
      </c>
      <c r="O60" s="329">
        <f>SUMIF(Bill_Out!$Q$318:$Q$371,CONCATENATE($C60,N$3),Bill_Out!$O$318:$O$371)</f>
        <v>0</v>
      </c>
      <c r="P60" s="329">
        <f>SUMIF(Bill_Out!$Q$375:$Q$422,CONCATENATE($C60,P$3),Bill_Out!$N$375:$N$422)</f>
        <v>0</v>
      </c>
      <c r="Q60" s="329">
        <f>SUMIF(Bill_Out!$Q$375:$Q$422,CONCATENATE($C60,P$3),Bill_Out!$O$375:$O$422)</f>
        <v>0</v>
      </c>
      <c r="R60" s="329">
        <f>SUMIF(Bill_Out!$Q$426:$Q$472,CONCATENATE($C60,R$3),Bill_Out!$N$426:$N$472)</f>
        <v>0</v>
      </c>
      <c r="S60" s="329">
        <f>SUMIF(Bill_Out!$Q$426:$Q$472,CONCATENATE($C60,R$3),Bill_Out!$O$426:$O$472)</f>
        <v>0</v>
      </c>
      <c r="T60" s="329">
        <f>SUMIF(Bill_Out!$Q$476:$Q$530,CONCATENATE($C60,T$3),Bill_Out!$N$476:$N$530)</f>
        <v>0</v>
      </c>
      <c r="U60" s="329">
        <f>SUMIF(Bill_Out!$Q$476:$Q$530,CONCATENATE($C60,T$3),Bill_Out!$O$476:$O$530)</f>
        <v>0</v>
      </c>
      <c r="V60" s="329">
        <f>SUMIF(Bill_Out!$Q$530:$Q$606,CONCATENATE($C60,V$3),Bill_Out!$N$530:$N$606)</f>
        <v>0</v>
      </c>
      <c r="W60" s="329" t="e">
        <f>SUMIF(Bill_Out!$Q$530:$Q$606,CONCATENATE($C60,V$3),Bill_Out!$O$530:$O$606)</f>
        <v>#VALUE!</v>
      </c>
      <c r="X60" s="329">
        <f>SUMIF(Bill_Out!$Q$610:$Q$675,CONCATENATE($C60,X$3),Bill_Out!$N$610:$N$675)</f>
        <v>0</v>
      </c>
      <c r="Y60" s="329">
        <f>SUMIF(Bill_Out!$Q$610:$Q$675,CONCATENATE($C60,X$3),Bill_Out!$O$610:$O$675)</f>
        <v>0</v>
      </c>
      <c r="Z60" s="329">
        <f>SUMIF(Bill_Out!$Q$679:$Q$756,CONCATENATE($C60,Z$3),Bill_Out!$N$679:$N$756)</f>
        <v>0</v>
      </c>
      <c r="AA60" s="329">
        <f>SUMIF(Bill_Out!$Q$679:$Q$756,CONCATENATE($C60,Z$3),Bill_Out!$O$679:$O$756)</f>
        <v>0</v>
      </c>
    </row>
    <row r="61" spans="1:27" s="87" customFormat="1">
      <c r="A61" s="1776" t="s">
        <v>61</v>
      </c>
      <c r="B61" s="1777"/>
      <c r="C61" s="1777"/>
      <c r="D61" s="170">
        <f t="shared" ref="D61:AA61" si="0">SUM(D6:D60)</f>
        <v>0</v>
      </c>
      <c r="E61" s="170" t="e">
        <f t="shared" si="0"/>
        <v>#VALUE!</v>
      </c>
      <c r="F61" s="170">
        <f t="shared" si="0"/>
        <v>0</v>
      </c>
      <c r="G61" s="170" t="e">
        <f t="shared" si="0"/>
        <v>#VALUE!</v>
      </c>
      <c r="H61" s="170">
        <f t="shared" si="0"/>
        <v>0</v>
      </c>
      <c r="I61" s="153" t="e">
        <f t="shared" si="0"/>
        <v>#VALUE!</v>
      </c>
      <c r="J61" s="153">
        <f t="shared" si="0"/>
        <v>0</v>
      </c>
      <c r="K61" s="153" t="e">
        <f>SUM(K6:K60)</f>
        <v>#VALUE!</v>
      </c>
      <c r="L61" s="153">
        <f t="shared" si="0"/>
        <v>0</v>
      </c>
      <c r="M61" s="153" t="e">
        <f>SUM(M6:M60)</f>
        <v>#VALUE!</v>
      </c>
      <c r="N61" s="153">
        <f t="shared" si="0"/>
        <v>0</v>
      </c>
      <c r="O61" s="153" t="e">
        <f t="shared" si="0"/>
        <v>#VALUE!</v>
      </c>
      <c r="P61" s="108">
        <f t="shared" si="0"/>
        <v>0</v>
      </c>
      <c r="Q61" s="108" t="e">
        <f t="shared" si="0"/>
        <v>#VALUE!</v>
      </c>
      <c r="R61" s="108">
        <f t="shared" si="0"/>
        <v>0</v>
      </c>
      <c r="S61" s="108" t="e">
        <f t="shared" si="0"/>
        <v>#VALUE!</v>
      </c>
      <c r="T61" s="108">
        <f t="shared" si="0"/>
        <v>0</v>
      </c>
      <c r="U61" s="108" t="e">
        <f t="shared" si="0"/>
        <v>#VALUE!</v>
      </c>
      <c r="V61" s="108">
        <f t="shared" si="0"/>
        <v>0</v>
      </c>
      <c r="W61" s="108" t="e">
        <f t="shared" si="0"/>
        <v>#VALUE!</v>
      </c>
      <c r="X61" s="108">
        <f t="shared" si="0"/>
        <v>0</v>
      </c>
      <c r="Y61" s="108" t="e">
        <f t="shared" si="0"/>
        <v>#VALUE!</v>
      </c>
      <c r="Z61" s="108">
        <f t="shared" si="0"/>
        <v>0</v>
      </c>
      <c r="AA61" s="108" t="e">
        <f t="shared" si="0"/>
        <v>#VALUE!</v>
      </c>
    </row>
    <row r="62" spans="1:27" ht="15.75">
      <c r="A62" s="15" t="s">
        <v>2404</v>
      </c>
      <c r="E62" s="878" t="e">
        <f>AVERAGE(E61,G61,I61,K61)</f>
        <v>#VALUE!</v>
      </c>
      <c r="G62" s="133" t="e">
        <f>Bill_Out!O132-Sum_Billing!G61</f>
        <v>#VALUE!</v>
      </c>
      <c r="I62" s="133" t="e">
        <f>Bill_Out!O188-Sum_Billing!I61</f>
        <v>#VALUE!</v>
      </c>
      <c r="K62" s="304"/>
      <c r="U62" s="304" t="e">
        <f>Bill_Out!O530-Sum_Billing!U61</f>
        <v>#VALUE!</v>
      </c>
      <c r="W62" s="304" t="e">
        <f>Bill_Out!O606-Sum_Billing!W61</f>
        <v>#VALUE!</v>
      </c>
      <c r="AA62" s="304" t="e">
        <f>Bill_Out!O756-Sum_Billing!AA61</f>
        <v>#VALUE!</v>
      </c>
    </row>
    <row r="63" spans="1:27">
      <c r="G63" s="304"/>
      <c r="I63" s="304"/>
      <c r="K63" s="133"/>
      <c r="U63" s="133"/>
    </row>
    <row r="64" spans="1:27">
      <c r="K64" s="304"/>
      <c r="U64" s="304"/>
    </row>
    <row r="65" spans="11:11">
      <c r="K65" s="133"/>
    </row>
    <row r="66" spans="11:11">
      <c r="K66" s="304"/>
    </row>
  </sheetData>
  <mergeCells count="28">
    <mergeCell ref="A61:C61"/>
    <mergeCell ref="R3:S3"/>
    <mergeCell ref="R4:S4"/>
    <mergeCell ref="T3:U3"/>
    <mergeCell ref="T4:U4"/>
    <mergeCell ref="L3:M3"/>
    <mergeCell ref="L4:M4"/>
    <mergeCell ref="N3:O3"/>
    <mergeCell ref="N4:O4"/>
    <mergeCell ref="B3:B5"/>
    <mergeCell ref="C3:C5"/>
    <mergeCell ref="D3:E3"/>
    <mergeCell ref="D4:E4"/>
    <mergeCell ref="P3:Q3"/>
    <mergeCell ref="P4:Q4"/>
    <mergeCell ref="F3:G3"/>
    <mergeCell ref="A3:A5"/>
    <mergeCell ref="X3:Y3"/>
    <mergeCell ref="X4:Y4"/>
    <mergeCell ref="Z3:AA3"/>
    <mergeCell ref="Z4:AA4"/>
    <mergeCell ref="V3:W3"/>
    <mergeCell ref="V4:W4"/>
    <mergeCell ref="F4:G4"/>
    <mergeCell ref="H3:I3"/>
    <mergeCell ref="H4:I4"/>
    <mergeCell ref="J3:K3"/>
    <mergeCell ref="J4:K4"/>
  </mergeCells>
  <printOptions horizontalCentered="1"/>
  <pageMargins left="0" right="0" top="0.46" bottom="0.36" header="0.3" footer="0.2"/>
  <pageSetup paperSize="9" scale="60" orientation="landscape" horizontalDpi="4294967293" r:id="rId1"/>
  <headerFooter>
    <oddFooter>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B050"/>
  </sheetPr>
  <dimension ref="A1:GX88"/>
  <sheetViews>
    <sheetView showGridLines="0" view="pageBreakPreview" zoomScale="85" zoomScaleNormal="70" zoomScaleSheetLayoutView="85" workbookViewId="0">
      <pane xSplit="4" ySplit="6" topLeftCell="DJ7" activePane="bottomRight" state="frozen"/>
      <selection pane="topRight" activeCell="F1" sqref="F1"/>
      <selection pane="bottomLeft" activeCell="A6" sqref="A6"/>
      <selection pane="bottomRight" activeCell="EC10" sqref="EC10"/>
    </sheetView>
  </sheetViews>
  <sheetFormatPr defaultRowHeight="12.75"/>
  <cols>
    <col min="1" max="1" width="3.140625" style="2" customWidth="1"/>
    <col min="2" max="2" width="38.28515625" style="2" hidden="1" customWidth="1"/>
    <col min="3" max="3" width="29" style="3" customWidth="1"/>
    <col min="4" max="4" width="12.85546875" style="18" hidden="1" customWidth="1"/>
    <col min="5" max="5" width="10.5703125" style="6" hidden="1" customWidth="1"/>
    <col min="6" max="6" width="15.5703125" style="6" hidden="1" customWidth="1"/>
    <col min="7" max="7" width="10.28515625" style="2" hidden="1" customWidth="1"/>
    <col min="8" max="8" width="9.28515625" style="6" hidden="1" customWidth="1"/>
    <col min="9" max="9" width="16.42578125" style="6" hidden="1" customWidth="1"/>
    <col min="10" max="10" width="6" style="2" hidden="1" customWidth="1"/>
    <col min="11" max="12" width="8.7109375" style="5" hidden="1" customWidth="1"/>
    <col min="13" max="14" width="15.5703125" style="5" hidden="1" customWidth="1"/>
    <col min="15" max="15" width="13" style="5" hidden="1" customWidth="1"/>
    <col min="16" max="16" width="12.7109375" style="5" hidden="1" customWidth="1"/>
    <col min="17" max="17" width="15.5703125" style="5" hidden="1" customWidth="1"/>
    <col min="18" max="18" width="7" style="18" hidden="1" customWidth="1"/>
    <col min="19" max="19" width="11.85546875" style="4" hidden="1" customWidth="1"/>
    <col min="20" max="20" width="12.85546875" style="18" hidden="1" customWidth="1"/>
    <col min="21" max="21" width="10.5703125" style="6" hidden="1" customWidth="1"/>
    <col min="22" max="22" width="15.5703125" style="6" hidden="1" customWidth="1"/>
    <col min="23" max="23" width="10.28515625" style="2" hidden="1" customWidth="1"/>
    <col min="24" max="24" width="9.28515625" style="6" hidden="1" customWidth="1"/>
    <col min="25" max="25" width="15.5703125" style="6" hidden="1" customWidth="1"/>
    <col min="26" max="26" width="6" style="2" hidden="1" customWidth="1"/>
    <col min="27" max="28" width="8.7109375" style="5" hidden="1" customWidth="1"/>
    <col min="29" max="30" width="15.5703125" style="5" hidden="1" customWidth="1"/>
    <col min="31" max="31" width="14.42578125" style="5" hidden="1" customWidth="1"/>
    <col min="32" max="32" width="12.7109375" style="5" hidden="1" customWidth="1"/>
    <col min="33" max="33" width="15.5703125" style="5" hidden="1" customWidth="1"/>
    <col min="34" max="34" width="7" style="18" hidden="1" customWidth="1"/>
    <col min="35" max="35" width="38.28515625" style="2" hidden="1" customWidth="1"/>
    <col min="36" max="36" width="11.85546875" style="4" hidden="1" customWidth="1"/>
    <col min="37" max="37" width="12.85546875" style="18" hidden="1" customWidth="1"/>
    <col min="38" max="38" width="10.5703125" style="6" hidden="1" customWidth="1"/>
    <col min="39" max="39" width="15.5703125" style="6" hidden="1" customWidth="1"/>
    <col min="40" max="40" width="13.5703125" style="2" hidden="1" customWidth="1"/>
    <col min="41" max="41" width="9.28515625" style="6" hidden="1" customWidth="1"/>
    <col min="42" max="42" width="15.5703125" style="6" hidden="1" customWidth="1"/>
    <col min="43" max="43" width="6" style="2" hidden="1" customWidth="1"/>
    <col min="44" max="45" width="8.7109375" style="5" hidden="1" customWidth="1"/>
    <col min="46" max="47" width="15.5703125" style="5" hidden="1" customWidth="1"/>
    <col min="48" max="48" width="14.140625" style="5" hidden="1" customWidth="1"/>
    <col min="49" max="49" width="12.7109375" style="5" hidden="1" customWidth="1"/>
    <col min="50" max="50" width="15.5703125" style="5" hidden="1" customWidth="1"/>
    <col min="51" max="51" width="7" style="18" hidden="1" customWidth="1"/>
    <col min="52" max="52" width="38.140625" style="2" hidden="1" customWidth="1"/>
    <col min="53" max="53" width="11.85546875" style="4" hidden="1" customWidth="1"/>
    <col min="54" max="54" width="12.85546875" style="18" hidden="1" customWidth="1"/>
    <col min="55" max="55" width="10.5703125" style="6" hidden="1" customWidth="1"/>
    <col min="56" max="56" width="15.5703125" style="6" hidden="1" customWidth="1"/>
    <col min="57" max="57" width="10.28515625" style="2" hidden="1" customWidth="1"/>
    <col min="58" max="58" width="9.28515625" style="6" hidden="1" customWidth="1"/>
    <col min="59" max="59" width="15.5703125" style="6" hidden="1" customWidth="1"/>
    <col min="60" max="60" width="6" style="2" hidden="1" customWidth="1"/>
    <col min="61" max="62" width="8.7109375" style="5" hidden="1" customWidth="1"/>
    <col min="63" max="64" width="15.5703125" style="5" hidden="1" customWidth="1"/>
    <col min="65" max="65" width="14.28515625" style="5" hidden="1" customWidth="1"/>
    <col min="66" max="66" width="12.7109375" style="5" hidden="1" customWidth="1"/>
    <col min="67" max="67" width="15.5703125" style="5" hidden="1" customWidth="1"/>
    <col min="68" max="68" width="7" style="18" hidden="1" customWidth="1"/>
    <col min="69" max="69" width="38.140625" style="2" hidden="1" customWidth="1"/>
    <col min="70" max="70" width="11.85546875" style="4" hidden="1" customWidth="1"/>
    <col min="71" max="71" width="12.85546875" style="18" hidden="1" customWidth="1"/>
    <col min="72" max="72" width="10.5703125" style="6" hidden="1" customWidth="1"/>
    <col min="73" max="73" width="15.5703125" style="6" hidden="1" customWidth="1"/>
    <col min="74" max="74" width="13.5703125" style="2" hidden="1" customWidth="1"/>
    <col min="75" max="75" width="9.28515625" style="6" hidden="1" customWidth="1"/>
    <col min="76" max="76" width="15.5703125" style="6" hidden="1" customWidth="1"/>
    <col min="77" max="77" width="6" style="2" hidden="1" customWidth="1"/>
    <col min="78" max="79" width="8.7109375" style="5" hidden="1" customWidth="1"/>
    <col min="80" max="81" width="15.5703125" style="5" hidden="1" customWidth="1"/>
    <col min="82" max="82" width="14.28515625" style="5" hidden="1" customWidth="1"/>
    <col min="83" max="83" width="12.7109375" style="5" hidden="1" customWidth="1"/>
    <col min="84" max="84" width="15.5703125" style="5" hidden="1" customWidth="1"/>
    <col min="85" max="85" width="7" style="18" hidden="1" customWidth="1"/>
    <col min="86" max="86" width="38.140625" style="2" hidden="1" customWidth="1"/>
    <col min="87" max="87" width="11.85546875" style="4" hidden="1" customWidth="1"/>
    <col min="88" max="88" width="12.85546875" style="18" hidden="1" customWidth="1"/>
    <col min="89" max="89" width="10.5703125" style="6" hidden="1" customWidth="1"/>
    <col min="90" max="90" width="15.5703125" style="6" hidden="1" customWidth="1"/>
    <col min="91" max="91" width="13.5703125" style="2" hidden="1" customWidth="1"/>
    <col min="92" max="92" width="9.28515625" style="6" hidden="1" customWidth="1"/>
    <col min="93" max="93" width="15.5703125" style="6" hidden="1" customWidth="1"/>
    <col min="94" max="94" width="6" style="2" hidden="1" customWidth="1"/>
    <col min="95" max="96" width="8.7109375" style="5" hidden="1" customWidth="1"/>
    <col min="97" max="98" width="15.5703125" style="5" hidden="1" customWidth="1"/>
    <col min="99" max="99" width="14.28515625" style="5" hidden="1" customWidth="1"/>
    <col min="100" max="100" width="12.7109375" style="5" hidden="1" customWidth="1"/>
    <col min="101" max="101" width="15.5703125" style="5" hidden="1" customWidth="1"/>
    <col min="102" max="102" width="7" style="18" hidden="1" customWidth="1"/>
    <col min="103" max="103" width="38.140625" style="2" hidden="1" customWidth="1"/>
    <col min="104" max="104" width="11.85546875" style="4" hidden="1" customWidth="1"/>
    <col min="105" max="105" width="9.85546875" style="18" bestFit="1" customWidth="1"/>
    <col min="106" max="106" width="10.5703125" style="6" customWidth="1"/>
    <col min="107" max="107" width="15.5703125" style="6" customWidth="1"/>
    <col min="108" max="108" width="9.85546875" style="2" bestFit="1" customWidth="1"/>
    <col min="109" max="109" width="9.28515625" style="6" customWidth="1"/>
    <col min="110" max="110" width="15.5703125" style="6" customWidth="1"/>
    <col min="111" max="111" width="6" style="2" customWidth="1"/>
    <col min="112" max="113" width="8.7109375" style="5" customWidth="1"/>
    <col min="114" max="115" width="15.5703125" style="5" customWidth="1"/>
    <col min="116" max="116" width="15.42578125" style="5" bestFit="1" customWidth="1"/>
    <col min="117" max="117" width="12.7109375" style="5" customWidth="1"/>
    <col min="118" max="118" width="15.5703125" style="5" customWidth="1"/>
    <col min="119" max="119" width="7" style="18" customWidth="1"/>
    <col min="120" max="120" width="38.140625" style="2" hidden="1" customWidth="1"/>
    <col min="121" max="121" width="11.85546875" style="4" customWidth="1"/>
    <col min="122" max="122" width="12.85546875" style="18" customWidth="1"/>
    <col min="123" max="123" width="10.5703125" style="6" customWidth="1"/>
    <col min="124" max="124" width="15.5703125" style="6" customWidth="1"/>
    <col min="125" max="125" width="13.5703125" style="2" bestFit="1" customWidth="1"/>
    <col min="126" max="126" width="9.28515625" style="6" customWidth="1"/>
    <col min="127" max="127" width="15.5703125" style="6" customWidth="1"/>
    <col min="128" max="128" width="6" style="2" customWidth="1"/>
    <col min="129" max="130" width="8.7109375" style="5" customWidth="1"/>
    <col min="131" max="132" width="15.5703125" style="5" customWidth="1"/>
    <col min="133" max="133" width="13.5703125" style="5" bestFit="1" customWidth="1"/>
    <col min="134" max="134" width="12.7109375" style="5" customWidth="1"/>
    <col min="135" max="135" width="15.5703125" style="5" customWidth="1"/>
    <col min="136" max="136" width="7" style="18" customWidth="1"/>
    <col min="137" max="137" width="38.140625" style="2" customWidth="1"/>
    <col min="138" max="138" width="11.85546875" style="4" customWidth="1"/>
    <col min="139" max="139" width="12.85546875" style="18" customWidth="1"/>
    <col min="140" max="140" width="10.5703125" style="6" customWidth="1"/>
    <col min="141" max="141" width="15.5703125" style="6" customWidth="1"/>
    <col min="142" max="142" width="13.5703125" style="2" bestFit="1" customWidth="1"/>
    <col min="143" max="143" width="9.28515625" style="6" customWidth="1"/>
    <col min="144" max="144" width="15.5703125" style="6" customWidth="1"/>
    <col min="145" max="145" width="6" style="2" customWidth="1"/>
    <col min="146" max="147" width="8.7109375" style="5" customWidth="1"/>
    <col min="148" max="149" width="15.5703125" style="5" customWidth="1"/>
    <col min="150" max="150" width="13" style="5" customWidth="1"/>
    <col min="151" max="151" width="12.7109375" style="5" customWidth="1"/>
    <col min="152" max="152" width="15.5703125" style="5" customWidth="1"/>
    <col min="153" max="153" width="7" style="18" customWidth="1"/>
    <col min="154" max="154" width="38.140625" style="2" customWidth="1"/>
    <col min="155" max="155" width="11.85546875" style="4" customWidth="1"/>
    <col min="156" max="156" width="12.85546875" style="18" customWidth="1"/>
    <col min="157" max="157" width="10.5703125" style="6" customWidth="1"/>
    <col min="158" max="158" width="15.5703125" style="6" customWidth="1"/>
    <col min="159" max="159" width="10.28515625" style="2" customWidth="1"/>
    <col min="160" max="160" width="9.28515625" style="6" customWidth="1"/>
    <col min="161" max="161" width="15.5703125" style="6" customWidth="1"/>
    <col min="162" max="162" width="6" style="2" customWidth="1"/>
    <col min="163" max="164" width="8.7109375" style="5" customWidth="1"/>
    <col min="165" max="166" width="15.5703125" style="5" customWidth="1"/>
    <col min="167" max="167" width="15.28515625" style="5" customWidth="1"/>
    <col min="168" max="168" width="12.7109375" style="5" customWidth="1"/>
    <col min="169" max="169" width="15.5703125" style="5" customWidth="1"/>
    <col min="170" max="170" width="7" style="18" customWidth="1"/>
    <col min="171" max="171" width="38.140625" style="2" customWidth="1"/>
    <col min="172" max="172" width="11.85546875" style="4" customWidth="1"/>
    <col min="173" max="173" width="12.85546875" style="18" customWidth="1"/>
    <col min="174" max="174" width="10.5703125" style="6" customWidth="1"/>
    <col min="175" max="175" width="15.5703125" style="6" customWidth="1"/>
    <col min="176" max="176" width="10.28515625" style="2" customWidth="1"/>
    <col min="177" max="177" width="9.28515625" style="6" customWidth="1"/>
    <col min="178" max="178" width="15.5703125" style="6" customWidth="1"/>
    <col min="179" max="179" width="6" style="2" customWidth="1"/>
    <col min="180" max="181" width="8.7109375" style="5" customWidth="1"/>
    <col min="182" max="183" width="15.5703125" style="5" customWidth="1"/>
    <col min="184" max="184" width="13" style="5" customWidth="1"/>
    <col min="185" max="185" width="12.7109375" style="5" customWidth="1"/>
    <col min="186" max="186" width="15.5703125" style="5" customWidth="1"/>
    <col min="187" max="187" width="7" style="18" customWidth="1"/>
    <col min="188" max="188" width="38.140625" style="2" customWidth="1"/>
    <col min="189" max="189" width="11.85546875" style="4" customWidth="1"/>
    <col min="190" max="190" width="12.85546875" style="18" customWidth="1"/>
    <col min="191" max="191" width="10.5703125" style="6" customWidth="1"/>
    <col min="192" max="192" width="15.5703125" style="6" customWidth="1"/>
    <col min="193" max="193" width="10.28515625" style="2" hidden="1" customWidth="1"/>
    <col min="194" max="194" width="9.28515625" style="6" bestFit="1" customWidth="1"/>
    <col min="195" max="195" width="15.5703125" style="6" customWidth="1"/>
    <col min="196" max="196" width="6" style="2" bestFit="1" customWidth="1"/>
    <col min="197" max="198" width="8.7109375" style="5" customWidth="1"/>
    <col min="199" max="200" width="15.5703125" style="5" customWidth="1"/>
    <col min="201" max="201" width="15.28515625" style="5" bestFit="1" customWidth="1"/>
    <col min="202" max="202" width="12.7109375" style="5" customWidth="1"/>
    <col min="203" max="203" width="15.5703125" style="5" customWidth="1"/>
    <col min="204" max="204" width="7" style="18" customWidth="1"/>
    <col min="205" max="205" width="38.140625" style="2" hidden="1" customWidth="1"/>
    <col min="206" max="206" width="11.85546875" style="4" customWidth="1"/>
    <col min="207" max="16384" width="9.140625" style="3"/>
  </cols>
  <sheetData>
    <row r="1" spans="1:206" ht="15.75">
      <c r="A1" s="32" t="s">
        <v>2990</v>
      </c>
      <c r="B1" s="32"/>
      <c r="AI1" s="32"/>
      <c r="AZ1" s="32"/>
      <c r="BQ1" s="32"/>
      <c r="CH1" s="32"/>
      <c r="CY1" s="32"/>
      <c r="DP1" s="32"/>
      <c r="EG1" s="32"/>
      <c r="EX1" s="32"/>
      <c r="FO1" s="32"/>
      <c r="GF1" s="32"/>
      <c r="GW1" s="32"/>
    </row>
    <row r="3" spans="1:206" s="19" customFormat="1" ht="15" customHeight="1">
      <c r="A3" s="1809" t="s">
        <v>6</v>
      </c>
      <c r="B3" s="1804" t="s">
        <v>235</v>
      </c>
      <c r="C3" s="1814" t="s">
        <v>3</v>
      </c>
      <c r="D3" s="1784" t="s">
        <v>4</v>
      </c>
      <c r="E3" s="1785"/>
      <c r="F3" s="1785"/>
      <c r="G3" s="1785"/>
      <c r="H3" s="1785"/>
      <c r="I3" s="1785"/>
      <c r="J3" s="1785"/>
      <c r="K3" s="1785"/>
      <c r="L3" s="1785"/>
      <c r="M3" s="1785"/>
      <c r="N3" s="1785"/>
      <c r="O3" s="1785"/>
      <c r="P3" s="1785"/>
      <c r="Q3" s="1785"/>
      <c r="R3" s="1786"/>
      <c r="S3" s="233" t="s">
        <v>194</v>
      </c>
      <c r="T3" s="1784" t="s">
        <v>379</v>
      </c>
      <c r="U3" s="1785"/>
      <c r="V3" s="1785"/>
      <c r="W3" s="1785"/>
      <c r="X3" s="1785"/>
      <c r="Y3" s="1785"/>
      <c r="Z3" s="1785"/>
      <c r="AA3" s="1785"/>
      <c r="AB3" s="1785"/>
      <c r="AC3" s="1785"/>
      <c r="AD3" s="1785"/>
      <c r="AE3" s="1785"/>
      <c r="AF3" s="1785"/>
      <c r="AG3" s="1785"/>
      <c r="AH3" s="1786"/>
      <c r="AI3" s="1804" t="s">
        <v>235</v>
      </c>
      <c r="AJ3" s="233" t="s">
        <v>195</v>
      </c>
      <c r="AK3" s="1784" t="s">
        <v>5</v>
      </c>
      <c r="AL3" s="1785"/>
      <c r="AM3" s="1785"/>
      <c r="AN3" s="1785"/>
      <c r="AO3" s="1785"/>
      <c r="AP3" s="1785"/>
      <c r="AQ3" s="1785"/>
      <c r="AR3" s="1785"/>
      <c r="AS3" s="1785"/>
      <c r="AT3" s="1785"/>
      <c r="AU3" s="1785"/>
      <c r="AV3" s="1785"/>
      <c r="AW3" s="1785"/>
      <c r="AX3" s="1785"/>
      <c r="AY3" s="1785"/>
      <c r="AZ3" s="1786"/>
      <c r="BA3" s="233" t="s">
        <v>239</v>
      </c>
      <c r="BB3" s="1784" t="s">
        <v>57</v>
      </c>
      <c r="BC3" s="1785"/>
      <c r="BD3" s="1785"/>
      <c r="BE3" s="1785"/>
      <c r="BF3" s="1785"/>
      <c r="BG3" s="1785"/>
      <c r="BH3" s="1785"/>
      <c r="BI3" s="1785"/>
      <c r="BJ3" s="1785"/>
      <c r="BK3" s="1785"/>
      <c r="BL3" s="1785"/>
      <c r="BM3" s="1785"/>
      <c r="BN3" s="1785"/>
      <c r="BO3" s="1785"/>
      <c r="BP3" s="1785"/>
      <c r="BQ3" s="1786"/>
      <c r="BR3" s="233" t="s">
        <v>240</v>
      </c>
      <c r="BS3" s="1784" t="s">
        <v>58</v>
      </c>
      <c r="BT3" s="1785"/>
      <c r="BU3" s="1785"/>
      <c r="BV3" s="1785"/>
      <c r="BW3" s="1785"/>
      <c r="BX3" s="1785"/>
      <c r="BY3" s="1785"/>
      <c r="BZ3" s="1785"/>
      <c r="CA3" s="1785"/>
      <c r="CB3" s="1785"/>
      <c r="CC3" s="1785"/>
      <c r="CD3" s="1785"/>
      <c r="CE3" s="1785"/>
      <c r="CF3" s="1785"/>
      <c r="CG3" s="1785"/>
      <c r="CH3" s="1786"/>
      <c r="CI3" s="233" t="s">
        <v>58</v>
      </c>
      <c r="CJ3" s="1784" t="s">
        <v>59</v>
      </c>
      <c r="CK3" s="1785"/>
      <c r="CL3" s="1785"/>
      <c r="CM3" s="1785"/>
      <c r="CN3" s="1785"/>
      <c r="CO3" s="1785"/>
      <c r="CP3" s="1785"/>
      <c r="CQ3" s="1785"/>
      <c r="CR3" s="1785"/>
      <c r="CS3" s="1785"/>
      <c r="CT3" s="1785"/>
      <c r="CU3" s="1785"/>
      <c r="CV3" s="1785"/>
      <c r="CW3" s="1785"/>
      <c r="CX3" s="1785"/>
      <c r="CY3" s="1786"/>
      <c r="CZ3" s="233" t="s">
        <v>241</v>
      </c>
      <c r="DA3" s="1784" t="s">
        <v>60</v>
      </c>
      <c r="DB3" s="1785"/>
      <c r="DC3" s="1785"/>
      <c r="DD3" s="1785"/>
      <c r="DE3" s="1785"/>
      <c r="DF3" s="1785"/>
      <c r="DG3" s="1785"/>
      <c r="DH3" s="1785"/>
      <c r="DI3" s="1785"/>
      <c r="DJ3" s="1785"/>
      <c r="DK3" s="1785"/>
      <c r="DL3" s="1785"/>
      <c r="DM3" s="1785"/>
      <c r="DN3" s="1785"/>
      <c r="DO3" s="1785"/>
      <c r="DP3" s="1786"/>
      <c r="DQ3" s="233" t="s">
        <v>242</v>
      </c>
      <c r="DR3" s="1784" t="s">
        <v>559</v>
      </c>
      <c r="DS3" s="1785"/>
      <c r="DT3" s="1785"/>
      <c r="DU3" s="1785"/>
      <c r="DV3" s="1785"/>
      <c r="DW3" s="1785"/>
      <c r="DX3" s="1785"/>
      <c r="DY3" s="1785"/>
      <c r="DZ3" s="1785"/>
      <c r="EA3" s="1785"/>
      <c r="EB3" s="1785"/>
      <c r="EC3" s="1785"/>
      <c r="ED3" s="1785"/>
      <c r="EE3" s="1785"/>
      <c r="EF3" s="1785"/>
      <c r="EG3" s="1786"/>
      <c r="EH3" s="233" t="s">
        <v>243</v>
      </c>
      <c r="EI3" s="1784" t="s">
        <v>602</v>
      </c>
      <c r="EJ3" s="1785"/>
      <c r="EK3" s="1785"/>
      <c r="EL3" s="1785"/>
      <c r="EM3" s="1785"/>
      <c r="EN3" s="1785"/>
      <c r="EO3" s="1785"/>
      <c r="EP3" s="1785"/>
      <c r="EQ3" s="1785"/>
      <c r="ER3" s="1785"/>
      <c r="ES3" s="1785"/>
      <c r="ET3" s="1785"/>
      <c r="EU3" s="1785"/>
      <c r="EV3" s="1785"/>
      <c r="EW3" s="1785"/>
      <c r="EX3" s="1786"/>
      <c r="EY3" s="233" t="s">
        <v>244</v>
      </c>
      <c r="EZ3" s="1784" t="s">
        <v>641</v>
      </c>
      <c r="FA3" s="1785"/>
      <c r="FB3" s="1785"/>
      <c r="FC3" s="1785"/>
      <c r="FD3" s="1785"/>
      <c r="FE3" s="1785"/>
      <c r="FF3" s="1785"/>
      <c r="FG3" s="1785"/>
      <c r="FH3" s="1785"/>
      <c r="FI3" s="1785"/>
      <c r="FJ3" s="1785"/>
      <c r="FK3" s="1785"/>
      <c r="FL3" s="1785"/>
      <c r="FM3" s="1785"/>
      <c r="FN3" s="1785"/>
      <c r="FO3" s="1786"/>
      <c r="FP3" s="233" t="s">
        <v>245</v>
      </c>
      <c r="FQ3" s="1784" t="s">
        <v>1616</v>
      </c>
      <c r="FR3" s="1785"/>
      <c r="FS3" s="1785"/>
      <c r="FT3" s="1785"/>
      <c r="FU3" s="1785"/>
      <c r="FV3" s="1785"/>
      <c r="FW3" s="1785"/>
      <c r="FX3" s="1785"/>
      <c r="FY3" s="1785"/>
      <c r="FZ3" s="1785"/>
      <c r="GA3" s="1785"/>
      <c r="GB3" s="1785"/>
      <c r="GC3" s="1785"/>
      <c r="GD3" s="1785"/>
      <c r="GE3" s="1785"/>
      <c r="GF3" s="1786"/>
      <c r="GG3" s="233" t="s">
        <v>238</v>
      </c>
      <c r="GH3" s="1784" t="s">
        <v>1617</v>
      </c>
      <c r="GI3" s="1785"/>
      <c r="GJ3" s="1785"/>
      <c r="GK3" s="1785"/>
      <c r="GL3" s="1785"/>
      <c r="GM3" s="1785"/>
      <c r="GN3" s="1785"/>
      <c r="GO3" s="1785"/>
      <c r="GP3" s="1785"/>
      <c r="GQ3" s="1785"/>
      <c r="GR3" s="1785"/>
      <c r="GS3" s="1785"/>
      <c r="GT3" s="1785"/>
      <c r="GU3" s="1785"/>
      <c r="GV3" s="1785"/>
      <c r="GW3" s="1786"/>
      <c r="GX3" s="233" t="s">
        <v>140</v>
      </c>
    </row>
    <row r="4" spans="1:206" s="7" customFormat="1" ht="15" customHeight="1">
      <c r="A4" s="1810"/>
      <c r="B4" s="1805"/>
      <c r="C4" s="1814"/>
      <c r="D4" s="1787" t="s">
        <v>100</v>
      </c>
      <c r="E4" s="1788"/>
      <c r="F4" s="1788"/>
      <c r="G4" s="1788"/>
      <c r="H4" s="1788"/>
      <c r="I4" s="1789"/>
      <c r="J4" s="1790" t="s">
        <v>76</v>
      </c>
      <c r="K4" s="1788"/>
      <c r="L4" s="1788"/>
      <c r="M4" s="1788"/>
      <c r="N4" s="1788"/>
      <c r="O4" s="1788"/>
      <c r="P4" s="1788"/>
      <c r="Q4" s="1788"/>
      <c r="R4" s="1788"/>
      <c r="S4" s="1791"/>
      <c r="T4" s="1787" t="s">
        <v>100</v>
      </c>
      <c r="U4" s="1788"/>
      <c r="V4" s="1788"/>
      <c r="W4" s="1788"/>
      <c r="X4" s="1788"/>
      <c r="Y4" s="1789"/>
      <c r="Z4" s="1790" t="s">
        <v>76</v>
      </c>
      <c r="AA4" s="1788"/>
      <c r="AB4" s="1788"/>
      <c r="AC4" s="1788"/>
      <c r="AD4" s="1788"/>
      <c r="AE4" s="1788"/>
      <c r="AF4" s="1788"/>
      <c r="AG4" s="1788"/>
      <c r="AH4" s="1791"/>
      <c r="AI4" s="1805"/>
      <c r="AJ4" s="772"/>
      <c r="AK4" s="1787" t="s">
        <v>100</v>
      </c>
      <c r="AL4" s="1788"/>
      <c r="AM4" s="1788"/>
      <c r="AN4" s="1788"/>
      <c r="AO4" s="1788"/>
      <c r="AP4" s="1789"/>
      <c r="AQ4" s="1790" t="s">
        <v>76</v>
      </c>
      <c r="AR4" s="1788"/>
      <c r="AS4" s="1788"/>
      <c r="AT4" s="1788"/>
      <c r="AU4" s="1788"/>
      <c r="AV4" s="1788"/>
      <c r="AW4" s="1788"/>
      <c r="AX4" s="1788"/>
      <c r="AY4" s="1788"/>
      <c r="AZ4" s="1788"/>
      <c r="BA4" s="1791"/>
      <c r="BB4" s="1787" t="s">
        <v>100</v>
      </c>
      <c r="BC4" s="1788"/>
      <c r="BD4" s="1788"/>
      <c r="BE4" s="1788"/>
      <c r="BF4" s="1788"/>
      <c r="BG4" s="1789"/>
      <c r="BH4" s="1790" t="s">
        <v>76</v>
      </c>
      <c r="BI4" s="1788"/>
      <c r="BJ4" s="1788"/>
      <c r="BK4" s="1788"/>
      <c r="BL4" s="1788"/>
      <c r="BM4" s="1788"/>
      <c r="BN4" s="1788"/>
      <c r="BO4" s="1788"/>
      <c r="BP4" s="1788"/>
      <c r="BQ4" s="1788"/>
      <c r="BR4" s="1791"/>
      <c r="BS4" s="1787" t="s">
        <v>100</v>
      </c>
      <c r="BT4" s="1788"/>
      <c r="BU4" s="1788"/>
      <c r="BV4" s="1788"/>
      <c r="BW4" s="1788"/>
      <c r="BX4" s="1789"/>
      <c r="BY4" s="1790" t="s">
        <v>76</v>
      </c>
      <c r="BZ4" s="1788"/>
      <c r="CA4" s="1788"/>
      <c r="CB4" s="1788"/>
      <c r="CC4" s="1788"/>
      <c r="CD4" s="1788"/>
      <c r="CE4" s="1788"/>
      <c r="CF4" s="1788"/>
      <c r="CG4" s="1788"/>
      <c r="CH4" s="1788"/>
      <c r="CI4" s="1791"/>
      <c r="CJ4" s="1787" t="s">
        <v>100</v>
      </c>
      <c r="CK4" s="1788"/>
      <c r="CL4" s="1788"/>
      <c r="CM4" s="1788"/>
      <c r="CN4" s="1788"/>
      <c r="CO4" s="1789"/>
      <c r="CP4" s="1790" t="s">
        <v>76</v>
      </c>
      <c r="CQ4" s="1788"/>
      <c r="CR4" s="1788"/>
      <c r="CS4" s="1788"/>
      <c r="CT4" s="1788"/>
      <c r="CU4" s="1788"/>
      <c r="CV4" s="1788"/>
      <c r="CW4" s="1788"/>
      <c r="CX4" s="1788"/>
      <c r="CY4" s="1788"/>
      <c r="CZ4" s="1791"/>
      <c r="DA4" s="1787" t="s">
        <v>100</v>
      </c>
      <c r="DB4" s="1788"/>
      <c r="DC4" s="1788"/>
      <c r="DD4" s="1788"/>
      <c r="DE4" s="1788"/>
      <c r="DF4" s="1789"/>
      <c r="DG4" s="1790" t="s">
        <v>76</v>
      </c>
      <c r="DH4" s="1788"/>
      <c r="DI4" s="1788"/>
      <c r="DJ4" s="1788"/>
      <c r="DK4" s="1788"/>
      <c r="DL4" s="1788"/>
      <c r="DM4" s="1788"/>
      <c r="DN4" s="1788"/>
      <c r="DO4" s="1788"/>
      <c r="DP4" s="1788"/>
      <c r="DQ4" s="1791"/>
      <c r="DR4" s="1787" t="s">
        <v>100</v>
      </c>
      <c r="DS4" s="1788"/>
      <c r="DT4" s="1788"/>
      <c r="DU4" s="1788"/>
      <c r="DV4" s="1788"/>
      <c r="DW4" s="1789"/>
      <c r="DX4" s="1790" t="s">
        <v>76</v>
      </c>
      <c r="DY4" s="1788"/>
      <c r="DZ4" s="1788"/>
      <c r="EA4" s="1788"/>
      <c r="EB4" s="1788"/>
      <c r="EC4" s="1788"/>
      <c r="ED4" s="1788"/>
      <c r="EE4" s="1788"/>
      <c r="EF4" s="1788"/>
      <c r="EG4" s="1788"/>
      <c r="EH4" s="1791"/>
      <c r="EI4" s="1787" t="s">
        <v>100</v>
      </c>
      <c r="EJ4" s="1788"/>
      <c r="EK4" s="1788"/>
      <c r="EL4" s="1788"/>
      <c r="EM4" s="1788"/>
      <c r="EN4" s="1789"/>
      <c r="EO4" s="1790" t="s">
        <v>76</v>
      </c>
      <c r="EP4" s="1788"/>
      <c r="EQ4" s="1788"/>
      <c r="ER4" s="1788"/>
      <c r="ES4" s="1788"/>
      <c r="ET4" s="1788"/>
      <c r="EU4" s="1788"/>
      <c r="EV4" s="1788"/>
      <c r="EW4" s="1788"/>
      <c r="EX4" s="1788"/>
      <c r="EY4" s="1791"/>
      <c r="EZ4" s="1787" t="s">
        <v>100</v>
      </c>
      <c r="FA4" s="1788"/>
      <c r="FB4" s="1788"/>
      <c r="FC4" s="1788"/>
      <c r="FD4" s="1788"/>
      <c r="FE4" s="1789"/>
      <c r="FF4" s="1790" t="s">
        <v>76</v>
      </c>
      <c r="FG4" s="1788"/>
      <c r="FH4" s="1788"/>
      <c r="FI4" s="1788"/>
      <c r="FJ4" s="1788"/>
      <c r="FK4" s="1788"/>
      <c r="FL4" s="1788"/>
      <c r="FM4" s="1788"/>
      <c r="FN4" s="1788"/>
      <c r="FO4" s="1788"/>
      <c r="FP4" s="1791"/>
      <c r="FQ4" s="1787" t="s">
        <v>100</v>
      </c>
      <c r="FR4" s="1788"/>
      <c r="FS4" s="1788"/>
      <c r="FT4" s="1788"/>
      <c r="FU4" s="1788"/>
      <c r="FV4" s="1789"/>
      <c r="FW4" s="1790" t="s">
        <v>76</v>
      </c>
      <c r="FX4" s="1788"/>
      <c r="FY4" s="1788"/>
      <c r="FZ4" s="1788"/>
      <c r="GA4" s="1788"/>
      <c r="GB4" s="1788"/>
      <c r="GC4" s="1788"/>
      <c r="GD4" s="1788"/>
      <c r="GE4" s="1788"/>
      <c r="GF4" s="1788"/>
      <c r="GG4" s="1791"/>
      <c r="GH4" s="1787" t="s">
        <v>100</v>
      </c>
      <c r="GI4" s="1788"/>
      <c r="GJ4" s="1788"/>
      <c r="GK4" s="1788"/>
      <c r="GL4" s="1788"/>
      <c r="GM4" s="1789"/>
      <c r="GN4" s="1790" t="s">
        <v>76</v>
      </c>
      <c r="GO4" s="1788"/>
      <c r="GP4" s="1788"/>
      <c r="GQ4" s="1788"/>
      <c r="GR4" s="1788"/>
      <c r="GS4" s="1788"/>
      <c r="GT4" s="1788"/>
      <c r="GU4" s="1788"/>
      <c r="GV4" s="1788"/>
      <c r="GW4" s="1788"/>
      <c r="GX4" s="1791"/>
    </row>
    <row r="5" spans="1:206" s="7" customFormat="1" ht="15" customHeight="1">
      <c r="A5" s="1810"/>
      <c r="B5" s="1805"/>
      <c r="C5" s="1814"/>
      <c r="E5" s="154" t="s">
        <v>8</v>
      </c>
      <c r="F5" s="155"/>
      <c r="G5" s="1784" t="s">
        <v>10</v>
      </c>
      <c r="H5" s="1785"/>
      <c r="I5" s="1792"/>
      <c r="J5" s="1793" t="s">
        <v>15</v>
      </c>
      <c r="K5" s="1781" t="s">
        <v>54</v>
      </c>
      <c r="L5" s="1783"/>
      <c r="M5" s="1795" t="s">
        <v>55</v>
      </c>
      <c r="N5" s="1796"/>
      <c r="O5" s="1797"/>
      <c r="P5" s="1781" t="s">
        <v>9</v>
      </c>
      <c r="Q5" s="1783"/>
      <c r="R5" s="1798" t="s">
        <v>67</v>
      </c>
      <c r="S5" s="1802" t="s">
        <v>64</v>
      </c>
      <c r="U5" s="154" t="s">
        <v>8</v>
      </c>
      <c r="V5" s="155"/>
      <c r="W5" s="770" t="s">
        <v>10</v>
      </c>
      <c r="X5" s="771"/>
      <c r="Y5" s="773"/>
      <c r="Z5" s="774" t="s">
        <v>15</v>
      </c>
      <c r="AA5" s="767" t="s">
        <v>54</v>
      </c>
      <c r="AB5" s="769"/>
      <c r="AC5" s="775" t="s">
        <v>55</v>
      </c>
      <c r="AD5" s="776"/>
      <c r="AE5" s="777"/>
      <c r="AF5" s="767" t="s">
        <v>9</v>
      </c>
      <c r="AG5" s="769"/>
      <c r="AH5" s="778" t="s">
        <v>67</v>
      </c>
      <c r="AI5" s="1805"/>
      <c r="AJ5" s="779" t="s">
        <v>64</v>
      </c>
      <c r="AL5" s="1784" t="s">
        <v>8</v>
      </c>
      <c r="AM5" s="1786"/>
      <c r="AN5" s="1784" t="s">
        <v>10</v>
      </c>
      <c r="AO5" s="1785"/>
      <c r="AP5" s="1792"/>
      <c r="AQ5" s="1793" t="s">
        <v>15</v>
      </c>
      <c r="AR5" s="1781" t="s">
        <v>54</v>
      </c>
      <c r="AS5" s="1783"/>
      <c r="AT5" s="1795" t="s">
        <v>55</v>
      </c>
      <c r="AU5" s="1796"/>
      <c r="AV5" s="1797"/>
      <c r="AW5" s="1781" t="s">
        <v>9</v>
      </c>
      <c r="AX5" s="1783"/>
      <c r="AY5" s="1798" t="s">
        <v>67</v>
      </c>
      <c r="AZ5" s="1800" t="s">
        <v>235</v>
      </c>
      <c r="BA5" s="1802" t="s">
        <v>64</v>
      </c>
      <c r="BC5" s="1784" t="s">
        <v>8</v>
      </c>
      <c r="BD5" s="1786"/>
      <c r="BE5" s="1784" t="s">
        <v>10</v>
      </c>
      <c r="BF5" s="1785"/>
      <c r="BG5" s="1792"/>
      <c r="BH5" s="1793" t="s">
        <v>15</v>
      </c>
      <c r="BI5" s="1781" t="s">
        <v>54</v>
      </c>
      <c r="BJ5" s="1783"/>
      <c r="BK5" s="1795" t="s">
        <v>55</v>
      </c>
      <c r="BL5" s="1796"/>
      <c r="BM5" s="1797"/>
      <c r="BN5" s="1781" t="s">
        <v>9</v>
      </c>
      <c r="BO5" s="1783"/>
      <c r="BP5" s="1798" t="s">
        <v>67</v>
      </c>
      <c r="BQ5" s="1800" t="s">
        <v>235</v>
      </c>
      <c r="BR5" s="1802" t="s">
        <v>64</v>
      </c>
      <c r="BT5" s="1784" t="s">
        <v>8</v>
      </c>
      <c r="BU5" s="1786"/>
      <c r="BV5" s="1784" t="s">
        <v>10</v>
      </c>
      <c r="BW5" s="1785"/>
      <c r="BX5" s="1792"/>
      <c r="BY5" s="1793" t="s">
        <v>15</v>
      </c>
      <c r="BZ5" s="1781" t="s">
        <v>54</v>
      </c>
      <c r="CA5" s="1783"/>
      <c r="CB5" s="1795" t="s">
        <v>55</v>
      </c>
      <c r="CC5" s="1796"/>
      <c r="CD5" s="1797"/>
      <c r="CE5" s="1781" t="s">
        <v>9</v>
      </c>
      <c r="CF5" s="1783"/>
      <c r="CG5" s="1798" t="s">
        <v>67</v>
      </c>
      <c r="CH5" s="1800" t="s">
        <v>235</v>
      </c>
      <c r="CI5" s="1802" t="s">
        <v>64</v>
      </c>
      <c r="CK5" s="1784" t="s">
        <v>8</v>
      </c>
      <c r="CL5" s="1786"/>
      <c r="CM5" s="1784" t="s">
        <v>10</v>
      </c>
      <c r="CN5" s="1785"/>
      <c r="CO5" s="1792"/>
      <c r="CP5" s="1793" t="s">
        <v>15</v>
      </c>
      <c r="CQ5" s="1781" t="s">
        <v>54</v>
      </c>
      <c r="CR5" s="1783"/>
      <c r="CS5" s="1795" t="s">
        <v>55</v>
      </c>
      <c r="CT5" s="1796"/>
      <c r="CU5" s="1797"/>
      <c r="CV5" s="1781" t="s">
        <v>9</v>
      </c>
      <c r="CW5" s="1783"/>
      <c r="CX5" s="1798" t="s">
        <v>67</v>
      </c>
      <c r="CY5" s="1800" t="s">
        <v>235</v>
      </c>
      <c r="CZ5" s="1802" t="s">
        <v>64</v>
      </c>
      <c r="DB5" s="1784" t="s">
        <v>8</v>
      </c>
      <c r="DC5" s="1786"/>
      <c r="DD5" s="1784" t="s">
        <v>10</v>
      </c>
      <c r="DE5" s="1785"/>
      <c r="DF5" s="1792"/>
      <c r="DG5" s="1793" t="s">
        <v>15</v>
      </c>
      <c r="DH5" s="1781" t="s">
        <v>54</v>
      </c>
      <c r="DI5" s="1783"/>
      <c r="DJ5" s="1795" t="s">
        <v>55</v>
      </c>
      <c r="DK5" s="1796"/>
      <c r="DL5" s="1797"/>
      <c r="DM5" s="1781" t="s">
        <v>9</v>
      </c>
      <c r="DN5" s="1783"/>
      <c r="DO5" s="1798" t="s">
        <v>67</v>
      </c>
      <c r="DP5" s="1800" t="s">
        <v>235</v>
      </c>
      <c r="DQ5" s="1802" t="s">
        <v>64</v>
      </c>
      <c r="DS5" s="1784" t="s">
        <v>8</v>
      </c>
      <c r="DT5" s="1786"/>
      <c r="DU5" s="1784" t="s">
        <v>10</v>
      </c>
      <c r="DV5" s="1785"/>
      <c r="DW5" s="1792"/>
      <c r="DX5" s="1793" t="s">
        <v>15</v>
      </c>
      <c r="DY5" s="1781" t="s">
        <v>54</v>
      </c>
      <c r="DZ5" s="1783"/>
      <c r="EA5" s="1795" t="s">
        <v>55</v>
      </c>
      <c r="EB5" s="1796"/>
      <c r="EC5" s="1797"/>
      <c r="ED5" s="1781" t="s">
        <v>9</v>
      </c>
      <c r="EE5" s="1783"/>
      <c r="EF5" s="1798" t="s">
        <v>67</v>
      </c>
      <c r="EG5" s="1800" t="s">
        <v>235</v>
      </c>
      <c r="EH5" s="1802" t="s">
        <v>64</v>
      </c>
      <c r="EJ5" s="1784" t="s">
        <v>8</v>
      </c>
      <c r="EK5" s="1786"/>
      <c r="EL5" s="1784" t="s">
        <v>10</v>
      </c>
      <c r="EM5" s="1785"/>
      <c r="EN5" s="1792"/>
      <c r="EO5" s="1793" t="s">
        <v>15</v>
      </c>
      <c r="EP5" s="1781" t="s">
        <v>54</v>
      </c>
      <c r="EQ5" s="1783"/>
      <c r="ER5" s="1795" t="s">
        <v>55</v>
      </c>
      <c r="ES5" s="1796"/>
      <c r="ET5" s="1797"/>
      <c r="EU5" s="1781" t="s">
        <v>9</v>
      </c>
      <c r="EV5" s="1783"/>
      <c r="EW5" s="1798" t="s">
        <v>67</v>
      </c>
      <c r="EX5" s="1800" t="s">
        <v>235</v>
      </c>
      <c r="EY5" s="1802" t="s">
        <v>64</v>
      </c>
      <c r="FA5" s="1784" t="s">
        <v>8</v>
      </c>
      <c r="FB5" s="1786"/>
      <c r="FC5" s="1784" t="s">
        <v>10</v>
      </c>
      <c r="FD5" s="1785"/>
      <c r="FE5" s="1792"/>
      <c r="FF5" s="1793" t="s">
        <v>15</v>
      </c>
      <c r="FG5" s="1781" t="s">
        <v>54</v>
      </c>
      <c r="FH5" s="1783"/>
      <c r="FI5" s="1795" t="s">
        <v>55</v>
      </c>
      <c r="FJ5" s="1796"/>
      <c r="FK5" s="1797"/>
      <c r="FL5" s="1781" t="s">
        <v>9</v>
      </c>
      <c r="FM5" s="1783"/>
      <c r="FN5" s="1798" t="s">
        <v>67</v>
      </c>
      <c r="FO5" s="1800" t="s">
        <v>235</v>
      </c>
      <c r="FP5" s="1802" t="s">
        <v>64</v>
      </c>
      <c r="FR5" s="1784" t="s">
        <v>8</v>
      </c>
      <c r="FS5" s="1786"/>
      <c r="FT5" s="1784" t="s">
        <v>10</v>
      </c>
      <c r="FU5" s="1785"/>
      <c r="FV5" s="1792"/>
      <c r="FW5" s="1793" t="s">
        <v>15</v>
      </c>
      <c r="FX5" s="1781" t="s">
        <v>54</v>
      </c>
      <c r="FY5" s="1783"/>
      <c r="FZ5" s="1795" t="s">
        <v>55</v>
      </c>
      <c r="GA5" s="1796"/>
      <c r="GB5" s="1797"/>
      <c r="GC5" s="1781" t="s">
        <v>9</v>
      </c>
      <c r="GD5" s="1783"/>
      <c r="GE5" s="1798" t="s">
        <v>67</v>
      </c>
      <c r="GF5" s="1800" t="s">
        <v>235</v>
      </c>
      <c r="GG5" s="1802" t="s">
        <v>64</v>
      </c>
      <c r="GI5" s="1784" t="s">
        <v>8</v>
      </c>
      <c r="GJ5" s="1786"/>
      <c r="GK5" s="1784" t="s">
        <v>10</v>
      </c>
      <c r="GL5" s="1785"/>
      <c r="GM5" s="1792"/>
      <c r="GN5" s="1793" t="s">
        <v>15</v>
      </c>
      <c r="GO5" s="1781" t="s">
        <v>54</v>
      </c>
      <c r="GP5" s="1783"/>
      <c r="GQ5" s="1795" t="s">
        <v>55</v>
      </c>
      <c r="GR5" s="1796"/>
      <c r="GS5" s="1797"/>
      <c r="GT5" s="1781" t="s">
        <v>9</v>
      </c>
      <c r="GU5" s="1783"/>
      <c r="GV5" s="1798" t="s">
        <v>67</v>
      </c>
      <c r="GW5" s="1800" t="s">
        <v>235</v>
      </c>
      <c r="GX5" s="1802" t="s">
        <v>64</v>
      </c>
    </row>
    <row r="6" spans="1:206" s="7" customFormat="1">
      <c r="A6" s="1811"/>
      <c r="B6" s="1806"/>
      <c r="C6" s="1814"/>
      <c r="D6" s="191" t="s">
        <v>0</v>
      </c>
      <c r="E6" s="130" t="s">
        <v>54</v>
      </c>
      <c r="F6" s="130" t="s">
        <v>55</v>
      </c>
      <c r="G6" s="191" t="s">
        <v>0</v>
      </c>
      <c r="H6" s="130" t="s">
        <v>54</v>
      </c>
      <c r="I6" s="132" t="s">
        <v>55</v>
      </c>
      <c r="J6" s="1812"/>
      <c r="K6" s="131" t="s">
        <v>78</v>
      </c>
      <c r="L6" s="131" t="s">
        <v>77</v>
      </c>
      <c r="M6" s="131" t="s">
        <v>78</v>
      </c>
      <c r="N6" s="131" t="s">
        <v>1</v>
      </c>
      <c r="O6" s="709" t="s">
        <v>2059</v>
      </c>
      <c r="P6" s="131" t="s">
        <v>54</v>
      </c>
      <c r="Q6" s="131" t="s">
        <v>55</v>
      </c>
      <c r="R6" s="1813"/>
      <c r="S6" s="1808"/>
      <c r="T6" s="778" t="s">
        <v>0</v>
      </c>
      <c r="U6" s="270" t="s">
        <v>54</v>
      </c>
      <c r="V6" s="270" t="s">
        <v>55</v>
      </c>
      <c r="W6" s="778" t="s">
        <v>0</v>
      </c>
      <c r="X6" s="270" t="s">
        <v>54</v>
      </c>
      <c r="Y6" s="132" t="s">
        <v>55</v>
      </c>
      <c r="Z6" s="780"/>
      <c r="AA6" s="131" t="s">
        <v>78</v>
      </c>
      <c r="AB6" s="131" t="s">
        <v>77</v>
      </c>
      <c r="AC6" s="131" t="s">
        <v>78</v>
      </c>
      <c r="AD6" s="131" t="s">
        <v>1</v>
      </c>
      <c r="AE6" s="778" t="s">
        <v>2059</v>
      </c>
      <c r="AF6" s="131" t="s">
        <v>54</v>
      </c>
      <c r="AG6" s="131" t="s">
        <v>55</v>
      </c>
      <c r="AH6" s="781"/>
      <c r="AI6" s="1806"/>
      <c r="AJ6" s="782"/>
      <c r="AK6" s="291" t="s">
        <v>0</v>
      </c>
      <c r="AL6" s="302" t="s">
        <v>54</v>
      </c>
      <c r="AM6" s="302" t="s">
        <v>55</v>
      </c>
      <c r="AN6" s="291" t="s">
        <v>0</v>
      </c>
      <c r="AO6" s="302" t="s">
        <v>54</v>
      </c>
      <c r="AP6" s="315" t="s">
        <v>55</v>
      </c>
      <c r="AQ6" s="1794"/>
      <c r="AR6" s="301" t="s">
        <v>78</v>
      </c>
      <c r="AS6" s="301" t="s">
        <v>77</v>
      </c>
      <c r="AT6" s="301" t="s">
        <v>78</v>
      </c>
      <c r="AU6" s="896" t="s">
        <v>1</v>
      </c>
      <c r="AV6" s="896" t="s">
        <v>77</v>
      </c>
      <c r="AW6" s="301" t="s">
        <v>54</v>
      </c>
      <c r="AX6" s="301" t="s">
        <v>55</v>
      </c>
      <c r="AY6" s="1799"/>
      <c r="AZ6" s="1801"/>
      <c r="BA6" s="1803"/>
      <c r="BB6" s="301" t="s">
        <v>0</v>
      </c>
      <c r="BC6" s="302" t="s">
        <v>54</v>
      </c>
      <c r="BD6" s="302" t="s">
        <v>55</v>
      </c>
      <c r="BE6" s="301" t="s">
        <v>0</v>
      </c>
      <c r="BF6" s="302" t="s">
        <v>54</v>
      </c>
      <c r="BG6" s="315" t="s">
        <v>55</v>
      </c>
      <c r="BH6" s="1794"/>
      <c r="BI6" s="301" t="s">
        <v>78</v>
      </c>
      <c r="BJ6" s="301" t="s">
        <v>77</v>
      </c>
      <c r="BK6" s="301" t="s">
        <v>78</v>
      </c>
      <c r="BL6" s="898" t="s">
        <v>1</v>
      </c>
      <c r="BM6" s="898" t="s">
        <v>77</v>
      </c>
      <c r="BN6" s="301" t="s">
        <v>54</v>
      </c>
      <c r="BO6" s="301" t="s">
        <v>55</v>
      </c>
      <c r="BP6" s="1799"/>
      <c r="BQ6" s="1801"/>
      <c r="BR6" s="1803"/>
      <c r="BS6" s="333" t="s">
        <v>0</v>
      </c>
      <c r="BT6" s="334" t="s">
        <v>54</v>
      </c>
      <c r="BU6" s="334" t="s">
        <v>55</v>
      </c>
      <c r="BV6" s="333" t="s">
        <v>0</v>
      </c>
      <c r="BW6" s="334" t="s">
        <v>54</v>
      </c>
      <c r="BX6" s="315" t="s">
        <v>55</v>
      </c>
      <c r="BY6" s="1794"/>
      <c r="BZ6" s="333" t="s">
        <v>78</v>
      </c>
      <c r="CA6" s="333" t="s">
        <v>77</v>
      </c>
      <c r="CB6" s="333" t="s">
        <v>78</v>
      </c>
      <c r="CC6" s="131" t="s">
        <v>1</v>
      </c>
      <c r="CD6" s="907" t="s">
        <v>77</v>
      </c>
      <c r="CE6" s="333" t="s">
        <v>54</v>
      </c>
      <c r="CF6" s="333" t="s">
        <v>55</v>
      </c>
      <c r="CG6" s="1799"/>
      <c r="CH6" s="1801"/>
      <c r="CI6" s="1803"/>
      <c r="CJ6" s="352" t="s">
        <v>0</v>
      </c>
      <c r="CK6" s="353" t="s">
        <v>54</v>
      </c>
      <c r="CL6" s="353" t="s">
        <v>55</v>
      </c>
      <c r="CM6" s="352" t="s">
        <v>0</v>
      </c>
      <c r="CN6" s="353" t="s">
        <v>54</v>
      </c>
      <c r="CO6" s="315" t="s">
        <v>55</v>
      </c>
      <c r="CP6" s="1794"/>
      <c r="CQ6" s="352" t="s">
        <v>78</v>
      </c>
      <c r="CR6" s="352" t="s">
        <v>77</v>
      </c>
      <c r="CS6" s="352" t="s">
        <v>78</v>
      </c>
      <c r="CT6" s="984" t="s">
        <v>1</v>
      </c>
      <c r="CU6" s="984" t="s">
        <v>77</v>
      </c>
      <c r="CV6" s="352" t="s">
        <v>54</v>
      </c>
      <c r="CW6" s="352" t="s">
        <v>55</v>
      </c>
      <c r="CX6" s="1799"/>
      <c r="CY6" s="1801"/>
      <c r="CZ6" s="1803"/>
      <c r="DA6" s="371" t="s">
        <v>0</v>
      </c>
      <c r="DB6" s="372" t="s">
        <v>54</v>
      </c>
      <c r="DC6" s="372" t="s">
        <v>55</v>
      </c>
      <c r="DD6" s="371" t="s">
        <v>0</v>
      </c>
      <c r="DE6" s="372" t="s">
        <v>54</v>
      </c>
      <c r="DF6" s="315" t="s">
        <v>55</v>
      </c>
      <c r="DG6" s="1794"/>
      <c r="DH6" s="371" t="s">
        <v>78</v>
      </c>
      <c r="DI6" s="371" t="s">
        <v>77</v>
      </c>
      <c r="DJ6" s="371" t="s">
        <v>78</v>
      </c>
      <c r="DK6" s="1095" t="s">
        <v>1</v>
      </c>
      <c r="DL6" s="1095" t="s">
        <v>77</v>
      </c>
      <c r="DM6" s="371" t="s">
        <v>54</v>
      </c>
      <c r="DN6" s="371" t="s">
        <v>55</v>
      </c>
      <c r="DO6" s="1799"/>
      <c r="DP6" s="1801"/>
      <c r="DQ6" s="1803"/>
      <c r="DR6" s="379" t="s">
        <v>0</v>
      </c>
      <c r="DS6" s="380" t="s">
        <v>54</v>
      </c>
      <c r="DT6" s="380" t="s">
        <v>55</v>
      </c>
      <c r="DU6" s="379" t="s">
        <v>0</v>
      </c>
      <c r="DV6" s="380" t="s">
        <v>54</v>
      </c>
      <c r="DW6" s="315" t="s">
        <v>55</v>
      </c>
      <c r="DX6" s="1794"/>
      <c r="DY6" s="379" t="s">
        <v>78</v>
      </c>
      <c r="DZ6" s="379" t="s">
        <v>77</v>
      </c>
      <c r="EA6" s="379" t="s">
        <v>78</v>
      </c>
      <c r="EB6" s="1095" t="s">
        <v>1</v>
      </c>
      <c r="EC6" s="1095" t="s">
        <v>77</v>
      </c>
      <c r="ED6" s="379" t="s">
        <v>54</v>
      </c>
      <c r="EE6" s="379" t="s">
        <v>55</v>
      </c>
      <c r="EF6" s="1799"/>
      <c r="EG6" s="1801"/>
      <c r="EH6" s="1803"/>
      <c r="EI6" s="398" t="s">
        <v>0</v>
      </c>
      <c r="EJ6" s="399" t="s">
        <v>54</v>
      </c>
      <c r="EK6" s="399" t="s">
        <v>55</v>
      </c>
      <c r="EL6" s="398" t="s">
        <v>0</v>
      </c>
      <c r="EM6" s="399" t="s">
        <v>54</v>
      </c>
      <c r="EN6" s="315" t="s">
        <v>55</v>
      </c>
      <c r="EO6" s="1794"/>
      <c r="EP6" s="398" t="s">
        <v>78</v>
      </c>
      <c r="EQ6" s="398" t="s">
        <v>77</v>
      </c>
      <c r="ER6" s="398" t="s">
        <v>78</v>
      </c>
      <c r="ES6" s="526" t="s">
        <v>77</v>
      </c>
      <c r="ET6" s="526" t="s">
        <v>1</v>
      </c>
      <c r="EU6" s="398" t="s">
        <v>54</v>
      </c>
      <c r="EV6" s="398" t="s">
        <v>55</v>
      </c>
      <c r="EW6" s="1799"/>
      <c r="EX6" s="1801"/>
      <c r="EY6" s="1803"/>
      <c r="EZ6" s="406" t="s">
        <v>0</v>
      </c>
      <c r="FA6" s="407" t="s">
        <v>54</v>
      </c>
      <c r="FB6" s="407" t="s">
        <v>55</v>
      </c>
      <c r="FC6" s="406" t="s">
        <v>0</v>
      </c>
      <c r="FD6" s="407" t="s">
        <v>54</v>
      </c>
      <c r="FE6" s="315" t="s">
        <v>55</v>
      </c>
      <c r="FF6" s="1794"/>
      <c r="FG6" s="406" t="s">
        <v>78</v>
      </c>
      <c r="FH6" s="406" t="s">
        <v>77</v>
      </c>
      <c r="FI6" s="406" t="s">
        <v>78</v>
      </c>
      <c r="FJ6" s="526" t="s">
        <v>77</v>
      </c>
      <c r="FK6" s="526" t="s">
        <v>1</v>
      </c>
      <c r="FL6" s="406" t="s">
        <v>54</v>
      </c>
      <c r="FM6" s="406" t="s">
        <v>55</v>
      </c>
      <c r="FN6" s="1799"/>
      <c r="FO6" s="1801"/>
      <c r="FP6" s="1803"/>
      <c r="FQ6" s="506" t="s">
        <v>0</v>
      </c>
      <c r="FR6" s="507" t="s">
        <v>54</v>
      </c>
      <c r="FS6" s="507" t="s">
        <v>55</v>
      </c>
      <c r="FT6" s="506" t="s">
        <v>0</v>
      </c>
      <c r="FU6" s="507" t="s">
        <v>54</v>
      </c>
      <c r="FV6" s="315" t="s">
        <v>55</v>
      </c>
      <c r="FW6" s="1794"/>
      <c r="FX6" s="506" t="s">
        <v>78</v>
      </c>
      <c r="FY6" s="506" t="s">
        <v>77</v>
      </c>
      <c r="FZ6" s="506" t="s">
        <v>78</v>
      </c>
      <c r="GA6" s="526" t="s">
        <v>77</v>
      </c>
      <c r="GB6" s="526" t="s">
        <v>1</v>
      </c>
      <c r="GC6" s="506" t="s">
        <v>54</v>
      </c>
      <c r="GD6" s="526" t="s">
        <v>55</v>
      </c>
      <c r="GE6" s="1799"/>
      <c r="GF6" s="1801"/>
      <c r="GG6" s="1803"/>
      <c r="GH6" s="519" t="s">
        <v>0</v>
      </c>
      <c r="GI6" s="521" t="s">
        <v>54</v>
      </c>
      <c r="GJ6" s="521" t="s">
        <v>55</v>
      </c>
      <c r="GK6" s="519" t="s">
        <v>0</v>
      </c>
      <c r="GL6" s="521" t="s">
        <v>54</v>
      </c>
      <c r="GM6" s="315" t="s">
        <v>55</v>
      </c>
      <c r="GN6" s="1794"/>
      <c r="GO6" s="519" t="s">
        <v>78</v>
      </c>
      <c r="GP6" s="519" t="s">
        <v>77</v>
      </c>
      <c r="GQ6" s="519" t="s">
        <v>78</v>
      </c>
      <c r="GR6" s="526" t="s">
        <v>77</v>
      </c>
      <c r="GS6" s="526" t="s">
        <v>1</v>
      </c>
      <c r="GT6" s="519" t="s">
        <v>54</v>
      </c>
      <c r="GU6" s="519" t="s">
        <v>55</v>
      </c>
      <c r="GV6" s="1799"/>
      <c r="GW6" s="1801"/>
      <c r="GX6" s="1803"/>
    </row>
    <row r="7" spans="1:206" s="7" customFormat="1">
      <c r="A7" s="308" t="s">
        <v>87</v>
      </c>
      <c r="B7" s="327" t="str">
        <f>CONCATENATE(C7,$S$3)</f>
        <v>APLIKANUSA LINTASARTA, PTJAN</v>
      </c>
      <c r="C7" s="123" t="s">
        <v>126</v>
      </c>
      <c r="D7" s="307"/>
      <c r="E7" s="109">
        <f>SUMIF(Master_Data!$D2:$D$145,CONCATENATE(C7),Master_Data!M2:M145)</f>
        <v>0</v>
      </c>
      <c r="F7" s="109">
        <f>SUMIF(Master_Data!$D2:$D$145,CONCATENATE(C7),Master_Data!N2:N145)</f>
        <v>0</v>
      </c>
      <c r="G7" s="84"/>
      <c r="H7" s="109">
        <f>SUMIF(Bill_Out!$Q$3:$Q$65,CONCATENATE($C7,$S$3),Bill_Out!$N$3:$N$65)</f>
        <v>0</v>
      </c>
      <c r="I7" s="88">
        <f>SUMIF(Bill_Out!$Q$3:$Q$65,CONCATENATE($C7,$S$3),Bill_Out!$O$3:$O$65)</f>
        <v>0</v>
      </c>
      <c r="J7" s="50"/>
      <c r="K7" s="29"/>
      <c r="L7" s="44"/>
      <c r="M7" s="230">
        <f ca="1">SUMIF(Master_Data!$AK2:$AK$145,CONCATENATE(C7,$S$3),Master_Data!U2:U140)+SUMIF(Master_Data!$AK150:$AK$864,CONCATENATE(C7,$S$3),Master_Data!U150:U864)</f>
        <v>0</v>
      </c>
      <c r="N7" s="310">
        <f>SUMIF(Master_Data!$AK$4:$AK$145,CONCATENATE(C7,$S$3),Master_Data!$S$4:$S$145)+SUMIF(Master_Data!$AK$150:$AK$864,CONCATENATE(C7,$S$3),Master_Data!$S$150:$S$864)</f>
        <v>0</v>
      </c>
      <c r="O7" s="310">
        <f>SUMIF(Master_Data!$AK$4:$AK$145,CONCATENATE(C7,$S$3),Master_Data!$T$4:$T$145)+SUMIF(Master_Data!$AK$150:$AK$864,CONCATENATE(C7,$S$3),Master_Data!$T$150:$T$864)</f>
        <v>0</v>
      </c>
      <c r="P7" s="230">
        <f>E7+H7-K7+L7</f>
        <v>0</v>
      </c>
      <c r="Q7" s="230">
        <f ca="1">F7+I7-M7+N7+O7</f>
        <v>0</v>
      </c>
      <c r="R7" s="31"/>
      <c r="S7" s="24"/>
      <c r="T7" s="311"/>
      <c r="U7" s="109">
        <f t="shared" ref="U7:V8" si="0">P7</f>
        <v>0</v>
      </c>
      <c r="V7" s="109">
        <f ca="1">Q7</f>
        <v>0</v>
      </c>
      <c r="W7" s="312"/>
      <c r="X7" s="109">
        <f>SUMIF(Bill_Out!$Q$67:$Q$132,CONCATENATE($C7,$AJ$3),Bill_Out!$N$67:$N$132)</f>
        <v>0</v>
      </c>
      <c r="Y7" s="109">
        <f>SUMIF(Bill_Out!$Q$67:$Q$132,CONCATENATE($C7,$AJ$3),Bill_Out!$O$67:$O$132)</f>
        <v>0</v>
      </c>
      <c r="Z7" s="313"/>
      <c r="AA7" s="310">
        <f>SUMIF(Master_Data!$AK$4:$AK$145,CONCATENATE(C7,$AJ$3),Master_Data!$R$4:$R$145)+SUMIF(Master_Data!$AK$152:$AK$850,CONCATENATE(C7,$AJ$3),Master_Data!$R$152:$R$850)</f>
        <v>0</v>
      </c>
      <c r="AB7" s="310">
        <f>SUMIF(Master_Data!$AK$4:$AK$145,CONCATENATE(C7,$AJ$3),Master_Data!$Q$4:$Q$145)+SUMIF(Master_Data!$AK$152:$AK$850,CONCATENATE(C7,$AJ$3),Master_Data!$Q$152:$Q$850)</f>
        <v>0</v>
      </c>
      <c r="AC7" s="310">
        <f>SUMIF(Master_Data!$AK$4:$AK$145,CONCATENATE(C7,$AJ$3),Master_Data!$U$4:$U$145)+SUMIF(Master_Data!$AK$152:$AK$850,CONCATENATE(C7,$AJ$3),Master_Data!$U$152:$U$850)</f>
        <v>0</v>
      </c>
      <c r="AD7" s="310">
        <f ca="1">SUMIF(Master_Data!$AK$4:$AK$145,CONCATENATE(C7,$AJ$3),Master_Data!$S$4:$S$145)+SUMIF(Master_Data!$AK$152:$AK$864,CONCATENATE(C7,$AJ$3),Master_Data!$S$152:$S$850)</f>
        <v>0</v>
      </c>
      <c r="AE7" s="310">
        <f>SUMIF(Master_Data!$AK$4:$AK$145,CONCATENATE(C7,$AJ$3),Master_Data!$T$4:$T$145)+SUMIF(Master_Data!$AK$152:$AK$864,CONCATENATE(C7,$AJ$3),Master_Data!$T$152:$T$864)</f>
        <v>0</v>
      </c>
      <c r="AF7" s="310">
        <f t="shared" ref="AF7:AF11" si="1">U7+X7-AA7+AB7</f>
        <v>0</v>
      </c>
      <c r="AG7" s="230">
        <f t="shared" ref="AG7:AG11" ca="1" si="2">V7+Y7-AC7+AD7+AE7</f>
        <v>0</v>
      </c>
      <c r="AH7" s="312"/>
      <c r="AI7" s="235" t="str">
        <f t="shared" ref="AI7:AI35" si="3">CONCATENATE(C7,$AJ$3)</f>
        <v>APLIKANUSA LINTASARTA, PTFEB</v>
      </c>
      <c r="AJ7" s="314"/>
      <c r="AK7" s="316"/>
      <c r="AL7" s="109">
        <f t="shared" ref="AL7:AM8" si="4">AF7</f>
        <v>0</v>
      </c>
      <c r="AM7" s="109">
        <f t="shared" ca="1" si="4"/>
        <v>0</v>
      </c>
      <c r="AN7" s="307"/>
      <c r="AO7" s="109">
        <f>SUMIF(Bill_Out!$Q$134:$Q$188,CONCATENATE($C7,$BA$3),Bill_Out!$N$134:$N$188)</f>
        <v>0</v>
      </c>
      <c r="AP7" s="109" t="e">
        <f>SUMIF(Bill_Out!$Q$134:$Q$188,CONCATENATE($C7,$BA$3),Bill_Out!$O$134:$O$188)</f>
        <v>#VALUE!</v>
      </c>
      <c r="AQ7" s="317"/>
      <c r="AR7" s="905">
        <f>SUMIF(Master_Data!$AK$4:$AK$145,CONCATENATE(C7,$BA$3),Master_Data!$R$4:$R$145)+SUMIF(Master_Data!$AK$152:$AK$864,CONCATENATE(C7,$BA$3),Master_Data!$R$152:$R$864)</f>
        <v>0</v>
      </c>
      <c r="AS7" s="905">
        <f>SUMIF(Master_Data!$AK$4:$AK$145,CONCATENATE(C7,$BA$3),Master_Data!$Q$4:$Q$145)+SUMIF(Master_Data!$AK$152:$AK$864,CONCATENATE(C7,$BA$3),Master_Data!$Q$152:$Q$864)</f>
        <v>0</v>
      </c>
      <c r="AT7" s="905">
        <f>SUMIF(Master_Data!$AK$4:$AK$145,CONCATENATE(C7,$BA$3),Master_Data!$U$4:$U$145)+SUMIF(Master_Data!$AK$152:$AK$864,CONCATENATE(C7,$BA$3),Master_Data!$U$152:$U$864)</f>
        <v>85860000</v>
      </c>
      <c r="AU7" s="905">
        <f ca="1">SUMIF(Master_Data!$AK$4:$AK$145,CONCATENATE(C7,$BA$3),Master_Data!$S$4:$S$145)+SUMIF(Master_Data!$AK$152:$AK$864,CONCATENATE(C7,$BA$3),Master_Data!$S$152:$S$850)</f>
        <v>0</v>
      </c>
      <c r="AV7" s="38">
        <f>SUMIF(Master_Data!$AK$152:$AK$864,CONCATENATE($C7,BA$3),Master_Data!$T$152:$T$864)</f>
        <v>-1590000</v>
      </c>
      <c r="AW7" s="905">
        <f>AL7+AO7-AR7+AS7</f>
        <v>0</v>
      </c>
      <c r="AX7" s="905" t="e">
        <f ca="1">AM7+AP7-AT7+AV7</f>
        <v>#VALUE!</v>
      </c>
      <c r="AY7" s="307"/>
      <c r="AZ7" s="235" t="str">
        <f>CONCATENATE(C7,$BA$3)</f>
        <v>APLIKANUSA LINTASARTA, PTMAR</v>
      </c>
      <c r="BA7" s="318"/>
      <c r="BB7" s="316"/>
      <c r="BC7" s="109">
        <f>AW7</f>
        <v>0</v>
      </c>
      <c r="BD7" s="109" t="e">
        <f ca="1">AX7</f>
        <v>#VALUE!</v>
      </c>
      <c r="BE7" s="319"/>
      <c r="BF7" s="109">
        <f>SUMIF(Bill_Out!$Q$192:$Q$258,CONCATENATE($C7,$BR$3),Bill_Out!$N$192:$N$258)</f>
        <v>0</v>
      </c>
      <c r="BG7" s="109">
        <f>SUMIF(Bill_Out!$Q$192:$Q$258,CONCATENATE($C7,$BR$3),Bill_Out!$O$192:$O$258)</f>
        <v>0</v>
      </c>
      <c r="BH7" s="317"/>
      <c r="BI7" s="905">
        <f>SUMIF(Master_Data!$AK$4:$AK$145,CONCATENATE(C7,$BR$3),Master_Data!$R$4:$R$145)+SUMIF(Master_Data!$AK$152:$AK$864,CONCATENATE(C7,$BR$3),Master_Data!$R$152:$R$864)</f>
        <v>0</v>
      </c>
      <c r="BJ7" s="905">
        <f>SUMIF(Master_Data!$AK$4:$AK$145,CONCATENATE(C7,$BR$3),Master_Data!$Q$4:$Q$145)+SUMIF(Master_Data!$AK$152:$AK$864,CONCATENATE(C7,$BR$3),Master_Data!$Q$152:$Q$864)</f>
        <v>0</v>
      </c>
      <c r="BK7" s="905">
        <f>SUMIF(Master_Data!$AK$4:$AK$145,CONCATENATE(C7,$BR$3),Master_Data!$U$4:$U$145)+SUMIF(Master_Data!$AK$152:$AK$864,CONCATENATE(C7,$BR$3),Master_Data!$U$152:$U$864)</f>
        <v>43686000</v>
      </c>
      <c r="BL7" s="905">
        <f>SUMIF(Master_Data!$AK$4:$AK$145,CONCATENATE(C7,$BR$3),Master_Data!$S$4:$S$145)+SUMIF(Master_Data!$AK$152:$AK$864,CONCATENATE(C7,$BR$3),Master_Data!$S$152:$S$864)</f>
        <v>0</v>
      </c>
      <c r="BM7" s="38">
        <f>SUMIF(Master_Data!$AK$152:$AK$864,CONCATENATE($C7,BR$3),Master_Data!$T$152:$T$864)</f>
        <v>-809000</v>
      </c>
      <c r="BN7" s="905">
        <f>BC7+BF7-BI7+BJ7</f>
        <v>0</v>
      </c>
      <c r="BO7" s="905" t="e">
        <f ca="1">BD7+BG7-BK7+BL7+BM7</f>
        <v>#VALUE!</v>
      </c>
      <c r="BP7" s="319"/>
      <c r="BQ7" s="908" t="str">
        <f>CONCATENATE(C7,$BR$3)</f>
        <v>APLIKANUSA LINTASARTA, PTAPR</v>
      </c>
      <c r="BR7" s="71"/>
      <c r="BS7" s="340"/>
      <c r="BT7" s="109">
        <f t="shared" ref="BT7:BU9" si="5">BN7</f>
        <v>0</v>
      </c>
      <c r="BU7" s="109" t="e">
        <f t="shared" ca="1" si="5"/>
        <v>#VALUE!</v>
      </c>
      <c r="BV7" s="319"/>
      <c r="BW7" s="109">
        <f>SUMIF(Bill_Out!$Q$263:$Q$314,CONCATENATE($C7,$CI$3),Bill_Out!$N$263:$N$314)</f>
        <v>0</v>
      </c>
      <c r="BX7" s="109">
        <f>SUMIF(Bill_Out!$Q$263:$Q$314,CONCATENATE($C7,$CI$3),Bill_Out!$O$263:$O$314)</f>
        <v>0</v>
      </c>
      <c r="BY7" s="317"/>
      <c r="BZ7" s="310">
        <f>SUMIF(Master_Data!$AK$4:$AK$145,CONCATENATE(C7,$CI$3),Master_Data!$R$4:$R$145)+SUMIF(Master_Data!$AK$152:$AK$864,CONCATENATE(C7,$CI$3),Master_Data!$R$152:$R$864)</f>
        <v>0</v>
      </c>
      <c r="CA7" s="310">
        <f>SUMIF(Master_Data!$AK$4:$AK$145,CONCATENATE(C7,$CI$3),Master_Data!$Q$4:$Q$145)+SUMIF(Master_Data!$AK$152:$AK$864,CONCATENATE(C7,$CI$3),Master_Data!$Q$152:$Q$864)</f>
        <v>0</v>
      </c>
      <c r="CB7" s="310">
        <f>SUMIF(Master_Data!$AK$4:$AK$145,CONCATENATE(C7,$CI$3),Master_Data!$U$4:$U$145)+SUMIF(Master_Data!$AK$152:$AK$864,CONCATENATE(C7,$CI$3),Master_Data!$U$152:$U$864)</f>
        <v>0</v>
      </c>
      <c r="CC7" s="905">
        <f>SUMIF(Master_Data!$AK$4:$AK$145,CONCATENATE(C7,$CI$3),Master_Data!$S$4:$S$145)+SUMIF(Master_Data!$AK$152:$AK$864,CONCATENATE(C7,$CI$3),Master_Data!$S$152:$S$864)</f>
        <v>0</v>
      </c>
      <c r="CD7" s="38">
        <f>SUMIF(Master_Data!$AK$152:$AK$864,CONCATENATE($C7,CI$3),Master_Data!$T$152:$T$864)</f>
        <v>0</v>
      </c>
      <c r="CE7" s="310">
        <f>BT7+BW7-BZ7+CA7</f>
        <v>0</v>
      </c>
      <c r="CF7" s="230" t="e">
        <f ca="1">BU7+BX7-CB7+CC7+CD7</f>
        <v>#VALUE!</v>
      </c>
      <c r="CG7" s="319"/>
      <c r="CH7" s="235" t="str">
        <f>CONCATENATE(C7,$CI$3)</f>
        <v>APLIKANUSA LINTASARTA, PTMEI</v>
      </c>
      <c r="CI7" s="71"/>
      <c r="CJ7" s="340"/>
      <c r="CK7" s="109">
        <f>CE7</f>
        <v>0</v>
      </c>
      <c r="CL7" s="1005" t="e">
        <f ca="1">CF7</f>
        <v>#VALUE!</v>
      </c>
      <c r="CM7" s="319"/>
      <c r="CN7" s="1005">
        <f>SUMIF(Bill_Out!$Q$318:$Q$371,CONCATENATE($C7,$CZ$3),Bill_Out!$N$318:$N$371)</f>
        <v>0</v>
      </c>
      <c r="CO7" s="1005">
        <f>SUMIF(Bill_Out!$Q$318:$Q$371,CONCATENATE($C7,$CZ$3),Bill_Out!$O$318:$O$371)</f>
        <v>0</v>
      </c>
      <c r="CP7" s="357"/>
      <c r="CQ7" s="905">
        <f>SUMIF(Master_Data!$AK$4:$AK$145,CONCATENATE($C7,$CZ$3),Master_Data!$R$4:$R$145)+SUMIF(Master_Data!$AK$152:$AK$864,CONCATENATE($C7,$CZ$3),Master_Data!$R$152:$R$864)</f>
        <v>0</v>
      </c>
      <c r="CR7" s="905">
        <f>SUMIF(Master_Data!$AK$4:$AK$145,CONCATENATE($C7,$CZ$3),Master_Data!$Q$4:$Q$145)+SUMIF(Master_Data!$AK$152:$AK$864,CONCATENATE($C7,$CZ$3),Master_Data!$Q$152:$Q$864)</f>
        <v>0</v>
      </c>
      <c r="CS7" s="905">
        <f>SUMIF(Master_Data!$AK$4:$AK$145,CONCATENATE($C7,$CZ$3),Master_Data!$U$4:$U$145)+SUMIF(Master_Data!$AK$152:$AK$864,CONCATENATE($C7,$CZ$3),Master_Data!$U$152:$U$864)</f>
        <v>0</v>
      </c>
      <c r="CT7" s="905">
        <f ca="1">SUMIF(Master_Data!$AK$4:$AK$145,CONCATENATE(C7,$CZ$3),Master_Data!$S$4:$S$145)+SUMIF(Master_Data!$AK$152:$AK$915,CONCATENATE(C7,$CZ$3),Master_Data!$S$152:$S$864)</f>
        <v>0</v>
      </c>
      <c r="CU7" s="1009">
        <f>SUMIF(Master_Data!$AK$4:$AK$145,CONCATENATE(C7,$CZ$3),Master_Data!$T$4:$T$145)+SUMIF(Master_Data!$AK$152:$AK$864,CONCATENATE(C7,$CZ$3),Master_Data!$T$152:$T$864)</f>
        <v>0</v>
      </c>
      <c r="CV7" s="905">
        <f>CK7+CN7-CQ7+CR7</f>
        <v>0</v>
      </c>
      <c r="CW7" s="905" t="e">
        <f ca="1">CL7+CO7-CS7+CT7+CU7</f>
        <v>#VALUE!</v>
      </c>
      <c r="CX7" s="319"/>
      <c r="CY7" s="1006" t="str">
        <f t="shared" ref="CY7:CY67" si="6">CONCATENATE($C7,$CZ$3)</f>
        <v>APLIKANUSA LINTASARTA, PTJUN</v>
      </c>
      <c r="CZ7" s="71"/>
      <c r="DA7" s="340"/>
      <c r="DB7" s="109">
        <f>CV7</f>
        <v>0</v>
      </c>
      <c r="DC7" s="109" t="e">
        <f ca="1">CW7</f>
        <v>#VALUE!</v>
      </c>
      <c r="DD7" s="319"/>
      <c r="DE7" s="109">
        <f>SUMIF(Bill_Out!$Q$375:$Q$422,CONCATENATE($C7,$DQ$3),Bill_Out!$N$375:$N$422)</f>
        <v>0</v>
      </c>
      <c r="DF7" s="109">
        <f>SUMIF(Bill_Out!$Q$375:$Q$422,CONCATENATE($C7,$DQ$3),Bill_Out!$O$375:$O$422)</f>
        <v>0</v>
      </c>
      <c r="DG7" s="357"/>
      <c r="DH7" s="310">
        <f>SUMIF(Master_Data!$AK$4:$AK$145,CONCATENATE($C7,$DQ$3),Master_Data!$R$4:$R$145)+SUMIF(Master_Data!$AK$152:$AK$864,CONCATENATE($C7,$DQ$3),Master_Data!$R$152:$R$864)</f>
        <v>0</v>
      </c>
      <c r="DI7" s="310">
        <f>SUMIF(Master_Data!$AK$4:$AK$145,CONCATENATE($C7,$DQ$3),Master_Data!$Q$4:$Q$145)+SUMIF(Master_Data!$AK$152:$AK$864,CONCATENATE($C7,$DQ$3),Master_Data!$Q$152:$Q$864)</f>
        <v>0</v>
      </c>
      <c r="DJ7" s="310">
        <f>SUMIF(Master_Data!$AK$4:$AK$145,CONCATENATE($C7,$DQ$3),Master_Data!$U$4:$U$145)+SUMIF(Master_Data!$AK$152:$AK$864,CONCATENATE($C7,$DQ$3),Master_Data!$U$152:$U$864)</f>
        <v>0</v>
      </c>
      <c r="DK7" s="310">
        <f>SUMIF(Master_Data!$AK$4:$AK$145,CONCATENATE($C7,$DQ$3),Master_Data!$S$4:$S$145)+SUMIF(Master_Data!$AK$152:$AK$864,CONCATENATE($C7,$DQ$3),Master_Data!$S$152:$S$864)</f>
        <v>0</v>
      </c>
      <c r="DL7" s="38">
        <f>SUMIF(Master_Data!$AK$152:$AK$915,CONCATENATE($C7,DQ$3),Master_Data!$T$152:$T$915)</f>
        <v>0</v>
      </c>
      <c r="DM7" s="310">
        <f t="shared" ref="DM7:DM11" si="7">DB7+DE7-DH7+DI7</f>
        <v>0</v>
      </c>
      <c r="DN7" s="230" t="e">
        <f t="shared" ref="DN7:DN11" ca="1" si="8">DC7+DF7-DJ7+DK7+DL7</f>
        <v>#VALUE!</v>
      </c>
      <c r="DO7" s="319"/>
      <c r="DP7" s="358" t="str">
        <f t="shared" ref="DP7:DP66" si="9">CONCATENATE($C7,$DQ$3)</f>
        <v>APLIKANUSA LINTASARTA, PTJUL</v>
      </c>
      <c r="DQ7" s="71"/>
      <c r="DR7" s="388"/>
      <c r="DS7" s="109">
        <f>DM7</f>
        <v>0</v>
      </c>
      <c r="DT7" s="109" t="e">
        <f ca="1">DN7</f>
        <v>#VALUE!</v>
      </c>
      <c r="DU7" s="319"/>
      <c r="DV7" s="109">
        <f>SUMIF(Bill_Out!$Q$426:$Q$472,CONCATENATE($C7,$EH$3),Bill_Out!$N$426:$N$472)</f>
        <v>0</v>
      </c>
      <c r="DW7" s="109">
        <f>SUMIF(Bill_Out!$Q$426:$Q$472,CONCATENATE($C7,$EH$3),Bill_Out!$O$426:$O$472)</f>
        <v>0</v>
      </c>
      <c r="DX7" s="357"/>
      <c r="DY7" s="310">
        <f>SUMIF(Master_Data!$AK$4:$AK$145,CONCATENATE($C7,$EH$3),Master_Data!$R$4:$R$145)+SUMIF(Master_Data!$AK$152:$AK$864,CONCATENATE($C7,$EH$3),Master_Data!$R$152:$R$864)</f>
        <v>0</v>
      </c>
      <c r="DZ7" s="310">
        <f>SUMIF(Master_Data!$AK$4:$AK$145,CONCATENATE($C7,$EH$3),Master_Data!$Q$4:$Q$145)+SUMIF(Master_Data!$AK$152:$AK$864,CONCATENATE($C7,$EH$3),Master_Data!$Q$152:$Q$864)</f>
        <v>0</v>
      </c>
      <c r="EA7" s="310">
        <f>SUMIF(Master_Data!$AK$4:$AK$145,CONCATENATE($C7,$EH$3),Master_Data!$U$4:$U$145)+SUMIF(Master_Data!$AK$152:$AK$864,CONCATENATE($C7,$EH$3),Master_Data!$U$152:$U$864)</f>
        <v>0</v>
      </c>
      <c r="EB7" s="310">
        <f>SUMIF(Master_Data!$AK$4:$AK$145,CONCATENATE($C7,$EH$3),Master_Data!$S$4:$S$145)+SUMIF(Master_Data!$AK$152:$AK$864,CONCATENATE($C7,$EH$3),Master_Data!$S$152:$S$864)</f>
        <v>0</v>
      </c>
      <c r="EC7" s="38">
        <f>SUMIF(Master_Data!$AK$152:$AK$915,CONCATENATE($C7,EH$3),Master_Data!$T$152:$T$915)</f>
        <v>0</v>
      </c>
      <c r="ED7" s="310">
        <f>DS7+DV7-DY7+DZ7</f>
        <v>0</v>
      </c>
      <c r="EE7" s="230" t="e">
        <f ca="1">DT7+DW7-EA7+EB7+EC7</f>
        <v>#VALUE!</v>
      </c>
      <c r="EF7" s="319"/>
      <c r="EG7" s="358" t="str">
        <f t="shared" ref="EG7:EG65" si="10">CONCATENATE($C7,$EH$3)</f>
        <v>APLIKANUSA LINTASARTA, PTAGS</v>
      </c>
      <c r="EH7" s="71"/>
      <c r="EI7" s="388"/>
      <c r="EJ7" s="109">
        <f>ED7</f>
        <v>0</v>
      </c>
      <c r="EK7" s="109" t="e">
        <f ca="1">EE7</f>
        <v>#VALUE!</v>
      </c>
      <c r="EL7" s="319"/>
      <c r="EM7" s="109">
        <f>SUMIF(Bill_Out!$Q$476:$Q$530,CONCATENATE($C7,$EY$3),Bill_Out!$N$476:$N$530)</f>
        <v>0</v>
      </c>
      <c r="EN7" s="109">
        <f>SUMIF(Bill_Out!$Q$476:$Q$530,CONCATENATE($C7,$EY$3),Bill_Out!$O$476:$O$530)</f>
        <v>0</v>
      </c>
      <c r="EO7" s="357"/>
      <c r="EP7" s="310">
        <f>SUMIF(Master_Data!$AK$4:$AK$145,CONCATENATE($C7,$EY$3),Master_Data!$R$4:$R$145)+SUMIF(Master_Data!$AK$152:$AK$864,CONCATENATE($C7,$EY$3),Master_Data!$R$152:$R$864)</f>
        <v>0</v>
      </c>
      <c r="EQ7" s="310">
        <f>SUMIF(Master_Data!$AK$4:$AK$145,CONCATENATE($C7,$EY$3),Master_Data!$Q$4:$Q$145)+SUMIF(Master_Data!$AK$152:$AK$864,CONCATENATE($C7,$EY$3),Master_Data!$Q$152:$Q$864)</f>
        <v>0</v>
      </c>
      <c r="ER7" s="310">
        <f>SUMIF(Master_Data!$AK$4:$AK$145,CONCATENATE($C7,$EY$3),Master_Data!$U$4:$U$145)+SUMIF(Master_Data!$AK$152:$AK$864,CONCATENATE($C7,$EY$3),Master_Data!$U$152:$U$864)</f>
        <v>0</v>
      </c>
      <c r="ES7" s="310">
        <f>SUMIF(Master_Data!$AK$4:$AK$145,CONCATENATE($C7,$EY$3),Master_Data!$S$4:$S$145)+SUMIF(Master_Data!$AK$152:$AK$864,CONCATENATE($C7,$EY$3),Master_Data!$S$152:$S$864)</f>
        <v>0</v>
      </c>
      <c r="ET7" s="38">
        <f>SUMIF(Master_Data!$AK$152:$AK$915,CONCATENATE($C7,EY$3),Master_Data!$T$152:$T$915)</f>
        <v>0</v>
      </c>
      <c r="EU7" s="310">
        <f>EJ7+EM7-EP7+EQ7</f>
        <v>0</v>
      </c>
      <c r="EV7" s="230"/>
      <c r="EW7" s="319"/>
      <c r="EX7" s="358" t="str">
        <f t="shared" ref="EX7:EX65" si="11">CONCATENATE($C7,$EY$3)</f>
        <v>APLIKANUSA LINTASARTA, PTSEP</v>
      </c>
      <c r="EY7" s="71"/>
      <c r="EZ7" s="410"/>
      <c r="FA7" s="109">
        <f>EU7</f>
        <v>0</v>
      </c>
      <c r="FB7" s="109">
        <f>EV7</f>
        <v>0</v>
      </c>
      <c r="FC7" s="419"/>
      <c r="FD7" s="109">
        <f>SUMIF(Bill_Out!$Q$534:$Q$606,CONCATENATE($C7,$FP$3),Bill_Out!$N$534:$N$606)</f>
        <v>0</v>
      </c>
      <c r="FE7" s="109">
        <f>SUMIF(Bill_Out!$Q$534:$Q$606,CONCATENATE($C7,$FP$3),Bill_Out!$O$534:$O$606)</f>
        <v>0</v>
      </c>
      <c r="FF7" s="357"/>
      <c r="FG7" s="310">
        <f>SUMIF(Master_Data!$AK$4:$AK$145,CONCATENATE($C7,$FP$3),Master_Data!$R$4:$R$145)+SUMIF(Master_Data!$AK$152:$AK$864,CONCATENATE($C7,$FP$3),Master_Data!$R$152:$R$864)</f>
        <v>0</v>
      </c>
      <c r="FH7" s="310">
        <f>SUMIF(Master_Data!$AK$4:$AK$145,CONCATENATE($C7,$FP$3),Master_Data!$Q$4:$Q$145)+SUMIF(Master_Data!$AK$152:$AK$864,CONCATENATE($C7,$FP$3),Master_Data!$Q$152:$Q$864)</f>
        <v>0</v>
      </c>
      <c r="FI7" s="310">
        <f>SUMIF(Master_Data!$AK$4:$AK$145,CONCATENATE($C7,$FP$3),Master_Data!$U$4:$U$145)+SUMIF(Master_Data!$AK$152:$AK$864,CONCATENATE($C7,$FP$3),Master_Data!$U$152:$U$864)</f>
        <v>0</v>
      </c>
      <c r="FJ7" s="310">
        <f>SUMIF(Master_Data!$AK$4:$AK$145,CONCATENATE($C7,$FP$3),Master_Data!$S$4:$S$145)+SUMIF(Master_Data!$AK$152:$AK$864,CONCATENATE($C7,$FP$3),Master_Data!$S$152:$S$864)</f>
        <v>0</v>
      </c>
      <c r="FK7" s="38">
        <f>SUMIF(Master_Data!$AK$152:$AK$915,CONCATENATE($C7,FP$3),Master_Data!$T$152:$T$915)</f>
        <v>0</v>
      </c>
      <c r="FL7" s="310">
        <f>FA7+FD7-FG7+FH7</f>
        <v>0</v>
      </c>
      <c r="FM7" s="230">
        <f t="shared" ref="FM7:FM70" si="12">FB7+FE7-FI7+FJ7+FK7</f>
        <v>0</v>
      </c>
      <c r="FN7" s="319"/>
      <c r="FO7" s="358" t="str">
        <f t="shared" ref="FO7:FO11" si="13">CONCATENATE($C7,$FP$3)</f>
        <v>APLIKANUSA LINTASARTA, PTOKT</v>
      </c>
      <c r="FP7" s="71"/>
      <c r="FQ7" s="410"/>
      <c r="FR7" s="109">
        <f>FL7</f>
        <v>0</v>
      </c>
      <c r="FS7" s="109">
        <f>FM7</f>
        <v>0</v>
      </c>
      <c r="FT7" s="419"/>
      <c r="FU7" s="109">
        <f>SUMIF(Bill_Out!$Q$610:$Q$675,CONCATENATE($C7,$GG$3),Bill_Out!$N$610:$N$675)</f>
        <v>0</v>
      </c>
      <c r="FV7" s="109">
        <f>SUMIF(Bill_Out!$Q$610:$Q$675,CONCATENATE($C7,$GG$3),Bill_Out!$O$610:$O$675)</f>
        <v>0</v>
      </c>
      <c r="FW7" s="357"/>
      <c r="FX7" s="512">
        <f>SUMIF(Master_Data!$AK$4:$AK$145,CONCATENATE($C7,$GG$3),Master_Data!$R$4:$R$145)+SUMIF(Master_Data!$AK$152:$AK$864,CONCATENATE($C7,$GG$3),Master_Data!$R$152:$R$864)</f>
        <v>0</v>
      </c>
      <c r="FY7" s="512">
        <f>SUMIF(Master_Data!$AK$4:$AK$145,CONCATENATE($C7,$GG$3),Master_Data!$Q$4:$Q$145)+SUMIF(Master_Data!$AK$152:$AK$864,CONCATENATE($C7,$GG$3),Master_Data!$Q$152:$Q$864)</f>
        <v>0</v>
      </c>
      <c r="FZ7" s="512">
        <f>SUMIF(Master_Data!$AK$4:$AK$145,CONCATENATE($C7,$GG$3),Master_Data!$U$4:$U$145)+SUMIF(Master_Data!$AK$152:$AK$864,CONCATENATE($C7,$GG$3),Master_Data!$U$152:$U$864)</f>
        <v>0</v>
      </c>
      <c r="GA7" s="310">
        <f>SUMIF(Master_Data!$AK$4:$AK$145,CONCATENATE($C7,$GG$3),Master_Data!$S$4:$S$145)+SUMIF(Master_Data!$AK$152:$AK$864,CONCATENATE($C7,$GG$3),Master_Data!$S$152:$S$864)</f>
        <v>0</v>
      </c>
      <c r="GB7" s="38">
        <f>SUMIF(Master_Data!$AK$152:$AK$915,CONCATENATE($C7,GG$3),Master_Data!$T$152:$T$915)</f>
        <v>0</v>
      </c>
      <c r="GC7" s="310">
        <f>FR7+FU7-FX7+FY7</f>
        <v>0</v>
      </c>
      <c r="GD7" s="230">
        <f t="shared" ref="GD7:GD70" si="14">FS7+FV7-FZ7+GA7+GB7</f>
        <v>0</v>
      </c>
      <c r="GE7" s="319"/>
      <c r="GF7" s="358" t="str">
        <f t="shared" ref="GF7:GF11" si="15">CONCATENATE($C7,$GG$3)</f>
        <v>APLIKANUSA LINTASARTA, PTNOV</v>
      </c>
      <c r="GG7" s="71"/>
      <c r="GH7" s="410"/>
      <c r="GI7" s="109">
        <f>GC7</f>
        <v>0</v>
      </c>
      <c r="GJ7" s="109">
        <f>GD7</f>
        <v>0</v>
      </c>
      <c r="GK7" s="419"/>
      <c r="GL7" s="109">
        <f>SUMIF(Bill_Out!$Q$679:$Q$756,CONCATENATE($C7,$GX$3),Bill_Out!$N$679:$N$756)</f>
        <v>0</v>
      </c>
      <c r="GM7" s="109">
        <f>SUMIF(Bill_Out!$Q$679:$Q$756,CONCATENATE($C7,$GX$3),Bill_Out!$O$679:$O$756)</f>
        <v>0</v>
      </c>
      <c r="GN7" s="357"/>
      <c r="GO7" s="512">
        <f>SUMIF(Master_Data!$AK$4:$AK$145,CONCATENATE($C7,$GX$3),Master_Data!$R$4:$R$145)+SUMIF(Master_Data!$AK$152:$AK$864,CONCATENATE($C7,$GX$3),Master_Data!$R$152:$R$864)</f>
        <v>0</v>
      </c>
      <c r="GP7" s="512">
        <f>SUMIF(Master_Data!$AK$4:$AK$145,CONCATENATE($C7,$GX$3),Master_Data!$Q$4:$Q$145)+SUMIF(Master_Data!$AK$152:$AK$864,CONCATENATE($C7,$GX$3),Master_Data!$Q$152:$Q$864)</f>
        <v>0</v>
      </c>
      <c r="GQ7" s="512">
        <f>SUMIF(Master_Data!$AK$4:$AK$145,CONCATENATE($C7,$GX$3),Master_Data!$U$4:$U$145)+SUMIF(Master_Data!$AK$152:$AK$864,CONCATENATE($C7,$GX$3),Master_Data!$U$152:$U$864)</f>
        <v>0</v>
      </c>
      <c r="GR7" s="310">
        <f>SUMIF(Master_Data!$AK$4:$AK$145,CONCATENATE($C7,$GX$3),Master_Data!$S$4:$S$145)+SUMIF(Master_Data!$AK$152:$AK$864,CONCATENATE($C7,$GX$3),Master_Data!$S$152:$S$864)</f>
        <v>0</v>
      </c>
      <c r="GS7" s="38">
        <f>SUMIF(Master_Data!$AK$152:$AK$864,CONCATENATE($C7,GX$3),Master_Data!$T$152:$T$864)</f>
        <v>0</v>
      </c>
      <c r="GT7" s="534">
        <f>GI7+GL7-GO7+GP7</f>
        <v>0</v>
      </c>
      <c r="GU7" s="310">
        <f t="shared" ref="GU7:GU70" si="16">GJ7+GM7-GQ7+GR7+GS7</f>
        <v>0</v>
      </c>
      <c r="GV7" s="319"/>
      <c r="GW7" s="358" t="str">
        <f t="shared" ref="GW7:GW11" si="17">CONCATENATE($C7,$GX$3)</f>
        <v>APLIKANUSA LINTASARTA, PTDES</v>
      </c>
      <c r="GX7" s="71"/>
    </row>
    <row r="8" spans="1:206" s="7" customFormat="1">
      <c r="A8" s="21" t="s">
        <v>92</v>
      </c>
      <c r="B8" s="236" t="str">
        <f t="shared" ref="B8:B71" si="18">CONCATENATE(C8,$S$3)</f>
        <v>BANGUN OLAH SARANA SUKSES, PTJAN</v>
      </c>
      <c r="C8" s="243" t="s">
        <v>13</v>
      </c>
      <c r="D8" s="226" t="s">
        <v>300</v>
      </c>
      <c r="E8" s="109">
        <f>SUMIF(Master_Data!$D4:$D$145,CONCATENATE(C8),Master_Data!M4:M145)</f>
        <v>0</v>
      </c>
      <c r="F8" s="109">
        <f>SUMIF(Master_Data!$D4:$D$145,CONCATENATE(C8),Master_Data!N4:N147)</f>
        <v>142500000</v>
      </c>
      <c r="G8" s="84"/>
      <c r="H8" s="109">
        <f>SUMIF(Bill_Out!$Q$3:$Q$65,CONCATENATE($C8,$S$3),Bill_Out!$N$3:$N$65)</f>
        <v>0</v>
      </c>
      <c r="I8" s="88">
        <f>SUMIF(Bill_Out!$Q$3:$Q$65,CONCATENATE($C8,$S$3),Bill_Out!$O$3:$O$65)</f>
        <v>0</v>
      </c>
      <c r="J8" s="50"/>
      <c r="K8" s="29"/>
      <c r="L8" s="44"/>
      <c r="M8" s="230">
        <f>SUMIF(Master_Data!$AK4:$AK$145,CONCATENATE(C8,$S$3),Master_Data!U4:U145)+SUMIF(Master_Data!$AK151:$AK$864,CONCATENATE(C8,$S$3),Master_Data!U151:U865)</f>
        <v>0</v>
      </c>
      <c r="N8" s="310">
        <f>SUMIF(Master_Data!$AK$4:$AK$145,CONCATENATE(C8,$S$3),Master_Data!$S$4:$S$145)+SUMIF(Master_Data!$AK$150:$AK$864,CONCATENATE(C8,$S$3),Master_Data!$S$150:$S$864)</f>
        <v>0</v>
      </c>
      <c r="O8" s="310">
        <f>SUMIF(Master_Data!$AK$4:$AK$145,CONCATENATE(C8,$S$3),Master_Data!$T$4:$T$145)+SUMIF(Master_Data!$AK$150:$AK$864,CONCATENATE(C8,$S$3),Master_Data!$T$150:$T$864)</f>
        <v>0</v>
      </c>
      <c r="P8" s="230">
        <f t="shared" ref="P8:P72" si="19">E8+H8-K8+L8</f>
        <v>0</v>
      </c>
      <c r="Q8" s="230">
        <f t="shared" ref="Q8:Q72" si="20">F8+I8-M8+N8+O8</f>
        <v>142500000</v>
      </c>
      <c r="R8" s="31"/>
      <c r="S8" s="24"/>
      <c r="T8" s="281"/>
      <c r="U8" s="109">
        <f t="shared" si="0"/>
        <v>0</v>
      </c>
      <c r="V8" s="109">
        <f t="shared" si="0"/>
        <v>142500000</v>
      </c>
      <c r="W8" s="84"/>
      <c r="X8" s="109">
        <f>SUMIF(Bill_Out!$Q$67:$Q$132,CONCATENATE($C8,$AJ$3),Bill_Out!$N$67:$N$132)</f>
        <v>0</v>
      </c>
      <c r="Y8" s="109">
        <f>SUMIF(Bill_Out!$Q$67:$Q$132,CONCATENATE($C8,$AJ$3),Bill_Out!$O$67:$O$132)</f>
        <v>0</v>
      </c>
      <c r="Z8" s="309"/>
      <c r="AA8" s="310">
        <f>SUMIF(Master_Data!$AK$4:$AK$145,CONCATENATE(C8,$AJ$3),Master_Data!$R$4:$R$145)+SUMIF(Master_Data!$AK$152:$AK$850,CONCATENATE(C8,$AJ$3),Master_Data!$R$152:$R$850)</f>
        <v>0</v>
      </c>
      <c r="AB8" s="310">
        <f>SUMIF(Master_Data!$AK$4:$AK$145,CONCATENATE(C8,$AJ$3),Master_Data!$Q$4:$Q$145)+SUMIF(Master_Data!$AK$152:$AK$850,CONCATENATE(C8,$AJ$3),Master_Data!$Q$152:$Q$850)</f>
        <v>0</v>
      </c>
      <c r="AC8" s="310">
        <f>SUMIF(Master_Data!$AK$4:$AK$145,CONCATENATE(C8,$AJ$3),Master_Data!$U$4:$U$145)+SUMIF(Master_Data!$AK$152:$AK$850,CONCATENATE(C8,$AJ$3),Master_Data!$U$152:$U$850)</f>
        <v>0</v>
      </c>
      <c r="AD8" s="310">
        <f ca="1">SUMIF(Master_Data!$AK$4:$AK$145,CONCATENATE(C8,$AJ$3),Master_Data!$S$4:$S$145)+SUMIF(Master_Data!$AK$152:$AK$864,CONCATENATE(C8,$AJ$3),Master_Data!$S$152:$S$850)</f>
        <v>0</v>
      </c>
      <c r="AE8" s="310">
        <f>SUMIF(Master_Data!$AK$4:$AK$145,CONCATENATE(C8,$AJ$3),Master_Data!$T$4:$T$145)+SUMIF(Master_Data!$AK$152:$AK$864,CONCATENATE(C8,$AJ$3),Master_Data!$T$152:$T$864)</f>
        <v>0</v>
      </c>
      <c r="AF8" s="310">
        <f t="shared" si="1"/>
        <v>0</v>
      </c>
      <c r="AG8" s="230">
        <f t="shared" ca="1" si="2"/>
        <v>142500000</v>
      </c>
      <c r="AH8" s="84"/>
      <c r="AI8" s="235" t="str">
        <f t="shared" si="3"/>
        <v>BANGUN OLAH SARANA SUKSES, PTFEB</v>
      </c>
      <c r="AJ8" s="89"/>
      <c r="AK8" s="260"/>
      <c r="AL8" s="109">
        <f t="shared" si="4"/>
        <v>0</v>
      </c>
      <c r="AM8" s="109">
        <f t="shared" ca="1" si="4"/>
        <v>142500000</v>
      </c>
      <c r="AN8" s="84"/>
      <c r="AO8" s="109">
        <f>SUMIF(Bill_Out!$Q$134:$Q$188,CONCATENATE($C8,$BA$3),Bill_Out!$N$134:$N$188)</f>
        <v>0</v>
      </c>
      <c r="AP8" s="109">
        <f>SUMIF(Bill_Out!$Q$134:$Q$188,CONCATENATE($C8,$BA$3),Bill_Out!$O$134:$O$188)</f>
        <v>0</v>
      </c>
      <c r="AQ8" s="309"/>
      <c r="AR8" s="230">
        <f>SUMIF(Master_Data!$AK$4:$AK$145,CONCATENATE(C8,$BA$3),Master_Data!$R$4:$R$145)+SUMIF(Master_Data!$AK$152:$AK$864,CONCATENATE(C8,$BA$3),Master_Data!$R$152:$R$864)</f>
        <v>0</v>
      </c>
      <c r="AS8" s="230">
        <f>SUMIF(Master_Data!$AK$4:$AK$145,CONCATENATE(C8,$BA$3),Master_Data!$Q$4:$Q$145)+SUMIF(Master_Data!$AK$152:$AK$864,CONCATENATE(C8,$BA$3),Master_Data!$Q$152:$Q$864)</f>
        <v>0</v>
      </c>
      <c r="AT8" s="230">
        <f>SUMIF(Master_Data!$AK$4:$AK$145,CONCATENATE(C8,$BA$3),Master_Data!$U$4:$U$145)+SUMIF(Master_Data!$AK$152:$AK$864,CONCATENATE(C8,$BA$3),Master_Data!$U$152:$U$864)</f>
        <v>0</v>
      </c>
      <c r="AU8" s="230">
        <f ca="1">SUMIF(Master_Data!$AK$4:$AK$145,CONCATENATE(C8,$BA$3),Master_Data!$S$4:$S$145)+SUMIF(Master_Data!$AK$152:$AK$864,CONCATENATE(C8,$BA$3),Master_Data!$S$152:$S$850)</f>
        <v>0</v>
      </c>
      <c r="AV8" s="39">
        <f>SUMIF(Master_Data!$AK$152:$AK$864,CONCATENATE($C8,BA$3),Master_Data!$T$152:$T$864)</f>
        <v>0</v>
      </c>
      <c r="AW8" s="230">
        <f>AL8+AO8-AR8+AS8</f>
        <v>0</v>
      </c>
      <c r="AX8" s="230">
        <f ca="1">AM8+AP8-AT8+AU8+AV8</f>
        <v>142500000</v>
      </c>
      <c r="AY8" s="84"/>
      <c r="AZ8" s="235" t="str">
        <f t="shared" ref="AZ8:AZ70" si="21">CONCATENATE(C8,$BA$3)</f>
        <v>BANGUN OLAH SARANA SUKSES, PTMAR</v>
      </c>
      <c r="BA8" s="89"/>
      <c r="BB8" s="260"/>
      <c r="BC8" s="109">
        <f t="shared" ref="BC8:BC70" si="22">AW8</f>
        <v>0</v>
      </c>
      <c r="BD8" s="109">
        <f t="shared" ref="BD8:BD70" ca="1" si="23">AX8</f>
        <v>142500000</v>
      </c>
      <c r="BE8" s="84"/>
      <c r="BF8" s="109">
        <f>SUMIF(Bill_Out!$Q$192:$Q$258,CONCATENATE($C8,$BR$3),Bill_Out!$N$192:$N$258)</f>
        <v>0</v>
      </c>
      <c r="BG8" s="109">
        <f>SUMIF(Bill_Out!$Q$192:$Q$258,CONCATENATE($C8,$BR$3),Bill_Out!$O$192:$O$258)</f>
        <v>0</v>
      </c>
      <c r="BH8" s="309"/>
      <c r="BI8" s="230">
        <f>SUMIF(Master_Data!$AK$4:$AK$145,CONCATENATE(C8,$BR$3),Master_Data!$R$4:$R$145)+SUMIF(Master_Data!$AK$152:$AK$864,CONCATENATE(C8,$BR$3),Master_Data!$R$152:$R$864)</f>
        <v>0</v>
      </c>
      <c r="BJ8" s="230">
        <f>SUMIF(Master_Data!$AK$4:$AK$145,CONCATENATE(C8,$BR$3),Master_Data!$Q$4:$Q$145)+SUMIF(Master_Data!$AK$152:$AK$864,CONCATENATE(C8,$BR$3),Master_Data!$Q$152:$Q$864)</f>
        <v>0</v>
      </c>
      <c r="BK8" s="230">
        <f>SUMIF(Master_Data!$AK$4:$AK$145,CONCATENATE(C8,$BR$3),Master_Data!$U$4:$U$145)+SUMIF(Master_Data!$AK$152:$AK$864,CONCATENATE(C8,$BR$3),Master_Data!$U$152:$U$864)</f>
        <v>0</v>
      </c>
      <c r="BL8" s="230">
        <f>SUMIF(Master_Data!$AK$4:$AK$145,CONCATENATE(C8,$BR$3),Master_Data!$S$4:$S$145)+SUMIF(Master_Data!$AK$152:$AK$864,CONCATENATE(C8,$BR$3),Master_Data!$S$152:$S$864)</f>
        <v>0</v>
      </c>
      <c r="BM8" s="39">
        <f>SUMIF(Master_Data!$AK$152:$AK$864,CONCATENATE($C8,BR$3),Master_Data!$T$152:$T$864)</f>
        <v>0</v>
      </c>
      <c r="BN8" s="230">
        <f t="shared" ref="BN8:BN68" si="24">BC8+BF8-BI8+BJ8</f>
        <v>0</v>
      </c>
      <c r="BO8" s="230">
        <f t="shared" ref="BO8:BO68" ca="1" si="25">BD8+BG8-BK8+BL8+BM8</f>
        <v>142500000</v>
      </c>
      <c r="BP8" s="31"/>
      <c r="BQ8" s="909" t="str">
        <f t="shared" ref="BQ8:BQ68" si="26">CONCATENATE(C8,$BR$3)</f>
        <v>BANGUN OLAH SARANA SUKSES, PTAPR</v>
      </c>
      <c r="BR8" s="89"/>
      <c r="BS8" s="260"/>
      <c r="BT8" s="109">
        <f t="shared" si="5"/>
        <v>0</v>
      </c>
      <c r="BU8" s="109">
        <f t="shared" ca="1" si="5"/>
        <v>142500000</v>
      </c>
      <c r="BV8" s="84"/>
      <c r="BW8" s="109">
        <f>SUMIF(Bill_Out!$Q$263:$Q$314,CONCATENATE($C8,$CI$3),Bill_Out!$N$263:$N$314)</f>
        <v>0</v>
      </c>
      <c r="BX8" s="109">
        <f>SUMIF(Bill_Out!$Q$263:$Q$314,CONCATENATE($C8,$CI$3),Bill_Out!$O$263:$O$314)</f>
        <v>0</v>
      </c>
      <c r="BY8" s="309"/>
      <c r="BZ8" s="310">
        <f>SUMIF(Master_Data!$AK$4:$AK$145,CONCATENATE(C8,$CI$3),Master_Data!$R$4:$R$145)+SUMIF(Master_Data!$AK$152:$AK$864,CONCATENATE(C8,$CI$3),Master_Data!$R$152:$R$864)</f>
        <v>0</v>
      </c>
      <c r="CA8" s="310">
        <f>SUMIF(Master_Data!$AK$4:$AK$145,CONCATENATE(C8,$CI$3),Master_Data!$Q$4:$Q$145)+SUMIF(Master_Data!$AK$152:$AK$864,CONCATENATE(C8,$CI$3),Master_Data!$Q$152:$Q$864)</f>
        <v>0</v>
      </c>
      <c r="CB8" s="310">
        <f>SUMIF(Master_Data!$AK$4:$AK$145,CONCATENATE(C8,$CI$3),Master_Data!$U$4:$U$145)+SUMIF(Master_Data!$AK$152:$AK$864,CONCATENATE(C8,$CI$3),Master_Data!$U$152:$U$864)</f>
        <v>0</v>
      </c>
      <c r="CC8" s="230">
        <f>SUMIF(Master_Data!$AK$4:$AK$145,CONCATENATE(C8,$CI$3),Master_Data!$S$4:$S$145)+SUMIF(Master_Data!$AK$152:$AK$864,CONCATENATE(C8,$CI$3),Master_Data!$S$152:$S$864)</f>
        <v>0</v>
      </c>
      <c r="CD8" s="39">
        <f>SUMIF(Master_Data!$AK$152:$AK$864,CONCATENATE($C8,CI$3),Master_Data!$T$152:$T$864)</f>
        <v>0</v>
      </c>
      <c r="CE8" s="310">
        <f t="shared" ref="CE8:CE69" si="27">BT8+BW8-BZ8+CA8</f>
        <v>0</v>
      </c>
      <c r="CF8" s="230">
        <f t="shared" ref="CF8:CF69" ca="1" si="28">BU8+BX8-CB8+CC8+CD8</f>
        <v>142500000</v>
      </c>
      <c r="CG8" s="84"/>
      <c r="CH8" s="235" t="str">
        <f t="shared" ref="CH8:CH72" si="29">CONCATENATE(C8,$CI$3)</f>
        <v>BANGUN OLAH SARANA SUKSES, PTMEI</v>
      </c>
      <c r="CI8" s="89"/>
      <c r="CJ8" s="260"/>
      <c r="CK8" s="109">
        <f t="shared" ref="CK8:CK68" si="30">CE8</f>
        <v>0</v>
      </c>
      <c r="CL8" s="238">
        <f t="shared" ref="CL8:CL68" ca="1" si="31">CF8</f>
        <v>142500000</v>
      </c>
      <c r="CM8" s="31"/>
      <c r="CN8" s="238">
        <f>SUMIF(Bill_Out!$Q$318:$Q$371,CONCATENATE($C8,$CZ$3),Bill_Out!$N$318:$N$371)</f>
        <v>0</v>
      </c>
      <c r="CO8" s="238">
        <f>SUMIF(Bill_Out!$Q$318:$Q$371,CONCATENATE($C8,$CZ$3),Bill_Out!$O$318:$O$371)</f>
        <v>0</v>
      </c>
      <c r="CP8" s="50"/>
      <c r="CQ8" s="230">
        <f>SUMIF(Master_Data!$AK$4:$AK$145,CONCATENATE($C8,$CZ$3),Master_Data!$R$4:$R$145)+SUMIF(Master_Data!$AK$152:$AK$864,CONCATENATE($C8,$CZ$3),Master_Data!$R$152:$R$864)</f>
        <v>0</v>
      </c>
      <c r="CR8" s="230">
        <f>SUMIF(Master_Data!$AK$4:$AK$145,CONCATENATE($C8,$CZ$3),Master_Data!$Q$4:$Q$145)+SUMIF(Master_Data!$AK$152:$AK$864,CONCATENATE($C8,$CZ$3),Master_Data!$Q$152:$Q$864)</f>
        <v>0</v>
      </c>
      <c r="CS8" s="230">
        <f>SUMIF(Master_Data!$AK$4:$AK$145,CONCATENATE($C8,$CZ$3),Master_Data!$U$4:$U$145)+SUMIF(Master_Data!$AK$152:$AK$864,CONCATENATE($C8,$CZ$3),Master_Data!$U$152:$U$864)</f>
        <v>0</v>
      </c>
      <c r="CT8" s="230">
        <f ca="1">SUMIF(Master_Data!$AK$4:$AK$145,CONCATENATE(C8,$CZ$3),Master_Data!$S$4:$S$145)+SUMIF(Master_Data!$AK$152:$AK$915,CONCATENATE(C8,$CZ$3),Master_Data!$S$152:$S$864)</f>
        <v>0</v>
      </c>
      <c r="CU8" s="1010">
        <f>SUMIF(Master_Data!$AK$4:$AK$145,CONCATENATE(C8,$CZ$3),Master_Data!$T$4:$T$145)+SUMIF(Master_Data!$AK$152:$AK$864,CONCATENATE(C8,$CZ$3),Master_Data!$T$152:$T$864)</f>
        <v>0</v>
      </c>
      <c r="CV8" s="230">
        <f t="shared" ref="CV8:CV67" si="32">CK8+CN8-CQ8+CR8</f>
        <v>0</v>
      </c>
      <c r="CW8" s="230">
        <f t="shared" ref="CW8:CW67" ca="1" si="33">CL8+CO8-CS8+CT8+CU8</f>
        <v>142500000</v>
      </c>
      <c r="CX8" s="31"/>
      <c r="CY8" s="1007" t="str">
        <f t="shared" si="6"/>
        <v>BANGUN OLAH SARANA SUKSES, PTJUN</v>
      </c>
      <c r="CZ8" s="89"/>
      <c r="DA8" s="260"/>
      <c r="DB8" s="109">
        <f t="shared" ref="DB8:DB68" si="34">CV8</f>
        <v>0</v>
      </c>
      <c r="DC8" s="109">
        <f t="shared" ref="DC8:DC68" ca="1" si="35">CW8</f>
        <v>142500000</v>
      </c>
      <c r="DD8" s="84"/>
      <c r="DE8" s="109">
        <f>SUMIF(Bill_Out!$Q$375:$Q$422,CONCATENATE($C8,$DQ$3),Bill_Out!$N$375:$N$422)</f>
        <v>0</v>
      </c>
      <c r="DF8" s="109">
        <f>SUMIF(Bill_Out!$Q$375:$Q$422,CONCATENATE($C8,$DQ$3),Bill_Out!$O$375:$O$422)</f>
        <v>0</v>
      </c>
      <c r="DG8" s="309"/>
      <c r="DH8" s="310">
        <f>SUMIF(Master_Data!$AK$4:$AK$145,CONCATENATE($C8,$DQ$3),Master_Data!$R$4:$R$145)+SUMIF(Master_Data!$AK$152:$AK$864,CONCATENATE($C8,$DQ$3),Master_Data!$R$152:$R$864)</f>
        <v>0</v>
      </c>
      <c r="DI8" s="310">
        <f>SUMIF(Master_Data!$AK$4:$AK$145,CONCATENATE($C8,$DQ$3),Master_Data!$Q$4:$Q$145)+SUMIF(Master_Data!$AK$152:$AK$864,CONCATENATE($C8,$DQ$3),Master_Data!$Q$152:$Q$864)</f>
        <v>0</v>
      </c>
      <c r="DJ8" s="310">
        <f>SUMIF(Master_Data!$AK$4:$AK$145,CONCATENATE($C8,$DQ$3),Master_Data!$U$4:$U$145)+SUMIF(Master_Data!$AK$152:$AK$864,CONCATENATE($C8,$DQ$3),Master_Data!$U$152:$U$864)</f>
        <v>0</v>
      </c>
      <c r="DK8" s="310">
        <f>SUMIF(Master_Data!$AK$4:$AK$145,CONCATENATE($C8,$DQ$3),Master_Data!$S$4:$S$145)+SUMIF(Master_Data!$AK$152:$AK$864,CONCATENATE($C8,$DQ$3),Master_Data!$S$152:$S$864)</f>
        <v>0</v>
      </c>
      <c r="DL8" s="39">
        <f>SUMIF(Master_Data!$AK$152:$AK$915,CONCATENATE($C8,DQ$3),Master_Data!$T$152:$T$915)</f>
        <v>0</v>
      </c>
      <c r="DM8" s="310">
        <f t="shared" si="7"/>
        <v>0</v>
      </c>
      <c r="DN8" s="230">
        <f t="shared" ca="1" si="8"/>
        <v>142500000</v>
      </c>
      <c r="DO8" s="84"/>
      <c r="DP8" s="358" t="str">
        <f t="shared" si="9"/>
        <v>BANGUN OLAH SARANA SUKSES, PTJUL</v>
      </c>
      <c r="DQ8" s="89"/>
      <c r="DR8" s="389"/>
      <c r="DS8" s="109">
        <f t="shared" ref="DS8:DS67" si="36">DM8</f>
        <v>0</v>
      </c>
      <c r="DT8" s="109">
        <f t="shared" ref="DT8:DT67" ca="1" si="37">DN8</f>
        <v>142500000</v>
      </c>
      <c r="DU8" s="31"/>
      <c r="DV8" s="109">
        <f>SUMIF(Bill_Out!$Q$426:$Q$472,CONCATENATE($C8,$EH$3),Bill_Out!$N$426:$N$472)</f>
        <v>0</v>
      </c>
      <c r="DW8" s="109">
        <f>SUMIF(Bill_Out!$Q$426:$Q$472,CONCATENATE($C8,$EH$3),Bill_Out!$O$426:$O$472)</f>
        <v>0</v>
      </c>
      <c r="DX8" s="309"/>
      <c r="DY8" s="310">
        <f>SUMIF(Master_Data!$AK$4:$AK$145,CONCATENATE($C8,$EH$3),Master_Data!$R$4:$R$145)+SUMIF(Master_Data!$AK$152:$AK$864,CONCATENATE($C8,$EH$3),Master_Data!$R$152:$R$864)</f>
        <v>0</v>
      </c>
      <c r="DZ8" s="310">
        <f>SUMIF(Master_Data!$AK$4:$AK$145,CONCATENATE($C8,$EH$3),Master_Data!$Q$4:$Q$145)+SUMIF(Master_Data!$AK$152:$AK$864,CONCATENATE($C8,$EH$3),Master_Data!$Q$152:$Q$864)</f>
        <v>0</v>
      </c>
      <c r="EA8" s="310">
        <f>SUMIF(Master_Data!$AK$4:$AK$145,CONCATENATE($C8,$EH$3),Master_Data!$U$4:$U$145)+SUMIF(Master_Data!$AK$152:$AK$864,CONCATENATE($C8,$EH$3),Master_Data!$U$152:$U$864)</f>
        <v>0</v>
      </c>
      <c r="EB8" s="310">
        <f>SUMIF(Master_Data!$AK$4:$AK$145,CONCATENATE($C8,$EH$3),Master_Data!$S$4:$S$145)+SUMIF(Master_Data!$AK$152:$AK$864,CONCATENATE($C8,$EH$3),Master_Data!$S$152:$S$864)</f>
        <v>0</v>
      </c>
      <c r="EC8" s="39">
        <f>SUMIF(Master_Data!$AK$152:$AK$915,CONCATENATE($C8,EH$3),Master_Data!$T$152:$T$915)</f>
        <v>0</v>
      </c>
      <c r="ED8" s="310">
        <f t="shared" ref="ED8:ED67" si="38">DS8+DV8-DY8+DZ8</f>
        <v>0</v>
      </c>
      <c r="EE8" s="230">
        <f t="shared" ref="EE8:EE67" ca="1" si="39">DT8+DW8-EA8+EB8+EC8</f>
        <v>142500000</v>
      </c>
      <c r="EF8" s="84"/>
      <c r="EG8" s="358" t="str">
        <f t="shared" si="10"/>
        <v>BANGUN OLAH SARANA SUKSES, PTAGS</v>
      </c>
      <c r="EH8" s="89"/>
      <c r="EI8" s="389"/>
      <c r="EJ8" s="109">
        <f t="shared" ref="EJ8" si="40">ED8</f>
        <v>0</v>
      </c>
      <c r="EK8" s="109">
        <f ca="1">EE8</f>
        <v>142500000</v>
      </c>
      <c r="EL8" s="84"/>
      <c r="EM8" s="109">
        <f>SUMIF(Bill_Out!$Q$476:$Q$530,CONCATENATE($C8,$EY$3),Bill_Out!$N$476:$N$530)</f>
        <v>0</v>
      </c>
      <c r="EN8" s="109">
        <f>SUMIF(Bill_Out!$Q$476:$Q$530,CONCATENATE($C8,$EY$3),Bill_Out!$O$476:$O$530)</f>
        <v>0</v>
      </c>
      <c r="EO8" s="309"/>
      <c r="EP8" s="310">
        <f>SUMIF(Master_Data!$AK$4:$AK$145,CONCATENATE($C8,$EY$3),Master_Data!$R$4:$R$145)+SUMIF(Master_Data!$AK$152:$AK$864,CONCATENATE($C8,$EY$3),Master_Data!$R$152:$R$864)</f>
        <v>0</v>
      </c>
      <c r="EQ8" s="310">
        <f>SUMIF(Master_Data!$AK$4:$AK$145,CONCATENATE($C8,$EY$3),Master_Data!$Q$4:$Q$145)+SUMIF(Master_Data!$AK$152:$AK$864,CONCATENATE($C8,$EY$3),Master_Data!$Q$152:$Q$864)</f>
        <v>0</v>
      </c>
      <c r="ER8" s="310">
        <f>SUMIF(Master_Data!$AK$4:$AK$145,CONCATENATE($C8,$EY$3),Master_Data!$U$4:$U$145)+SUMIF(Master_Data!$AK$152:$AK$864,CONCATENATE($C8,$EY$3),Master_Data!$U$152:$U$864)</f>
        <v>0</v>
      </c>
      <c r="ES8" s="310">
        <f>SUMIF(Master_Data!$AK$4:$AK$145,CONCATENATE($C8,$EY$3),Master_Data!$S$4:$S$145)+SUMIF(Master_Data!$AK$152:$AK$864,CONCATENATE($C8,$EY$3),Master_Data!$S$152:$S$864)</f>
        <v>0</v>
      </c>
      <c r="ET8" s="39">
        <f>SUMIF(Master_Data!$AK$152:$AK$915,CONCATENATE($C8,EY$3),Master_Data!$T$152:$T$915)</f>
        <v>0</v>
      </c>
      <c r="EU8" s="310">
        <f>EJ8+EM8-EP8+EQ8</f>
        <v>0</v>
      </c>
      <c r="EV8" s="230"/>
      <c r="EW8" s="84"/>
      <c r="EX8" s="358" t="str">
        <f t="shared" si="11"/>
        <v>BANGUN OLAH SARANA SUKSES, PTSEP</v>
      </c>
      <c r="EY8" s="89"/>
      <c r="EZ8" s="411"/>
      <c r="FA8" s="109">
        <f t="shared" ref="FA8:FA43" si="41">EU8</f>
        <v>0</v>
      </c>
      <c r="FB8" s="109">
        <f>EV8</f>
        <v>0</v>
      </c>
      <c r="FC8" s="421"/>
      <c r="FD8" s="109">
        <f>SUMIF(Bill_Out!$Q$534:$Q$606,CONCATENATE($C8,$FP$3),Bill_Out!$N$534:$N$606)</f>
        <v>0</v>
      </c>
      <c r="FE8" s="109">
        <f>SUMIF(Bill_Out!$Q$534:$Q$606,CONCATENATE($C8,$FP$3),Bill_Out!$O$534:$O$606)</f>
        <v>0</v>
      </c>
      <c r="FF8" s="309"/>
      <c r="FG8" s="310">
        <f>SUMIF(Master_Data!$AK$4:$AK$145,CONCATENATE($C8,$FP$3),Master_Data!$R$4:$R$145)+SUMIF(Master_Data!$AK$152:$AK$864,CONCATENATE($C8,$FP$3),Master_Data!$R$152:$R$864)</f>
        <v>0</v>
      </c>
      <c r="FH8" s="310">
        <f>SUMIF(Master_Data!$AK$4:$AK$145,CONCATENATE($C8,$FP$3),Master_Data!$Q$4:$Q$145)+SUMIF(Master_Data!$AK$152:$AK$864,CONCATENATE($C8,$FP$3),Master_Data!$Q$152:$Q$864)</f>
        <v>0</v>
      </c>
      <c r="FI8" s="310">
        <f>SUMIF(Master_Data!$AK$4:$AK$145,CONCATENATE($C8,$FP$3),Master_Data!$U$4:$U$145)+SUMIF(Master_Data!$AK$152:$AK$864,CONCATENATE($C8,$FP$3),Master_Data!$U$152:$U$864)</f>
        <v>0</v>
      </c>
      <c r="FJ8" s="310">
        <f>SUMIF(Master_Data!$AK$4:$AK$145,CONCATENATE($C8,$FP$3),Master_Data!$S$4:$S$145)+SUMIF(Master_Data!$AK$152:$AK$864,CONCATENATE($C8,$FP$3),Master_Data!$S$152:$S$864)</f>
        <v>0</v>
      </c>
      <c r="FK8" s="39">
        <f>SUMIF(Master_Data!$AK$152:$AK$915,CONCATENATE($C8,FP$3),Master_Data!$T$152:$T$915)</f>
        <v>0</v>
      </c>
      <c r="FL8" s="310">
        <f>FA8+FD8-FG8+FH8</f>
        <v>0</v>
      </c>
      <c r="FM8" s="230">
        <f t="shared" si="12"/>
        <v>0</v>
      </c>
      <c r="FN8" s="84"/>
      <c r="FO8" s="358" t="str">
        <f t="shared" si="13"/>
        <v>BANGUN OLAH SARANA SUKSES, PTOKT</v>
      </c>
      <c r="FP8" s="89"/>
      <c r="FQ8" s="411"/>
      <c r="FR8" s="109">
        <f t="shared" ref="FR8:FR43" si="42">FL8</f>
        <v>0</v>
      </c>
      <c r="FS8" s="109">
        <f>FM8</f>
        <v>0</v>
      </c>
      <c r="FT8" s="421"/>
      <c r="FU8" s="109">
        <f>SUMIF(Bill_Out!$Q$610:$Q$675,CONCATENATE($C8,$GG$3),Bill_Out!$N$610:$N$675)</f>
        <v>0</v>
      </c>
      <c r="FV8" s="109">
        <f>SUMIF(Bill_Out!$Q$610:$Q$675,CONCATENATE($C8,$GG$3),Bill_Out!$O$610:$O$675)</f>
        <v>0</v>
      </c>
      <c r="FW8" s="309"/>
      <c r="FX8" s="512">
        <f>SUMIF(Master_Data!$AK$4:$AK$145,CONCATENATE($C8,$GG$3),Master_Data!$R$4:$R$145)+SUMIF(Master_Data!$AK$152:$AK$864,CONCATENATE($C8,$GG$3),Master_Data!$R$152:$R$864)</f>
        <v>0</v>
      </c>
      <c r="FY8" s="512">
        <f>SUMIF(Master_Data!$AK$4:$AK$145,CONCATENATE($C8,$GG$3),Master_Data!$Q$4:$Q$145)+SUMIF(Master_Data!$AK$152:$AK$864,CONCATENATE($C8,$GG$3),Master_Data!$Q$152:$Q$864)</f>
        <v>0</v>
      </c>
      <c r="FZ8" s="512">
        <f>SUMIF(Master_Data!$AK$4:$AK$145,CONCATENATE($C8,$GG$3),Master_Data!$U$4:$U$145)+SUMIF(Master_Data!$AK$152:$AK$864,CONCATENATE($C8,$GG$3),Master_Data!$U$152:$U$864)</f>
        <v>0</v>
      </c>
      <c r="GA8" s="310">
        <f>SUMIF(Master_Data!$AK$4:$AK$145,CONCATENATE($C8,$GG$3),Master_Data!$S$4:$S$145)+SUMIF(Master_Data!$AK$152:$AK$864,CONCATENATE($C8,$GG$3),Master_Data!$S$152:$S$864)</f>
        <v>0</v>
      </c>
      <c r="GB8" s="39">
        <f>SUMIF(Master_Data!$AK$152:$AK$915,CONCATENATE($C8,GG$3),Master_Data!$T$152:$T$915)</f>
        <v>0</v>
      </c>
      <c r="GC8" s="310">
        <f>FR8+FU8-FX8+FY8</f>
        <v>0</v>
      </c>
      <c r="GD8" s="230">
        <f t="shared" si="14"/>
        <v>0</v>
      </c>
      <c r="GE8" s="84"/>
      <c r="GF8" s="358" t="str">
        <f t="shared" si="15"/>
        <v>BANGUN OLAH SARANA SUKSES, PTNOV</v>
      </c>
      <c r="GG8" s="89"/>
      <c r="GH8" s="411" t="s">
        <v>620</v>
      </c>
      <c r="GI8" s="109">
        <f t="shared" ref="GI8:GI14" si="43">GC8</f>
        <v>0</v>
      </c>
      <c r="GJ8" s="109">
        <f>GD8</f>
        <v>0</v>
      </c>
      <c r="GK8" s="421"/>
      <c r="GL8" s="109">
        <f>SUMIF(Bill_Out!$Q$679:$Q$756,CONCATENATE($C8,$GX$3),Bill_Out!$N$679:$N$756)</f>
        <v>0</v>
      </c>
      <c r="GM8" s="109">
        <f>SUMIF(Bill_Out!$Q$679:$Q$756,CONCATENATE($C8,$GX$3),Bill_Out!$O$679:$O$756)</f>
        <v>0</v>
      </c>
      <c r="GN8" s="309"/>
      <c r="GO8" s="512">
        <f>SUMIF(Master_Data!$AK$4:$AK$145,CONCATENATE($C8,$GX$3),Master_Data!$R$4:$R$145)+SUMIF(Master_Data!$AK$152:$AK$864,CONCATENATE($C8,$GX$3),Master_Data!$R$152:$R$864)</f>
        <v>0</v>
      </c>
      <c r="GP8" s="512">
        <f>SUMIF(Master_Data!$AK$4:$AK$145,CONCATENATE($C8,$GX$3),Master_Data!$Q$4:$Q$145)+SUMIF(Master_Data!$AK$152:$AK$864,CONCATENATE($C8,$GX$3),Master_Data!$Q$152:$Q$864)</f>
        <v>0</v>
      </c>
      <c r="GQ8" s="512">
        <f>SUMIF(Master_Data!$AK$4:$AK$145,CONCATENATE($C8,$GX$3),Master_Data!$U$4:$U$145)+SUMIF(Master_Data!$AK$152:$AK$864,CONCATENATE($C8,$GX$3),Master_Data!$U$152:$U$864)</f>
        <v>0</v>
      </c>
      <c r="GR8" s="310">
        <f>SUMIF(Master_Data!$AK$4:$AK$145,CONCATENATE($C8,$GX$3),Master_Data!$S$4:$S$145)+SUMIF(Master_Data!$AK$152:$AK$864,CONCATENATE($C8,$GX$3),Master_Data!$S$152:$S$864)</f>
        <v>0</v>
      </c>
      <c r="GS8" s="39">
        <f>SUMIF(Master_Data!$AK$152:$AK$864,CONCATENATE($C8,GX$3),Master_Data!$T$152:$T$864)</f>
        <v>0</v>
      </c>
      <c r="GT8" s="534">
        <f t="shared" ref="GT8:GT71" si="44">GI8+GL8-GO8+GP8</f>
        <v>0</v>
      </c>
      <c r="GU8" s="310">
        <f t="shared" si="16"/>
        <v>0</v>
      </c>
      <c r="GV8" s="84"/>
      <c r="GW8" s="358" t="str">
        <f t="shared" si="17"/>
        <v>BANGUN OLAH SARANA SUKSES, PTDES</v>
      </c>
      <c r="GX8" s="89"/>
    </row>
    <row r="9" spans="1:206" s="7" customFormat="1">
      <c r="A9" s="328" t="s">
        <v>94</v>
      </c>
      <c r="B9" s="236" t="str">
        <f t="shared" si="18"/>
        <v>BINTANG MANGGALA BORNEO, PTJAN</v>
      </c>
      <c r="C9" s="105" t="s">
        <v>173</v>
      </c>
      <c r="D9" s="237" t="s">
        <v>299</v>
      </c>
      <c r="E9" s="238">
        <f>SUMIF(Master_Data!$D7:$D$145,CONCATENATE(C9),Master_Data!M7:M146)</f>
        <v>6050</v>
      </c>
      <c r="F9" s="109">
        <f>SUMIF(Master_Data!$D5:$D$145,CONCATENATE(C9),Master_Data!N5:N148)</f>
        <v>0</v>
      </c>
      <c r="G9" s="239"/>
      <c r="H9" s="109">
        <f>SUMIF(Bill_Out!$Q$3:$Q$65,CONCATENATE($C9,$S$3),Bill_Out!$N$3:$N$65)</f>
        <v>0</v>
      </c>
      <c r="I9" s="88">
        <f>SUMIF(Bill_Out!$Q$3:$Q$65,CONCATENATE($C9,$S$3),Bill_Out!$O$3:$O$65)</f>
        <v>0</v>
      </c>
      <c r="J9" s="240"/>
      <c r="K9" s="241"/>
      <c r="L9" s="241"/>
      <c r="M9" s="230">
        <f>SUMIF(Master_Data!$AK5:$AK$145,CONCATENATE(C9,$S$3),Master_Data!U5:U146)+SUMIF(Master_Data!$AK152:$AK$864,CONCATENATE(C9,$S$3),Master_Data!U152:U866)</f>
        <v>0</v>
      </c>
      <c r="N9" s="310">
        <f>SUMIF(Master_Data!$AK$4:$AK$145,CONCATENATE(C9,$S$3),Master_Data!$S$4:$S$145)+SUMIF(Master_Data!$AK$150:$AK$864,CONCATENATE(C9,$S$3),Master_Data!$S$150:$S$864)</f>
        <v>0</v>
      </c>
      <c r="O9" s="310">
        <f>SUMIF(Master_Data!$AK$4:$AK$145,CONCATENATE(C9,$S$3),Master_Data!$T$4:$T$145)+SUMIF(Master_Data!$AK$150:$AK$864,CONCATENATE(C9,$S$3),Master_Data!$T$150:$T$864)</f>
        <v>0</v>
      </c>
      <c r="P9" s="230">
        <f t="shared" si="19"/>
        <v>6050</v>
      </c>
      <c r="Q9" s="230">
        <f t="shared" si="20"/>
        <v>0</v>
      </c>
      <c r="R9" s="241"/>
      <c r="S9" s="242"/>
      <c r="T9" s="237"/>
      <c r="U9" s="109">
        <f t="shared" ref="U9:V11" si="45">P9</f>
        <v>6050</v>
      </c>
      <c r="V9" s="109">
        <f t="shared" si="45"/>
        <v>0</v>
      </c>
      <c r="W9" s="239"/>
      <c r="X9" s="109">
        <f>SUMIF(Bill_Out!$Q$67:$Q$132,CONCATENATE($C9,$AJ$3),Bill_Out!$N$67:$N$132)</f>
        <v>0</v>
      </c>
      <c r="Y9" s="109">
        <f>SUMIF(Bill_Out!$Q$67:$Q$132,CONCATENATE($C9,$AJ$3),Bill_Out!$O$67:$O$132)</f>
        <v>0</v>
      </c>
      <c r="Z9" s="240"/>
      <c r="AA9" s="230">
        <f>SUMIF(Master_Data!$AK$4:$AK$145,CONCATENATE(C9,$AJ$3),Master_Data!$R$4:$R$145)+SUMIF(Master_Data!$AK$152:$AK$850,CONCATENATE(C9,$AJ$3),Master_Data!$R$152:$R$850)</f>
        <v>0</v>
      </c>
      <c r="AB9" s="230">
        <f>SUMIF(Master_Data!$AK$4:$AK$145,CONCATENATE(C9,$AJ$3),Master_Data!$Q$4:$Q$145)+SUMIF(Master_Data!$AK$152:$AK$850,CONCATENATE(C9,$AJ$3),Master_Data!$Q$152:$Q$850)</f>
        <v>0</v>
      </c>
      <c r="AC9" s="230">
        <f>SUMIF(Master_Data!$AK$4:$AK$145,CONCATENATE(C9,$AJ$3),Master_Data!$U$4:$U$145)+SUMIF(Master_Data!$AK$152:$AK$850,CONCATENATE(C9,$AJ$3),Master_Data!$U$152:$U$850)</f>
        <v>0</v>
      </c>
      <c r="AD9" s="310">
        <f ca="1">SUMIF(Master_Data!$AK$4:$AK$145,CONCATENATE(C9,$AJ$3),Master_Data!$S$4:$S$145)+SUMIF(Master_Data!$AK$152:$AK$864,CONCATENATE(C9,$AJ$3),Master_Data!$S$152:$S$850)</f>
        <v>0</v>
      </c>
      <c r="AE9" s="310">
        <f>SUMIF(Master_Data!$AK$4:$AK$145,CONCATENATE(C9,$AJ$3),Master_Data!$T$4:$T$145)+SUMIF(Master_Data!$AK$152:$AK$864,CONCATENATE(C9,$AJ$3),Master_Data!$T$152:$T$864)</f>
        <v>0</v>
      </c>
      <c r="AF9" s="230">
        <f t="shared" si="1"/>
        <v>6050</v>
      </c>
      <c r="AG9" s="230">
        <f t="shared" ca="1" si="2"/>
        <v>0</v>
      </c>
      <c r="AH9" s="241"/>
      <c r="AI9" s="235" t="str">
        <f t="shared" si="3"/>
        <v>BINTANG MANGGALA BORNEO, PTFEB</v>
      </c>
      <c r="AJ9" s="242"/>
      <c r="AK9" s="259"/>
      <c r="AL9" s="109">
        <f t="shared" ref="AL9:AM11" si="46">AF9</f>
        <v>6050</v>
      </c>
      <c r="AM9" s="109">
        <f t="shared" ca="1" si="46"/>
        <v>0</v>
      </c>
      <c r="AN9" s="239"/>
      <c r="AO9" s="109">
        <f>SUMIF(Bill_Out!$Q$134:$Q$188,CONCATENATE($C9,$BA$3),Bill_Out!$N$134:$N$188)</f>
        <v>0</v>
      </c>
      <c r="AP9" s="109">
        <f>SUMIF(Bill_Out!$Q$134:$Q$188,CONCATENATE($C9,$BA$3),Bill_Out!$O$134:$O$188)</f>
        <v>0</v>
      </c>
      <c r="AQ9" s="240"/>
      <c r="AR9" s="230">
        <f>SUMIF(Master_Data!$AK$4:$AK$145,CONCATENATE(C9,$BA$3),Master_Data!$R$4:$R$145)+SUMIF(Master_Data!$AK$152:$AK$864,CONCATENATE(C9,$BA$3),Master_Data!$R$152:$R$864)</f>
        <v>0</v>
      </c>
      <c r="AS9" s="230">
        <f>SUMIF(Master_Data!$AK$4:$AK$145,CONCATENATE(C9,$BA$3),Master_Data!$Q$4:$Q$145)+SUMIF(Master_Data!$AK$152:$AK$864,CONCATENATE(C9,$BA$3),Master_Data!$Q$152:$Q$864)</f>
        <v>0</v>
      </c>
      <c r="AT9" s="230">
        <f>SUMIF(Master_Data!$AK$4:$AK$145,CONCATENATE(C9,$BA$3),Master_Data!$U$4:$U$145)+SUMIF(Master_Data!$AK$152:$AK$864,CONCATENATE(C9,$BA$3),Master_Data!$U$152:$U$864)</f>
        <v>0</v>
      </c>
      <c r="AU9" s="230">
        <f ca="1">SUMIF(Master_Data!$AK$4:$AK$145,CONCATENATE(C9,$BA$3),Master_Data!$S$4:$S$145)+SUMIF(Master_Data!$AK$152:$AK$864,CONCATENATE(C9,$BA$3),Master_Data!$S$152:$S$850)</f>
        <v>0</v>
      </c>
      <c r="AV9" s="39">
        <f>SUMIF(Master_Data!$AK$152:$AK$864,CONCATENATE($C9,BA$3),Master_Data!$T$152:$T$864)</f>
        <v>0</v>
      </c>
      <c r="AW9" s="230">
        <f>AL9+AO9-AR9+AS9</f>
        <v>6050</v>
      </c>
      <c r="AX9" s="230">
        <f ca="1">AM9+AP9-AT9+AU9+AV9</f>
        <v>0</v>
      </c>
      <c r="AY9" s="241"/>
      <c r="AZ9" s="235" t="str">
        <f t="shared" si="21"/>
        <v>BINTANG MANGGALA BORNEO, PTMAR</v>
      </c>
      <c r="BA9" s="242"/>
      <c r="BB9" s="259"/>
      <c r="BC9" s="109">
        <f t="shared" si="22"/>
        <v>6050</v>
      </c>
      <c r="BD9" s="109">
        <f t="shared" ca="1" si="23"/>
        <v>0</v>
      </c>
      <c r="BE9" s="239"/>
      <c r="BF9" s="109">
        <f>SUMIF(Bill_Out!$Q$192:$Q$258,CONCATENATE($C9,$BR$3),Bill_Out!$N$192:$N$258)</f>
        <v>0</v>
      </c>
      <c r="BG9" s="109">
        <f>SUMIF(Bill_Out!$Q$192:$Q$258,CONCATENATE($C9,$BR$3),Bill_Out!$O$192:$O$258)</f>
        <v>0</v>
      </c>
      <c r="BH9" s="240"/>
      <c r="BI9" s="230">
        <f>SUMIF(Master_Data!$AK$4:$AK$145,CONCATENATE(C9,$BR$3),Master_Data!$R$4:$R$145)+SUMIF(Master_Data!$AK$152:$AK$864,CONCATENATE(C9,$BR$3),Master_Data!$R$152:$R$864)</f>
        <v>0</v>
      </c>
      <c r="BJ9" s="230">
        <f>SUMIF(Master_Data!$AK$4:$AK$145,CONCATENATE(C9,$BR$3),Master_Data!$Q$4:$Q$145)+SUMIF(Master_Data!$AK$152:$AK$864,CONCATENATE(C9,$BR$3),Master_Data!$Q$152:$Q$864)</f>
        <v>0</v>
      </c>
      <c r="BK9" s="230">
        <f>SUMIF(Master_Data!$AK$4:$AK$145,CONCATENATE(C9,$BR$3),Master_Data!$U$4:$U$145)+SUMIF(Master_Data!$AK$152:$AK$864,CONCATENATE(C9,$BR$3),Master_Data!$U$152:$U$864)</f>
        <v>0</v>
      </c>
      <c r="BL9" s="230">
        <f>SUMIF(Master_Data!$AK$4:$AK$145,CONCATENATE(C9,$BR$3),Master_Data!$S$4:$S$145)+SUMIF(Master_Data!$AK$152:$AK$864,CONCATENATE(C9,$BR$3),Master_Data!$S$152:$S$864)</f>
        <v>0</v>
      </c>
      <c r="BM9" s="39">
        <f>SUMIF(Master_Data!$AK$152:$AK$864,CONCATENATE($C9,BR$3),Master_Data!$T$152:$T$864)</f>
        <v>0</v>
      </c>
      <c r="BN9" s="230">
        <f t="shared" si="24"/>
        <v>6050</v>
      </c>
      <c r="BO9" s="230">
        <f t="shared" ca="1" si="25"/>
        <v>0</v>
      </c>
      <c r="BP9" s="241"/>
      <c r="BQ9" s="909" t="str">
        <f t="shared" si="26"/>
        <v>BINTANG MANGGALA BORNEO, PTAPR</v>
      </c>
      <c r="BR9" s="242"/>
      <c r="BS9" s="259"/>
      <c r="BT9" s="109">
        <f t="shared" si="5"/>
        <v>6050</v>
      </c>
      <c r="BU9" s="109">
        <f t="shared" ca="1" si="5"/>
        <v>0</v>
      </c>
      <c r="BV9" s="239"/>
      <c r="BW9" s="109">
        <f>SUMIF(Bill_Out!$Q$263:$Q$314,CONCATENATE($C9,$CI$3),Bill_Out!$N$263:$N$314)</f>
        <v>0</v>
      </c>
      <c r="BX9" s="109">
        <f>SUMIF(Bill_Out!$Q$263:$Q$314,CONCATENATE($C9,$CI$3),Bill_Out!$O$263:$O$314)</f>
        <v>0</v>
      </c>
      <c r="BY9" s="240"/>
      <c r="BZ9" s="310">
        <f>SUMIF(Master_Data!$AK$4:$AK$145,CONCATENATE(C9,$CI$3),Master_Data!$R$4:$R$145)+SUMIF(Master_Data!$AK$152:$AK$864,CONCATENATE(C9,$CI$3),Master_Data!$R$152:$R$864)</f>
        <v>0</v>
      </c>
      <c r="CA9" s="310">
        <f>SUMIF(Master_Data!$AK$4:$AK$145,CONCATENATE(C9,$CI$3),Master_Data!$Q$4:$Q$145)+SUMIF(Master_Data!$AK$152:$AK$864,CONCATENATE(C9,$CI$3),Master_Data!$Q$152:$Q$864)</f>
        <v>0</v>
      </c>
      <c r="CB9" s="310">
        <f>SUMIF(Master_Data!$AK$4:$AK$145,CONCATENATE(C9,$CI$3),Master_Data!$U$4:$U$145)+SUMIF(Master_Data!$AK$152:$AK$864,CONCATENATE(C9,$CI$3),Master_Data!$U$152:$U$864)</f>
        <v>0</v>
      </c>
      <c r="CC9" s="230">
        <f>SUMIF(Master_Data!$AK$4:$AK$145,CONCATENATE(C9,$CI$3),Master_Data!$S$4:$S$145)+SUMIF(Master_Data!$AK$152:$AK$864,CONCATENATE(C9,$CI$3),Master_Data!$S$152:$S$864)</f>
        <v>0</v>
      </c>
      <c r="CD9" s="39">
        <f>SUMIF(Master_Data!$AK$152:$AK$864,CONCATENATE($C9,CI$3),Master_Data!$T$152:$T$864)</f>
        <v>0</v>
      </c>
      <c r="CE9" s="310">
        <f t="shared" si="27"/>
        <v>6050</v>
      </c>
      <c r="CF9" s="230">
        <f t="shared" ca="1" si="28"/>
        <v>0</v>
      </c>
      <c r="CG9" s="241"/>
      <c r="CH9" s="235" t="str">
        <f t="shared" si="29"/>
        <v>BINTANG MANGGALA BORNEO, PTMEI</v>
      </c>
      <c r="CI9" s="242"/>
      <c r="CJ9" s="259"/>
      <c r="CK9" s="109">
        <f t="shared" si="30"/>
        <v>6050</v>
      </c>
      <c r="CL9" s="238">
        <f t="shared" ca="1" si="31"/>
        <v>0</v>
      </c>
      <c r="CM9" s="239"/>
      <c r="CN9" s="238">
        <f>SUMIF(Bill_Out!$Q$318:$Q$371,CONCATENATE($C9,$CZ$3),Bill_Out!$N$318:$N$371)</f>
        <v>0</v>
      </c>
      <c r="CO9" s="238">
        <f>SUMIF(Bill_Out!$Q$318:$Q$371,CONCATENATE($C9,$CZ$3),Bill_Out!$O$318:$O$371)</f>
        <v>0</v>
      </c>
      <c r="CP9" s="240"/>
      <c r="CQ9" s="230">
        <f>SUMIF(Master_Data!$AK$4:$AK$145,CONCATENATE($C9,$CZ$3),Master_Data!$R$4:$R$145)+SUMIF(Master_Data!$AK$152:$AK$864,CONCATENATE($C9,$CZ$3),Master_Data!$R$152:$R$864)</f>
        <v>0</v>
      </c>
      <c r="CR9" s="230">
        <f>SUMIF(Master_Data!$AK$4:$AK$145,CONCATENATE($C9,$CZ$3),Master_Data!$Q$4:$Q$145)+SUMIF(Master_Data!$AK$152:$AK$864,CONCATENATE($C9,$CZ$3),Master_Data!$Q$152:$Q$864)</f>
        <v>0</v>
      </c>
      <c r="CS9" s="230">
        <f>SUMIF(Master_Data!$AK$4:$AK$145,CONCATENATE($C9,$CZ$3),Master_Data!$U$4:$U$145)+SUMIF(Master_Data!$AK$152:$AK$864,CONCATENATE($C9,$CZ$3),Master_Data!$U$152:$U$864)</f>
        <v>0</v>
      </c>
      <c r="CT9" s="230">
        <f ca="1">SUMIF(Master_Data!$AK$4:$AK$145,CONCATENATE(C9,$CZ$3),Master_Data!$S$4:$S$145)+SUMIF(Master_Data!$AK$152:$AK$915,CONCATENATE(C9,$CZ$3),Master_Data!$S$152:$S$864)</f>
        <v>0</v>
      </c>
      <c r="CU9" s="1010">
        <f>SUMIF(Master_Data!$AK$4:$AK$145,CONCATENATE(C9,$CZ$3),Master_Data!$T$4:$T$145)+SUMIF(Master_Data!$AK$152:$AK$864,CONCATENATE(C9,$CZ$3),Master_Data!$T$152:$T$864)</f>
        <v>0</v>
      </c>
      <c r="CV9" s="230">
        <f t="shared" si="32"/>
        <v>6050</v>
      </c>
      <c r="CW9" s="230">
        <f t="shared" ca="1" si="33"/>
        <v>0</v>
      </c>
      <c r="CX9" s="241"/>
      <c r="CY9" s="1007" t="str">
        <f t="shared" si="6"/>
        <v>BINTANG MANGGALA BORNEO, PTJUN</v>
      </c>
      <c r="CZ9" s="242"/>
      <c r="DA9" s="259"/>
      <c r="DB9" s="109">
        <f t="shared" si="34"/>
        <v>6050</v>
      </c>
      <c r="DC9" s="109">
        <f t="shared" ca="1" si="35"/>
        <v>0</v>
      </c>
      <c r="DD9" s="239"/>
      <c r="DE9" s="109">
        <f>SUMIF(Bill_Out!$Q$375:$Q$422,CONCATENATE($C9,$DQ$3),Bill_Out!$N$375:$N$422)</f>
        <v>0</v>
      </c>
      <c r="DF9" s="109">
        <f>SUMIF(Bill_Out!$Q$375:$Q$422,CONCATENATE($C9,$DQ$3),Bill_Out!$O$375:$O$422)</f>
        <v>0</v>
      </c>
      <c r="DG9" s="240"/>
      <c r="DH9" s="310">
        <f>SUMIF(Master_Data!$AK$4:$AK$145,CONCATENATE($C9,$DQ$3),Master_Data!$R$4:$R$145)+SUMIF(Master_Data!$AK$152:$AK$864,CONCATENATE($C9,$DQ$3),Master_Data!$R$152:$R$864)</f>
        <v>0</v>
      </c>
      <c r="DI9" s="310">
        <f>SUMIF(Master_Data!$AK$4:$AK$145,CONCATENATE($C9,$DQ$3),Master_Data!$Q$4:$Q$145)+SUMIF(Master_Data!$AK$152:$AK$864,CONCATENATE($C9,$DQ$3),Master_Data!$Q$152:$Q$864)</f>
        <v>0</v>
      </c>
      <c r="DJ9" s="310">
        <f>SUMIF(Master_Data!$AK$4:$AK$145,CONCATENATE($C9,$DQ$3),Master_Data!$U$4:$U$145)+SUMIF(Master_Data!$AK$152:$AK$864,CONCATENATE($C9,$DQ$3),Master_Data!$U$152:$U$864)</f>
        <v>0</v>
      </c>
      <c r="DK9" s="310">
        <f>SUMIF(Master_Data!$AK$4:$AK$145,CONCATENATE($C9,$DQ$3),Master_Data!$S$4:$S$145)+SUMIF(Master_Data!$AK$152:$AK$864,CONCATENATE($C9,$DQ$3),Master_Data!$S$152:$S$864)</f>
        <v>0</v>
      </c>
      <c r="DL9" s="39">
        <f>SUMIF(Master_Data!$AK$152:$AK$915,CONCATENATE($C9,DQ$3),Master_Data!$T$152:$T$915)</f>
        <v>0</v>
      </c>
      <c r="DM9" s="230">
        <f t="shared" si="7"/>
        <v>6050</v>
      </c>
      <c r="DN9" s="230">
        <f t="shared" ca="1" si="8"/>
        <v>0</v>
      </c>
      <c r="DO9" s="241"/>
      <c r="DP9" s="358" t="str">
        <f t="shared" si="9"/>
        <v>BINTANG MANGGALA BORNEO, PTJUL</v>
      </c>
      <c r="DQ9" s="242"/>
      <c r="DR9" s="390"/>
      <c r="DS9" s="109">
        <f t="shared" si="36"/>
        <v>6050</v>
      </c>
      <c r="DT9" s="109">
        <f t="shared" ca="1" si="37"/>
        <v>0</v>
      </c>
      <c r="DU9" s="31"/>
      <c r="DV9" s="109">
        <f>SUMIF(Bill_Out!$Q$426:$Q$472,CONCATENATE($C9,$EH$3),Bill_Out!$N$426:$N$472)</f>
        <v>0</v>
      </c>
      <c r="DW9" s="109">
        <f>SUMIF(Bill_Out!$Q$426:$Q$472,CONCATENATE($C9,$EH$3),Bill_Out!$O$426:$O$472)</f>
        <v>0</v>
      </c>
      <c r="DX9" s="240"/>
      <c r="DY9" s="310">
        <f>SUMIF(Master_Data!$AK$4:$AK$145,CONCATENATE($C9,$EH$3),Master_Data!$R$4:$R$145)+SUMIF(Master_Data!$AK$152:$AK$864,CONCATENATE($C9,$EH$3),Master_Data!$R$152:$R$864)</f>
        <v>0</v>
      </c>
      <c r="DZ9" s="310">
        <f>SUMIF(Master_Data!$AK$4:$AK$145,CONCATENATE($C9,$EH$3),Master_Data!$Q$4:$Q$145)+SUMIF(Master_Data!$AK$152:$AK$864,CONCATENATE($C9,$EH$3),Master_Data!$Q$152:$Q$864)</f>
        <v>0</v>
      </c>
      <c r="EA9" s="310">
        <f>SUMIF(Master_Data!$AK$4:$AK$145,CONCATENATE($C9,$EH$3),Master_Data!$U$4:$U$145)+SUMIF(Master_Data!$AK$152:$AK$864,CONCATENATE($C9,$EH$3),Master_Data!$U$152:$U$864)</f>
        <v>0</v>
      </c>
      <c r="EB9" s="310">
        <f>SUMIF(Master_Data!$AK$4:$AK$145,CONCATENATE($C9,$EH$3),Master_Data!$S$4:$S$145)+SUMIF(Master_Data!$AK$152:$AK$864,CONCATENATE($C9,$EH$3),Master_Data!$S$152:$S$864)</f>
        <v>0</v>
      </c>
      <c r="EC9" s="39">
        <f>SUMIF(Master_Data!$AK$152:$AK$915,CONCATENATE($C9,EH$3),Master_Data!$T$152:$T$915)</f>
        <v>0</v>
      </c>
      <c r="ED9" s="310">
        <f t="shared" si="38"/>
        <v>6050</v>
      </c>
      <c r="EE9" s="230">
        <f t="shared" ca="1" si="39"/>
        <v>0</v>
      </c>
      <c r="EF9" s="241"/>
      <c r="EG9" s="358" t="str">
        <f t="shared" si="10"/>
        <v>BINTANG MANGGALA BORNEO, PTAGS</v>
      </c>
      <c r="EH9" s="242"/>
      <c r="EI9" s="390"/>
      <c r="EJ9" s="109">
        <f t="shared" ref="EJ9:EJ68" si="47">ED9</f>
        <v>6050</v>
      </c>
      <c r="EK9" s="109">
        <f t="shared" ref="EK9:EK68" ca="1" si="48">EE9</f>
        <v>0</v>
      </c>
      <c r="EL9" s="84"/>
      <c r="EM9" s="109">
        <f>SUMIF(Bill_Out!$Q$476:$Q$530,CONCATENATE($C9,$EY$3),Bill_Out!$N$476:$N$530)</f>
        <v>0</v>
      </c>
      <c r="EN9" s="109">
        <f>SUMIF(Bill_Out!$Q$476:$Q$530,CONCATENATE($C9,$EY$3),Bill_Out!$O$476:$O$530)</f>
        <v>0</v>
      </c>
      <c r="EO9" s="309"/>
      <c r="EP9" s="310">
        <f>SUMIF(Master_Data!$AK$4:$AK$145,CONCATENATE($C9,$EY$3),Master_Data!$R$4:$R$145)+SUMIF(Master_Data!$AK$152:$AK$864,CONCATENATE($C9,$EY$3),Master_Data!$R$152:$R$864)</f>
        <v>0</v>
      </c>
      <c r="EQ9" s="310">
        <f>SUMIF(Master_Data!$AK$4:$AK$145,CONCATENATE($C9,$EY$3),Master_Data!$Q$4:$Q$145)+SUMIF(Master_Data!$AK$152:$AK$864,CONCATENATE($C9,$EY$3),Master_Data!$Q$152:$Q$864)</f>
        <v>0</v>
      </c>
      <c r="ER9" s="310">
        <f>SUMIF(Master_Data!$AK$4:$AK$145,CONCATENATE($C9,$EY$3),Master_Data!$U$4:$U$145)+SUMIF(Master_Data!$AK$152:$AK$864,CONCATENATE($C9,$EY$3),Master_Data!$U$152:$U$864)</f>
        <v>0</v>
      </c>
      <c r="ES9" s="310">
        <f>SUMIF(Master_Data!$AK$4:$AK$145,CONCATENATE($C9,$EY$3),Master_Data!$S$4:$S$145)+SUMIF(Master_Data!$AK$152:$AK$864,CONCATENATE($C9,$EY$3),Master_Data!$S$152:$S$864)</f>
        <v>0</v>
      </c>
      <c r="ET9" s="39">
        <f>SUMIF(Master_Data!$AK$152:$AK$915,CONCATENATE($C9,EY$3),Master_Data!$T$152:$T$915)</f>
        <v>0</v>
      </c>
      <c r="EU9" s="310">
        <f t="shared" ref="EU9:EU68" si="49">EJ9+EM9-EP9+EQ9</f>
        <v>6050</v>
      </c>
      <c r="EV9" s="230"/>
      <c r="EW9" s="84"/>
      <c r="EX9" s="358" t="str">
        <f t="shared" si="11"/>
        <v>BINTANG MANGGALA BORNEO, PTSEP</v>
      </c>
      <c r="EY9" s="242"/>
      <c r="EZ9" s="412"/>
      <c r="FA9" s="109">
        <f t="shared" ref="FA9:FA34" si="50">EU9</f>
        <v>6050</v>
      </c>
      <c r="FB9" s="109">
        <f t="shared" ref="FB9:FB34" si="51">EV9</f>
        <v>0</v>
      </c>
      <c r="FC9" s="421"/>
      <c r="FD9" s="109">
        <f>SUMIF(Bill_Out!$Q$534:$Q$606,CONCATENATE($C9,$FP$3),Bill_Out!$N$534:$N$606)</f>
        <v>0</v>
      </c>
      <c r="FE9" s="109">
        <f>SUMIF(Bill_Out!$Q$534:$Q$606,CONCATENATE($C9,$FP$3),Bill_Out!$O$534:$O$606)</f>
        <v>0</v>
      </c>
      <c r="FF9" s="309"/>
      <c r="FG9" s="310">
        <f>SUMIF(Master_Data!$AK$4:$AK$145,CONCATENATE($C9,$FP$3),Master_Data!$R$4:$R$145)+SUMIF(Master_Data!$AK$152:$AK$864,CONCATENATE($C9,$FP$3),Master_Data!$R$152:$R$864)</f>
        <v>0</v>
      </c>
      <c r="FH9" s="310">
        <f>SUMIF(Master_Data!$AK$4:$AK$145,CONCATENATE($C9,$FP$3),Master_Data!$Q$4:$Q$145)+SUMIF(Master_Data!$AK$152:$AK$864,CONCATENATE($C9,$FP$3),Master_Data!$Q$152:$Q$864)</f>
        <v>0</v>
      </c>
      <c r="FI9" s="310">
        <f>SUMIF(Master_Data!$AK$4:$AK$145,CONCATENATE($C9,$FP$3),Master_Data!$U$4:$U$145)+SUMIF(Master_Data!$AK$152:$AK$864,CONCATENATE($C9,$FP$3),Master_Data!$U$152:$U$864)</f>
        <v>0</v>
      </c>
      <c r="FJ9" s="310">
        <f>SUMIF(Master_Data!$AK$4:$AK$145,CONCATENATE($C9,$FP$3),Master_Data!$S$4:$S$145)+SUMIF(Master_Data!$AK$152:$AK$864,CONCATENATE($C9,$FP$3),Master_Data!$S$152:$S$864)</f>
        <v>0</v>
      </c>
      <c r="FK9" s="39">
        <f>SUMIF(Master_Data!$AK$152:$AK$915,CONCATENATE($C9,FP$3),Master_Data!$T$152:$T$915)</f>
        <v>0</v>
      </c>
      <c r="FL9" s="310">
        <f t="shared" ref="FL9:FL34" si="52">FA9+FD9-FG9+FH9</f>
        <v>6050</v>
      </c>
      <c r="FM9" s="230">
        <f t="shared" ref="FM9:FM34" si="53">FB9+FE9-FI9+FJ9+FK9</f>
        <v>0</v>
      </c>
      <c r="FN9" s="241"/>
      <c r="FO9" s="358" t="str">
        <f t="shared" si="13"/>
        <v>BINTANG MANGGALA BORNEO, PTOKT</v>
      </c>
      <c r="FP9" s="242"/>
      <c r="FQ9" s="412"/>
      <c r="FR9" s="109">
        <f t="shared" si="42"/>
        <v>6050</v>
      </c>
      <c r="FS9" s="109">
        <f t="shared" ref="FS9:FS16" si="54">FM9</f>
        <v>0</v>
      </c>
      <c r="FT9" s="422"/>
      <c r="FU9" s="109">
        <f>SUMIF(Bill_Out!$Q$610:$Q$675,CONCATENATE($C9,$GG$3),Bill_Out!$N$610:$N$675)</f>
        <v>0</v>
      </c>
      <c r="FV9" s="109">
        <f>SUMIF(Bill_Out!$Q$610:$Q$675,CONCATENATE($C9,$GG$3),Bill_Out!$O$610:$O$675)</f>
        <v>0</v>
      </c>
      <c r="FW9" s="240"/>
      <c r="FX9" s="512">
        <f>SUMIF(Master_Data!$AK$4:$AK$145,CONCATENATE($C9,$GG$3),Master_Data!$R$4:$R$145)+SUMIF(Master_Data!$AK$152:$AK$864,CONCATENATE($C9,$GG$3),Master_Data!$R$152:$R$864)</f>
        <v>0</v>
      </c>
      <c r="FY9" s="512">
        <f>SUMIF(Master_Data!$AK$4:$AK$145,CONCATENATE($C9,$GG$3),Master_Data!$Q$4:$Q$145)+SUMIF(Master_Data!$AK$152:$AK$864,CONCATENATE($C9,$GG$3),Master_Data!$Q$152:$Q$864)</f>
        <v>0</v>
      </c>
      <c r="FZ9" s="512">
        <f>SUMIF(Master_Data!$AK$4:$AK$145,CONCATENATE($C9,$GG$3),Master_Data!$U$4:$U$145)+SUMIF(Master_Data!$AK$152:$AK$864,CONCATENATE($C9,$GG$3),Master_Data!$U$152:$U$864)</f>
        <v>0</v>
      </c>
      <c r="GA9" s="310">
        <f>SUMIF(Master_Data!$AK$4:$AK$145,CONCATENATE($C9,$GG$3),Master_Data!$S$4:$S$145)+SUMIF(Master_Data!$AK$152:$AK$864,CONCATENATE($C9,$GG$3),Master_Data!$S$152:$S$864)</f>
        <v>0</v>
      </c>
      <c r="GB9" s="39">
        <f>SUMIF(Master_Data!$AK$152:$AK$915,CONCATENATE($C9,GG$3),Master_Data!$T$152:$T$915)</f>
        <v>0</v>
      </c>
      <c r="GC9" s="230">
        <f t="shared" ref="GC9:GC21" si="55">FR9+FU9-FX9+FY9</f>
        <v>6050</v>
      </c>
      <c r="GD9" s="230">
        <f t="shared" si="14"/>
        <v>0</v>
      </c>
      <c r="GE9" s="241"/>
      <c r="GF9" s="358" t="str">
        <f t="shared" si="15"/>
        <v>BINTANG MANGGALA BORNEO, PTNOV</v>
      </c>
      <c r="GG9" s="242"/>
      <c r="GH9" s="412" t="s">
        <v>299</v>
      </c>
      <c r="GI9" s="109">
        <f t="shared" si="43"/>
        <v>6050</v>
      </c>
      <c r="GJ9" s="109">
        <f t="shared" ref="GJ9:GJ14" si="56">GD9</f>
        <v>0</v>
      </c>
      <c r="GK9" s="422"/>
      <c r="GL9" s="109">
        <f>SUMIF(Bill_Out!$Q$679:$Q$756,CONCATENATE($C9,$GX$3),Bill_Out!$N$679:$N$756)</f>
        <v>0</v>
      </c>
      <c r="GM9" s="109">
        <f>SUMIF(Bill_Out!$Q$679:$Q$756,CONCATENATE($C9,$GX$3),Bill_Out!$O$679:$O$756)</f>
        <v>0</v>
      </c>
      <c r="GN9" s="240"/>
      <c r="GO9" s="512">
        <f>SUMIF(Master_Data!$AK$4:$AK$145,CONCATENATE($C9,$GX$3),Master_Data!$R$4:$R$145)+SUMIF(Master_Data!$AK$152:$AK$864,CONCATENATE($C9,$GX$3),Master_Data!$R$152:$R$864)</f>
        <v>0</v>
      </c>
      <c r="GP9" s="512">
        <f>SUMIF(Master_Data!$AK$4:$AK$145,CONCATENATE($C9,$GX$3),Master_Data!$Q$4:$Q$145)+SUMIF(Master_Data!$AK$152:$AK$864,CONCATENATE($C9,$GX$3),Master_Data!$Q$152:$Q$864)</f>
        <v>0</v>
      </c>
      <c r="GQ9" s="512">
        <f>SUMIF(Master_Data!$AK$4:$AK$145,CONCATENATE($C9,$GX$3),Master_Data!$U$4:$U$145)+SUMIF(Master_Data!$AK$152:$AK$864,CONCATENATE($C9,$GX$3),Master_Data!$U$152:$U$864)</f>
        <v>0</v>
      </c>
      <c r="GR9" s="310">
        <f>SUMIF(Master_Data!$AK$4:$AK$145,CONCATENATE($C9,$GX$3),Master_Data!$S$4:$S$145)+SUMIF(Master_Data!$AK$152:$AK$864,CONCATENATE($C9,$GX$3),Master_Data!$S$152:$S$864)</f>
        <v>0</v>
      </c>
      <c r="GS9" s="39">
        <f>SUMIF(Master_Data!$AK$152:$AK$864,CONCATENATE($C9,GX$3),Master_Data!$T$152:$T$864)</f>
        <v>0</v>
      </c>
      <c r="GT9" s="534">
        <f t="shared" si="44"/>
        <v>6050</v>
      </c>
      <c r="GU9" s="310">
        <f t="shared" si="16"/>
        <v>0</v>
      </c>
      <c r="GV9" s="241"/>
      <c r="GW9" s="358" t="str">
        <f t="shared" si="17"/>
        <v>BINTANG MANGGALA BORNEO, PTDES</v>
      </c>
      <c r="GX9" s="242"/>
    </row>
    <row r="10" spans="1:206" s="19" customFormat="1">
      <c r="A10" s="21" t="s">
        <v>97</v>
      </c>
      <c r="B10" s="236" t="str">
        <f t="shared" si="18"/>
        <v>BUKIT MAKMUR MANDIRI UTAMA, PTJAN</v>
      </c>
      <c r="C10" s="243" t="s">
        <v>20</v>
      </c>
      <c r="D10" s="52" t="s">
        <v>301</v>
      </c>
      <c r="E10" s="238">
        <f>SUMIF(Master_Data!$D6:$D$145,CONCATENATE(C10),Master_Data!M6:M146)</f>
        <v>0</v>
      </c>
      <c r="F10" s="109">
        <f>SUMIF(Master_Data!$D6:$D$145,CONCATENATE(C10),Master_Data!N6:N149)</f>
        <v>1798458635.9219999</v>
      </c>
      <c r="G10" s="31"/>
      <c r="H10" s="109">
        <f>SUMIF(Bill_Out!$Q$3:$Q$65,CONCATENATE($C10,$S$3),Bill_Out!$N$3:$N$65)</f>
        <v>0</v>
      </c>
      <c r="I10" s="88" t="e">
        <f>SUMIF(Bill_Out!$Q$3:$Q$65,CONCATENATE($C10,$S$3),Bill_Out!$O$3:$O$65)</f>
        <v>#VALUE!</v>
      </c>
      <c r="J10" s="50"/>
      <c r="K10" s="29"/>
      <c r="L10" s="44"/>
      <c r="M10" s="230">
        <f>SUMIF(Master_Data!$AK6:$AK$145,CONCATENATE(C10,$S$3),Master_Data!U6:U147)+SUMIF(Master_Data!$AK166:$AK$864,CONCATENATE(C10,$S$3),Master_Data!U166:U867)</f>
        <v>1761337081</v>
      </c>
      <c r="N10" s="310">
        <f>SUMIF(Master_Data!$AK$4:$AK$145,CONCATENATE(C10,$S$3),Master_Data!$S$4:$S$145)+SUMIF(Master_Data!$AK$150:$AK$864,CONCATENATE(C10,$S$3),Master_Data!$S$150:$S$864)</f>
        <v>0</v>
      </c>
      <c r="O10" s="310">
        <f>SUMIF(Master_Data!$AK$4:$AK$145,CONCATENATE(C10,$S$3),Master_Data!$T$4:$T$145)+SUMIF(Master_Data!$AK$150:$AK$864,CONCATENATE(C10,$S$3),Master_Data!$T$150:$T$864)</f>
        <v>-32617353.380400002</v>
      </c>
      <c r="P10" s="230">
        <f t="shared" si="19"/>
        <v>0</v>
      </c>
      <c r="Q10" s="230" t="e">
        <f t="shared" si="20"/>
        <v>#VALUE!</v>
      </c>
      <c r="R10" s="31"/>
      <c r="S10" s="24"/>
      <c r="T10" s="259"/>
      <c r="U10" s="109">
        <f t="shared" si="45"/>
        <v>0</v>
      </c>
      <c r="V10" s="109" t="e">
        <f t="shared" si="45"/>
        <v>#VALUE!</v>
      </c>
      <c r="W10" s="31"/>
      <c r="X10" s="109">
        <f>SUMIF(Bill_Out!$Q$67:$Q$132,CONCATENATE($C10,$AJ$3),Bill_Out!$N$67:$N$132)</f>
        <v>0</v>
      </c>
      <c r="Y10" s="109" t="e">
        <f>SUMIF(Bill_Out!$Q$67:$Q$132,CONCATENATE($C10,$AJ$3),Bill_Out!$O$67:$O$132)</f>
        <v>#VALUE!</v>
      </c>
      <c r="Z10" s="50"/>
      <c r="AA10" s="230">
        <f>SUMIF(Master_Data!$AK$4:$AK$145,CONCATENATE(C10,$AJ$3),Master_Data!$R$4:$R$145)+SUMIF(Master_Data!$AK$152:$AK$850,CONCATENATE(C10,$AJ$3),Master_Data!$R$152:$R$850)</f>
        <v>0</v>
      </c>
      <c r="AB10" s="230">
        <f>SUMIF(Master_Data!$AK$4:$AK$145,CONCATENATE(C10,$AJ$3),Master_Data!$Q$4:$Q$145)+SUMIF(Master_Data!$AK$152:$AK$850,CONCATENATE(C10,$AJ$3),Master_Data!$Q$152:$Q$850)</f>
        <v>0</v>
      </c>
      <c r="AC10" s="230">
        <f>SUMIF(Master_Data!$AK$4:$AK$145,CONCATENATE(C10,$AJ$3),Master_Data!$U$4:$U$145)+SUMIF(Master_Data!$AK$152:$AK$850,CONCATENATE(C10,$AJ$3),Master_Data!$U$152:$U$850)</f>
        <v>890488052</v>
      </c>
      <c r="AD10" s="310">
        <f ca="1">SUMIF(Master_Data!$AK$4:$AK$145,CONCATENATE(C10,$AJ$3),Master_Data!$S$4:$S$145)+SUMIF(Master_Data!$AK$152:$AK$864,CONCATENATE(C10,$AJ$3),Master_Data!$S$152:$S$850)</f>
        <v>0</v>
      </c>
      <c r="AE10" s="310">
        <f>SUMIF(Master_Data!$AK$4:$AK$145,CONCATENATE(C10,$AJ$3),Master_Data!$T$4:$T$145)+SUMIF(Master_Data!$AK$152:$AK$864,CONCATENATE(C10,$AJ$3),Master_Data!$T$152:$T$864)</f>
        <v>-16490519.511840001</v>
      </c>
      <c r="AF10" s="230">
        <f t="shared" si="1"/>
        <v>0</v>
      </c>
      <c r="AG10" s="230" t="e">
        <f t="shared" ca="1" si="2"/>
        <v>#VALUE!</v>
      </c>
      <c r="AH10" s="31"/>
      <c r="AI10" s="235" t="str">
        <f t="shared" si="3"/>
        <v>BUKIT MAKMUR MANDIRI UTAMA, PTFEB</v>
      </c>
      <c r="AJ10" s="24"/>
      <c r="AK10" s="259"/>
      <c r="AL10" s="109">
        <f t="shared" si="46"/>
        <v>0</v>
      </c>
      <c r="AM10" s="109" t="e">
        <f t="shared" ca="1" si="46"/>
        <v>#VALUE!</v>
      </c>
      <c r="AN10" s="31"/>
      <c r="AO10" s="109">
        <f>SUMIF(Bill_Out!$Q$134:$Q$188,CONCATENATE($C10,$BA$3),Bill_Out!$N$134:$N$188)</f>
        <v>0</v>
      </c>
      <c r="AP10" s="109" t="e">
        <f>SUMIF(Bill_Out!$Q$134:$Q$188,CONCATENATE($C10,$BA$3),Bill_Out!$O$134:$O$188)</f>
        <v>#VALUE!</v>
      </c>
      <c r="AQ10" s="50"/>
      <c r="AR10" s="230">
        <f>SUMIF(Master_Data!$AK$4:$AK$145,CONCATENATE(C10,$BA$3),Master_Data!$R$4:$R$145)+SUMIF(Master_Data!$AK$152:$AK$864,CONCATENATE(C10,$BA$3),Master_Data!$R$152:$R$864)</f>
        <v>0</v>
      </c>
      <c r="AS10" s="230">
        <f>SUMIF(Master_Data!$AK$4:$AK$145,CONCATENATE(C10,$BA$3),Master_Data!$Q$4:$Q$145)+SUMIF(Master_Data!$AK$152:$AK$864,CONCATENATE(C10,$BA$3),Master_Data!$Q$152:$Q$864)</f>
        <v>0</v>
      </c>
      <c r="AT10" s="230">
        <f>SUMIF(Master_Data!$AK$4:$AK$145,CONCATENATE(C10,$BA$3),Master_Data!$U$4:$U$145)+SUMIF(Master_Data!$AK$152:$AK$864,CONCATENATE(C10,$BA$3),Master_Data!$U$152:$U$864)</f>
        <v>884638201</v>
      </c>
      <c r="AU10" s="230">
        <f ca="1">SUMIF(Master_Data!$AK$4:$AK$145,CONCATENATE(C10,$BA$3),Master_Data!$S$4:$S$145)+SUMIF(Master_Data!$AK$152:$AK$864,CONCATENATE(C10,$BA$3),Master_Data!$S$152:$S$850)</f>
        <v>0</v>
      </c>
      <c r="AV10" s="39">
        <f>SUMIF(Master_Data!$AK$152:$AK$864,CONCATENATE($C10,BA$3),Master_Data!$T$152:$T$864)</f>
        <v>-16382188.928160001</v>
      </c>
      <c r="AW10" s="230">
        <f t="shared" ref="AW10:AW71" si="57">AL10+AO10-AR10+AS10</f>
        <v>0</v>
      </c>
      <c r="AX10" s="230" t="e">
        <f t="shared" ref="AX10:AX71" ca="1" si="58">AM10+AP10-AT10+AU10+AV10</f>
        <v>#VALUE!</v>
      </c>
      <c r="AY10" s="31"/>
      <c r="AZ10" s="235" t="str">
        <f t="shared" si="21"/>
        <v>BUKIT MAKMUR MANDIRI UTAMA, PTMAR</v>
      </c>
      <c r="BA10" s="24"/>
      <c r="BB10" s="259"/>
      <c r="BC10" s="109">
        <f t="shared" si="22"/>
        <v>0</v>
      </c>
      <c r="BD10" s="109" t="e">
        <f t="shared" ca="1" si="23"/>
        <v>#VALUE!</v>
      </c>
      <c r="BE10" s="31"/>
      <c r="BF10" s="109">
        <f>SUMIF(Bill_Out!$Q$192:$Q$258,CONCATENATE($C10,$BR$3),Bill_Out!$N$192:$N$258)</f>
        <v>0</v>
      </c>
      <c r="BG10" s="109" t="e">
        <f>SUMIF(Bill_Out!$Q$192:$Q$258,CONCATENATE($C10,$BR$3),Bill_Out!$O$192:$O$258)</f>
        <v>#VALUE!</v>
      </c>
      <c r="BH10" s="50"/>
      <c r="BI10" s="230">
        <f>SUMIF(Master_Data!$AK$4:$AK$145,CONCATENATE(C10,$BR$3),Master_Data!$R$4:$R$145)+SUMIF(Master_Data!$AK$152:$AK$864,CONCATENATE(C10,$BR$3),Master_Data!$R$152:$R$864)</f>
        <v>0</v>
      </c>
      <c r="BJ10" s="230">
        <f>SUMIF(Master_Data!$AK$4:$AK$145,CONCATENATE(C10,$BR$3),Master_Data!$Q$4:$Q$145)+SUMIF(Master_Data!$AK$152:$AK$864,CONCATENATE(C10,$BR$3),Master_Data!$Q$152:$Q$864)</f>
        <v>0</v>
      </c>
      <c r="BK10" s="230">
        <f>SUMIF(Master_Data!$AK$4:$AK$145,CONCATENATE(C10,$BR$3),Master_Data!$U$4:$U$145)+SUMIF(Master_Data!$AK$152:$AK$864,CONCATENATE(C10,$BR$3),Master_Data!$U$152:$U$864)</f>
        <v>0</v>
      </c>
      <c r="BL10" s="230">
        <f>SUMIF(Master_Data!$AK$4:$AK$145,CONCATENATE(C10,$BR$3),Master_Data!$S$4:$S$145)+SUMIF(Master_Data!$AK$152:$AK$864,CONCATENATE(C10,$BR$3),Master_Data!$S$152:$S$864)</f>
        <v>0</v>
      </c>
      <c r="BM10" s="39">
        <f>SUMIF(Master_Data!$AK$152:$AK$864,CONCATENATE($C10,BR$3),Master_Data!$T$152:$T$864)</f>
        <v>0</v>
      </c>
      <c r="BN10" s="230">
        <f t="shared" si="24"/>
        <v>0</v>
      </c>
      <c r="BO10" s="230" t="e">
        <f t="shared" ca="1" si="25"/>
        <v>#VALUE!</v>
      </c>
      <c r="BP10" s="31"/>
      <c r="BQ10" s="909" t="str">
        <f t="shared" si="26"/>
        <v>BUKIT MAKMUR MANDIRI UTAMA, PTAPR</v>
      </c>
      <c r="BR10" s="24"/>
      <c r="BS10" s="259"/>
      <c r="BT10" s="109">
        <f t="shared" ref="BT10:BT24" si="59">BN10</f>
        <v>0</v>
      </c>
      <c r="BU10" s="109" t="e">
        <f t="shared" ref="BU10:BU24" ca="1" si="60">BO10</f>
        <v>#VALUE!</v>
      </c>
      <c r="BV10" s="31"/>
      <c r="BW10" s="109">
        <f>SUMIF(Bill_Out!$Q$263:$Q$314,CONCATENATE($C10,$CI$3),Bill_Out!$N$263:$N$314)</f>
        <v>0</v>
      </c>
      <c r="BX10" s="109" t="e">
        <f>SUMIF(Bill_Out!$Q$263:$Q$314,CONCATENATE($C10,$CI$3),Bill_Out!$O$263:$O$314)</f>
        <v>#VALUE!</v>
      </c>
      <c r="BY10" s="50"/>
      <c r="BZ10" s="310">
        <f>SUMIF(Master_Data!$AK$4:$AK$145,CONCATENATE(C10,$CI$3),Master_Data!$R$4:$R$145)+SUMIF(Master_Data!$AK$152:$AK$864,CONCATENATE(C10,$CI$3),Master_Data!$R$152:$R$864)</f>
        <v>0</v>
      </c>
      <c r="CA10" s="310">
        <f>SUMIF(Master_Data!$AK$4:$AK$145,CONCATENATE(C10,$CI$3),Master_Data!$Q$4:$Q$145)+SUMIF(Master_Data!$AK$152:$AK$864,CONCATENATE(C10,$CI$3),Master_Data!$Q$152:$Q$864)</f>
        <v>0</v>
      </c>
      <c r="CB10" s="310">
        <f>SUMIF(Master_Data!$AK$4:$AK$145,CONCATENATE(C10,$CI$3),Master_Data!$U$4:$U$145)+SUMIF(Master_Data!$AK$152:$AK$864,CONCATENATE(C10,$CI$3),Master_Data!$U$152:$U$864)</f>
        <v>882770198</v>
      </c>
      <c r="CC10" s="230">
        <f>SUMIF(Master_Data!$AK$4:$AK$145,CONCATENATE(C10,$CI$3),Master_Data!$S$4:$S$145)+SUMIF(Master_Data!$AK$152:$AK$864,CONCATENATE(C10,$CI$3),Master_Data!$S$152:$S$864)</f>
        <v>0</v>
      </c>
      <c r="CD10" s="39">
        <f>SUMIF(Master_Data!$AK$152:$AK$864,CONCATENATE($C10,CI$3),Master_Data!$T$152:$T$864)</f>
        <v>-16347596.292720001</v>
      </c>
      <c r="CE10" s="310">
        <f t="shared" si="27"/>
        <v>0</v>
      </c>
      <c r="CF10" s="230" t="e">
        <f t="shared" ca="1" si="28"/>
        <v>#VALUE!</v>
      </c>
      <c r="CG10" s="31"/>
      <c r="CH10" s="235" t="str">
        <f t="shared" si="29"/>
        <v>BUKIT MAKMUR MANDIRI UTAMA, PTMEI</v>
      </c>
      <c r="CI10" s="24"/>
      <c r="CJ10" s="259"/>
      <c r="CK10" s="109">
        <f t="shared" si="30"/>
        <v>0</v>
      </c>
      <c r="CL10" s="238" t="e">
        <f t="shared" ca="1" si="31"/>
        <v>#VALUE!</v>
      </c>
      <c r="CM10" s="31"/>
      <c r="CN10" s="238">
        <f>SUMIF(Bill_Out!$Q$318:$Q$371,CONCATENATE($C10,$CZ$3),Bill_Out!$N$318:$N$371)</f>
        <v>0</v>
      </c>
      <c r="CO10" s="238" t="e">
        <f>SUMIF(Bill_Out!$Q$318:$Q$371,CONCATENATE($C10,$CZ$3),Bill_Out!$O$318:$O$371)</f>
        <v>#VALUE!</v>
      </c>
      <c r="CP10" s="50"/>
      <c r="CQ10" s="230">
        <f>SUMIF(Master_Data!$AK$4:$AK$145,CONCATENATE($C10,$CZ$3),Master_Data!$R$4:$R$145)+SUMIF(Master_Data!$AK$152:$AK$864,CONCATENATE($C10,$CZ$3),Master_Data!$R$152:$R$864)</f>
        <v>0</v>
      </c>
      <c r="CR10" s="230">
        <f>SUMIF(Master_Data!$AK$4:$AK$145,CONCATENATE($C10,$CZ$3),Master_Data!$Q$4:$Q$145)+SUMIF(Master_Data!$AK$152:$AK$864,CONCATENATE($C10,$CZ$3),Master_Data!$Q$152:$Q$864)</f>
        <v>0</v>
      </c>
      <c r="CS10" s="230">
        <f>SUMIF(Master_Data!$AK$4:$AK$145,CONCATENATE($C10,$CZ$3),Master_Data!$U$4:$U$145)+SUMIF(Master_Data!$AK$152:$AK$864,CONCATENATE($C10,$CZ$3),Master_Data!$U$152:$U$864)</f>
        <v>925215030</v>
      </c>
      <c r="CT10" s="230">
        <f ca="1">SUMIF(Master_Data!$AK$4:$AK$145,CONCATENATE(C10,$CZ$3),Master_Data!$S$4:$S$145)+SUMIF(Master_Data!$AK$152:$AK$915,CONCATENATE(C10,$CZ$3),Master_Data!$S$152:$S$864)</f>
        <v>0</v>
      </c>
      <c r="CU10" s="1010">
        <f>SUMIF(Master_Data!$AK$4:$AK$145,CONCATENATE(C10,$CZ$3),Master_Data!$T$4:$T$145)+SUMIF(Master_Data!$AK$152:$AK$864,CONCATENATE(C10,$CZ$3),Master_Data!$T$152:$T$864)</f>
        <v>-17133611.697839998</v>
      </c>
      <c r="CV10" s="230">
        <f t="shared" si="32"/>
        <v>0</v>
      </c>
      <c r="CW10" s="230" t="e">
        <f t="shared" ca="1" si="33"/>
        <v>#VALUE!</v>
      </c>
      <c r="CX10" s="31"/>
      <c r="CY10" s="1007" t="str">
        <f t="shared" si="6"/>
        <v>BUKIT MAKMUR MANDIRI UTAMA, PTJUN</v>
      </c>
      <c r="CZ10" s="24"/>
      <c r="DA10" s="259"/>
      <c r="DB10" s="109">
        <f t="shared" si="34"/>
        <v>0</v>
      </c>
      <c r="DC10" s="109" t="e">
        <f t="shared" ca="1" si="35"/>
        <v>#VALUE!</v>
      </c>
      <c r="DD10" s="31"/>
      <c r="DE10" s="109">
        <f>SUMIF(Bill_Out!$Q$375:$Q$422,CONCATENATE($C10,$DQ$3),Bill_Out!$N$375:$N$422)</f>
        <v>0</v>
      </c>
      <c r="DF10" s="109" t="e">
        <f>SUMIF(Bill_Out!$Q$375:$Q$422,CONCATENATE($C10,$DQ$3),Bill_Out!$O$375:$O$422)</f>
        <v>#VALUE!</v>
      </c>
      <c r="DG10" s="50"/>
      <c r="DH10" s="310">
        <f>SUMIF(Master_Data!$AK$4:$AK$145,CONCATENATE($C10,$DQ$3),Master_Data!$R$4:$R$145)+SUMIF(Master_Data!$AK$152:$AK$864,CONCATENATE($C10,$DQ$3),Master_Data!$R$152:$R$864)</f>
        <v>0</v>
      </c>
      <c r="DI10" s="310">
        <f>SUMIF(Master_Data!$AK$4:$AK$145,CONCATENATE($C10,$DQ$3),Master_Data!$Q$4:$Q$145)+SUMIF(Master_Data!$AK$152:$AK$864,CONCATENATE($C10,$DQ$3),Master_Data!$Q$152:$Q$864)</f>
        <v>0</v>
      </c>
      <c r="DJ10" s="310">
        <f>SUMIF(Master_Data!$AK$4:$AK$145,CONCATENATE($C10,$DQ$3),Master_Data!$U$4:$U$145)+SUMIF(Master_Data!$AK$152:$AK$864,CONCATENATE($C10,$DQ$3),Master_Data!$U$152:$U$864)</f>
        <v>819096862</v>
      </c>
      <c r="DK10" s="310">
        <f>SUMIF(Master_Data!$AK$4:$AK$145,CONCATENATE($C10,$DQ$3),Master_Data!$S$4:$S$145)+SUMIF(Master_Data!$AK$152:$AK$864,CONCATENATE($C10,$DQ$3),Master_Data!$S$152:$S$864)</f>
        <v>0</v>
      </c>
      <c r="DL10" s="39">
        <f>SUMIF(Master_Data!$AK$152:$AK$915,CONCATENATE($C10,DQ$3),Master_Data!$T$152:$T$915)</f>
        <v>-15168460.4</v>
      </c>
      <c r="DM10" s="230">
        <f t="shared" si="7"/>
        <v>0</v>
      </c>
      <c r="DN10" s="230" t="e">
        <f t="shared" ca="1" si="8"/>
        <v>#VALUE!</v>
      </c>
      <c r="DO10" s="31"/>
      <c r="DP10" s="358" t="str">
        <f t="shared" si="9"/>
        <v>BUKIT MAKMUR MANDIRI UTAMA, PTJUL</v>
      </c>
      <c r="DQ10" s="24"/>
      <c r="DR10" s="390"/>
      <c r="DS10" s="109">
        <f t="shared" si="36"/>
        <v>0</v>
      </c>
      <c r="DT10" s="109" t="e">
        <f t="shared" ca="1" si="37"/>
        <v>#VALUE!</v>
      </c>
      <c r="DU10" s="31"/>
      <c r="DV10" s="109">
        <f>SUMIF(Bill_Out!$Q$426:$Q$472,CONCATENATE($C10,$EH$3),Bill_Out!$N$426:$N$472)</f>
        <v>0</v>
      </c>
      <c r="DW10" s="109" t="e">
        <f>SUMIF(Bill_Out!$Q$426:$Q$472,CONCATENATE($C10,$EH$3),Bill_Out!$O$426:$O$472)</f>
        <v>#VALUE!</v>
      </c>
      <c r="DX10" s="50"/>
      <c r="DY10" s="310">
        <f>SUMIF(Master_Data!$AK$4:$AK$145,CONCATENATE($C10,$EH$3),Master_Data!$R$4:$R$145)+SUMIF(Master_Data!$AK$152:$AK$864,CONCATENATE($C10,$EH$3),Master_Data!$R$152:$R$864)</f>
        <v>0</v>
      </c>
      <c r="DZ10" s="310">
        <f>SUMIF(Master_Data!$AK$4:$AK$145,CONCATENATE($C10,$EH$3),Master_Data!$Q$4:$Q$145)+SUMIF(Master_Data!$AK$152:$AK$864,CONCATENATE($C10,$EH$3),Master_Data!$Q$152:$Q$864)</f>
        <v>0</v>
      </c>
      <c r="EA10" s="310">
        <f>SUMIF(Master_Data!$AK$4:$AK$145,CONCATENATE($C10,$EH$3),Master_Data!$U$4:$U$145)+SUMIF(Master_Data!$AK$152:$AK$864,CONCATENATE($C10,$EH$3),Master_Data!$U$152:$U$864)</f>
        <v>851573774</v>
      </c>
      <c r="EB10" s="310">
        <f>SUMIF(Master_Data!$AK$4:$AK$145,CONCATENATE($C10,$EH$3),Master_Data!$S$4:$S$145)+SUMIF(Master_Data!$AK$152:$AK$864,CONCATENATE($C10,$EH$3),Master_Data!$S$152:$S$864)</f>
        <v>0</v>
      </c>
      <c r="EC10" s="39">
        <f>SUMIF(Master_Data!$AK$152:$AK$915,CONCATENATE($C10,EH$3),Master_Data!$T$152:$T$915)</f>
        <v>-15769884.720000001</v>
      </c>
      <c r="ED10" s="310">
        <f t="shared" si="38"/>
        <v>0</v>
      </c>
      <c r="EE10" s="230" t="e">
        <f t="shared" ca="1" si="39"/>
        <v>#VALUE!</v>
      </c>
      <c r="EF10" s="31"/>
      <c r="EG10" s="358" t="str">
        <f t="shared" si="10"/>
        <v>BUKIT MAKMUR MANDIRI UTAMA, PTAGS</v>
      </c>
      <c r="EH10" s="387"/>
      <c r="EI10" s="390"/>
      <c r="EJ10" s="109">
        <f t="shared" si="47"/>
        <v>0</v>
      </c>
      <c r="EK10" s="109" t="e">
        <f t="shared" ca="1" si="48"/>
        <v>#VALUE!</v>
      </c>
      <c r="EL10" s="84"/>
      <c r="EM10" s="109">
        <f>SUMIF(Bill_Out!$Q$476:$Q$530,CONCATENATE($C10,$EY$3),Bill_Out!$N$476:$N$530)</f>
        <v>0</v>
      </c>
      <c r="EN10" s="109">
        <f>SUMIF(Bill_Out!$Q$476:$Q$530,CONCATENATE($C10,$EY$3),Bill_Out!$O$476:$O$530)</f>
        <v>0</v>
      </c>
      <c r="EO10" s="309"/>
      <c r="EP10" s="310">
        <f>SUMIF(Master_Data!$AK$4:$AK$145,CONCATENATE($C10,$EY$3),Master_Data!$R$4:$R$145)+SUMIF(Master_Data!$AK$152:$AK$864,CONCATENATE($C10,$EY$3),Master_Data!$R$152:$R$864)</f>
        <v>0</v>
      </c>
      <c r="EQ10" s="310">
        <f>SUMIF(Master_Data!$AK$4:$AK$145,CONCATENATE($C10,$EY$3),Master_Data!$Q$4:$Q$145)+SUMIF(Master_Data!$AK$152:$AK$864,CONCATENATE($C10,$EY$3),Master_Data!$Q$152:$Q$864)</f>
        <v>0</v>
      </c>
      <c r="ER10" s="310">
        <f>SUMIF(Master_Data!$AK$4:$AK$145,CONCATENATE($C10,$EY$3),Master_Data!$U$4:$U$145)+SUMIF(Master_Data!$AK$152:$AK$864,CONCATENATE($C10,$EY$3),Master_Data!$U$152:$U$864)</f>
        <v>820535264.6400001</v>
      </c>
      <c r="ES10" s="310">
        <f>SUMIF(Master_Data!$AK$4:$AK$145,CONCATENATE($C10,$EY$3),Master_Data!$S$4:$S$145)+SUMIF(Master_Data!$AK$152:$AK$864,CONCATENATE($C10,$EY$3),Master_Data!$S$152:$S$864)</f>
        <v>0</v>
      </c>
      <c r="ET10" s="39">
        <f>SUMIF(Master_Data!$AK$152:$AK$915,CONCATENATE($C10,EY$3),Master_Data!$T$152:$T$915)</f>
        <v>-14652415.439999999</v>
      </c>
      <c r="EU10" s="310">
        <f t="shared" si="49"/>
        <v>0</v>
      </c>
      <c r="EV10" s="230"/>
      <c r="EW10" s="84"/>
      <c r="EX10" s="358" t="str">
        <f t="shared" si="11"/>
        <v>BUKIT MAKMUR MANDIRI UTAMA, PTSEP</v>
      </c>
      <c r="EY10" s="24"/>
      <c r="EZ10" s="412"/>
      <c r="FA10" s="109">
        <f t="shared" si="50"/>
        <v>0</v>
      </c>
      <c r="FB10" s="109">
        <f t="shared" si="51"/>
        <v>0</v>
      </c>
      <c r="FC10" s="421"/>
      <c r="FD10" s="109">
        <f>SUMIF(Bill_Out!$Q$534:$Q$606,CONCATENATE($C10,$FP$3),Bill_Out!$N$534:$N$606)</f>
        <v>0</v>
      </c>
      <c r="FE10" s="109">
        <f>SUMIF(Bill_Out!$Q$534:$Q$606,CONCATENATE($C10,$FP$3),Bill_Out!$O$534:$O$606)</f>
        <v>0</v>
      </c>
      <c r="FF10" s="309"/>
      <c r="FG10" s="310">
        <f>SUMIF(Master_Data!$AK$4:$AK$145,CONCATENATE($C10,$FP$3),Master_Data!$R$4:$R$145)+SUMIF(Master_Data!$AK$152:$AK$864,CONCATENATE($C10,$FP$3),Master_Data!$R$152:$R$864)</f>
        <v>0</v>
      </c>
      <c r="FH10" s="310">
        <f>SUMIF(Master_Data!$AK$4:$AK$145,CONCATENATE($C10,$FP$3),Master_Data!$Q$4:$Q$145)+SUMIF(Master_Data!$AK$152:$AK$864,CONCATENATE($C10,$FP$3),Master_Data!$Q$152:$Q$864)</f>
        <v>0</v>
      </c>
      <c r="FI10" s="310">
        <f>SUMIF(Master_Data!$AK$4:$AK$145,CONCATENATE($C10,$FP$3),Master_Data!$U$4:$U$145)+SUMIF(Master_Data!$AK$152:$AK$864,CONCATENATE($C10,$FP$3),Master_Data!$U$152:$U$864)</f>
        <v>632826929</v>
      </c>
      <c r="FJ10" s="310">
        <f>SUMIF(Master_Data!$AK$4:$AK$145,CONCATENATE($C10,$FP$3),Master_Data!$S$4:$S$145)+SUMIF(Master_Data!$AK$152:$AK$864,CONCATENATE($C10,$FP$3),Master_Data!$S$152:$S$864)</f>
        <v>0</v>
      </c>
      <c r="FK10" s="39">
        <f>SUMIF(Master_Data!$AK$152:$AK$915,CONCATENATE($C10,FP$3),Master_Data!$T$152:$T$915)</f>
        <v>-11719017.200000001</v>
      </c>
      <c r="FL10" s="310">
        <f t="shared" si="52"/>
        <v>0</v>
      </c>
      <c r="FM10" s="230">
        <f t="shared" si="53"/>
        <v>-644545946.20000005</v>
      </c>
      <c r="FN10" s="31"/>
      <c r="FO10" s="358" t="str">
        <f t="shared" si="13"/>
        <v>BUKIT MAKMUR MANDIRI UTAMA, PTOKT</v>
      </c>
      <c r="FP10" s="24"/>
      <c r="FQ10" s="412"/>
      <c r="FR10" s="109">
        <f t="shared" si="42"/>
        <v>0</v>
      </c>
      <c r="FS10" s="109">
        <f t="shared" si="54"/>
        <v>-644545946.20000005</v>
      </c>
      <c r="FT10" s="420"/>
      <c r="FU10" s="109">
        <f>SUMIF(Bill_Out!$Q$610:$Q$675,CONCATENATE($C10,$GG$3),Bill_Out!$N$610:$N$675)</f>
        <v>0</v>
      </c>
      <c r="FV10" s="109">
        <f>SUMIF(Bill_Out!$Q$610:$Q$675,CONCATENATE($C10,$GG$3),Bill_Out!$O$610:$O$675)</f>
        <v>0</v>
      </c>
      <c r="FW10" s="50"/>
      <c r="FX10" s="512">
        <f>SUMIF(Master_Data!$AK$4:$AK$145,CONCATENATE($C10,$GG$3),Master_Data!$R$4:$R$145)+SUMIF(Master_Data!$AK$152:$AK$864,CONCATENATE($C10,$GG$3),Master_Data!$R$152:$R$864)</f>
        <v>0</v>
      </c>
      <c r="FY10" s="512">
        <f>SUMIF(Master_Data!$AK$4:$AK$145,CONCATENATE($C10,$GG$3),Master_Data!$Q$4:$Q$145)+SUMIF(Master_Data!$AK$152:$AK$864,CONCATENATE($C10,$GG$3),Master_Data!$Q$152:$Q$864)</f>
        <v>0</v>
      </c>
      <c r="FZ10" s="512">
        <f>SUMIF(Master_Data!$AK$4:$AK$145,CONCATENATE($C10,$GG$3),Master_Data!$U$4:$U$145)+SUMIF(Master_Data!$AK$152:$AK$864,CONCATENATE($C10,$GG$3),Master_Data!$U$152:$U$864)</f>
        <v>0</v>
      </c>
      <c r="GA10" s="310">
        <f>SUMIF(Master_Data!$AK$4:$AK$145,CONCATENATE($C10,$GG$3),Master_Data!$S$4:$S$145)+SUMIF(Master_Data!$AK$152:$AK$864,CONCATENATE($C10,$GG$3),Master_Data!$S$152:$S$864)</f>
        <v>0</v>
      </c>
      <c r="GB10" s="39">
        <f>SUMIF(Master_Data!$AK$152:$AK$915,CONCATENATE($C10,GG$3),Master_Data!$T$152:$T$915)</f>
        <v>0</v>
      </c>
      <c r="GC10" s="230">
        <f t="shared" si="55"/>
        <v>0</v>
      </c>
      <c r="GD10" s="230">
        <f t="shared" si="14"/>
        <v>-644545946.20000005</v>
      </c>
      <c r="GE10" s="31"/>
      <c r="GF10" s="358" t="str">
        <f t="shared" si="15"/>
        <v>BUKIT MAKMUR MANDIRI UTAMA, PTNOV</v>
      </c>
      <c r="GG10" s="24"/>
      <c r="GH10" s="412" t="s">
        <v>619</v>
      </c>
      <c r="GI10" s="109">
        <f t="shared" si="43"/>
        <v>0</v>
      </c>
      <c r="GJ10" s="109">
        <f t="shared" si="56"/>
        <v>-644545946.20000005</v>
      </c>
      <c r="GK10" s="420"/>
      <c r="GL10" s="109">
        <f>SUMIF(Bill_Out!$Q$679:$Q$756,CONCATENATE($C10,$GX$3),Bill_Out!$N$679:$N$756)</f>
        <v>0</v>
      </c>
      <c r="GM10" s="109">
        <f>SUMIF(Bill_Out!$Q$679:$Q$756,CONCATENATE($C10,$GX$3),Bill_Out!$O$679:$O$756)</f>
        <v>0</v>
      </c>
      <c r="GN10" s="50"/>
      <c r="GO10" s="512">
        <f>SUMIF(Master_Data!$AK$4:$AK$145,CONCATENATE($C10,$GX$3),Master_Data!$R$4:$R$145)+SUMIF(Master_Data!$AK$152:$AK$864,CONCATENATE($C10,$GX$3),Master_Data!$R$152:$R$864)</f>
        <v>0</v>
      </c>
      <c r="GP10" s="512">
        <f>SUMIF(Master_Data!$AK$4:$AK$145,CONCATENATE($C10,$GX$3),Master_Data!$Q$4:$Q$145)+SUMIF(Master_Data!$AK$152:$AK$864,CONCATENATE($C10,$GX$3),Master_Data!$Q$152:$Q$864)</f>
        <v>0</v>
      </c>
      <c r="GQ10" s="512">
        <f>SUMIF(Master_Data!$AK$4:$AK$145,CONCATENATE($C10,$GX$3),Master_Data!$U$4:$U$145)+SUMIF(Master_Data!$AK$152:$AK$864,CONCATENATE($C10,$GX$3),Master_Data!$U$152:$U$864)</f>
        <v>714932185.98000002</v>
      </c>
      <c r="GR10" s="310">
        <f>SUMIF(Master_Data!$AK$4:$AK$145,CONCATENATE($C10,$GX$3),Master_Data!$S$4:$S$145)+SUMIF(Master_Data!$AK$152:$AK$864,CONCATENATE($C10,$GX$3),Master_Data!$S$152:$S$864)</f>
        <v>0</v>
      </c>
      <c r="GS10" s="39">
        <f>SUMIF(Master_Data!$AK$152:$AK$864,CONCATENATE($C10,GX$3),Master_Data!$T$152:$T$864)</f>
        <v>-13239484.925799999</v>
      </c>
      <c r="GT10" s="534">
        <f t="shared" si="44"/>
        <v>0</v>
      </c>
      <c r="GU10" s="310">
        <f t="shared" si="16"/>
        <v>-1372717617.1058002</v>
      </c>
      <c r="GV10" s="31"/>
      <c r="GW10" s="358" t="str">
        <f t="shared" si="17"/>
        <v>BUKIT MAKMUR MANDIRI UTAMA, PTDES</v>
      </c>
      <c r="GX10" s="24"/>
    </row>
    <row r="11" spans="1:206" s="19" customFormat="1">
      <c r="A11" s="328" t="s">
        <v>89</v>
      </c>
      <c r="B11" s="236" t="str">
        <f t="shared" si="18"/>
        <v>CAKRAWALA SEJAHTERA, PTJAN</v>
      </c>
      <c r="C11" s="8" t="s">
        <v>22</v>
      </c>
      <c r="D11" s="52"/>
      <c r="E11" s="238">
        <f>SUMIF(Master_Data!$D6:$D$145,CONCATENATE(C11),Master_Data!M6:M147)</f>
        <v>0</v>
      </c>
      <c r="F11" s="109">
        <f>SUMIF(Master_Data!$D7:$D$145,CONCATENATE(C11),Master_Data!N7:N150)</f>
        <v>0</v>
      </c>
      <c r="G11" s="31"/>
      <c r="H11" s="109">
        <f>SUMIF(Bill_Out!$Q$3:$Q$65,CONCATENATE($C11,$S$3),Bill_Out!$N$3:$N$65)</f>
        <v>0</v>
      </c>
      <c r="I11" s="88" t="e">
        <f>SUMIF(Bill_Out!$Q$3:$Q$65,CONCATENATE($C11,$S$3),Bill_Out!$O$3:$O$65)</f>
        <v>#VALUE!</v>
      </c>
      <c r="J11" s="50"/>
      <c r="K11" s="29"/>
      <c r="L11" s="44"/>
      <c r="M11" s="230">
        <f>SUMIF(Master_Data!$AK7:$AK$145,CONCATENATE(C11,$S$3),Master_Data!U7:U148)+SUMIF(Master_Data!$AK167:$AK$864,CONCATENATE(C11,$S$3),Master_Data!U167:U868)</f>
        <v>65955589</v>
      </c>
      <c r="N11" s="310">
        <f>SUMIF(Master_Data!$AK$4:$AK$145,CONCATENATE(C11,$S$3),Master_Data!$S$4:$S$145)+SUMIF(Master_Data!$AK$150:$AK$864,CONCATENATE(C11,$S$3),Master_Data!$S$150:$S$864)</f>
        <v>0</v>
      </c>
      <c r="O11" s="310">
        <f>SUMIF(Master_Data!$AK$4:$AK$145,CONCATENATE(C11,$S$3),Master_Data!$T$4:$T$145)+SUMIF(Master_Data!$AK$150:$AK$864,CONCATENATE(C11,$S$3),Master_Data!$T$150:$T$864)</f>
        <v>-1221399.8</v>
      </c>
      <c r="P11" s="230">
        <f t="shared" si="19"/>
        <v>0</v>
      </c>
      <c r="Q11" s="230" t="e">
        <f t="shared" si="20"/>
        <v>#VALUE!</v>
      </c>
      <c r="R11" s="31"/>
      <c r="S11" s="24"/>
      <c r="T11" s="259"/>
      <c r="U11" s="109">
        <f t="shared" si="45"/>
        <v>0</v>
      </c>
      <c r="V11" s="109" t="e">
        <f t="shared" si="45"/>
        <v>#VALUE!</v>
      </c>
      <c r="W11" s="31"/>
      <c r="X11" s="109">
        <f>SUMIF(Bill_Out!$Q$67:$Q$132,CONCATENATE($C11,$AJ$3),Bill_Out!$N$67:$N$132)</f>
        <v>0</v>
      </c>
      <c r="Y11" s="109" t="e">
        <f>SUMIF(Bill_Out!$Q$67:$Q$132,CONCATENATE($C11,$AJ$3),Bill_Out!$O$67:$O$132)</f>
        <v>#VALUE!</v>
      </c>
      <c r="Z11" s="50"/>
      <c r="AA11" s="230">
        <f>SUMIF(Master_Data!$AK$4:$AK$145,CONCATENATE(C11,$AJ$3),Master_Data!$R$4:$R$145)+SUMIF(Master_Data!$AK$152:$AK$850,CONCATENATE(C11,$AJ$3),Master_Data!$R$152:$R$850)</f>
        <v>0</v>
      </c>
      <c r="AB11" s="230">
        <f>SUMIF(Master_Data!$AK$4:$AK$145,CONCATENATE(C11,$AJ$3),Master_Data!$Q$4:$Q$145)+SUMIF(Master_Data!$AK$152:$AK$850,CONCATENATE(C11,$AJ$3),Master_Data!$Q$152:$Q$850)</f>
        <v>0</v>
      </c>
      <c r="AC11" s="230">
        <f>SUMIF(Master_Data!$AK$4:$AK$145,CONCATENATE(C11,$AJ$3),Master_Data!$U$4:$U$145)+SUMIF(Master_Data!$AK$152:$AK$850,CONCATENATE(C11,$AJ$3),Master_Data!$U$152:$U$850)</f>
        <v>48837600</v>
      </c>
      <c r="AD11" s="310">
        <f ca="1">SUMIF(Master_Data!$AK$4:$AK$145,CONCATENATE(C11,$AJ$3),Master_Data!$S$4:$S$145)+SUMIF(Master_Data!$AK$152:$AK$864,CONCATENATE(C11,$AJ$3),Master_Data!$S$152:$S$850)</f>
        <v>0</v>
      </c>
      <c r="AE11" s="310">
        <f>SUMIF(Master_Data!$AK$4:$AK$145,CONCATENATE(C11,$AJ$3),Master_Data!$T$4:$T$145)+SUMIF(Master_Data!$AK$152:$AK$864,CONCATENATE(C11,$AJ$3),Master_Data!$T$152:$T$864)</f>
        <v>-904400</v>
      </c>
      <c r="AF11" s="230">
        <f t="shared" si="1"/>
        <v>0</v>
      </c>
      <c r="AG11" s="230" t="e">
        <f t="shared" ca="1" si="2"/>
        <v>#VALUE!</v>
      </c>
      <c r="AH11" s="31"/>
      <c r="AI11" s="235" t="str">
        <f t="shared" si="3"/>
        <v>CAKRAWALA SEJAHTERA, PTFEB</v>
      </c>
      <c r="AJ11" s="24"/>
      <c r="AK11" s="259"/>
      <c r="AL11" s="109">
        <f t="shared" si="46"/>
        <v>0</v>
      </c>
      <c r="AM11" s="109" t="e">
        <f t="shared" ca="1" si="46"/>
        <v>#VALUE!</v>
      </c>
      <c r="AN11" s="31"/>
      <c r="AO11" s="109">
        <f>SUMIF(Bill_Out!$Q$134:$Q$188,CONCATENATE($C11,$BA$3),Bill_Out!$N$134:$N$188)</f>
        <v>0</v>
      </c>
      <c r="AP11" s="109" t="e">
        <f>SUMIF(Bill_Out!$Q$134:$Q$188,CONCATENATE($C11,$BA$3),Bill_Out!$O$134:$O$188)</f>
        <v>#VALUE!</v>
      </c>
      <c r="AQ11" s="50"/>
      <c r="AR11" s="230">
        <f>SUMIF(Master_Data!$AK$4:$AK$145,CONCATENATE(C11,$BA$3),Master_Data!$R$4:$R$145)+SUMIF(Master_Data!$AK$152:$AK$864,CONCATENATE(C11,$BA$3),Master_Data!$R$152:$R$864)</f>
        <v>0</v>
      </c>
      <c r="AS11" s="230">
        <f>SUMIF(Master_Data!$AK$4:$AK$145,CONCATENATE(C11,$BA$3),Master_Data!$Q$4:$Q$145)+SUMIF(Master_Data!$AK$152:$AK$864,CONCATENATE(C11,$BA$3),Master_Data!$Q$152:$Q$864)</f>
        <v>0</v>
      </c>
      <c r="AT11" s="230">
        <f>SUMIF(Master_Data!$AK$4:$AK$145,CONCATENATE(C11,$BA$3),Master_Data!$U$4:$U$145)+SUMIF(Master_Data!$AK$152:$AK$864,CONCATENATE(C11,$BA$3),Master_Data!$U$152:$U$864)</f>
        <v>48837600</v>
      </c>
      <c r="AU11" s="230">
        <f ca="1">SUMIF(Master_Data!$AK$4:$AK$145,CONCATENATE(C11,$BA$3),Master_Data!$S$4:$S$145)+SUMIF(Master_Data!$AK$152:$AK$864,CONCATENATE(C11,$BA$3),Master_Data!$S$152:$S$850)</f>
        <v>0</v>
      </c>
      <c r="AV11" s="39">
        <f>SUMIF(Master_Data!$AK$152:$AK$864,CONCATENATE($C11,BA$3),Master_Data!$T$152:$T$864)</f>
        <v>-904400</v>
      </c>
      <c r="AW11" s="230">
        <f t="shared" si="57"/>
        <v>0</v>
      </c>
      <c r="AX11" s="230" t="e">
        <f t="shared" ca="1" si="58"/>
        <v>#VALUE!</v>
      </c>
      <c r="AY11" s="31"/>
      <c r="AZ11" s="235" t="str">
        <f t="shared" si="21"/>
        <v>CAKRAWALA SEJAHTERA, PTMAR</v>
      </c>
      <c r="BA11" s="24"/>
      <c r="BB11" s="259"/>
      <c r="BC11" s="109">
        <f t="shared" si="22"/>
        <v>0</v>
      </c>
      <c r="BD11" s="109" t="e">
        <f t="shared" ca="1" si="23"/>
        <v>#VALUE!</v>
      </c>
      <c r="BE11" s="31"/>
      <c r="BF11" s="109">
        <f>SUMIF(Bill_Out!$Q$192:$Q$258,CONCATENATE($C11,$BR$3),Bill_Out!$N$192:$N$258)</f>
        <v>0</v>
      </c>
      <c r="BG11" s="109" t="e">
        <f>SUMIF(Bill_Out!$Q$192:$Q$258,CONCATENATE($C11,$BR$3),Bill_Out!$O$192:$O$258)</f>
        <v>#VALUE!</v>
      </c>
      <c r="BH11" s="50"/>
      <c r="BI11" s="230">
        <f>SUMIF(Master_Data!$AK$4:$AK$145,CONCATENATE(C11,$BR$3),Master_Data!$R$4:$R$145)+SUMIF(Master_Data!$AK$152:$AK$864,CONCATENATE(C11,$BR$3),Master_Data!$R$152:$R$864)</f>
        <v>0</v>
      </c>
      <c r="BJ11" s="230">
        <f>SUMIF(Master_Data!$AK$4:$AK$145,CONCATENATE(C11,$BR$3),Master_Data!$Q$4:$Q$145)+SUMIF(Master_Data!$AK$152:$AK$864,CONCATENATE(C11,$BR$3),Master_Data!$Q$152:$Q$864)</f>
        <v>0</v>
      </c>
      <c r="BK11" s="230">
        <f>SUMIF(Master_Data!$AK$4:$AK$145,CONCATENATE(C11,$BR$3),Master_Data!$U$4:$U$145)+SUMIF(Master_Data!$AK$152:$AK$864,CONCATENATE(C11,$BR$3),Master_Data!$U$152:$U$864)</f>
        <v>48837600</v>
      </c>
      <c r="BL11" s="230">
        <f>SUMIF(Master_Data!$AK$4:$AK$145,CONCATENATE(C11,$BR$3),Master_Data!$S$4:$S$145)+SUMIF(Master_Data!$AK$152:$AK$864,CONCATENATE(C11,$BR$3),Master_Data!$S$152:$S$864)</f>
        <v>0</v>
      </c>
      <c r="BM11" s="39">
        <f>SUMIF(Master_Data!$AK$152:$AK$864,CONCATENATE($C11,BR$3),Master_Data!$T$152:$T$864)</f>
        <v>-904400</v>
      </c>
      <c r="BN11" s="230">
        <f t="shared" si="24"/>
        <v>0</v>
      </c>
      <c r="BO11" s="230" t="e">
        <f t="shared" ca="1" si="25"/>
        <v>#VALUE!</v>
      </c>
      <c r="BP11" s="31"/>
      <c r="BQ11" s="909" t="str">
        <f t="shared" si="26"/>
        <v>CAKRAWALA SEJAHTERA, PTAPR</v>
      </c>
      <c r="BR11" s="24"/>
      <c r="BS11" s="259"/>
      <c r="BT11" s="109">
        <f t="shared" si="59"/>
        <v>0</v>
      </c>
      <c r="BU11" s="109" t="e">
        <f t="shared" ca="1" si="60"/>
        <v>#VALUE!</v>
      </c>
      <c r="BV11" s="31"/>
      <c r="BW11" s="109">
        <f>SUMIF(Bill_Out!$Q$263:$Q$314,CONCATENATE($C11,$CI$3),Bill_Out!$N$263:$N$314)</f>
        <v>0</v>
      </c>
      <c r="BX11" s="109" t="e">
        <f>SUMIF(Bill_Out!$Q$263:$Q$314,CONCATENATE($C11,$CI$3),Bill_Out!$O$263:$O$314)</f>
        <v>#VALUE!</v>
      </c>
      <c r="BY11" s="50"/>
      <c r="BZ11" s="310">
        <f>SUMIF(Master_Data!$AK$4:$AK$145,CONCATENATE(C11,$CI$3),Master_Data!$R$4:$R$145)+SUMIF(Master_Data!$AK$152:$AK$864,CONCATENATE(C11,$CI$3),Master_Data!$R$152:$R$864)</f>
        <v>0</v>
      </c>
      <c r="CA11" s="310">
        <f>SUMIF(Master_Data!$AK$4:$AK$145,CONCATENATE(C11,$CI$3),Master_Data!$Q$4:$Q$145)+SUMIF(Master_Data!$AK$152:$AK$864,CONCATENATE(C11,$CI$3),Master_Data!$Q$152:$Q$864)</f>
        <v>0</v>
      </c>
      <c r="CB11" s="310">
        <f>SUMIF(Master_Data!$AK$4:$AK$145,CONCATENATE(C11,$CI$3),Master_Data!$U$4:$U$145)+SUMIF(Master_Data!$AK$152:$AK$864,CONCATENATE(C11,$CI$3),Master_Data!$U$152:$U$864)</f>
        <v>48837600</v>
      </c>
      <c r="CC11" s="230">
        <f>SUMIF(Master_Data!$AK$4:$AK$145,CONCATENATE(C11,$CI$3),Master_Data!$S$4:$S$145)+SUMIF(Master_Data!$AK$152:$AK$864,CONCATENATE(C11,$CI$3),Master_Data!$S$152:$S$864)</f>
        <v>0</v>
      </c>
      <c r="CD11" s="39">
        <f>SUMIF(Master_Data!$AK$152:$AK$864,CONCATENATE($C11,CI$3),Master_Data!$T$152:$T$864)</f>
        <v>-904400</v>
      </c>
      <c r="CE11" s="310">
        <f t="shared" si="27"/>
        <v>0</v>
      </c>
      <c r="CF11" s="230" t="e">
        <f t="shared" ca="1" si="28"/>
        <v>#VALUE!</v>
      </c>
      <c r="CG11" s="31"/>
      <c r="CH11" s="235" t="str">
        <f t="shared" si="29"/>
        <v>CAKRAWALA SEJAHTERA, PTMEI</v>
      </c>
      <c r="CI11" s="24"/>
      <c r="CJ11" s="259"/>
      <c r="CK11" s="109">
        <f t="shared" si="30"/>
        <v>0</v>
      </c>
      <c r="CL11" s="238" t="e">
        <f t="shared" ca="1" si="31"/>
        <v>#VALUE!</v>
      </c>
      <c r="CM11" s="31"/>
      <c r="CN11" s="238">
        <f>SUMIF(Bill_Out!$Q$318:$Q$371,CONCATENATE($C11,$CZ$3),Bill_Out!$N$318:$N$371)</f>
        <v>0</v>
      </c>
      <c r="CO11" s="238" t="e">
        <f>SUMIF(Bill_Out!$Q$318:$Q$371,CONCATENATE($C11,$CZ$3),Bill_Out!$O$318:$O$371)</f>
        <v>#VALUE!</v>
      </c>
      <c r="CP11" s="50"/>
      <c r="CQ11" s="230">
        <f>SUMIF(Master_Data!$AK$4:$AK$145,CONCATENATE($C11,$CZ$3),Master_Data!$R$4:$R$145)+SUMIF(Master_Data!$AK$152:$AK$864,CONCATENATE($C11,$CZ$3),Master_Data!$R$152:$R$864)</f>
        <v>0</v>
      </c>
      <c r="CR11" s="230">
        <f>SUMIF(Master_Data!$AK$4:$AK$145,CONCATENATE($C11,$CZ$3),Master_Data!$Q$4:$Q$145)+SUMIF(Master_Data!$AK$152:$AK$864,CONCATENATE($C11,$CZ$3),Master_Data!$Q$152:$Q$864)</f>
        <v>0</v>
      </c>
      <c r="CS11" s="230">
        <f>SUMIF(Master_Data!$AK$4:$AK$145,CONCATENATE($C11,$CZ$3),Master_Data!$U$4:$U$145)+SUMIF(Master_Data!$AK$152:$AK$864,CONCATENATE($C11,$CZ$3),Master_Data!$U$152:$U$864)</f>
        <v>48837600</v>
      </c>
      <c r="CT11" s="230">
        <f ca="1">SUMIF(Master_Data!$AK$4:$AK$145,CONCATENATE(C11,$CZ$3),Master_Data!$S$4:$S$145)+SUMIF(Master_Data!$AK$152:$AK$915,CONCATENATE(C11,$CZ$3),Master_Data!$S$152:$S$864)</f>
        <v>0</v>
      </c>
      <c r="CU11" s="1010">
        <f>SUMIF(Master_Data!$AK$4:$AK$145,CONCATENATE(C11,$CZ$3),Master_Data!$T$4:$T$145)+SUMIF(Master_Data!$AK$152:$AK$864,CONCATENATE(C11,$CZ$3),Master_Data!$T$152:$T$864)</f>
        <v>-904400</v>
      </c>
      <c r="CV11" s="230">
        <f t="shared" si="32"/>
        <v>0</v>
      </c>
      <c r="CW11" s="230" t="e">
        <f t="shared" ca="1" si="33"/>
        <v>#VALUE!</v>
      </c>
      <c r="CX11" s="31"/>
      <c r="CY11" s="1007" t="str">
        <f t="shared" si="6"/>
        <v>CAKRAWALA SEJAHTERA, PTJUN</v>
      </c>
      <c r="CZ11" s="24"/>
      <c r="DA11" s="259"/>
      <c r="DB11" s="109">
        <f t="shared" si="34"/>
        <v>0</v>
      </c>
      <c r="DC11" s="109" t="e">
        <f t="shared" ca="1" si="35"/>
        <v>#VALUE!</v>
      </c>
      <c r="DD11" s="31"/>
      <c r="DE11" s="109">
        <f>SUMIF(Bill_Out!$Q$375:$Q$422,CONCATENATE($C11,$DQ$3),Bill_Out!$N$375:$N$422)</f>
        <v>0</v>
      </c>
      <c r="DF11" s="109" t="e">
        <f>SUMIF(Bill_Out!$Q$375:$Q$422,CONCATENATE($C11,$DQ$3),Bill_Out!$O$375:$O$422)</f>
        <v>#VALUE!</v>
      </c>
      <c r="DG11" s="50"/>
      <c r="DH11" s="310">
        <f>SUMIF(Master_Data!$AK$4:$AK$145,CONCATENATE($C11,$DQ$3),Master_Data!$R$4:$R$145)+SUMIF(Master_Data!$AK$152:$AK$864,CONCATENATE($C11,$DQ$3),Master_Data!$R$152:$R$864)</f>
        <v>0</v>
      </c>
      <c r="DI11" s="310">
        <f>SUMIF(Master_Data!$AK$4:$AK$145,CONCATENATE($C11,$DQ$3),Master_Data!$Q$4:$Q$145)+SUMIF(Master_Data!$AK$152:$AK$864,CONCATENATE($C11,$DQ$3),Master_Data!$Q$152:$Q$864)</f>
        <v>0</v>
      </c>
      <c r="DJ11" s="310">
        <f>SUMIF(Master_Data!$AK$4:$AK$145,CONCATENATE($C11,$DQ$3),Master_Data!$U$4:$U$145)+SUMIF(Master_Data!$AK$152:$AK$864,CONCATENATE($C11,$DQ$3),Master_Data!$U$152:$U$864)</f>
        <v>48837600</v>
      </c>
      <c r="DK11" s="310">
        <f>SUMIF(Master_Data!$AK$4:$AK$145,CONCATENATE($C11,$DQ$3),Master_Data!$S$4:$S$145)+SUMIF(Master_Data!$AK$152:$AK$864,CONCATENATE($C11,$DQ$3),Master_Data!$S$152:$S$864)</f>
        <v>0</v>
      </c>
      <c r="DL11" s="39">
        <f>SUMIF(Master_Data!$AK$152:$AK$915,CONCATENATE($C11,DQ$3),Master_Data!$T$152:$T$915)</f>
        <v>-904400</v>
      </c>
      <c r="DM11" s="230">
        <f t="shared" si="7"/>
        <v>0</v>
      </c>
      <c r="DN11" s="230" t="e">
        <f t="shared" ca="1" si="8"/>
        <v>#VALUE!</v>
      </c>
      <c r="DO11" s="31"/>
      <c r="DP11" s="358" t="str">
        <f t="shared" si="9"/>
        <v>CAKRAWALA SEJAHTERA, PTJUL</v>
      </c>
      <c r="DQ11" s="24"/>
      <c r="DR11" s="390"/>
      <c r="DS11" s="109">
        <f t="shared" si="36"/>
        <v>0</v>
      </c>
      <c r="DT11" s="109" t="e">
        <f t="shared" ca="1" si="37"/>
        <v>#VALUE!</v>
      </c>
      <c r="DU11" s="31"/>
      <c r="DV11" s="109">
        <f>SUMIF(Bill_Out!$Q$426:$Q$472,CONCATENATE($C11,$EH$3),Bill_Out!$N$426:$N$472)</f>
        <v>0</v>
      </c>
      <c r="DW11" s="109">
        <f>SUMIF(Bill_Out!$Q$426:$Q$472,CONCATENATE($C11,$EH$3),Bill_Out!$O$426:$O$472)</f>
        <v>0</v>
      </c>
      <c r="DX11" s="50"/>
      <c r="DY11" s="310">
        <f>SUMIF(Master_Data!$AK$4:$AK$145,CONCATENATE($C11,$EH$3),Master_Data!$R$4:$R$145)+SUMIF(Master_Data!$AK$152:$AK$864,CONCATENATE($C11,$EH$3),Master_Data!$R$152:$R$864)</f>
        <v>0</v>
      </c>
      <c r="DZ11" s="310">
        <f>SUMIF(Master_Data!$AK$4:$AK$145,CONCATENATE($C11,$EH$3),Master_Data!$Q$4:$Q$145)+SUMIF(Master_Data!$AK$152:$AK$864,CONCATENATE($C11,$EH$3),Master_Data!$Q$152:$Q$864)</f>
        <v>0</v>
      </c>
      <c r="EA11" s="310">
        <f>SUMIF(Master_Data!$AK$4:$AK$145,CONCATENATE($C11,$EH$3),Master_Data!$U$4:$U$145)+SUMIF(Master_Data!$AK$152:$AK$864,CONCATENATE($C11,$EH$3),Master_Data!$U$152:$U$864)</f>
        <v>0</v>
      </c>
      <c r="EB11" s="310">
        <f>SUMIF(Master_Data!$AK$4:$AK$145,CONCATENATE($C11,$EH$3),Master_Data!$S$4:$S$145)+SUMIF(Master_Data!$AK$152:$AK$864,CONCATENATE($C11,$EH$3),Master_Data!$S$152:$S$864)</f>
        <v>0</v>
      </c>
      <c r="EC11" s="39">
        <f>SUMIF(Master_Data!$AK$152:$AK$915,CONCATENATE($C11,EH$3),Master_Data!$T$152:$T$915)</f>
        <v>0</v>
      </c>
      <c r="ED11" s="310">
        <f t="shared" si="38"/>
        <v>0</v>
      </c>
      <c r="EE11" s="230" t="e">
        <f t="shared" ca="1" si="39"/>
        <v>#VALUE!</v>
      </c>
      <c r="EF11" s="31"/>
      <c r="EG11" s="358" t="str">
        <f t="shared" si="10"/>
        <v>CAKRAWALA SEJAHTERA, PTAGS</v>
      </c>
      <c r="EH11" s="24"/>
      <c r="EI11" s="390"/>
      <c r="EJ11" s="109">
        <f t="shared" si="47"/>
        <v>0</v>
      </c>
      <c r="EK11" s="109" t="e">
        <f t="shared" ca="1" si="48"/>
        <v>#VALUE!</v>
      </c>
      <c r="EL11" s="84"/>
      <c r="EM11" s="109">
        <f>SUMIF(Bill_Out!$Q$476:$Q$530,CONCATENATE($C11,$EY$3),Bill_Out!$N$476:$N$530)</f>
        <v>0</v>
      </c>
      <c r="EN11" s="109">
        <f>SUMIF(Bill_Out!$Q$476:$Q$530,CONCATENATE($C11,$EY$3),Bill_Out!$O$476:$O$530)</f>
        <v>0</v>
      </c>
      <c r="EO11" s="309"/>
      <c r="EP11" s="310">
        <f>SUMIF(Master_Data!$AK$4:$AK$145,CONCATENATE($C11,$EY$3),Master_Data!$R$4:$R$145)+SUMIF(Master_Data!$AK$152:$AK$864,CONCATENATE($C11,$EY$3),Master_Data!$R$152:$R$864)</f>
        <v>0</v>
      </c>
      <c r="EQ11" s="310">
        <f>SUMIF(Master_Data!$AK$4:$AK$145,CONCATENATE($C11,$EY$3),Master_Data!$Q$4:$Q$145)+SUMIF(Master_Data!$AK$152:$AK$864,CONCATENATE($C11,$EY$3),Master_Data!$Q$152:$Q$864)</f>
        <v>0</v>
      </c>
      <c r="ER11" s="310">
        <f>SUMIF(Master_Data!$AK$4:$AK$145,CONCATENATE($C11,$EY$3),Master_Data!$U$4:$U$145)+SUMIF(Master_Data!$AK$152:$AK$864,CONCATENATE($C11,$EY$3),Master_Data!$U$152:$U$864)</f>
        <v>0</v>
      </c>
      <c r="ES11" s="310">
        <f>SUMIF(Master_Data!$AK$4:$AK$145,CONCATENATE($C11,$EY$3),Master_Data!$S$4:$S$145)+SUMIF(Master_Data!$AK$152:$AK$864,CONCATENATE($C11,$EY$3),Master_Data!$S$152:$S$864)</f>
        <v>0</v>
      </c>
      <c r="ET11" s="39">
        <f>SUMIF(Master_Data!$AK$152:$AK$915,CONCATENATE($C11,EY$3),Master_Data!$T$152:$T$915)</f>
        <v>0</v>
      </c>
      <c r="EU11" s="310">
        <f t="shared" si="49"/>
        <v>0</v>
      </c>
      <c r="EV11" s="230"/>
      <c r="EW11" s="84"/>
      <c r="EX11" s="358" t="str">
        <f t="shared" si="11"/>
        <v>CAKRAWALA SEJAHTERA, PTSEP</v>
      </c>
      <c r="EY11" s="24"/>
      <c r="EZ11" s="412"/>
      <c r="FA11" s="109">
        <f t="shared" si="50"/>
        <v>0</v>
      </c>
      <c r="FB11" s="109">
        <f t="shared" si="51"/>
        <v>0</v>
      </c>
      <c r="FC11" s="421"/>
      <c r="FD11" s="109">
        <f>SUMIF(Bill_Out!$Q$534:$Q$606,CONCATENATE($C11,$FP$3),Bill_Out!$N$534:$N$606)</f>
        <v>0</v>
      </c>
      <c r="FE11" s="109">
        <f>SUMIF(Bill_Out!$Q$534:$Q$606,CONCATENATE($C11,$FP$3),Bill_Out!$O$534:$O$606)</f>
        <v>0</v>
      </c>
      <c r="FF11" s="309"/>
      <c r="FG11" s="310">
        <f>SUMIF(Master_Data!$AK$4:$AK$145,CONCATENATE($C11,$FP$3),Master_Data!$R$4:$R$145)+SUMIF(Master_Data!$AK$152:$AK$864,CONCATENATE($C11,$FP$3),Master_Data!$R$152:$R$864)</f>
        <v>0</v>
      </c>
      <c r="FH11" s="310">
        <f>SUMIF(Master_Data!$AK$4:$AK$145,CONCATENATE($C11,$FP$3),Master_Data!$Q$4:$Q$145)+SUMIF(Master_Data!$AK$152:$AK$864,CONCATENATE($C11,$FP$3),Master_Data!$Q$152:$Q$864)</f>
        <v>0</v>
      </c>
      <c r="FI11" s="310">
        <f>SUMIF(Master_Data!$AK$4:$AK$145,CONCATENATE($C11,$FP$3),Master_Data!$U$4:$U$145)+SUMIF(Master_Data!$AK$152:$AK$864,CONCATENATE($C11,$FP$3),Master_Data!$U$152:$U$864)</f>
        <v>0</v>
      </c>
      <c r="FJ11" s="310">
        <f>SUMIF(Master_Data!$AK$4:$AK$145,CONCATENATE($C11,$FP$3),Master_Data!$S$4:$S$145)+SUMIF(Master_Data!$AK$152:$AK$864,CONCATENATE($C11,$FP$3),Master_Data!$S$152:$S$864)</f>
        <v>0</v>
      </c>
      <c r="FK11" s="39">
        <f>SUMIF(Master_Data!$AK$152:$AK$915,CONCATENATE($C11,FP$3),Master_Data!$T$152:$T$915)</f>
        <v>0</v>
      </c>
      <c r="FL11" s="310">
        <f t="shared" si="52"/>
        <v>0</v>
      </c>
      <c r="FM11" s="230">
        <f t="shared" si="53"/>
        <v>0</v>
      </c>
      <c r="FN11" s="31"/>
      <c r="FO11" s="358" t="str">
        <f t="shared" si="13"/>
        <v>CAKRAWALA SEJAHTERA, PTOKT</v>
      </c>
      <c r="FP11" s="24"/>
      <c r="FQ11" s="412"/>
      <c r="FR11" s="109">
        <f t="shared" si="42"/>
        <v>0</v>
      </c>
      <c r="FS11" s="109">
        <f t="shared" si="54"/>
        <v>0</v>
      </c>
      <c r="FT11" s="420"/>
      <c r="FU11" s="109">
        <f>SUMIF(Bill_Out!$Q$610:$Q$675,CONCATENATE($C11,$GG$3),Bill_Out!$N$610:$N$675)</f>
        <v>0</v>
      </c>
      <c r="FV11" s="109">
        <f>SUMIF(Bill_Out!$Q$610:$Q$675,CONCATENATE($C11,$GG$3),Bill_Out!$O$610:$O$675)</f>
        <v>0</v>
      </c>
      <c r="FW11" s="50"/>
      <c r="FX11" s="512">
        <f>SUMIF(Master_Data!$AK$4:$AK$145,CONCATENATE($C11,$GG$3),Master_Data!$R$4:$R$145)+SUMIF(Master_Data!$AK$152:$AK$864,CONCATENATE($C11,$GG$3),Master_Data!$R$152:$R$864)</f>
        <v>0</v>
      </c>
      <c r="FY11" s="512">
        <f>SUMIF(Master_Data!$AK$4:$AK$145,CONCATENATE($C11,$GG$3),Master_Data!$Q$4:$Q$145)+SUMIF(Master_Data!$AK$152:$AK$864,CONCATENATE($C11,$GG$3),Master_Data!$Q$152:$Q$864)</f>
        <v>0</v>
      </c>
      <c r="FZ11" s="512">
        <f>SUMIF(Master_Data!$AK$4:$AK$145,CONCATENATE($C11,$GG$3),Master_Data!$U$4:$U$145)+SUMIF(Master_Data!$AK$152:$AK$864,CONCATENATE($C11,$GG$3),Master_Data!$U$152:$U$864)</f>
        <v>0</v>
      </c>
      <c r="GA11" s="310">
        <f>SUMIF(Master_Data!$AK$4:$AK$145,CONCATENATE($C11,$GG$3),Master_Data!$S$4:$S$145)+SUMIF(Master_Data!$AK$152:$AK$864,CONCATENATE($C11,$GG$3),Master_Data!$S$152:$S$864)</f>
        <v>0</v>
      </c>
      <c r="GB11" s="39">
        <f>SUMIF(Master_Data!$AK$152:$AK$915,CONCATENATE($C11,GG$3),Master_Data!$T$152:$T$915)</f>
        <v>0</v>
      </c>
      <c r="GC11" s="230">
        <f t="shared" si="55"/>
        <v>0</v>
      </c>
      <c r="GD11" s="230">
        <f t="shared" si="14"/>
        <v>0</v>
      </c>
      <c r="GE11" s="31"/>
      <c r="GF11" s="358" t="str">
        <f t="shared" si="15"/>
        <v>CAKRAWALA SEJAHTERA, PTNOV</v>
      </c>
      <c r="GG11" s="24"/>
      <c r="GH11" s="412" t="s">
        <v>617</v>
      </c>
      <c r="GI11" s="109">
        <f t="shared" si="43"/>
        <v>0</v>
      </c>
      <c r="GJ11" s="109">
        <f t="shared" si="56"/>
        <v>0</v>
      </c>
      <c r="GK11" s="420"/>
      <c r="GL11" s="109">
        <f>SUMIF(Bill_Out!$Q$679:$Q$756,CONCATENATE($C11,$GX$3),Bill_Out!$N$679:$N$756)</f>
        <v>0</v>
      </c>
      <c r="GM11" s="109">
        <f>SUMIF(Bill_Out!$Q$679:$Q$756,CONCATENATE($C11,$GX$3),Bill_Out!$O$679:$O$756)</f>
        <v>0</v>
      </c>
      <c r="GN11" s="50"/>
      <c r="GO11" s="512">
        <f>SUMIF(Master_Data!$AK$4:$AK$145,CONCATENATE($C11,$GX$3),Master_Data!$R$4:$R$145)+SUMIF(Master_Data!$AK$152:$AK$864,CONCATENATE($C11,$GX$3),Master_Data!$R$152:$R$864)</f>
        <v>0</v>
      </c>
      <c r="GP11" s="512">
        <f>SUMIF(Master_Data!$AK$4:$AK$145,CONCATENATE($C11,$GX$3),Master_Data!$Q$4:$Q$145)+SUMIF(Master_Data!$AK$152:$AK$864,CONCATENATE($C11,$GX$3),Master_Data!$Q$152:$Q$864)</f>
        <v>0</v>
      </c>
      <c r="GQ11" s="512">
        <f>SUMIF(Master_Data!$AK$4:$AK$145,CONCATENATE($C11,$GX$3),Master_Data!$U$4:$U$145)+SUMIF(Master_Data!$AK$152:$AK$864,CONCATENATE($C11,$GX$3),Master_Data!$U$152:$U$864)</f>
        <v>0</v>
      </c>
      <c r="GR11" s="310">
        <f>SUMIF(Master_Data!$AK$4:$AK$145,CONCATENATE($C11,$GX$3),Master_Data!$S$4:$S$145)+SUMIF(Master_Data!$AK$152:$AK$864,CONCATENATE($C11,$GX$3),Master_Data!$S$152:$S$864)</f>
        <v>0</v>
      </c>
      <c r="GS11" s="39">
        <f>SUMIF(Master_Data!$AK$152:$AK$864,CONCATENATE($C11,GX$3),Master_Data!$T$152:$T$864)</f>
        <v>0</v>
      </c>
      <c r="GT11" s="534">
        <f t="shared" si="44"/>
        <v>0</v>
      </c>
      <c r="GU11" s="310">
        <f t="shared" si="16"/>
        <v>0</v>
      </c>
      <c r="GV11" s="31"/>
      <c r="GW11" s="358" t="str">
        <f t="shared" si="17"/>
        <v>CAKRAWALA SEJAHTERA, PTDES</v>
      </c>
      <c r="GX11" s="24"/>
    </row>
    <row r="12" spans="1:206" s="19" customFormat="1">
      <c r="A12" s="21" t="s">
        <v>102</v>
      </c>
      <c r="B12" s="236" t="str">
        <f t="shared" si="18"/>
        <v>CENTRALINK, PTJAN</v>
      </c>
      <c r="C12" s="8" t="s">
        <v>2070</v>
      </c>
      <c r="D12" s="52"/>
      <c r="E12" s="238">
        <f>SUMIF(Master_Data!$D7:$D$145,CONCATENATE(C12),Master_Data!M7:M148)</f>
        <v>0</v>
      </c>
      <c r="F12" s="109">
        <f>SUMIF(Master_Data!$D8:$D$145,CONCATENATE(C12),Master_Data!N8:N151)</f>
        <v>0</v>
      </c>
      <c r="G12" s="31"/>
      <c r="H12" s="109">
        <f>SUMIF(Bill_Out!$Q$3:$Q$65,CONCATENATE($C12,$S$3),Bill_Out!$N$3:$N$65)</f>
        <v>0</v>
      </c>
      <c r="I12" s="88">
        <f>SUMIF(Bill_Out!$Q$3:$Q$65,CONCATENATE($C12,$S$3),Bill_Out!$O$3:$O$65)</f>
        <v>0</v>
      </c>
      <c r="J12" s="50"/>
      <c r="K12" s="29"/>
      <c r="L12" s="44"/>
      <c r="M12" s="230">
        <f>SUMIF(Master_Data!$AK8:$AK$145,CONCATENATE(C12,$S$3),Master_Data!U8:U149)+SUMIF(Master_Data!$AK168:$AK$864,CONCATENATE(C12,$S$3),Master_Data!U168:U869)</f>
        <v>0</v>
      </c>
      <c r="N12" s="310">
        <f>SUMIF(Master_Data!$AK$4:$AK$145,CONCATENATE(C12,$S$3),Master_Data!$S$4:$S$145)+SUMIF(Master_Data!$AK$150:$AK$864,CONCATENATE(C12,$S$3),Master_Data!$S$150:$S$864)</f>
        <v>0</v>
      </c>
      <c r="O12" s="310">
        <f>SUMIF(Master_Data!$AK$4:$AK$145,CONCATENATE(C12,$S$3),Master_Data!$T$4:$T$145)+SUMIF(Master_Data!$AK$150:$AK$864,CONCATENATE(C12,$S$3),Master_Data!$T$150:$T$864)</f>
        <v>0</v>
      </c>
      <c r="P12" s="230">
        <f>E12+H12-K12+L12</f>
        <v>0</v>
      </c>
      <c r="Q12" s="230">
        <f>F12+I12-M12+N12+O12</f>
        <v>0</v>
      </c>
      <c r="R12" s="31"/>
      <c r="S12" s="24"/>
      <c r="T12" s="259"/>
      <c r="U12" s="109">
        <f t="shared" ref="U12:U18" si="61">P12</f>
        <v>0</v>
      </c>
      <c r="V12" s="109">
        <f t="shared" ref="V12:V18" si="62">Q12</f>
        <v>0</v>
      </c>
      <c r="W12" s="31"/>
      <c r="X12" s="109">
        <f>SUMIF(Bill_Out!$Q$67:$Q$132,CONCATENATE($C12,$AJ$3),Bill_Out!$N$67:$N$132)</f>
        <v>0</v>
      </c>
      <c r="Y12" s="109" t="e">
        <f>SUMIF(Bill_Out!$Q$67:$Q$132,CONCATENATE($C12,$AJ$3),Bill_Out!$O$67:$O$132)</f>
        <v>#VALUE!</v>
      </c>
      <c r="Z12" s="50"/>
      <c r="AA12" s="230">
        <f>SUMIF(Master_Data!$AK$4:$AK$145,CONCATENATE(C12,$AJ$3),Master_Data!$R$4:$R$145)+SUMIF(Master_Data!$AK$152:$AK$850,CONCATENATE(C12,$AJ$3),Master_Data!$R$152:$R$850)</f>
        <v>0</v>
      </c>
      <c r="AB12" s="230">
        <f>SUMIF(Master_Data!$AK$4:$AK$145,CONCATENATE(C12,$AJ$3),Master_Data!$Q$4:$Q$145)+SUMIF(Master_Data!$AK$152:$AK$850,CONCATENATE(C12,$AJ$3),Master_Data!$Q$152:$Q$850)</f>
        <v>0</v>
      </c>
      <c r="AC12" s="230">
        <f>SUMIF(Master_Data!$AK$4:$AK$145,CONCATENATE(C12,$AJ$3),Master_Data!$U$4:$U$145)+SUMIF(Master_Data!$AK$152:$AK$850,CONCATENATE(C12,$AJ$3),Master_Data!$U$152:$U$850)</f>
        <v>0</v>
      </c>
      <c r="AD12" s="310">
        <f ca="1">SUMIF(Master_Data!$AK$4:$AK$145,CONCATENATE(C12,$AJ$3),Master_Data!$S$4:$S$145)+SUMIF(Master_Data!$AK$152:$AK$864,CONCATENATE(C12,$AJ$3),Master_Data!$S$152:$S$850)</f>
        <v>0</v>
      </c>
      <c r="AE12" s="310">
        <f>SUMIF(Master_Data!$AK$4:$AK$145,CONCATENATE(C12,$AJ$3),Master_Data!$T$4:$T$145)+SUMIF(Master_Data!$AK$152:$AK$864,CONCATENATE(C12,$AJ$3),Master_Data!$T$152:$T$864)</f>
        <v>0</v>
      </c>
      <c r="AF12" s="230">
        <f t="shared" ref="AF12:AF63" si="63">U12+X12-AA12+AB12</f>
        <v>0</v>
      </c>
      <c r="AG12" s="230" t="e">
        <f t="shared" ref="AG12:AG63" ca="1" si="64">V12+Y12-AC12+AD12+AE12</f>
        <v>#VALUE!</v>
      </c>
      <c r="AH12" s="31"/>
      <c r="AI12" s="235" t="str">
        <f t="shared" si="3"/>
        <v>CENTRALINK, PTFEB</v>
      </c>
      <c r="AJ12" s="24"/>
      <c r="AK12" s="259"/>
      <c r="AL12" s="109">
        <f t="shared" ref="AL12:AL63" si="65">AF12</f>
        <v>0</v>
      </c>
      <c r="AM12" s="109" t="e">
        <f t="shared" ref="AM12:AM63" ca="1" si="66">AG12</f>
        <v>#VALUE!</v>
      </c>
      <c r="AN12" s="31"/>
      <c r="AO12" s="109">
        <f>SUMIF(Bill_Out!$Q$134:$Q$188,CONCATENATE($C12,$BA$3),Bill_Out!$N$134:$N$188)</f>
        <v>0</v>
      </c>
      <c r="AP12" s="109">
        <f>SUMIF(Bill_Out!$Q$134:$Q$188,CONCATENATE($C12,$BA$3),Bill_Out!$O$134:$O$188)</f>
        <v>0</v>
      </c>
      <c r="AQ12" s="50"/>
      <c r="AR12" s="230">
        <f>SUMIF(Master_Data!$AK$4:$AK$145,CONCATENATE(C12,$BA$3),Master_Data!$R$4:$R$145)+SUMIF(Master_Data!$AK$152:$AK$864,CONCATENATE(C12,$BA$3),Master_Data!$R$152:$R$864)</f>
        <v>0</v>
      </c>
      <c r="AS12" s="230">
        <f>SUMIF(Master_Data!$AK$4:$AK$145,CONCATENATE(C12,$BA$3),Master_Data!$Q$4:$Q$145)+SUMIF(Master_Data!$AK$152:$AK$864,CONCATENATE(C12,$BA$3),Master_Data!$Q$152:$Q$864)</f>
        <v>0</v>
      </c>
      <c r="AT12" s="230">
        <f>SUMIF(Master_Data!$AK$4:$AK$145,CONCATENATE(C12,$BA$3),Master_Data!$U$4:$U$145)+SUMIF(Master_Data!$AK$152:$AK$864,CONCATENATE(C12,$BA$3),Master_Data!$U$152:$U$864)</f>
        <v>2854087</v>
      </c>
      <c r="AU12" s="230">
        <f ca="1">SUMIF(Master_Data!$AK$4:$AK$145,CONCATENATE(C12,$BA$3),Master_Data!$S$4:$S$145)+SUMIF(Master_Data!$AK$152:$AK$864,CONCATENATE(C12,$BA$3),Master_Data!$S$152:$S$850)</f>
        <v>0</v>
      </c>
      <c r="AV12" s="39">
        <f>SUMIF(Master_Data!$AK$152:$AK$864,CONCATENATE($C12,BA$3),Master_Data!$T$152:$T$864)</f>
        <v>0</v>
      </c>
      <c r="AW12" s="230">
        <f t="shared" si="57"/>
        <v>0</v>
      </c>
      <c r="AX12" s="230" t="e">
        <f t="shared" ca="1" si="58"/>
        <v>#VALUE!</v>
      </c>
      <c r="AY12" s="31"/>
      <c r="AZ12" s="235" t="str">
        <f t="shared" si="21"/>
        <v>CENTRALINK, PTMAR</v>
      </c>
      <c r="BA12" s="24"/>
      <c r="BB12" s="259"/>
      <c r="BC12" s="109">
        <f t="shared" si="22"/>
        <v>0</v>
      </c>
      <c r="BD12" s="109" t="e">
        <f t="shared" ca="1" si="23"/>
        <v>#VALUE!</v>
      </c>
      <c r="BE12" s="31"/>
      <c r="BF12" s="109">
        <f>SUMIF(Bill_Out!$Q$192:$Q$258,CONCATENATE($C12,$BR$3),Bill_Out!$N$192:$N$258)</f>
        <v>0</v>
      </c>
      <c r="BG12" s="109">
        <f>SUMIF(Bill_Out!$Q$192:$Q$258,CONCATENATE($C12,$BR$3),Bill_Out!$O$192:$O$258)</f>
        <v>0</v>
      </c>
      <c r="BH12" s="50"/>
      <c r="BI12" s="230">
        <f>SUMIF(Master_Data!$AK$4:$AK$145,CONCATENATE(C12,$BR$3),Master_Data!$R$4:$R$145)+SUMIF(Master_Data!$AK$152:$AK$864,CONCATENATE(C12,$BR$3),Master_Data!$R$152:$R$864)</f>
        <v>0</v>
      </c>
      <c r="BJ12" s="230">
        <f>SUMIF(Master_Data!$AK$4:$AK$145,CONCATENATE(C12,$BR$3),Master_Data!$Q$4:$Q$145)+SUMIF(Master_Data!$AK$152:$AK$864,CONCATENATE(C12,$BR$3),Master_Data!$Q$152:$Q$864)</f>
        <v>0</v>
      </c>
      <c r="BK12" s="230">
        <f>SUMIF(Master_Data!$AK$4:$AK$145,CONCATENATE(C12,$BR$3),Master_Data!$U$4:$U$145)+SUMIF(Master_Data!$AK$152:$AK$864,CONCATENATE(C12,$BR$3),Master_Data!$U$152:$U$864)</f>
        <v>0</v>
      </c>
      <c r="BL12" s="230">
        <f>SUMIF(Master_Data!$AK$4:$AK$145,CONCATENATE(C12,$BR$3),Master_Data!$S$4:$S$145)+SUMIF(Master_Data!$AK$152:$AK$864,CONCATENATE(C12,$BR$3),Master_Data!$S$152:$S$864)</f>
        <v>0</v>
      </c>
      <c r="BM12" s="39">
        <f>SUMIF(Master_Data!$AK$152:$AK$864,CONCATENATE($C12,BR$3),Master_Data!$T$152:$T$864)</f>
        <v>0</v>
      </c>
      <c r="BN12" s="230">
        <f t="shared" si="24"/>
        <v>0</v>
      </c>
      <c r="BO12" s="230" t="e">
        <f t="shared" ca="1" si="25"/>
        <v>#VALUE!</v>
      </c>
      <c r="BP12" s="31"/>
      <c r="BQ12" s="909" t="str">
        <f t="shared" si="26"/>
        <v>CENTRALINK, PTAPR</v>
      </c>
      <c r="BR12" s="24"/>
      <c r="BS12" s="259"/>
      <c r="BT12" s="109">
        <f t="shared" si="59"/>
        <v>0</v>
      </c>
      <c r="BU12" s="109" t="e">
        <f t="shared" ca="1" si="60"/>
        <v>#VALUE!</v>
      </c>
      <c r="BV12" s="31"/>
      <c r="BW12" s="109">
        <f>SUMIF(Bill_Out!$Q$263:$Q$314,CONCATENATE($C12,$CI$3),Bill_Out!$N$263:$N$314)</f>
        <v>0</v>
      </c>
      <c r="BX12" s="109" t="e">
        <f>SUMIF(Bill_Out!$Q$263:$Q$314,CONCATENATE($C12,$CI$3),Bill_Out!$O$263:$O$314)</f>
        <v>#VALUE!</v>
      </c>
      <c r="BY12" s="50"/>
      <c r="BZ12" s="310">
        <f>SUMIF(Master_Data!$AK$4:$AK$145,CONCATENATE(C12,$CI$3),Master_Data!$R$4:$R$145)+SUMIF(Master_Data!$AK$152:$AK$864,CONCATENATE(C12,$CI$3),Master_Data!$R$152:$R$864)</f>
        <v>0</v>
      </c>
      <c r="CA12" s="310">
        <f>SUMIF(Master_Data!$AK$4:$AK$145,CONCATENATE(C12,$CI$3),Master_Data!$Q$4:$Q$145)+SUMIF(Master_Data!$AK$152:$AK$864,CONCATENATE(C12,$CI$3),Master_Data!$Q$152:$Q$864)</f>
        <v>0</v>
      </c>
      <c r="CB12" s="310">
        <f>SUMIF(Master_Data!$AK$4:$AK$145,CONCATENATE(C12,$CI$3),Master_Data!$U$4:$U$145)+SUMIF(Master_Data!$AK$152:$AK$864,CONCATENATE(C12,$CI$3),Master_Data!$U$152:$U$864)</f>
        <v>2854087</v>
      </c>
      <c r="CC12" s="230">
        <f>SUMIF(Master_Data!$AK$4:$AK$145,CONCATENATE(C12,$CI$3),Master_Data!$S$4:$S$145)+SUMIF(Master_Data!$AK$152:$AK$864,CONCATENATE(C12,$CI$3),Master_Data!$S$152:$S$864)</f>
        <v>0</v>
      </c>
      <c r="CD12" s="39">
        <f>SUMIF(Master_Data!$AK$152:$AK$864,CONCATENATE($C12,CI$3),Master_Data!$T$152:$T$864)</f>
        <v>0</v>
      </c>
      <c r="CE12" s="310">
        <f t="shared" si="27"/>
        <v>0</v>
      </c>
      <c r="CF12" s="230" t="e">
        <f t="shared" ca="1" si="28"/>
        <v>#VALUE!</v>
      </c>
      <c r="CG12" s="31"/>
      <c r="CH12" s="235" t="str">
        <f t="shared" si="29"/>
        <v>CENTRALINK, PTMEI</v>
      </c>
      <c r="CI12" s="24"/>
      <c r="CJ12" s="259"/>
      <c r="CK12" s="109">
        <f t="shared" si="30"/>
        <v>0</v>
      </c>
      <c r="CL12" s="238" t="e">
        <f t="shared" ca="1" si="31"/>
        <v>#VALUE!</v>
      </c>
      <c r="CM12" s="31"/>
      <c r="CN12" s="238">
        <f>SUMIF(Bill_Out!$Q$318:$Q$371,CONCATENATE($C12,$CZ$3),Bill_Out!$N$318:$N$371)</f>
        <v>0</v>
      </c>
      <c r="CO12" s="238">
        <f>SUMIF(Bill_Out!$Q$318:$Q$371,CONCATENATE($C12,$CZ$3),Bill_Out!$O$318:$O$371)</f>
        <v>0</v>
      </c>
      <c r="CP12" s="50"/>
      <c r="CQ12" s="230">
        <f>SUMIF(Master_Data!$AK$4:$AK$145,CONCATENATE($C12,$CZ$3),Master_Data!$R$4:$R$145)+SUMIF(Master_Data!$AK$152:$AK$864,CONCATENATE($C12,$CZ$3),Master_Data!$R$152:$R$864)</f>
        <v>0</v>
      </c>
      <c r="CR12" s="230">
        <f>SUMIF(Master_Data!$AK$4:$AK$145,CONCATENATE($C12,$CZ$3),Master_Data!$Q$4:$Q$145)+SUMIF(Master_Data!$AK$152:$AK$864,CONCATENATE($C12,$CZ$3),Master_Data!$Q$152:$Q$864)</f>
        <v>0</v>
      </c>
      <c r="CS12" s="230">
        <f>SUMIF(Master_Data!$AK$4:$AK$145,CONCATENATE($C12,$CZ$3),Master_Data!$U$4:$U$145)+SUMIF(Master_Data!$AK$152:$AK$864,CONCATENATE($C12,$CZ$3),Master_Data!$U$152:$U$864)</f>
        <v>0</v>
      </c>
      <c r="CT12" s="230">
        <f ca="1">SUMIF(Master_Data!$AK$4:$AK$145,CONCATENATE(C12,$CZ$3),Master_Data!$S$4:$S$145)+SUMIF(Master_Data!$AK$152:$AK$915,CONCATENATE(C12,$CZ$3),Master_Data!$S$152:$S$864)</f>
        <v>0</v>
      </c>
      <c r="CU12" s="1010">
        <f>SUMIF(Master_Data!$AK$4:$AK$145,CONCATENATE(C12,$CZ$3),Master_Data!$T$4:$T$145)+SUMIF(Master_Data!$AK$152:$AK$864,CONCATENATE(C12,$CZ$3),Master_Data!$T$152:$T$864)</f>
        <v>0</v>
      </c>
      <c r="CV12" s="230">
        <f t="shared" si="32"/>
        <v>0</v>
      </c>
      <c r="CW12" s="230" t="e">
        <f t="shared" ca="1" si="33"/>
        <v>#VALUE!</v>
      </c>
      <c r="CX12" s="31"/>
      <c r="CY12" s="1007" t="str">
        <f t="shared" si="6"/>
        <v>CENTRALINK, PTJUN</v>
      </c>
      <c r="CZ12" s="24"/>
      <c r="DA12" s="259"/>
      <c r="DB12" s="109">
        <f t="shared" si="34"/>
        <v>0</v>
      </c>
      <c r="DC12" s="109" t="e">
        <f t="shared" ca="1" si="35"/>
        <v>#VALUE!</v>
      </c>
      <c r="DD12" s="31"/>
      <c r="DE12" s="109">
        <f>SUMIF(Bill_Out!$Q$375:$Q$422,CONCATENATE($C12,$DQ$3),Bill_Out!$N$375:$N$422)</f>
        <v>0</v>
      </c>
      <c r="DF12" s="109">
        <f>SUMIF(Bill_Out!$Q$375:$Q$422,CONCATENATE($C12,$DQ$3),Bill_Out!$O$375:$O$422)</f>
        <v>0</v>
      </c>
      <c r="DG12" s="50"/>
      <c r="DH12" s="310">
        <f>SUMIF(Master_Data!$AK$4:$AK$145,CONCATENATE($C12,$DQ$3),Master_Data!$R$4:$R$145)+SUMIF(Master_Data!$AK$152:$AK$864,CONCATENATE($C12,$DQ$3),Master_Data!$R$152:$R$864)</f>
        <v>0</v>
      </c>
      <c r="DI12" s="310">
        <f>SUMIF(Master_Data!$AK$4:$AK$145,CONCATENATE($C12,$DQ$3),Master_Data!$Q$4:$Q$145)+SUMIF(Master_Data!$AK$152:$AK$864,CONCATENATE($C12,$DQ$3),Master_Data!$Q$152:$Q$864)</f>
        <v>0</v>
      </c>
      <c r="DJ12" s="310">
        <f>SUMIF(Master_Data!$AK$4:$AK$145,CONCATENATE($C12,$DQ$3),Master_Data!$U$4:$U$145)+SUMIF(Master_Data!$AK$152:$AK$864,CONCATENATE($C12,$DQ$3),Master_Data!$U$152:$U$864)</f>
        <v>0</v>
      </c>
      <c r="DK12" s="310">
        <f>SUMIF(Master_Data!$AK$4:$AK$145,CONCATENATE($C12,$DQ$3),Master_Data!$S$4:$S$145)+SUMIF(Master_Data!$AK$152:$AK$864,CONCATENATE($C12,$DQ$3),Master_Data!$S$152:$S$864)</f>
        <v>0</v>
      </c>
      <c r="DL12" s="39">
        <f>SUMIF(Master_Data!$AK$152:$AK$915,CONCATENATE($C12,DQ$3),Master_Data!$T$152:$T$915)</f>
        <v>0</v>
      </c>
      <c r="DM12" s="230">
        <f t="shared" ref="DM12:DM71" si="67">DB12+DE12-DH12+DI12</f>
        <v>0</v>
      </c>
      <c r="DN12" s="230" t="e">
        <f t="shared" ref="DN12:DN71" ca="1" si="68">DC12+DF12-DJ12+DK12+DL12</f>
        <v>#VALUE!</v>
      </c>
      <c r="DO12" s="31"/>
      <c r="DP12" s="358" t="str">
        <f t="shared" si="9"/>
        <v>CENTRALINK, PTJUL</v>
      </c>
      <c r="DQ12" s="24"/>
      <c r="DR12" s="390"/>
      <c r="DS12" s="109">
        <f t="shared" si="36"/>
        <v>0</v>
      </c>
      <c r="DT12" s="109" t="e">
        <f t="shared" ca="1" si="37"/>
        <v>#VALUE!</v>
      </c>
      <c r="DU12" s="31"/>
      <c r="DV12" s="109">
        <f>SUMIF(Bill_Out!$Q$426:$Q$472,CONCATENATE($C12,$EH$3),Bill_Out!$N$426:$N$472)</f>
        <v>0</v>
      </c>
      <c r="DW12" s="109">
        <f>SUMIF(Bill_Out!$Q$426:$Q$472,CONCATENATE($C12,$EH$3),Bill_Out!$O$426:$O$472)</f>
        <v>0</v>
      </c>
      <c r="DX12" s="50"/>
      <c r="DY12" s="310">
        <f>SUMIF(Master_Data!$AK$4:$AK$145,CONCATENATE($C12,$EH$3),Master_Data!$R$4:$R$145)+SUMIF(Master_Data!$AK$152:$AK$864,CONCATENATE($C12,$EH$3),Master_Data!$R$152:$R$864)</f>
        <v>0</v>
      </c>
      <c r="DZ12" s="310">
        <f>SUMIF(Master_Data!$AK$4:$AK$145,CONCATENATE($C12,$EH$3),Master_Data!$Q$4:$Q$145)+SUMIF(Master_Data!$AK$152:$AK$864,CONCATENATE($C12,$EH$3),Master_Data!$Q$152:$Q$864)</f>
        <v>0</v>
      </c>
      <c r="EA12" s="310">
        <f>SUMIF(Master_Data!$AK$4:$AK$145,CONCATENATE($C12,$EH$3),Master_Data!$U$4:$U$145)+SUMIF(Master_Data!$AK$152:$AK$864,CONCATENATE($C12,$EH$3),Master_Data!$U$152:$U$864)</f>
        <v>0</v>
      </c>
      <c r="EB12" s="310">
        <f>SUMIF(Master_Data!$AK$4:$AK$145,CONCATENATE($C12,$EH$3),Master_Data!$S$4:$S$145)+SUMIF(Master_Data!$AK$152:$AK$864,CONCATENATE($C12,$EH$3),Master_Data!$S$152:$S$864)</f>
        <v>0</v>
      </c>
      <c r="EC12" s="39">
        <f>SUMIF(Master_Data!$AK$152:$AK$915,CONCATENATE($C12,EH$3),Master_Data!$T$152:$T$915)</f>
        <v>0</v>
      </c>
      <c r="ED12" s="310">
        <f t="shared" si="38"/>
        <v>0</v>
      </c>
      <c r="EE12" s="230" t="e">
        <f t="shared" ca="1" si="39"/>
        <v>#VALUE!</v>
      </c>
      <c r="EF12" s="31"/>
      <c r="EG12" s="358" t="str">
        <f t="shared" si="10"/>
        <v>CENTRALINK, PTAGS</v>
      </c>
      <c r="EH12" s="24"/>
      <c r="EI12" s="390"/>
      <c r="EJ12" s="109">
        <f t="shared" si="47"/>
        <v>0</v>
      </c>
      <c r="EK12" s="109" t="e">
        <f t="shared" ca="1" si="48"/>
        <v>#VALUE!</v>
      </c>
      <c r="EL12" s="84"/>
      <c r="EM12" s="109">
        <f>SUMIF(Bill_Out!$Q$476:$Q$530,CONCATENATE($C12,$EY$3),Bill_Out!$N$476:$N$530)</f>
        <v>0</v>
      </c>
      <c r="EN12" s="109">
        <f>SUMIF(Bill_Out!$Q$476:$Q$530,CONCATENATE($C12,$EY$3),Bill_Out!$O$476:$O$530)</f>
        <v>0</v>
      </c>
      <c r="EO12" s="309"/>
      <c r="EP12" s="310">
        <f>SUMIF(Master_Data!$AK$4:$AK$145,CONCATENATE($C12,$EY$3),Master_Data!$R$4:$R$145)+SUMIF(Master_Data!$AK$152:$AK$864,CONCATENATE($C12,$EY$3),Master_Data!$R$152:$R$864)</f>
        <v>0</v>
      </c>
      <c r="EQ12" s="310">
        <f>SUMIF(Master_Data!$AK$4:$AK$145,CONCATENATE($C12,$EY$3),Master_Data!$Q$4:$Q$145)+SUMIF(Master_Data!$AK$152:$AK$864,CONCATENATE($C12,$EY$3),Master_Data!$Q$152:$Q$864)</f>
        <v>0</v>
      </c>
      <c r="ER12" s="310">
        <f>SUMIF(Master_Data!$AK$4:$AK$145,CONCATENATE($C12,$EY$3),Master_Data!$U$4:$U$145)+SUMIF(Master_Data!$AK$152:$AK$864,CONCATENATE($C12,$EY$3),Master_Data!$U$152:$U$864)</f>
        <v>0</v>
      </c>
      <c r="ES12" s="310">
        <f>SUMIF(Master_Data!$AK$4:$AK$145,CONCATENATE($C12,$EY$3),Master_Data!$S$4:$S$145)+SUMIF(Master_Data!$AK$152:$AK$864,CONCATENATE($C12,$EY$3),Master_Data!$S$152:$S$864)</f>
        <v>0</v>
      </c>
      <c r="ET12" s="39">
        <f>SUMIF(Master_Data!$AK$152:$AK$915,CONCATENATE($C12,EY$3),Master_Data!$T$152:$T$915)</f>
        <v>0</v>
      </c>
      <c r="EU12" s="310">
        <f t="shared" si="49"/>
        <v>0</v>
      </c>
      <c r="EV12" s="230"/>
      <c r="EW12" s="84"/>
      <c r="EX12" s="358" t="str">
        <f t="shared" si="11"/>
        <v>CENTRALINK, PTSEP</v>
      </c>
      <c r="EY12" s="24"/>
      <c r="EZ12" s="412"/>
      <c r="FA12" s="109">
        <f t="shared" si="50"/>
        <v>0</v>
      </c>
      <c r="FB12" s="109">
        <f t="shared" si="51"/>
        <v>0</v>
      </c>
      <c r="FC12" s="421"/>
      <c r="FD12" s="109">
        <f>SUMIF(Bill_Out!$Q$534:$Q$606,CONCATENATE($C12,$FP$3),Bill_Out!$N$534:$N$606)</f>
        <v>0</v>
      </c>
      <c r="FE12" s="109">
        <f>SUMIF(Bill_Out!$Q$534:$Q$606,CONCATENATE($C12,$FP$3),Bill_Out!$O$534:$O$606)</f>
        <v>0</v>
      </c>
      <c r="FF12" s="309"/>
      <c r="FG12" s="310">
        <f>SUMIF(Master_Data!$AK$4:$AK$145,CONCATENATE($C12,$FP$3),Master_Data!$R$4:$R$145)+SUMIF(Master_Data!$AK$152:$AK$864,CONCATENATE($C12,$FP$3),Master_Data!$R$152:$R$864)</f>
        <v>0</v>
      </c>
      <c r="FH12" s="310">
        <f>SUMIF(Master_Data!$AK$4:$AK$145,CONCATENATE($C12,$FP$3),Master_Data!$Q$4:$Q$145)+SUMIF(Master_Data!$AK$152:$AK$864,CONCATENATE($C12,$FP$3),Master_Data!$Q$152:$Q$864)</f>
        <v>0</v>
      </c>
      <c r="FI12" s="310">
        <f>SUMIF(Master_Data!$AK$4:$AK$145,CONCATENATE($C12,$FP$3),Master_Data!$U$4:$U$145)+SUMIF(Master_Data!$AK$152:$AK$864,CONCATENATE($C12,$FP$3),Master_Data!$U$152:$U$864)</f>
        <v>0</v>
      </c>
      <c r="FJ12" s="310">
        <f>SUMIF(Master_Data!$AK$4:$AK$145,CONCATENATE($C12,$FP$3),Master_Data!$S$4:$S$145)+SUMIF(Master_Data!$AK$152:$AK$864,CONCATENATE($C12,$FP$3),Master_Data!$S$152:$S$864)</f>
        <v>0</v>
      </c>
      <c r="FK12" s="39">
        <f>SUMIF(Master_Data!$AK$152:$AK$915,CONCATENATE($C12,FP$3),Master_Data!$T$152:$T$915)</f>
        <v>0</v>
      </c>
      <c r="FL12" s="310">
        <f t="shared" si="52"/>
        <v>0</v>
      </c>
      <c r="FM12" s="230">
        <f t="shared" si="53"/>
        <v>0</v>
      </c>
      <c r="FN12" s="31"/>
      <c r="FO12" s="358"/>
      <c r="FP12" s="24"/>
      <c r="FQ12" s="412"/>
      <c r="FR12" s="109"/>
      <c r="FS12" s="109"/>
      <c r="FT12" s="420"/>
      <c r="FU12" s="109"/>
      <c r="FV12" s="109"/>
      <c r="FW12" s="50"/>
      <c r="FX12" s="512"/>
      <c r="FY12" s="512"/>
      <c r="FZ12" s="512"/>
      <c r="GA12" s="310"/>
      <c r="GB12" s="39"/>
      <c r="GC12" s="230"/>
      <c r="GD12" s="230"/>
      <c r="GE12" s="31"/>
      <c r="GF12" s="358"/>
      <c r="GG12" s="24"/>
      <c r="GH12" s="412"/>
      <c r="GI12" s="109"/>
      <c r="GJ12" s="109"/>
      <c r="GK12" s="420"/>
      <c r="GL12" s="109"/>
      <c r="GM12" s="109"/>
      <c r="GN12" s="50"/>
      <c r="GO12" s="512"/>
      <c r="GP12" s="512"/>
      <c r="GQ12" s="512"/>
      <c r="GR12" s="310"/>
      <c r="GS12" s="39"/>
      <c r="GT12" s="534"/>
      <c r="GU12" s="310"/>
      <c r="GV12" s="31"/>
      <c r="GW12" s="358"/>
      <c r="GX12" s="24"/>
    </row>
    <row r="13" spans="1:206" s="19" customFormat="1">
      <c r="A13" s="328" t="s">
        <v>26</v>
      </c>
      <c r="B13" s="236" t="str">
        <f t="shared" si="18"/>
        <v>CIPTA INFORMATIKA CEMERLANG, PTJAN</v>
      </c>
      <c r="C13" s="22" t="s">
        <v>24</v>
      </c>
      <c r="D13" s="52" t="s">
        <v>302</v>
      </c>
      <c r="E13" s="238">
        <f>SUMIF(Master_Data!$D6:$D$145,CONCATENATE(C13),Master_Data!M6:M148)</f>
        <v>0</v>
      </c>
      <c r="F13" s="109">
        <f>SUMIF(Master_Data!$D9:$D$145,CONCATENATE(C13),Master_Data!N9:N152)</f>
        <v>4400000</v>
      </c>
      <c r="G13" s="54"/>
      <c r="H13" s="109">
        <f>SUMIF(Bill_Out!$Q$3:$Q$65,CONCATENATE($C13,$S$3),Bill_Out!$N$3:$N$65)</f>
        <v>0</v>
      </c>
      <c r="I13" s="88" t="e">
        <f>SUMIF(Bill_Out!$Q$3:$Q$65,CONCATENATE($C13,$S$3),Bill_Out!$O$3:$O$65)</f>
        <v>#VALUE!</v>
      </c>
      <c r="J13" s="50"/>
      <c r="K13" s="29"/>
      <c r="L13" s="44"/>
      <c r="M13" s="230">
        <f>SUMIF(Master_Data!$AK8:$AK$145,CONCATENATE(C13,$S$3),Master_Data!U8:U149)+SUMIF(Master_Data!$AK186:$AK$864,CONCATENATE(C13,$S$3),Master_Data!U186:U869)</f>
        <v>4320000</v>
      </c>
      <c r="N13" s="310">
        <f>SUMIF(Master_Data!$AK$4:$AK$145,CONCATENATE(C13,$S$3),Master_Data!$S$4:$S$145)+SUMIF(Master_Data!$AK$150:$AK$864,CONCATENATE(C13,$S$3),Master_Data!$S$150:$S$864)</f>
        <v>0</v>
      </c>
      <c r="O13" s="310">
        <f>SUMIF(Master_Data!$AK$4:$AK$145,CONCATENATE(C13,$S$3),Master_Data!$T$4:$T$145)+SUMIF(Master_Data!$AK$150:$AK$864,CONCATENATE(C13,$S$3),Master_Data!$T$150:$T$864)</f>
        <v>-80000</v>
      </c>
      <c r="P13" s="230">
        <f t="shared" si="19"/>
        <v>0</v>
      </c>
      <c r="Q13" s="230" t="e">
        <f t="shared" si="20"/>
        <v>#VALUE!</v>
      </c>
      <c r="R13" s="31"/>
      <c r="S13" s="24"/>
      <c r="T13" s="259"/>
      <c r="U13" s="109">
        <f t="shared" si="61"/>
        <v>0</v>
      </c>
      <c r="V13" s="109" t="e">
        <f t="shared" si="62"/>
        <v>#VALUE!</v>
      </c>
      <c r="W13" s="54"/>
      <c r="X13" s="109">
        <f>SUMIF(Bill_Out!$Q$67:$Q$132,CONCATENATE($C13,$AJ$3),Bill_Out!$N$67:$N$132)</f>
        <v>0</v>
      </c>
      <c r="Y13" s="109" t="e">
        <f>SUMIF(Bill_Out!$Q$67:$Q$132,CONCATENATE($C13,$AJ$3),Bill_Out!$O$67:$O$132)</f>
        <v>#VALUE!</v>
      </c>
      <c r="Z13" s="50"/>
      <c r="AA13" s="230">
        <f>SUMIF(Master_Data!$AK$4:$AK$145,CONCATENATE(C13,$AJ$3),Master_Data!$R$4:$R$145)+SUMIF(Master_Data!$AK$152:$AK$850,CONCATENATE(C13,$AJ$3),Master_Data!$R$152:$R$850)</f>
        <v>0</v>
      </c>
      <c r="AB13" s="230">
        <f>SUMIF(Master_Data!$AK$4:$AK$145,CONCATENATE(C13,$AJ$3),Master_Data!$Q$4:$Q$145)+SUMIF(Master_Data!$AK$152:$AK$850,CONCATENATE(C13,$AJ$3),Master_Data!$Q$152:$Q$850)</f>
        <v>0</v>
      </c>
      <c r="AC13" s="230">
        <f>SUMIF(Master_Data!$AK$4:$AK$145,CONCATENATE(C13,$AJ$3),Master_Data!$U$4:$U$145)+SUMIF(Master_Data!$AK$152:$AK$850,CONCATENATE(C13,$AJ$3),Master_Data!$U$152:$U$850)</f>
        <v>4320000</v>
      </c>
      <c r="AD13" s="310">
        <f ca="1">SUMIF(Master_Data!$AK$4:$AK$145,CONCATENATE(C13,$AJ$3),Master_Data!$S$4:$S$145)+SUMIF(Master_Data!$AK$152:$AK$864,CONCATENATE(C13,$AJ$3),Master_Data!$S$152:$S$850)</f>
        <v>0</v>
      </c>
      <c r="AE13" s="310">
        <f>SUMIF(Master_Data!$AK$4:$AK$145,CONCATENATE(C13,$AJ$3),Master_Data!$T$4:$T$145)+SUMIF(Master_Data!$AK$152:$AK$864,CONCATENATE(C13,$AJ$3),Master_Data!$T$152:$T$864)</f>
        <v>-80000</v>
      </c>
      <c r="AF13" s="230">
        <f t="shared" si="63"/>
        <v>0</v>
      </c>
      <c r="AG13" s="230" t="e">
        <f t="shared" ca="1" si="64"/>
        <v>#VALUE!</v>
      </c>
      <c r="AH13" s="31"/>
      <c r="AI13" s="235" t="str">
        <f t="shared" si="3"/>
        <v>CIPTA INFORMATIKA CEMERLANG, PTFEB</v>
      </c>
      <c r="AJ13" s="24"/>
      <c r="AK13" s="259"/>
      <c r="AL13" s="109">
        <f t="shared" si="65"/>
        <v>0</v>
      </c>
      <c r="AM13" s="109" t="e">
        <f t="shared" ca="1" si="66"/>
        <v>#VALUE!</v>
      </c>
      <c r="AN13" s="54"/>
      <c r="AO13" s="109">
        <f>SUMIF(Bill_Out!$Q$134:$Q$188,CONCATENATE($C13,$BA$3),Bill_Out!$N$134:$N$188)</f>
        <v>0</v>
      </c>
      <c r="AP13" s="109" t="e">
        <f>SUMIF(Bill_Out!$Q$134:$Q$188,CONCATENATE($C13,$BA$3),Bill_Out!$O$134:$O$188)</f>
        <v>#VALUE!</v>
      </c>
      <c r="AQ13" s="50"/>
      <c r="AR13" s="230">
        <f>SUMIF(Master_Data!$AK$4:$AK$145,CONCATENATE(C13,$BA$3),Master_Data!$R$4:$R$145)+SUMIF(Master_Data!$AK$152:$AK$864,CONCATENATE(C13,$BA$3),Master_Data!$R$152:$R$864)</f>
        <v>0</v>
      </c>
      <c r="AS13" s="230">
        <f>SUMIF(Master_Data!$AK$4:$AK$145,CONCATENATE(C13,$BA$3),Master_Data!$Q$4:$Q$145)+SUMIF(Master_Data!$AK$152:$AK$864,CONCATENATE(C13,$BA$3),Master_Data!$Q$152:$Q$864)</f>
        <v>0</v>
      </c>
      <c r="AT13" s="230">
        <f>SUMIF(Master_Data!$AK$4:$AK$145,CONCATENATE(C13,$BA$3),Master_Data!$U$4:$U$145)+SUMIF(Master_Data!$AK$152:$AK$864,CONCATENATE(C13,$BA$3),Master_Data!$U$152:$U$864)</f>
        <v>4320000</v>
      </c>
      <c r="AU13" s="230">
        <f ca="1">SUMIF(Master_Data!$AK$4:$AK$145,CONCATENATE(C13,$BA$3),Master_Data!$S$4:$S$145)+SUMIF(Master_Data!$AK$152:$AK$864,CONCATENATE(C13,$BA$3),Master_Data!$S$152:$S$850)</f>
        <v>0</v>
      </c>
      <c r="AV13" s="39">
        <f>SUMIF(Master_Data!$AK$152:$AK$864,CONCATENATE($C13,BA$3),Master_Data!$T$152:$T$864)</f>
        <v>-80000</v>
      </c>
      <c r="AW13" s="230">
        <f t="shared" si="57"/>
        <v>0</v>
      </c>
      <c r="AX13" s="230" t="e">
        <f t="shared" ca="1" si="58"/>
        <v>#VALUE!</v>
      </c>
      <c r="AY13" s="31"/>
      <c r="AZ13" s="235" t="str">
        <f t="shared" si="21"/>
        <v>CIPTA INFORMATIKA CEMERLANG, PTMAR</v>
      </c>
      <c r="BA13" s="24"/>
      <c r="BB13" s="259"/>
      <c r="BC13" s="109">
        <f t="shared" si="22"/>
        <v>0</v>
      </c>
      <c r="BD13" s="109" t="e">
        <f t="shared" ca="1" si="23"/>
        <v>#VALUE!</v>
      </c>
      <c r="BE13" s="54"/>
      <c r="BF13" s="109">
        <f>SUMIF(Bill_Out!$Q$192:$Q$258,CONCATENATE($C13,$BR$3),Bill_Out!$N$192:$N$258)</f>
        <v>0</v>
      </c>
      <c r="BG13" s="109" t="e">
        <f>SUMIF(Bill_Out!$Q$192:$Q$258,CONCATENATE($C13,$BR$3),Bill_Out!$O$192:$O$258)</f>
        <v>#VALUE!</v>
      </c>
      <c r="BH13" s="50"/>
      <c r="BI13" s="230">
        <f>SUMIF(Master_Data!$AK$4:$AK$145,CONCATENATE(C13,$BR$3),Master_Data!$R$4:$R$145)+SUMIF(Master_Data!$AK$152:$AK$864,CONCATENATE(C13,$BR$3),Master_Data!$R$152:$R$864)</f>
        <v>0</v>
      </c>
      <c r="BJ13" s="230">
        <f>SUMIF(Master_Data!$AK$4:$AK$145,CONCATENATE(C13,$BR$3),Master_Data!$Q$4:$Q$145)+SUMIF(Master_Data!$AK$152:$AK$864,CONCATENATE(C13,$BR$3),Master_Data!$Q$152:$Q$864)</f>
        <v>0</v>
      </c>
      <c r="BK13" s="230">
        <f>SUMIF(Master_Data!$AK$4:$AK$145,CONCATENATE(C13,$BR$3),Master_Data!$U$4:$U$145)+SUMIF(Master_Data!$AK$152:$AK$864,CONCATENATE(C13,$BR$3),Master_Data!$U$152:$U$864)</f>
        <v>4320000</v>
      </c>
      <c r="BL13" s="230">
        <f>SUMIF(Master_Data!$AK$4:$AK$145,CONCATENATE(C13,$BR$3),Master_Data!$S$4:$S$145)+SUMIF(Master_Data!$AK$152:$AK$864,CONCATENATE(C13,$BR$3),Master_Data!$S$152:$S$864)</f>
        <v>0</v>
      </c>
      <c r="BM13" s="39">
        <f>SUMIF(Master_Data!$AK$152:$AK$864,CONCATENATE($C13,BR$3),Master_Data!$T$152:$T$864)</f>
        <v>-80000</v>
      </c>
      <c r="BN13" s="230">
        <f t="shared" si="24"/>
        <v>0</v>
      </c>
      <c r="BO13" s="230" t="e">
        <f t="shared" ca="1" si="25"/>
        <v>#VALUE!</v>
      </c>
      <c r="BP13" s="31"/>
      <c r="BQ13" s="909" t="str">
        <f t="shared" si="26"/>
        <v>CIPTA INFORMATIKA CEMERLANG, PTAPR</v>
      </c>
      <c r="BR13" s="24"/>
      <c r="BS13" s="259"/>
      <c r="BT13" s="109">
        <f t="shared" si="59"/>
        <v>0</v>
      </c>
      <c r="BU13" s="109" t="e">
        <f t="shared" ca="1" si="60"/>
        <v>#VALUE!</v>
      </c>
      <c r="BV13" s="54"/>
      <c r="BW13" s="109">
        <f>SUMIF(Bill_Out!$Q$263:$Q$314,CONCATENATE($C13,$CI$3),Bill_Out!$N$263:$N$314)</f>
        <v>0</v>
      </c>
      <c r="BX13" s="109" t="e">
        <f>SUMIF(Bill_Out!$Q$263:$Q$314,CONCATENATE($C13,$CI$3),Bill_Out!$O$263:$O$314)</f>
        <v>#VALUE!</v>
      </c>
      <c r="BY13" s="50"/>
      <c r="BZ13" s="310">
        <f>SUMIF(Master_Data!$AK$4:$AK$145,CONCATENATE(C13,$CI$3),Master_Data!$R$4:$R$145)+SUMIF(Master_Data!$AK$152:$AK$864,CONCATENATE(C13,$CI$3),Master_Data!$R$152:$R$864)</f>
        <v>0</v>
      </c>
      <c r="CA13" s="310">
        <f>SUMIF(Master_Data!$AK$4:$AK$145,CONCATENATE(C13,$CI$3),Master_Data!$Q$4:$Q$145)+SUMIF(Master_Data!$AK$152:$AK$864,CONCATENATE(C13,$CI$3),Master_Data!$Q$152:$Q$864)</f>
        <v>0</v>
      </c>
      <c r="CB13" s="310">
        <f>SUMIF(Master_Data!$AK$4:$AK$145,CONCATENATE(C13,$CI$3),Master_Data!$U$4:$U$145)+SUMIF(Master_Data!$AK$152:$AK$864,CONCATENATE(C13,$CI$3),Master_Data!$U$152:$U$864)</f>
        <v>4320000</v>
      </c>
      <c r="CC13" s="230">
        <f>SUMIF(Master_Data!$AK$4:$AK$145,CONCATENATE(C13,$CI$3),Master_Data!$S$4:$S$145)+SUMIF(Master_Data!$AK$152:$AK$864,CONCATENATE(C13,$CI$3),Master_Data!$S$152:$S$864)</f>
        <v>0</v>
      </c>
      <c r="CD13" s="39">
        <f>SUMIF(Master_Data!$AK$152:$AK$864,CONCATENATE($C13,CI$3),Master_Data!$T$152:$T$864)</f>
        <v>-80000</v>
      </c>
      <c r="CE13" s="310">
        <f t="shared" si="27"/>
        <v>0</v>
      </c>
      <c r="CF13" s="230" t="e">
        <f t="shared" ca="1" si="28"/>
        <v>#VALUE!</v>
      </c>
      <c r="CG13" s="31"/>
      <c r="CH13" s="235" t="str">
        <f t="shared" si="29"/>
        <v>CIPTA INFORMATIKA CEMERLANG, PTMEI</v>
      </c>
      <c r="CI13" s="24"/>
      <c r="CJ13" s="259"/>
      <c r="CK13" s="109">
        <f t="shared" si="30"/>
        <v>0</v>
      </c>
      <c r="CL13" s="238" t="e">
        <f t="shared" ca="1" si="31"/>
        <v>#VALUE!</v>
      </c>
      <c r="CM13" s="54"/>
      <c r="CN13" s="238">
        <f>SUMIF(Bill_Out!$Q$318:$Q$371,CONCATENATE($C13,$CZ$3),Bill_Out!$N$318:$N$371)</f>
        <v>0</v>
      </c>
      <c r="CO13" s="238" t="e">
        <f>SUMIF(Bill_Out!$Q$318:$Q$371,CONCATENATE($C13,$CZ$3),Bill_Out!$O$318:$O$371)</f>
        <v>#VALUE!</v>
      </c>
      <c r="CP13" s="50"/>
      <c r="CQ13" s="230">
        <f>SUMIF(Master_Data!$AK$4:$AK$145,CONCATENATE($C13,$CZ$3),Master_Data!$R$4:$R$145)+SUMIF(Master_Data!$AK$152:$AK$864,CONCATENATE($C13,$CZ$3),Master_Data!$R$152:$R$864)</f>
        <v>0</v>
      </c>
      <c r="CR13" s="230">
        <f>SUMIF(Master_Data!$AK$4:$AK$145,CONCATENATE($C13,$CZ$3),Master_Data!$Q$4:$Q$145)+SUMIF(Master_Data!$AK$152:$AK$864,CONCATENATE($C13,$CZ$3),Master_Data!$Q$152:$Q$864)</f>
        <v>0</v>
      </c>
      <c r="CS13" s="230">
        <f>SUMIF(Master_Data!$AK$4:$AK$145,CONCATENATE($C13,$CZ$3),Master_Data!$U$4:$U$145)+SUMIF(Master_Data!$AK$152:$AK$864,CONCATENATE($C13,$CZ$3),Master_Data!$U$152:$U$864)</f>
        <v>4320000</v>
      </c>
      <c r="CT13" s="230">
        <f ca="1">SUMIF(Master_Data!$AK$4:$AK$145,CONCATENATE(C13,$CZ$3),Master_Data!$S$4:$S$145)+SUMIF(Master_Data!$AK$152:$AK$915,CONCATENATE(C13,$CZ$3),Master_Data!$S$152:$S$864)</f>
        <v>0</v>
      </c>
      <c r="CU13" s="1010">
        <f>SUMIF(Master_Data!$AK$4:$AK$145,CONCATENATE(C13,$CZ$3),Master_Data!$T$4:$T$145)+SUMIF(Master_Data!$AK$152:$AK$864,CONCATENATE(C13,$CZ$3),Master_Data!$T$152:$T$864)</f>
        <v>-80000</v>
      </c>
      <c r="CV13" s="230">
        <f t="shared" si="32"/>
        <v>0</v>
      </c>
      <c r="CW13" s="230" t="e">
        <f t="shared" ca="1" si="33"/>
        <v>#VALUE!</v>
      </c>
      <c r="CX13" s="31"/>
      <c r="CY13" s="1007" t="str">
        <f t="shared" si="6"/>
        <v>CIPTA INFORMATIKA CEMERLANG, PTJUN</v>
      </c>
      <c r="CZ13" s="24"/>
      <c r="DA13" s="259"/>
      <c r="DB13" s="109">
        <f t="shared" si="34"/>
        <v>0</v>
      </c>
      <c r="DC13" s="109" t="e">
        <f t="shared" ca="1" si="35"/>
        <v>#VALUE!</v>
      </c>
      <c r="DD13" s="54"/>
      <c r="DE13" s="109">
        <f>SUMIF(Bill_Out!$Q$375:$Q$422,CONCATENATE($C13,$DQ$3),Bill_Out!$N$375:$N$422)</f>
        <v>0</v>
      </c>
      <c r="DF13" s="109" t="e">
        <f>SUMIF(Bill_Out!$Q$375:$Q$422,CONCATENATE($C13,$DQ$3),Bill_Out!$O$375:$O$422)</f>
        <v>#VALUE!</v>
      </c>
      <c r="DG13" s="50"/>
      <c r="DH13" s="310">
        <f>SUMIF(Master_Data!$AK$4:$AK$145,CONCATENATE($C13,$DQ$3),Master_Data!$R$4:$R$145)+SUMIF(Master_Data!$AK$152:$AK$864,CONCATENATE($C13,$DQ$3),Master_Data!$R$152:$R$864)</f>
        <v>0</v>
      </c>
      <c r="DI13" s="310">
        <f>SUMIF(Master_Data!$AK$4:$AK$145,CONCATENATE($C13,$DQ$3),Master_Data!$Q$4:$Q$145)+SUMIF(Master_Data!$AK$152:$AK$864,CONCATENATE($C13,$DQ$3),Master_Data!$Q$152:$Q$864)</f>
        <v>0</v>
      </c>
      <c r="DJ13" s="310">
        <f>SUMIF(Master_Data!$AK$4:$AK$145,CONCATENATE($C13,$DQ$3),Master_Data!$U$4:$U$145)+SUMIF(Master_Data!$AK$152:$AK$864,CONCATENATE($C13,$DQ$3),Master_Data!$U$152:$U$864)</f>
        <v>4320000</v>
      </c>
      <c r="DK13" s="310">
        <f>SUMIF(Master_Data!$AK$4:$AK$145,CONCATENATE($C13,$DQ$3),Master_Data!$S$4:$S$145)+SUMIF(Master_Data!$AK$152:$AK$864,CONCATENATE($C13,$DQ$3),Master_Data!$S$152:$S$864)</f>
        <v>0</v>
      </c>
      <c r="DL13" s="39">
        <f>SUMIF(Master_Data!$AK$152:$AK$915,CONCATENATE($C13,DQ$3),Master_Data!$T$152:$T$915)</f>
        <v>-80000</v>
      </c>
      <c r="DM13" s="230">
        <f t="shared" si="67"/>
        <v>0</v>
      </c>
      <c r="DN13" s="230" t="e">
        <f t="shared" ca="1" si="68"/>
        <v>#VALUE!</v>
      </c>
      <c r="DO13" s="31"/>
      <c r="DP13" s="358" t="str">
        <f t="shared" si="9"/>
        <v>CIPTA INFORMATIKA CEMERLANG, PTJUL</v>
      </c>
      <c r="DQ13" s="24"/>
      <c r="DR13" s="390"/>
      <c r="DS13" s="109">
        <f t="shared" si="36"/>
        <v>0</v>
      </c>
      <c r="DT13" s="109" t="e">
        <f t="shared" ca="1" si="37"/>
        <v>#VALUE!</v>
      </c>
      <c r="DU13" s="31"/>
      <c r="DV13" s="109">
        <f>SUMIF(Bill_Out!$Q$426:$Q$472,CONCATENATE($C13,$EH$3),Bill_Out!$N$426:$N$472)</f>
        <v>0</v>
      </c>
      <c r="DW13" s="109">
        <f>SUMIF(Bill_Out!$Q$426:$Q$472,CONCATENATE($C13,$EH$3),Bill_Out!$O$426:$O$472)</f>
        <v>0</v>
      </c>
      <c r="DX13" s="50"/>
      <c r="DY13" s="310">
        <f>SUMIF(Master_Data!$AK$4:$AK$145,CONCATENATE($C13,$EH$3),Master_Data!$R$4:$R$145)+SUMIF(Master_Data!$AK$152:$AK$864,CONCATENATE($C13,$EH$3),Master_Data!$R$152:$R$864)</f>
        <v>0</v>
      </c>
      <c r="DZ13" s="310">
        <f>SUMIF(Master_Data!$AK$4:$AK$145,CONCATENATE($C13,$EH$3),Master_Data!$Q$4:$Q$145)+SUMIF(Master_Data!$AK$152:$AK$864,CONCATENATE($C13,$EH$3),Master_Data!$Q$152:$Q$864)</f>
        <v>0</v>
      </c>
      <c r="EA13" s="310">
        <f>SUMIF(Master_Data!$AK$4:$AK$145,CONCATENATE($C13,$EH$3),Master_Data!$U$4:$U$145)+SUMIF(Master_Data!$AK$152:$AK$864,CONCATENATE($C13,$EH$3),Master_Data!$U$152:$U$864)</f>
        <v>4320000</v>
      </c>
      <c r="EB13" s="310">
        <f>SUMIF(Master_Data!$AK$4:$AK$145,CONCATENATE($C13,$EH$3),Master_Data!$S$4:$S$145)+SUMIF(Master_Data!$AK$152:$AK$864,CONCATENATE($C13,$EH$3),Master_Data!$S$152:$S$864)</f>
        <v>0</v>
      </c>
      <c r="EC13" s="39">
        <f>SUMIF(Master_Data!$AK$152:$AK$915,CONCATENATE($C13,EH$3),Master_Data!$T$152:$T$915)</f>
        <v>-80000</v>
      </c>
      <c r="ED13" s="310">
        <f t="shared" si="38"/>
        <v>0</v>
      </c>
      <c r="EE13" s="230" t="e">
        <f t="shared" ca="1" si="39"/>
        <v>#VALUE!</v>
      </c>
      <c r="EF13" s="31"/>
      <c r="EG13" s="358" t="str">
        <f t="shared" si="10"/>
        <v>CIPTA INFORMATIKA CEMERLANG, PTAGS</v>
      </c>
      <c r="EH13" s="24"/>
      <c r="EI13" s="390"/>
      <c r="EJ13" s="109">
        <f t="shared" si="47"/>
        <v>0</v>
      </c>
      <c r="EK13" s="109" t="e">
        <f t="shared" ca="1" si="48"/>
        <v>#VALUE!</v>
      </c>
      <c r="EL13" s="84"/>
      <c r="EM13" s="109">
        <f>SUMIF(Bill_Out!$Q$476:$Q$530,CONCATENATE($C13,$EY$3),Bill_Out!$N$476:$N$530)</f>
        <v>0</v>
      </c>
      <c r="EN13" s="109">
        <f>SUMIF(Bill_Out!$Q$476:$Q$530,CONCATENATE($C13,$EY$3),Bill_Out!$O$476:$O$530)</f>
        <v>0</v>
      </c>
      <c r="EO13" s="309"/>
      <c r="EP13" s="310">
        <f>SUMIF(Master_Data!$AK$4:$AK$145,CONCATENATE($C13,$EY$3),Master_Data!$R$4:$R$145)+SUMIF(Master_Data!$AK$152:$AK$864,CONCATENATE($C13,$EY$3),Master_Data!$R$152:$R$864)</f>
        <v>0</v>
      </c>
      <c r="EQ13" s="310">
        <f>SUMIF(Master_Data!$AK$4:$AK$145,CONCATENATE($C13,$EY$3),Master_Data!$Q$4:$Q$145)+SUMIF(Master_Data!$AK$152:$AK$864,CONCATENATE($C13,$EY$3),Master_Data!$Q$152:$Q$864)</f>
        <v>0</v>
      </c>
      <c r="ER13" s="310">
        <f>SUMIF(Master_Data!$AK$4:$AK$145,CONCATENATE($C13,$EY$3),Master_Data!$U$4:$U$145)+SUMIF(Master_Data!$AK$152:$AK$864,CONCATENATE($C13,$EY$3),Master_Data!$U$152:$U$864)</f>
        <v>0</v>
      </c>
      <c r="ES13" s="310">
        <f>SUMIF(Master_Data!$AK$4:$AK$145,CONCATENATE($C13,$EY$3),Master_Data!$S$4:$S$145)+SUMIF(Master_Data!$AK$152:$AK$864,CONCATENATE($C13,$EY$3),Master_Data!$S$152:$S$864)</f>
        <v>0</v>
      </c>
      <c r="ET13" s="39">
        <f>SUMIF(Master_Data!$AK$152:$AK$915,CONCATENATE($C13,EY$3),Master_Data!$T$152:$T$915)</f>
        <v>0</v>
      </c>
      <c r="EU13" s="310">
        <f t="shared" si="49"/>
        <v>0</v>
      </c>
      <c r="EV13" s="230"/>
      <c r="EW13" s="84"/>
      <c r="EX13" s="358" t="str">
        <f t="shared" si="11"/>
        <v>CIPTA INFORMATIKA CEMERLANG, PTSEP</v>
      </c>
      <c r="EY13" s="24"/>
      <c r="EZ13" s="412"/>
      <c r="FA13" s="109">
        <f t="shared" si="50"/>
        <v>0</v>
      </c>
      <c r="FB13" s="109">
        <f t="shared" si="51"/>
        <v>0</v>
      </c>
      <c r="FC13" s="421"/>
      <c r="FD13" s="109">
        <f>SUMIF(Bill_Out!$Q$534:$Q$606,CONCATENATE($C13,$FP$3),Bill_Out!$N$534:$N$606)</f>
        <v>0</v>
      </c>
      <c r="FE13" s="109">
        <f>SUMIF(Bill_Out!$Q$534:$Q$606,CONCATENATE($C13,$FP$3),Bill_Out!$O$534:$O$606)</f>
        <v>0</v>
      </c>
      <c r="FF13" s="309"/>
      <c r="FG13" s="310">
        <f>SUMIF(Master_Data!$AK$4:$AK$145,CONCATENATE($C13,$FP$3),Master_Data!$R$4:$R$145)+SUMIF(Master_Data!$AK$152:$AK$864,CONCATENATE($C13,$FP$3),Master_Data!$R$152:$R$864)</f>
        <v>0</v>
      </c>
      <c r="FH13" s="310">
        <f>SUMIF(Master_Data!$AK$4:$AK$145,CONCATENATE($C13,$FP$3),Master_Data!$Q$4:$Q$145)+SUMIF(Master_Data!$AK$152:$AK$864,CONCATENATE($C13,$FP$3),Master_Data!$Q$152:$Q$864)</f>
        <v>0</v>
      </c>
      <c r="FI13" s="310">
        <f>SUMIF(Master_Data!$AK$4:$AK$145,CONCATENATE($C13,$FP$3),Master_Data!$U$4:$U$145)+SUMIF(Master_Data!$AK$152:$AK$864,CONCATENATE($C13,$FP$3),Master_Data!$U$152:$U$864)</f>
        <v>0</v>
      </c>
      <c r="FJ13" s="310">
        <f>SUMIF(Master_Data!$AK$4:$AK$145,CONCATENATE($C13,$FP$3),Master_Data!$S$4:$S$145)+SUMIF(Master_Data!$AK$152:$AK$864,CONCATENATE($C13,$FP$3),Master_Data!$S$152:$S$864)</f>
        <v>0</v>
      </c>
      <c r="FK13" s="39">
        <f>SUMIF(Master_Data!$AK$152:$AK$915,CONCATENATE($C13,FP$3),Master_Data!$T$152:$T$915)</f>
        <v>0</v>
      </c>
      <c r="FL13" s="310">
        <f t="shared" si="52"/>
        <v>0</v>
      </c>
      <c r="FM13" s="230">
        <f t="shared" si="53"/>
        <v>0</v>
      </c>
      <c r="FN13" s="31"/>
      <c r="FO13" s="358" t="str">
        <f>CONCATENATE($C13,$FP$3)</f>
        <v>CIPTA INFORMATIKA CEMERLANG, PTOKT</v>
      </c>
      <c r="FP13" s="24"/>
      <c r="FQ13" s="412"/>
      <c r="FR13" s="109">
        <f t="shared" si="42"/>
        <v>0</v>
      </c>
      <c r="FS13" s="109">
        <f t="shared" si="54"/>
        <v>0</v>
      </c>
      <c r="FT13" s="423"/>
      <c r="FU13" s="109">
        <f>SUMIF(Bill_Out!$Q$610:$Q$675,CONCATENATE($C13,$GG$3),Bill_Out!$N$610:$N$675)</f>
        <v>0</v>
      </c>
      <c r="FV13" s="109">
        <f>SUMIF(Bill_Out!$Q$610:$Q$675,CONCATENATE($C13,$GG$3),Bill_Out!$O$610:$O$675)</f>
        <v>0</v>
      </c>
      <c r="FW13" s="50"/>
      <c r="FX13" s="512">
        <f>SUMIF(Master_Data!$AK$4:$AK$145,CONCATENATE($C13,$GG$3),Master_Data!$R$4:$R$145)+SUMIF(Master_Data!$AK$152:$AK$864,CONCATENATE($C13,$GG$3),Master_Data!$R$152:$R$864)</f>
        <v>0</v>
      </c>
      <c r="FY13" s="512">
        <f>SUMIF(Master_Data!$AK$4:$AK$145,CONCATENATE($C13,$GG$3),Master_Data!$Q$4:$Q$145)+SUMIF(Master_Data!$AK$152:$AK$864,CONCATENATE($C13,$GG$3),Master_Data!$Q$152:$Q$864)</f>
        <v>0</v>
      </c>
      <c r="FZ13" s="512">
        <f>SUMIF(Master_Data!$AK$4:$AK$145,CONCATENATE($C13,$GG$3),Master_Data!$U$4:$U$145)+SUMIF(Master_Data!$AK$152:$AK$864,CONCATENATE($C13,$GG$3),Master_Data!$U$152:$U$864)</f>
        <v>0</v>
      </c>
      <c r="GA13" s="310">
        <f>SUMIF(Master_Data!$AK$4:$AK$145,CONCATENATE($C13,$GG$3),Master_Data!$S$4:$S$145)+SUMIF(Master_Data!$AK$152:$AK$864,CONCATENATE($C13,$GG$3),Master_Data!$S$152:$S$864)</f>
        <v>0</v>
      </c>
      <c r="GB13" s="39">
        <f>SUMIF(Master_Data!$AK$152:$AK$915,CONCATENATE($C13,GG$3),Master_Data!$T$152:$T$915)</f>
        <v>0</v>
      </c>
      <c r="GC13" s="230">
        <f t="shared" si="55"/>
        <v>0</v>
      </c>
      <c r="GD13" s="230">
        <f t="shared" si="14"/>
        <v>0</v>
      </c>
      <c r="GE13" s="31"/>
      <c r="GF13" s="358" t="str">
        <f>CONCATENATE($C13,$GG$3)</f>
        <v>CIPTA INFORMATIKA CEMERLANG, PTNOV</v>
      </c>
      <c r="GG13" s="24"/>
      <c r="GH13" s="412" t="s">
        <v>561</v>
      </c>
      <c r="GI13" s="109">
        <f t="shared" si="43"/>
        <v>0</v>
      </c>
      <c r="GJ13" s="109">
        <f t="shared" si="56"/>
        <v>0</v>
      </c>
      <c r="GK13" s="423"/>
      <c r="GL13" s="109">
        <f>SUMIF(Bill_Out!$Q$679:$Q$756,CONCATENATE($C13,$GX$3),Bill_Out!$N$679:$N$756)</f>
        <v>0</v>
      </c>
      <c r="GM13" s="109">
        <f>SUMIF(Bill_Out!$Q$679:$Q$756,CONCATENATE($C13,$GX$3),Bill_Out!$O$679:$O$756)</f>
        <v>0</v>
      </c>
      <c r="GN13" s="50"/>
      <c r="GO13" s="512">
        <f>SUMIF(Master_Data!$AK$4:$AK$145,CONCATENATE($C13,$GX$3),Master_Data!$R$4:$R$145)+SUMIF(Master_Data!$AK$152:$AK$864,CONCATENATE($C13,$GX$3),Master_Data!$R$152:$R$864)</f>
        <v>0</v>
      </c>
      <c r="GP13" s="512">
        <f>SUMIF(Master_Data!$AK$4:$AK$145,CONCATENATE($C13,$GX$3),Master_Data!$Q$4:$Q$145)+SUMIF(Master_Data!$AK$152:$AK$864,CONCATENATE($C13,$GX$3),Master_Data!$Q$152:$Q$864)</f>
        <v>0</v>
      </c>
      <c r="GQ13" s="512">
        <f>SUMIF(Master_Data!$AK$4:$AK$145,CONCATENATE($C13,$GX$3),Master_Data!$U$4:$U$145)+SUMIF(Master_Data!$AK$152:$AK$864,CONCATENATE($C13,$GX$3),Master_Data!$U$152:$U$864)</f>
        <v>0</v>
      </c>
      <c r="GR13" s="310">
        <f>SUMIF(Master_Data!$AK$4:$AK$145,CONCATENATE($C13,$GX$3),Master_Data!$S$4:$S$145)+SUMIF(Master_Data!$AK$152:$AK$864,CONCATENATE($C13,$GX$3),Master_Data!$S$152:$S$864)</f>
        <v>0</v>
      </c>
      <c r="GS13" s="39">
        <f>SUMIF(Master_Data!$AK$152:$AK$864,CONCATENATE($C13,GX$3),Master_Data!$T$152:$T$864)</f>
        <v>0</v>
      </c>
      <c r="GT13" s="534">
        <f t="shared" si="44"/>
        <v>0</v>
      </c>
      <c r="GU13" s="310">
        <f t="shared" si="16"/>
        <v>0</v>
      </c>
      <c r="GV13" s="31"/>
      <c r="GW13" s="358" t="str">
        <f t="shared" ref="GW13:GW41" si="69">CONCATENATE($C13,$GX$3)</f>
        <v>CIPTA INFORMATIKA CEMERLANG, PTDES</v>
      </c>
      <c r="GX13" s="24"/>
    </row>
    <row r="14" spans="1:206" s="19" customFormat="1">
      <c r="A14" s="21" t="s">
        <v>42</v>
      </c>
      <c r="B14" s="236" t="str">
        <f t="shared" si="18"/>
        <v>CITRA SARI MAKMUR, PTJAN</v>
      </c>
      <c r="C14" s="22" t="s">
        <v>190</v>
      </c>
      <c r="D14" s="52" t="s">
        <v>303</v>
      </c>
      <c r="E14" s="238">
        <f>SUMIF(Master_Data!$D6:$D$145,CONCATENATE(C14),Master_Data!M6:M149)</f>
        <v>0</v>
      </c>
      <c r="F14" s="109">
        <f>SUMIF(Master_Data!$D10:$D$145,CONCATENATE(C14),Master_Data!N10:N153)</f>
        <v>50000000</v>
      </c>
      <c r="G14" s="54"/>
      <c r="H14" s="109">
        <f>SUMIF(Bill_Out!$Q$3:$Q$65,CONCATENATE($C14,$S$3),Bill_Out!$N$3:$N$65)</f>
        <v>0</v>
      </c>
      <c r="I14" s="88">
        <f>SUMIF(Bill_Out!$Q$3:$Q$65,CONCATENATE($C14,$S$3),Bill_Out!$O$3:$O$65)</f>
        <v>0</v>
      </c>
      <c r="J14" s="50"/>
      <c r="K14" s="29"/>
      <c r="L14" s="44"/>
      <c r="M14" s="230">
        <f>SUMIF(Master_Data!$AK9:$AK$145,CONCATENATE(C14,$S$3),Master_Data!U9:U150)+SUMIF(Master_Data!$AK187:$AK$864,CONCATENATE(C14,$S$3),Master_Data!U187:U870)</f>
        <v>0</v>
      </c>
      <c r="N14" s="310">
        <f>SUMIF(Master_Data!$AK$4:$AK$145,CONCATENATE(C14,$S$3),Master_Data!$S$4:$S$145)+SUMIF(Master_Data!$AK$150:$AK$864,CONCATENATE(C14,$S$3),Master_Data!$S$150:$S$864)</f>
        <v>0</v>
      </c>
      <c r="O14" s="310">
        <f>SUMIF(Master_Data!$AK$4:$AK$145,CONCATENATE(C14,$S$3),Master_Data!$T$4:$T$145)+SUMIF(Master_Data!$AK$150:$AK$864,CONCATENATE(C14,$S$3),Master_Data!$T$150:$T$864)</f>
        <v>0</v>
      </c>
      <c r="P14" s="230">
        <f t="shared" si="19"/>
        <v>0</v>
      </c>
      <c r="Q14" s="230">
        <f t="shared" si="20"/>
        <v>50000000</v>
      </c>
      <c r="R14" s="31"/>
      <c r="S14" s="24"/>
      <c r="T14" s="259"/>
      <c r="U14" s="109">
        <f t="shared" si="61"/>
        <v>0</v>
      </c>
      <c r="V14" s="109">
        <f t="shared" si="62"/>
        <v>50000000</v>
      </c>
      <c r="W14" s="54"/>
      <c r="X14" s="109">
        <f>SUMIF(Bill_Out!$Q$67:$Q$132,CONCATENATE($C14,$AJ$3),Bill_Out!$N$67:$N$132)</f>
        <v>0</v>
      </c>
      <c r="Y14" s="109">
        <f>SUMIF(Bill_Out!$Q$67:$Q$132,CONCATENATE($C14,$AJ$3),Bill_Out!$O$67:$O$132)</f>
        <v>0</v>
      </c>
      <c r="Z14" s="50"/>
      <c r="AA14" s="230">
        <f>SUMIF(Master_Data!$AK$4:$AK$145,CONCATENATE(C14,$AJ$3),Master_Data!$R$4:$R$145)+SUMIF(Master_Data!$AK$152:$AK$850,CONCATENATE(C14,$AJ$3),Master_Data!$R$152:$R$850)</f>
        <v>0</v>
      </c>
      <c r="AB14" s="230">
        <f>SUMIF(Master_Data!$AK$4:$AK$145,CONCATENATE(C14,$AJ$3),Master_Data!$Q$4:$Q$145)+SUMIF(Master_Data!$AK$152:$AK$850,CONCATENATE(C14,$AJ$3),Master_Data!$Q$152:$Q$850)</f>
        <v>0</v>
      </c>
      <c r="AC14" s="230">
        <f>SUMIF(Master_Data!$AK$4:$AK$145,CONCATENATE(C14,$AJ$3),Master_Data!$U$4:$U$145)+SUMIF(Master_Data!$AK$152:$AK$850,CONCATENATE(C14,$AJ$3),Master_Data!$U$152:$U$850)</f>
        <v>0</v>
      </c>
      <c r="AD14" s="310">
        <f ca="1">SUMIF(Master_Data!$AK$4:$AK$145,CONCATENATE(C14,$AJ$3),Master_Data!$S$4:$S$145)+SUMIF(Master_Data!$AK$152:$AK$864,CONCATENATE(C14,$AJ$3),Master_Data!$S$152:$S$850)</f>
        <v>0</v>
      </c>
      <c r="AE14" s="310">
        <f>SUMIF(Master_Data!$AK$4:$AK$145,CONCATENATE(C14,$AJ$3),Master_Data!$T$4:$T$145)+SUMIF(Master_Data!$AK$152:$AK$864,CONCATENATE(C14,$AJ$3),Master_Data!$T$152:$T$864)</f>
        <v>0</v>
      </c>
      <c r="AF14" s="230">
        <f t="shared" si="63"/>
        <v>0</v>
      </c>
      <c r="AG14" s="230">
        <f t="shared" ca="1" si="64"/>
        <v>50000000</v>
      </c>
      <c r="AH14" s="31"/>
      <c r="AI14" s="235" t="str">
        <f t="shared" si="3"/>
        <v>CITRA SARI MAKMUR, PTFEB</v>
      </c>
      <c r="AJ14" s="24"/>
      <c r="AK14" s="259"/>
      <c r="AL14" s="109">
        <f t="shared" si="65"/>
        <v>0</v>
      </c>
      <c r="AM14" s="109">
        <f t="shared" ca="1" si="66"/>
        <v>50000000</v>
      </c>
      <c r="AN14" s="54"/>
      <c r="AO14" s="109">
        <f>SUMIF(Bill_Out!$Q$134:$Q$188,CONCATENATE($C14,$BA$3),Bill_Out!$N$134:$N$188)</f>
        <v>0</v>
      </c>
      <c r="AP14" s="109">
        <f>SUMIF(Bill_Out!$Q$134:$Q$188,CONCATENATE($C14,$BA$3),Bill_Out!$O$134:$O$188)</f>
        <v>0</v>
      </c>
      <c r="AQ14" s="50"/>
      <c r="AR14" s="230">
        <f>SUMIF(Master_Data!$AK$4:$AK$145,CONCATENATE(C14,$BA$3),Master_Data!$R$4:$R$145)+SUMIF(Master_Data!$AK$152:$AK$864,CONCATENATE(C14,$BA$3),Master_Data!$R$152:$R$864)</f>
        <v>0</v>
      </c>
      <c r="AS14" s="230">
        <f>SUMIF(Master_Data!$AK$4:$AK$145,CONCATENATE(C14,$BA$3),Master_Data!$Q$4:$Q$145)+SUMIF(Master_Data!$AK$152:$AK$864,CONCATENATE(C14,$BA$3),Master_Data!$Q$152:$Q$864)</f>
        <v>0</v>
      </c>
      <c r="AT14" s="230">
        <f>SUMIF(Master_Data!$AK$4:$AK$145,CONCATENATE(C14,$BA$3),Master_Data!$U$4:$U$145)+SUMIF(Master_Data!$AK$152:$AK$864,CONCATENATE(C14,$BA$3),Master_Data!$U$152:$U$864)</f>
        <v>0</v>
      </c>
      <c r="AU14" s="230">
        <f ca="1">SUMIF(Master_Data!$AK$4:$AK$145,CONCATENATE(C14,$BA$3),Master_Data!$S$4:$S$145)+SUMIF(Master_Data!$AK$152:$AK$864,CONCATENATE(C14,$BA$3),Master_Data!$S$152:$S$850)</f>
        <v>0</v>
      </c>
      <c r="AV14" s="39">
        <f>SUMIF(Master_Data!$AK$152:$AK$864,CONCATENATE($C14,BA$3),Master_Data!$T$152:$T$864)</f>
        <v>0</v>
      </c>
      <c r="AW14" s="230">
        <f t="shared" si="57"/>
        <v>0</v>
      </c>
      <c r="AX14" s="230">
        <f t="shared" ca="1" si="58"/>
        <v>50000000</v>
      </c>
      <c r="AY14" s="31"/>
      <c r="AZ14" s="235" t="str">
        <f t="shared" si="21"/>
        <v>CITRA SARI MAKMUR, PTMAR</v>
      </c>
      <c r="BA14" s="24"/>
      <c r="BB14" s="259"/>
      <c r="BC14" s="109">
        <f t="shared" si="22"/>
        <v>0</v>
      </c>
      <c r="BD14" s="109">
        <f t="shared" ca="1" si="23"/>
        <v>50000000</v>
      </c>
      <c r="BE14" s="54"/>
      <c r="BF14" s="109">
        <f>SUMIF(Bill_Out!$Q$192:$Q$258,CONCATENATE($C14,$BR$3),Bill_Out!$N$192:$N$258)</f>
        <v>0</v>
      </c>
      <c r="BG14" s="109">
        <f>SUMIF(Bill_Out!$Q$192:$Q$258,CONCATENATE($C14,$BR$3),Bill_Out!$O$192:$O$258)</f>
        <v>0</v>
      </c>
      <c r="BH14" s="50"/>
      <c r="BI14" s="230">
        <f>SUMIF(Master_Data!$AK$4:$AK$145,CONCATENATE(C14,$BR$3),Master_Data!$R$4:$R$145)+SUMIF(Master_Data!$AK$152:$AK$864,CONCATENATE(C14,$BR$3),Master_Data!$R$152:$R$864)</f>
        <v>0</v>
      </c>
      <c r="BJ14" s="230">
        <f>SUMIF(Master_Data!$AK$4:$AK$145,CONCATENATE(C14,$BR$3),Master_Data!$Q$4:$Q$145)+SUMIF(Master_Data!$AK$152:$AK$864,CONCATENATE(C14,$BR$3),Master_Data!$Q$152:$Q$864)</f>
        <v>0</v>
      </c>
      <c r="BK14" s="230">
        <f>SUMIF(Master_Data!$AK$4:$AK$145,CONCATENATE(C14,$BR$3),Master_Data!$U$4:$U$145)+SUMIF(Master_Data!$AK$152:$AK$864,CONCATENATE(C14,$BR$3),Master_Data!$U$152:$U$864)</f>
        <v>0</v>
      </c>
      <c r="BL14" s="230">
        <f>SUMIF(Master_Data!$AK$4:$AK$145,CONCATENATE(C14,$BR$3),Master_Data!$S$4:$S$145)+SUMIF(Master_Data!$AK$152:$AK$864,CONCATENATE(C14,$BR$3),Master_Data!$S$152:$S$864)</f>
        <v>0</v>
      </c>
      <c r="BM14" s="39">
        <f>SUMIF(Master_Data!$AK$152:$AK$864,CONCATENATE($C14,BR$3),Master_Data!$T$152:$T$864)</f>
        <v>0</v>
      </c>
      <c r="BN14" s="230">
        <f t="shared" si="24"/>
        <v>0</v>
      </c>
      <c r="BO14" s="230">
        <f t="shared" ca="1" si="25"/>
        <v>50000000</v>
      </c>
      <c r="BP14" s="31"/>
      <c r="BQ14" s="909" t="str">
        <f t="shared" si="26"/>
        <v>CITRA SARI MAKMUR, PTAPR</v>
      </c>
      <c r="BR14" s="24"/>
      <c r="BS14" s="259"/>
      <c r="BT14" s="109">
        <f t="shared" si="59"/>
        <v>0</v>
      </c>
      <c r="BU14" s="109">
        <f t="shared" ca="1" si="60"/>
        <v>50000000</v>
      </c>
      <c r="BV14" s="54"/>
      <c r="BW14" s="109">
        <f>SUMIF(Bill_Out!$Q$263:$Q$314,CONCATENATE($C14,$CI$3),Bill_Out!$N$263:$N$314)</f>
        <v>0</v>
      </c>
      <c r="BX14" s="109">
        <f>SUMIF(Bill_Out!$Q$263:$Q$314,CONCATENATE($C14,$CI$3),Bill_Out!$O$263:$O$314)</f>
        <v>0</v>
      </c>
      <c r="BY14" s="50"/>
      <c r="BZ14" s="310">
        <f>SUMIF(Master_Data!$AK$4:$AK$145,CONCATENATE(C14,$CI$3),Master_Data!$R$4:$R$145)+SUMIF(Master_Data!$AK$152:$AK$864,CONCATENATE(C14,$CI$3),Master_Data!$R$152:$R$864)</f>
        <v>0</v>
      </c>
      <c r="CA14" s="310">
        <f>SUMIF(Master_Data!$AK$4:$AK$145,CONCATENATE(C14,$CI$3),Master_Data!$Q$4:$Q$145)+SUMIF(Master_Data!$AK$152:$AK$864,CONCATENATE(C14,$CI$3),Master_Data!$Q$152:$Q$864)</f>
        <v>0</v>
      </c>
      <c r="CB14" s="310">
        <f>SUMIF(Master_Data!$AK$4:$AK$145,CONCATENATE(C14,$CI$3),Master_Data!$U$4:$U$145)+SUMIF(Master_Data!$AK$152:$AK$864,CONCATENATE(C14,$CI$3),Master_Data!$U$152:$U$864)</f>
        <v>0</v>
      </c>
      <c r="CC14" s="230">
        <f>SUMIF(Master_Data!$AK$4:$AK$145,CONCATENATE(C14,$CI$3),Master_Data!$S$4:$S$145)+SUMIF(Master_Data!$AK$152:$AK$864,CONCATENATE(C14,$CI$3),Master_Data!$S$152:$S$864)</f>
        <v>0</v>
      </c>
      <c r="CD14" s="39">
        <f>SUMIF(Master_Data!$AK$152:$AK$864,CONCATENATE($C14,CI$3),Master_Data!$T$152:$T$864)</f>
        <v>0</v>
      </c>
      <c r="CE14" s="310">
        <f t="shared" si="27"/>
        <v>0</v>
      </c>
      <c r="CF14" s="230">
        <f t="shared" ca="1" si="28"/>
        <v>50000000</v>
      </c>
      <c r="CG14" s="31"/>
      <c r="CH14" s="235" t="str">
        <f t="shared" si="29"/>
        <v>CITRA SARI MAKMUR, PTMEI</v>
      </c>
      <c r="CI14" s="24"/>
      <c r="CJ14" s="259"/>
      <c r="CK14" s="109">
        <f t="shared" si="30"/>
        <v>0</v>
      </c>
      <c r="CL14" s="238">
        <f t="shared" ca="1" si="31"/>
        <v>50000000</v>
      </c>
      <c r="CM14" s="54"/>
      <c r="CN14" s="238">
        <f>SUMIF(Bill_Out!$Q$318:$Q$371,CONCATENATE($C14,$CZ$3),Bill_Out!$N$318:$N$371)</f>
        <v>0</v>
      </c>
      <c r="CO14" s="238">
        <f>SUMIF(Bill_Out!$Q$318:$Q$371,CONCATENATE($C14,$CZ$3),Bill_Out!$O$318:$O$371)</f>
        <v>0</v>
      </c>
      <c r="CP14" s="50"/>
      <c r="CQ14" s="230">
        <f>SUMIF(Master_Data!$AK$4:$AK$145,CONCATENATE($C14,$CZ$3),Master_Data!$R$4:$R$145)+SUMIF(Master_Data!$AK$152:$AK$864,CONCATENATE($C14,$CZ$3),Master_Data!$R$152:$R$864)</f>
        <v>0</v>
      </c>
      <c r="CR14" s="230">
        <f>SUMIF(Master_Data!$AK$4:$AK$145,CONCATENATE($C14,$CZ$3),Master_Data!$Q$4:$Q$145)+SUMIF(Master_Data!$AK$152:$AK$864,CONCATENATE($C14,$CZ$3),Master_Data!$Q$152:$Q$864)</f>
        <v>0</v>
      </c>
      <c r="CS14" s="230">
        <f>SUMIF(Master_Data!$AK$4:$AK$145,CONCATENATE($C14,$CZ$3),Master_Data!$U$4:$U$145)+SUMIF(Master_Data!$AK$152:$AK$864,CONCATENATE($C14,$CZ$3),Master_Data!$U$152:$U$864)</f>
        <v>0</v>
      </c>
      <c r="CT14" s="230">
        <f ca="1">SUMIF(Master_Data!$AK$4:$AK$145,CONCATENATE(C14,$CZ$3),Master_Data!$S$4:$S$145)+SUMIF(Master_Data!$AK$152:$AK$915,CONCATENATE(C14,$CZ$3),Master_Data!$S$152:$S$864)</f>
        <v>0</v>
      </c>
      <c r="CU14" s="1010">
        <f>SUMIF(Master_Data!$AK$4:$AK$145,CONCATENATE(C14,$CZ$3),Master_Data!$T$4:$T$145)+SUMIF(Master_Data!$AK$152:$AK$864,CONCATENATE(C14,$CZ$3),Master_Data!$T$152:$T$864)</f>
        <v>0</v>
      </c>
      <c r="CV14" s="230">
        <f t="shared" si="32"/>
        <v>0</v>
      </c>
      <c r="CW14" s="230">
        <f t="shared" ca="1" si="33"/>
        <v>50000000</v>
      </c>
      <c r="CX14" s="31"/>
      <c r="CY14" s="1007" t="str">
        <f t="shared" si="6"/>
        <v>CITRA SARI MAKMUR, PTJUN</v>
      </c>
      <c r="CZ14" s="24"/>
      <c r="DA14" s="259"/>
      <c r="DB14" s="109">
        <f t="shared" si="34"/>
        <v>0</v>
      </c>
      <c r="DC14" s="109">
        <f t="shared" ca="1" si="35"/>
        <v>50000000</v>
      </c>
      <c r="DD14" s="54"/>
      <c r="DE14" s="109">
        <f>SUMIF(Bill_Out!$Q$375:$Q$422,CONCATENATE($C14,$DQ$3),Bill_Out!$N$375:$N$422)</f>
        <v>0</v>
      </c>
      <c r="DF14" s="109">
        <f>SUMIF(Bill_Out!$Q$375:$Q$422,CONCATENATE($C14,$DQ$3),Bill_Out!$O$375:$O$422)</f>
        <v>0</v>
      </c>
      <c r="DG14" s="50"/>
      <c r="DH14" s="310">
        <f>SUMIF(Master_Data!$AK$4:$AK$145,CONCATENATE($C14,$DQ$3),Master_Data!$R$4:$R$145)+SUMIF(Master_Data!$AK$152:$AK$864,CONCATENATE($C14,$DQ$3),Master_Data!$R$152:$R$864)</f>
        <v>0</v>
      </c>
      <c r="DI14" s="310">
        <f>SUMIF(Master_Data!$AK$4:$AK$145,CONCATENATE($C14,$DQ$3),Master_Data!$Q$4:$Q$145)+SUMIF(Master_Data!$AK$152:$AK$864,CONCATENATE($C14,$DQ$3),Master_Data!$Q$152:$Q$864)</f>
        <v>0</v>
      </c>
      <c r="DJ14" s="310">
        <f>SUMIF(Master_Data!$AK$4:$AK$145,CONCATENATE($C14,$DQ$3),Master_Data!$U$4:$U$145)+SUMIF(Master_Data!$AK$152:$AK$864,CONCATENATE($C14,$DQ$3),Master_Data!$U$152:$U$864)</f>
        <v>0</v>
      </c>
      <c r="DK14" s="310">
        <f>SUMIF(Master_Data!$AK$4:$AK$145,CONCATENATE($C14,$DQ$3),Master_Data!$S$4:$S$145)+SUMIF(Master_Data!$AK$152:$AK$864,CONCATENATE($C14,$DQ$3),Master_Data!$S$152:$S$864)</f>
        <v>0</v>
      </c>
      <c r="DL14" s="39">
        <f>SUMIF(Master_Data!$AK$152:$AK$915,CONCATENATE($C14,DQ$3),Master_Data!$T$152:$T$915)</f>
        <v>0</v>
      </c>
      <c r="DM14" s="230">
        <f t="shared" si="67"/>
        <v>0</v>
      </c>
      <c r="DN14" s="230">
        <f t="shared" ca="1" si="68"/>
        <v>50000000</v>
      </c>
      <c r="DO14" s="31"/>
      <c r="DP14" s="358" t="str">
        <f t="shared" si="9"/>
        <v>CITRA SARI MAKMUR, PTJUL</v>
      </c>
      <c r="DQ14" s="24"/>
      <c r="DR14" s="390"/>
      <c r="DS14" s="109">
        <f t="shared" si="36"/>
        <v>0</v>
      </c>
      <c r="DT14" s="109">
        <f t="shared" ca="1" si="37"/>
        <v>50000000</v>
      </c>
      <c r="DU14" s="31"/>
      <c r="DV14" s="109">
        <f>SUMIF(Bill_Out!$Q$426:$Q$472,CONCATENATE($C14,$EH$3),Bill_Out!$N$426:$N$472)</f>
        <v>0</v>
      </c>
      <c r="DW14" s="109">
        <f>SUMIF(Bill_Out!$Q$426:$Q$472,CONCATENATE($C14,$EH$3),Bill_Out!$O$426:$O$472)</f>
        <v>0</v>
      </c>
      <c r="DX14" s="50"/>
      <c r="DY14" s="310">
        <f>SUMIF(Master_Data!$AK$4:$AK$145,CONCATENATE($C14,$EH$3),Master_Data!$R$4:$R$145)+SUMIF(Master_Data!$AK$152:$AK$864,CONCATENATE($C14,$EH$3),Master_Data!$R$152:$R$864)</f>
        <v>0</v>
      </c>
      <c r="DZ14" s="310">
        <f>SUMIF(Master_Data!$AK$4:$AK$145,CONCATENATE($C14,$EH$3),Master_Data!$Q$4:$Q$145)+SUMIF(Master_Data!$AK$152:$AK$864,CONCATENATE($C14,$EH$3),Master_Data!$Q$152:$Q$864)</f>
        <v>0</v>
      </c>
      <c r="EA14" s="310">
        <f>SUMIF(Master_Data!$AK$4:$AK$145,CONCATENATE($C14,$EH$3),Master_Data!$U$4:$U$145)+SUMIF(Master_Data!$AK$152:$AK$864,CONCATENATE($C14,$EH$3),Master_Data!$U$152:$U$864)</f>
        <v>0</v>
      </c>
      <c r="EB14" s="310">
        <f>SUMIF(Master_Data!$AK$4:$AK$145,CONCATENATE($C14,$EH$3),Master_Data!$S$4:$S$145)+SUMIF(Master_Data!$AK$152:$AK$864,CONCATENATE($C14,$EH$3),Master_Data!$S$152:$S$864)</f>
        <v>0</v>
      </c>
      <c r="EC14" s="39">
        <f>SUMIF(Master_Data!$AK$152:$AK$915,CONCATENATE($C14,EH$3),Master_Data!$T$152:$T$915)</f>
        <v>0</v>
      </c>
      <c r="ED14" s="310">
        <f t="shared" si="38"/>
        <v>0</v>
      </c>
      <c r="EE14" s="230">
        <f t="shared" ca="1" si="39"/>
        <v>50000000</v>
      </c>
      <c r="EF14" s="31"/>
      <c r="EG14" s="358" t="str">
        <f t="shared" si="10"/>
        <v>CITRA SARI MAKMUR, PTAGS</v>
      </c>
      <c r="EH14" s="24"/>
      <c r="EI14" s="390"/>
      <c r="EJ14" s="109">
        <f t="shared" si="47"/>
        <v>0</v>
      </c>
      <c r="EK14" s="109">
        <f t="shared" ca="1" si="48"/>
        <v>50000000</v>
      </c>
      <c r="EL14" s="84"/>
      <c r="EM14" s="109">
        <f>SUMIF(Bill_Out!$Q$476:$Q$530,CONCATENATE($C14,$EY$3),Bill_Out!$N$476:$N$530)</f>
        <v>0</v>
      </c>
      <c r="EN14" s="109">
        <f>SUMIF(Bill_Out!$Q$476:$Q$530,CONCATENATE($C14,$EY$3),Bill_Out!$O$476:$O$530)</f>
        <v>0</v>
      </c>
      <c r="EO14" s="309"/>
      <c r="EP14" s="310">
        <f>SUMIF(Master_Data!$AK$4:$AK$145,CONCATENATE($C14,$EY$3),Master_Data!$R$4:$R$145)+SUMIF(Master_Data!$AK$152:$AK$864,CONCATENATE($C14,$EY$3),Master_Data!$R$152:$R$864)</f>
        <v>0</v>
      </c>
      <c r="EQ14" s="310">
        <f>SUMIF(Master_Data!$AK$4:$AK$145,CONCATENATE($C14,$EY$3),Master_Data!$Q$4:$Q$145)+SUMIF(Master_Data!$AK$152:$AK$864,CONCATENATE($C14,$EY$3),Master_Data!$Q$152:$Q$864)</f>
        <v>0</v>
      </c>
      <c r="ER14" s="310">
        <f>SUMIF(Master_Data!$AK$4:$AK$145,CONCATENATE($C14,$EY$3),Master_Data!$U$4:$U$145)+SUMIF(Master_Data!$AK$152:$AK$864,CONCATENATE($C14,$EY$3),Master_Data!$U$152:$U$864)</f>
        <v>0</v>
      </c>
      <c r="ES14" s="310">
        <f>SUMIF(Master_Data!$AK$4:$AK$145,CONCATENATE($C14,$EY$3),Master_Data!$S$4:$S$145)+SUMIF(Master_Data!$AK$152:$AK$864,CONCATENATE($C14,$EY$3),Master_Data!$S$152:$S$864)</f>
        <v>0</v>
      </c>
      <c r="ET14" s="39">
        <f>SUMIF(Master_Data!$AK$152:$AK$915,CONCATENATE($C14,EY$3),Master_Data!$T$152:$T$915)</f>
        <v>0</v>
      </c>
      <c r="EU14" s="310">
        <f t="shared" si="49"/>
        <v>0</v>
      </c>
      <c r="EV14" s="230"/>
      <c r="EW14" s="84"/>
      <c r="EX14" s="358" t="str">
        <f t="shared" si="11"/>
        <v>CITRA SARI MAKMUR, PTSEP</v>
      </c>
      <c r="EY14" s="24"/>
      <c r="EZ14" s="412"/>
      <c r="FA14" s="109">
        <f t="shared" si="50"/>
        <v>0</v>
      </c>
      <c r="FB14" s="109">
        <f t="shared" si="51"/>
        <v>0</v>
      </c>
      <c r="FC14" s="421"/>
      <c r="FD14" s="109">
        <f>SUMIF(Bill_Out!$Q$534:$Q$606,CONCATENATE($C14,$FP$3),Bill_Out!$N$534:$N$606)</f>
        <v>0</v>
      </c>
      <c r="FE14" s="109">
        <f>SUMIF(Bill_Out!$Q$534:$Q$606,CONCATENATE($C14,$FP$3),Bill_Out!$O$534:$O$606)</f>
        <v>0</v>
      </c>
      <c r="FF14" s="309"/>
      <c r="FG14" s="310">
        <f>SUMIF(Master_Data!$AK$4:$AK$145,CONCATENATE($C14,$FP$3),Master_Data!$R$4:$R$145)+SUMIF(Master_Data!$AK$152:$AK$864,CONCATENATE($C14,$FP$3),Master_Data!$R$152:$R$864)</f>
        <v>0</v>
      </c>
      <c r="FH14" s="310">
        <f>SUMIF(Master_Data!$AK$4:$AK$145,CONCATENATE($C14,$FP$3),Master_Data!$Q$4:$Q$145)+SUMIF(Master_Data!$AK$152:$AK$864,CONCATENATE($C14,$FP$3),Master_Data!$Q$152:$Q$864)</f>
        <v>0</v>
      </c>
      <c r="FI14" s="310">
        <f>SUMIF(Master_Data!$AK$4:$AK$145,CONCATENATE($C14,$FP$3),Master_Data!$U$4:$U$145)+SUMIF(Master_Data!$AK$152:$AK$864,CONCATENATE($C14,$FP$3),Master_Data!$U$152:$U$864)</f>
        <v>0</v>
      </c>
      <c r="FJ14" s="310">
        <f>SUMIF(Master_Data!$AK$4:$AK$145,CONCATENATE($C14,$FP$3),Master_Data!$S$4:$S$145)+SUMIF(Master_Data!$AK$152:$AK$864,CONCATENATE($C14,$FP$3),Master_Data!$S$152:$S$864)</f>
        <v>0</v>
      </c>
      <c r="FK14" s="39">
        <f>SUMIF(Master_Data!$AK$152:$AK$915,CONCATENATE($C14,FP$3),Master_Data!$T$152:$T$915)</f>
        <v>0</v>
      </c>
      <c r="FL14" s="310">
        <f t="shared" si="52"/>
        <v>0</v>
      </c>
      <c r="FM14" s="230">
        <f t="shared" si="53"/>
        <v>0</v>
      </c>
      <c r="FN14" s="31"/>
      <c r="FO14" s="358" t="str">
        <f>CONCATENATE($C14,$FP$3)</f>
        <v>CITRA SARI MAKMUR, PTOKT</v>
      </c>
      <c r="FP14" s="24"/>
      <c r="FQ14" s="412"/>
      <c r="FR14" s="109">
        <f t="shared" si="42"/>
        <v>0</v>
      </c>
      <c r="FS14" s="109">
        <f t="shared" si="54"/>
        <v>0</v>
      </c>
      <c r="FT14" s="423"/>
      <c r="FU14" s="109">
        <f>SUMIF(Bill_Out!$Q$610:$Q$675,CONCATENATE($C14,$GG$3),Bill_Out!$N$610:$N$675)</f>
        <v>0</v>
      </c>
      <c r="FV14" s="109">
        <f>SUMIF(Bill_Out!$Q$610:$Q$675,CONCATENATE($C14,$GG$3),Bill_Out!$O$610:$O$675)</f>
        <v>0</v>
      </c>
      <c r="FW14" s="50"/>
      <c r="FX14" s="512">
        <f>SUMIF(Master_Data!$AK$4:$AK$145,CONCATENATE($C14,$GG$3),Master_Data!$R$4:$R$145)+SUMIF(Master_Data!$AK$152:$AK$864,CONCATENATE($C14,$GG$3),Master_Data!$R$152:$R$864)</f>
        <v>0</v>
      </c>
      <c r="FY14" s="512">
        <f>SUMIF(Master_Data!$AK$4:$AK$145,CONCATENATE($C14,$GG$3),Master_Data!$Q$4:$Q$145)+SUMIF(Master_Data!$AK$152:$AK$864,CONCATENATE($C14,$GG$3),Master_Data!$Q$152:$Q$864)</f>
        <v>0</v>
      </c>
      <c r="FZ14" s="512">
        <f>SUMIF(Master_Data!$AK$4:$AK$145,CONCATENATE($C14,$GG$3),Master_Data!$U$4:$U$145)+SUMIF(Master_Data!$AK$152:$AK$864,CONCATENATE($C14,$GG$3),Master_Data!$U$152:$U$864)</f>
        <v>0</v>
      </c>
      <c r="GA14" s="310">
        <f>SUMIF(Master_Data!$AK$4:$AK$145,CONCATENATE($C14,$GG$3),Master_Data!$S$4:$S$145)+SUMIF(Master_Data!$AK$152:$AK$864,CONCATENATE($C14,$GG$3),Master_Data!$S$152:$S$864)</f>
        <v>0</v>
      </c>
      <c r="GB14" s="39">
        <f>SUMIF(Master_Data!$AK$152:$AK$915,CONCATENATE($C14,GG$3),Master_Data!$T$152:$T$915)</f>
        <v>0</v>
      </c>
      <c r="GC14" s="230">
        <f t="shared" si="55"/>
        <v>0</v>
      </c>
      <c r="GD14" s="230">
        <f t="shared" si="14"/>
        <v>0</v>
      </c>
      <c r="GE14" s="31"/>
      <c r="GF14" s="358" t="str">
        <f>CONCATENATE($C14,$GG$3)</f>
        <v>CITRA SARI MAKMUR, PTNOV</v>
      </c>
      <c r="GG14" s="24"/>
      <c r="GH14" s="412" t="s">
        <v>303</v>
      </c>
      <c r="GI14" s="109">
        <f t="shared" si="43"/>
        <v>0</v>
      </c>
      <c r="GJ14" s="109">
        <f t="shared" si="56"/>
        <v>0</v>
      </c>
      <c r="GK14" s="423"/>
      <c r="GL14" s="109">
        <f>SUMIF(Bill_Out!$Q$679:$Q$756,CONCATENATE($C14,$GX$3),Bill_Out!$N$679:$N$756)</f>
        <v>0</v>
      </c>
      <c r="GM14" s="109">
        <f>SUMIF(Bill_Out!$Q$679:$Q$756,CONCATENATE($C14,$GX$3),Bill_Out!$O$679:$O$756)</f>
        <v>0</v>
      </c>
      <c r="GN14" s="50"/>
      <c r="GO14" s="512">
        <f>SUMIF(Master_Data!$AK$4:$AK$145,CONCATENATE($C14,$GX$3),Master_Data!$R$4:$R$145)+SUMIF(Master_Data!$AK$152:$AK$864,CONCATENATE($C14,$GX$3),Master_Data!$R$152:$R$864)</f>
        <v>0</v>
      </c>
      <c r="GP14" s="512">
        <f>SUMIF(Master_Data!$AK$4:$AK$145,CONCATENATE($C14,$GX$3),Master_Data!$Q$4:$Q$145)+SUMIF(Master_Data!$AK$152:$AK$864,CONCATENATE($C14,$GX$3),Master_Data!$Q$152:$Q$864)</f>
        <v>0</v>
      </c>
      <c r="GQ14" s="512">
        <f>SUMIF(Master_Data!$AK$4:$AK$145,CONCATENATE($C14,$GX$3),Master_Data!$U$4:$U$145)+SUMIF(Master_Data!$AK$152:$AK$864,CONCATENATE($C14,$GX$3),Master_Data!$U$152:$U$864)</f>
        <v>0</v>
      </c>
      <c r="GR14" s="310">
        <f>SUMIF(Master_Data!$AK$4:$AK$145,CONCATENATE($C14,$GX$3),Master_Data!$S$4:$S$145)+SUMIF(Master_Data!$AK$152:$AK$864,CONCATENATE($C14,$GX$3),Master_Data!$S$152:$S$864)</f>
        <v>0</v>
      </c>
      <c r="GS14" s="39">
        <f>SUMIF(Master_Data!$AK$152:$AK$864,CONCATENATE($C14,GX$3),Master_Data!$T$152:$T$864)</f>
        <v>0</v>
      </c>
      <c r="GT14" s="534">
        <f t="shared" si="44"/>
        <v>0</v>
      </c>
      <c r="GU14" s="310">
        <f t="shared" si="16"/>
        <v>0</v>
      </c>
      <c r="GV14" s="31"/>
      <c r="GW14" s="358" t="str">
        <f t="shared" si="69"/>
        <v>CITRA SARI MAKMUR, PTDES</v>
      </c>
      <c r="GX14" s="24"/>
    </row>
    <row r="15" spans="1:206" s="19" customFormat="1">
      <c r="A15" s="328" t="s">
        <v>19</v>
      </c>
      <c r="B15" s="236" t="str">
        <f t="shared" si="18"/>
        <v>DUTA TAMBANG REKAYASA, PTJAN</v>
      </c>
      <c r="C15" s="8" t="s">
        <v>1625</v>
      </c>
      <c r="D15" s="52"/>
      <c r="E15" s="238">
        <f>SUMIF(Master_Data!$D7:$D$145,CONCATENATE(C15),Master_Data!M7:M150)</f>
        <v>0</v>
      </c>
      <c r="F15" s="109">
        <f>SUMIF(Master_Data!$D11:$D$145,CONCATENATE(C15),Master_Data!N11:N154)</f>
        <v>53415450</v>
      </c>
      <c r="G15" s="54"/>
      <c r="H15" s="109">
        <f>SUMIF(Bill_Out!$Q$3:$Q$65,CONCATENATE($C15,$S$3),Bill_Out!$N$3:$N$65)</f>
        <v>0</v>
      </c>
      <c r="I15" s="88">
        <f>SUMIF(Bill_Out!$Q$3:$Q$65,CONCATENATE($C15,$S$3),Bill_Out!$O$3:$O$65)</f>
        <v>0</v>
      </c>
      <c r="J15" s="50"/>
      <c r="K15" s="29"/>
      <c r="L15" s="44"/>
      <c r="M15" s="230">
        <f>SUMIF(Master_Data!$AK10:$AK$145,CONCATENATE(C15,$S$3),Master_Data!U10:U151)+SUMIF(Master_Data!$AK188:$AK$864,CONCATENATE(C15,$S$3),Master_Data!U188:U871)</f>
        <v>53032110</v>
      </c>
      <c r="N15" s="310">
        <f>SUMIF(Master_Data!$AK$4:$AK$145,CONCATENATE(C15,$S$3),Master_Data!$S$4:$S$145)+SUMIF(Master_Data!$AK$150:$AK$864,CONCATENATE(C15,$S$3),Master_Data!$S$150:$S$864)</f>
        <v>0</v>
      </c>
      <c r="O15" s="310">
        <f>SUMIF(Master_Data!$AK$4:$AK$145,CONCATENATE(C15,$S$3),Master_Data!$T$4:$T$145)+SUMIF(Master_Data!$AK$150:$AK$864,CONCATENATE(C15,$S$3),Master_Data!$T$150:$T$864)</f>
        <v>-383540</v>
      </c>
      <c r="P15" s="230">
        <f t="shared" si="19"/>
        <v>0</v>
      </c>
      <c r="Q15" s="230">
        <f t="shared" si="20"/>
        <v>-200</v>
      </c>
      <c r="R15" s="31"/>
      <c r="S15" s="24"/>
      <c r="T15" s="259"/>
      <c r="U15" s="109">
        <f t="shared" si="61"/>
        <v>0</v>
      </c>
      <c r="V15" s="109">
        <f t="shared" si="62"/>
        <v>-200</v>
      </c>
      <c r="W15" s="54"/>
      <c r="X15" s="109">
        <f>SUMIF(Bill_Out!$Q$67:$Q$132,CONCATENATE($C15,$AJ$3),Bill_Out!$N$67:$N$132)</f>
        <v>0</v>
      </c>
      <c r="Y15" s="109">
        <f>SUMIF(Bill_Out!$Q$67:$Q$132,CONCATENATE($C15,$AJ$3),Bill_Out!$O$67:$O$132)</f>
        <v>0</v>
      </c>
      <c r="Z15" s="50"/>
      <c r="AA15" s="230">
        <f>SUMIF(Master_Data!$AK$4:$AK$145,CONCATENATE(C15,$AJ$3),Master_Data!$R$4:$R$145)+SUMIF(Master_Data!$AK$152:$AK$850,CONCATENATE(C15,$AJ$3),Master_Data!$R$152:$R$850)</f>
        <v>0</v>
      </c>
      <c r="AB15" s="230">
        <f>SUMIF(Master_Data!$AK$4:$AK$145,CONCATENATE(C15,$AJ$3),Master_Data!$Q$4:$Q$145)+SUMIF(Master_Data!$AK$152:$AK$850,CONCATENATE(C15,$AJ$3),Master_Data!$Q$152:$Q$850)</f>
        <v>0</v>
      </c>
      <c r="AC15" s="230">
        <f>SUMIF(Master_Data!$AK$4:$AK$145,CONCATENATE(C15,$AJ$3),Master_Data!$U$4:$U$145)+SUMIF(Master_Data!$AK$152:$AK$850,CONCATENATE(C15,$AJ$3),Master_Data!$U$152:$U$850)</f>
        <v>0</v>
      </c>
      <c r="AD15" s="310">
        <f ca="1">SUMIF(Master_Data!$AK$4:$AK$145,CONCATENATE(C15,$AJ$3),Master_Data!$S$4:$S$145)+SUMIF(Master_Data!$AK$152:$AK$864,CONCATENATE(C15,$AJ$3),Master_Data!$S$152:$S$850)</f>
        <v>0</v>
      </c>
      <c r="AE15" s="310">
        <f>SUMIF(Master_Data!$AK$4:$AK$145,CONCATENATE(C15,$AJ$3),Master_Data!$T$4:$T$145)+SUMIF(Master_Data!$AK$152:$AK$864,CONCATENATE(C15,$AJ$3),Master_Data!$T$152:$T$864)</f>
        <v>0</v>
      </c>
      <c r="AF15" s="230">
        <f t="shared" si="63"/>
        <v>0</v>
      </c>
      <c r="AG15" s="230">
        <f t="shared" ca="1" si="64"/>
        <v>-200</v>
      </c>
      <c r="AH15" s="31"/>
      <c r="AI15" s="235" t="str">
        <f t="shared" si="3"/>
        <v>DUTA TAMBANG REKAYASA, PTFEB</v>
      </c>
      <c r="AJ15" s="24"/>
      <c r="AK15" s="259"/>
      <c r="AL15" s="109">
        <f t="shared" si="65"/>
        <v>0</v>
      </c>
      <c r="AM15" s="109">
        <f t="shared" ca="1" si="66"/>
        <v>-200</v>
      </c>
      <c r="AN15" s="54"/>
      <c r="AO15" s="109">
        <f>SUMIF(Bill_Out!$Q$134:$Q$188,CONCATENATE($C15,$BA$3),Bill_Out!$N$134:$N$188)</f>
        <v>0</v>
      </c>
      <c r="AP15" s="109">
        <f>SUMIF(Bill_Out!$Q$134:$Q$188,CONCATENATE($C15,$BA$3),Bill_Out!$O$134:$O$188)</f>
        <v>0</v>
      </c>
      <c r="AQ15" s="50"/>
      <c r="AR15" s="230">
        <f>SUMIF(Master_Data!$AK$4:$AK$145,CONCATENATE(C15,$BA$3),Master_Data!$R$4:$R$145)+SUMIF(Master_Data!$AK$152:$AK$864,CONCATENATE(C15,$BA$3),Master_Data!$R$152:$R$864)</f>
        <v>0</v>
      </c>
      <c r="AS15" s="230">
        <f>SUMIF(Master_Data!$AK$4:$AK$145,CONCATENATE(C15,$BA$3),Master_Data!$Q$4:$Q$145)+SUMIF(Master_Data!$AK$152:$AK$864,CONCATENATE(C15,$BA$3),Master_Data!$Q$152:$Q$864)</f>
        <v>0</v>
      </c>
      <c r="AT15" s="230">
        <f>SUMIF(Master_Data!$AK$4:$AK$145,CONCATENATE(C15,$BA$3),Master_Data!$U$4:$U$145)+SUMIF(Master_Data!$AK$152:$AK$864,CONCATENATE(C15,$BA$3),Master_Data!$U$152:$U$864)</f>
        <v>0</v>
      </c>
      <c r="AU15" s="230">
        <f ca="1">SUMIF(Master_Data!$AK$4:$AK$145,CONCATENATE(C15,$BA$3),Master_Data!$S$4:$S$145)+SUMIF(Master_Data!$AK$152:$AK$864,CONCATENATE(C15,$BA$3),Master_Data!$S$152:$S$850)</f>
        <v>0</v>
      </c>
      <c r="AV15" s="39">
        <f>SUMIF(Master_Data!$AK$152:$AK$864,CONCATENATE($C15,BA$3),Master_Data!$T$152:$T$864)</f>
        <v>0</v>
      </c>
      <c r="AW15" s="230">
        <f t="shared" si="57"/>
        <v>0</v>
      </c>
      <c r="AX15" s="230">
        <f t="shared" ca="1" si="58"/>
        <v>-200</v>
      </c>
      <c r="AY15" s="31"/>
      <c r="AZ15" s="235" t="str">
        <f t="shared" si="21"/>
        <v>DUTA TAMBANG REKAYASA, PTMAR</v>
      </c>
      <c r="BA15" s="24"/>
      <c r="BB15" s="259"/>
      <c r="BC15" s="109">
        <f t="shared" si="22"/>
        <v>0</v>
      </c>
      <c r="BD15" s="109">
        <f t="shared" ca="1" si="23"/>
        <v>-200</v>
      </c>
      <c r="BE15" s="54"/>
      <c r="BF15" s="109">
        <f>SUMIF(Bill_Out!$Q$192:$Q$258,CONCATENATE($C15,$BR$3),Bill_Out!$N$192:$N$258)</f>
        <v>0</v>
      </c>
      <c r="BG15" s="109">
        <f>SUMIF(Bill_Out!$Q$192:$Q$258,CONCATENATE($C15,$BR$3),Bill_Out!$O$192:$O$258)</f>
        <v>0</v>
      </c>
      <c r="BH15" s="50"/>
      <c r="BI15" s="230">
        <f>SUMIF(Master_Data!$AK$4:$AK$145,CONCATENATE(C15,$BR$3),Master_Data!$R$4:$R$145)+SUMIF(Master_Data!$AK$152:$AK$864,CONCATENATE(C15,$BR$3),Master_Data!$R$152:$R$864)</f>
        <v>0</v>
      </c>
      <c r="BJ15" s="230">
        <f>SUMIF(Master_Data!$AK$4:$AK$145,CONCATENATE(C15,$BR$3),Master_Data!$Q$4:$Q$145)+SUMIF(Master_Data!$AK$152:$AK$864,CONCATENATE(C15,$BR$3),Master_Data!$Q$152:$Q$864)</f>
        <v>0</v>
      </c>
      <c r="BK15" s="230">
        <f>SUMIF(Master_Data!$AK$4:$AK$145,CONCATENATE(C15,$BR$3),Master_Data!$U$4:$U$145)+SUMIF(Master_Data!$AK$152:$AK$864,CONCATENATE(C15,$BR$3),Master_Data!$U$152:$U$864)</f>
        <v>0</v>
      </c>
      <c r="BL15" s="230">
        <f>SUMIF(Master_Data!$AK$4:$AK$145,CONCATENATE(C15,$BR$3),Master_Data!$S$4:$S$145)+SUMIF(Master_Data!$AK$152:$AK$864,CONCATENATE(C15,$BR$3),Master_Data!$S$152:$S$864)</f>
        <v>0</v>
      </c>
      <c r="BM15" s="39">
        <f>SUMIF(Master_Data!$AK$152:$AK$864,CONCATENATE($C15,BR$3),Master_Data!$T$152:$T$864)</f>
        <v>0</v>
      </c>
      <c r="BN15" s="230">
        <f t="shared" si="24"/>
        <v>0</v>
      </c>
      <c r="BO15" s="230">
        <f t="shared" ca="1" si="25"/>
        <v>-200</v>
      </c>
      <c r="BP15" s="31"/>
      <c r="BQ15" s="909" t="str">
        <f t="shared" si="26"/>
        <v>DUTA TAMBANG REKAYASA, PTAPR</v>
      </c>
      <c r="BR15" s="24"/>
      <c r="BS15" s="259"/>
      <c r="BT15" s="109">
        <f t="shared" si="59"/>
        <v>0</v>
      </c>
      <c r="BU15" s="109">
        <f t="shared" ca="1" si="60"/>
        <v>-200</v>
      </c>
      <c r="BV15" s="54"/>
      <c r="BW15" s="109">
        <f>SUMIF(Bill_Out!$Q$263:$Q$314,CONCATENATE($C15,$CI$3),Bill_Out!$N$263:$N$314)</f>
        <v>0</v>
      </c>
      <c r="BX15" s="109" t="e">
        <f>SUMIF(Bill_Out!$Q$263:$Q$314,CONCATENATE($C15,$CI$3),Bill_Out!$O$263:$O$314)</f>
        <v>#VALUE!</v>
      </c>
      <c r="BY15" s="50"/>
      <c r="BZ15" s="310">
        <f>SUMIF(Master_Data!$AK$4:$AK$145,CONCATENATE(C15,$CI$3),Master_Data!$R$4:$R$145)+SUMIF(Master_Data!$AK$152:$AK$864,CONCATENATE(C15,$CI$3),Master_Data!$R$152:$R$864)</f>
        <v>0</v>
      </c>
      <c r="CA15" s="310">
        <f>SUMIF(Master_Data!$AK$4:$AK$145,CONCATENATE(C15,$CI$3),Master_Data!$Q$4:$Q$145)+SUMIF(Master_Data!$AK$152:$AK$864,CONCATENATE(C15,$CI$3),Master_Data!$Q$152:$Q$864)</f>
        <v>0</v>
      </c>
      <c r="CB15" s="310">
        <f>SUMIF(Master_Data!$AK$4:$AK$145,CONCATENATE(C15,$CI$3),Master_Data!$U$4:$U$145)+SUMIF(Master_Data!$AK$152:$AK$864,CONCATENATE(C15,$CI$3),Master_Data!$U$152:$U$864)</f>
        <v>15120000</v>
      </c>
      <c r="CC15" s="230">
        <f>SUMIF(Master_Data!$AK$4:$AK$145,CONCATENATE(C15,$CI$3),Master_Data!$S$4:$S$145)+SUMIF(Master_Data!$AK$152:$AK$864,CONCATENATE(C15,$CI$3),Master_Data!$S$152:$S$864)</f>
        <v>0</v>
      </c>
      <c r="CD15" s="39">
        <f>SUMIF(Master_Data!$AK$152:$AK$864,CONCATENATE($C15,CI$3),Master_Data!$T$152:$T$864)</f>
        <v>-280000</v>
      </c>
      <c r="CE15" s="310">
        <f t="shared" si="27"/>
        <v>0</v>
      </c>
      <c r="CF15" s="230" t="e">
        <f t="shared" ca="1" si="28"/>
        <v>#VALUE!</v>
      </c>
      <c r="CG15" s="31"/>
      <c r="CH15" s="235" t="str">
        <f t="shared" si="29"/>
        <v>DUTA TAMBANG REKAYASA, PTMEI</v>
      </c>
      <c r="CI15" s="24"/>
      <c r="CJ15" s="259"/>
      <c r="CK15" s="109">
        <f t="shared" si="30"/>
        <v>0</v>
      </c>
      <c r="CL15" s="238" t="e">
        <f t="shared" ca="1" si="31"/>
        <v>#VALUE!</v>
      </c>
      <c r="CM15" s="54"/>
      <c r="CN15" s="238">
        <f>SUMIF(Bill_Out!$Q$318:$Q$371,CONCATENATE($C15,$CZ$3),Bill_Out!$N$318:$N$371)</f>
        <v>0</v>
      </c>
      <c r="CO15" s="238">
        <f>SUMIF(Bill_Out!$Q$318:$Q$371,CONCATENATE($C15,$CZ$3),Bill_Out!$O$318:$O$371)</f>
        <v>0</v>
      </c>
      <c r="CP15" s="50"/>
      <c r="CQ15" s="230">
        <f>SUMIF(Master_Data!$AK$4:$AK$145,CONCATENATE($C15,$CZ$3),Master_Data!$R$4:$R$145)+SUMIF(Master_Data!$AK$152:$AK$864,CONCATENATE($C15,$CZ$3),Master_Data!$R$152:$R$864)</f>
        <v>0</v>
      </c>
      <c r="CR15" s="230">
        <f>SUMIF(Master_Data!$AK$4:$AK$145,CONCATENATE($C15,$CZ$3),Master_Data!$Q$4:$Q$145)+SUMIF(Master_Data!$AK$152:$AK$864,CONCATENATE($C15,$CZ$3),Master_Data!$Q$152:$Q$864)</f>
        <v>0</v>
      </c>
      <c r="CS15" s="230">
        <f>SUMIF(Master_Data!$AK$4:$AK$145,CONCATENATE($C15,$CZ$3),Master_Data!$U$4:$U$145)+SUMIF(Master_Data!$AK$152:$AK$864,CONCATENATE($C15,$CZ$3),Master_Data!$U$152:$U$864)</f>
        <v>0</v>
      </c>
      <c r="CT15" s="230">
        <f ca="1">SUMIF(Master_Data!$AK$4:$AK$145,CONCATENATE(C15,$CZ$3),Master_Data!$S$4:$S$145)+SUMIF(Master_Data!$AK$152:$AK$915,CONCATENATE(C15,$CZ$3),Master_Data!$S$152:$S$864)</f>
        <v>0</v>
      </c>
      <c r="CU15" s="1010">
        <f>SUMIF(Master_Data!$AK$4:$AK$145,CONCATENATE(C15,$CZ$3),Master_Data!$T$4:$T$145)+SUMIF(Master_Data!$AK$152:$AK$864,CONCATENATE(C15,$CZ$3),Master_Data!$T$152:$T$864)</f>
        <v>0</v>
      </c>
      <c r="CV15" s="230">
        <f t="shared" si="32"/>
        <v>0</v>
      </c>
      <c r="CW15" s="230" t="e">
        <f t="shared" ca="1" si="33"/>
        <v>#VALUE!</v>
      </c>
      <c r="CX15" s="31"/>
      <c r="CY15" s="1007" t="str">
        <f t="shared" si="6"/>
        <v>DUTA TAMBANG REKAYASA, PTJUN</v>
      </c>
      <c r="CZ15" s="24"/>
      <c r="DA15" s="259"/>
      <c r="DB15" s="109">
        <f t="shared" si="34"/>
        <v>0</v>
      </c>
      <c r="DC15" s="109" t="e">
        <f t="shared" ca="1" si="35"/>
        <v>#VALUE!</v>
      </c>
      <c r="DD15" s="54"/>
      <c r="DE15" s="109">
        <f>SUMIF(Bill_Out!$Q$375:$Q$422,CONCATENATE($C15,$DQ$3),Bill_Out!$N$375:$N$422)</f>
        <v>0</v>
      </c>
      <c r="DF15" s="109">
        <f>SUMIF(Bill_Out!$Q$375:$Q$422,CONCATENATE($C15,$DQ$3),Bill_Out!$O$375:$O$422)</f>
        <v>0</v>
      </c>
      <c r="DG15" s="50"/>
      <c r="DH15" s="310">
        <f>SUMIF(Master_Data!$AK$4:$AK$145,CONCATENATE($C15,$DQ$3),Master_Data!$R$4:$R$145)+SUMIF(Master_Data!$AK$152:$AK$864,CONCATENATE($C15,$DQ$3),Master_Data!$R$152:$R$864)</f>
        <v>0</v>
      </c>
      <c r="DI15" s="310">
        <f>SUMIF(Master_Data!$AK$4:$AK$145,CONCATENATE($C15,$DQ$3),Master_Data!$Q$4:$Q$145)+SUMIF(Master_Data!$AK$152:$AK$864,CONCATENATE($C15,$DQ$3),Master_Data!$Q$152:$Q$864)</f>
        <v>0</v>
      </c>
      <c r="DJ15" s="310">
        <f>SUMIF(Master_Data!$AK$4:$AK$145,CONCATENATE($C15,$DQ$3),Master_Data!$U$4:$U$145)+SUMIF(Master_Data!$AK$152:$AK$864,CONCATENATE($C15,$DQ$3),Master_Data!$U$152:$U$864)</f>
        <v>0</v>
      </c>
      <c r="DK15" s="310">
        <f>SUMIF(Master_Data!$AK$4:$AK$145,CONCATENATE($C15,$DQ$3),Master_Data!$S$4:$S$145)+SUMIF(Master_Data!$AK$152:$AK$864,CONCATENATE($C15,$DQ$3),Master_Data!$S$152:$S$864)</f>
        <v>0</v>
      </c>
      <c r="DL15" s="39">
        <f>SUMIF(Master_Data!$AK$152:$AK$915,CONCATENATE($C15,DQ$3),Master_Data!$T$152:$T$915)</f>
        <v>0</v>
      </c>
      <c r="DM15" s="230">
        <f t="shared" si="67"/>
        <v>0</v>
      </c>
      <c r="DN15" s="230" t="e">
        <f t="shared" ca="1" si="68"/>
        <v>#VALUE!</v>
      </c>
      <c r="DO15" s="31"/>
      <c r="DP15" s="358" t="str">
        <f t="shared" si="9"/>
        <v>DUTA TAMBANG REKAYASA, PTJUL</v>
      </c>
      <c r="DQ15" s="24"/>
      <c r="DR15" s="390"/>
      <c r="DS15" s="109">
        <f t="shared" si="36"/>
        <v>0</v>
      </c>
      <c r="DT15" s="109" t="e">
        <f t="shared" ca="1" si="37"/>
        <v>#VALUE!</v>
      </c>
      <c r="DU15" s="31"/>
      <c r="DV15" s="109">
        <f>SUMIF(Bill_Out!$Q$426:$Q$472,CONCATENATE($C15,$EH$3),Bill_Out!$N$426:$N$472)</f>
        <v>0</v>
      </c>
      <c r="DW15" s="109" t="e">
        <f>SUMIF(Bill_Out!$Q$426:$Q$472,CONCATENATE($C15,$EH$3),Bill_Out!$O$426:$O$472)</f>
        <v>#VALUE!</v>
      </c>
      <c r="DX15" s="50"/>
      <c r="DY15" s="310">
        <f>SUMIF(Master_Data!$AK$4:$AK$145,CONCATENATE($C15,$EH$3),Master_Data!$R$4:$R$145)+SUMIF(Master_Data!$AK$152:$AK$864,CONCATENATE($C15,$EH$3),Master_Data!$R$152:$R$864)</f>
        <v>0</v>
      </c>
      <c r="DZ15" s="310">
        <f>SUMIF(Master_Data!$AK$4:$AK$145,CONCATENATE($C15,$EH$3),Master_Data!$Q$4:$Q$145)+SUMIF(Master_Data!$AK$152:$AK$864,CONCATENATE($C15,$EH$3),Master_Data!$Q$152:$Q$864)</f>
        <v>0</v>
      </c>
      <c r="EA15" s="310">
        <f>SUMIF(Master_Data!$AK$4:$AK$145,CONCATENATE($C15,$EH$3),Master_Data!$U$4:$U$145)+SUMIF(Master_Data!$AK$152:$AK$864,CONCATENATE($C15,$EH$3),Master_Data!$U$152:$U$864)</f>
        <v>64725480</v>
      </c>
      <c r="EB15" s="310">
        <f>SUMIF(Master_Data!$AK$4:$AK$145,CONCATENATE($C15,$EH$3),Master_Data!$S$4:$S$145)+SUMIF(Master_Data!$AK$152:$AK$864,CONCATENATE($C15,$EH$3),Master_Data!$S$152:$S$864)</f>
        <v>0</v>
      </c>
      <c r="EC15" s="39">
        <f>SUMIF(Master_Data!$AK$152:$AK$915,CONCATENATE($C15,EH$3),Master_Data!$T$152:$T$915)</f>
        <v>-1198620</v>
      </c>
      <c r="ED15" s="310">
        <f t="shared" si="38"/>
        <v>0</v>
      </c>
      <c r="EE15" s="230" t="e">
        <f t="shared" ca="1" si="39"/>
        <v>#VALUE!</v>
      </c>
      <c r="EF15" s="31"/>
      <c r="EG15" s="358" t="str">
        <f t="shared" si="10"/>
        <v>DUTA TAMBANG REKAYASA, PTAGS</v>
      </c>
      <c r="EH15" s="24"/>
      <c r="EI15" s="390"/>
      <c r="EJ15" s="109">
        <f t="shared" si="47"/>
        <v>0</v>
      </c>
      <c r="EK15" s="109" t="e">
        <f t="shared" ca="1" si="48"/>
        <v>#VALUE!</v>
      </c>
      <c r="EL15" s="84"/>
      <c r="EM15" s="109">
        <f>SUMIF(Bill_Out!$Q$476:$Q$530,CONCATENATE($C15,$EY$3),Bill_Out!$N$476:$N$530)</f>
        <v>0</v>
      </c>
      <c r="EN15" s="109" t="e">
        <f>SUMIF(Bill_Out!$Q$476:$Q$530,CONCATENATE($C15,$EY$3),Bill_Out!$O$476:$O$530)</f>
        <v>#VALUE!</v>
      </c>
      <c r="EO15" s="309"/>
      <c r="EP15" s="310">
        <f>SUMIF(Master_Data!$AK$4:$AK$145,CONCATENATE($C15,$EY$3),Master_Data!$R$4:$R$145)+SUMIF(Master_Data!$AK$152:$AK$864,CONCATENATE($C15,$EY$3),Master_Data!$R$152:$R$864)</f>
        <v>0</v>
      </c>
      <c r="EQ15" s="310">
        <f>SUMIF(Master_Data!$AK$4:$AK$145,CONCATENATE($C15,$EY$3),Master_Data!$Q$4:$Q$145)+SUMIF(Master_Data!$AK$152:$AK$864,CONCATENATE($C15,$EY$3),Master_Data!$Q$152:$Q$864)</f>
        <v>0</v>
      </c>
      <c r="ER15" s="310">
        <f>SUMIF(Master_Data!$AK$4:$AK$145,CONCATENATE($C15,$EY$3),Master_Data!$U$4:$U$145)+SUMIF(Master_Data!$AK$152:$AK$864,CONCATENATE($C15,$EY$3),Master_Data!$U$152:$U$864)</f>
        <v>0</v>
      </c>
      <c r="ES15" s="310">
        <f>SUMIF(Master_Data!$AK$4:$AK$145,CONCATENATE($C15,$EY$3),Master_Data!$S$4:$S$145)+SUMIF(Master_Data!$AK$152:$AK$864,CONCATENATE($C15,$EY$3),Master_Data!$S$152:$S$864)</f>
        <v>0</v>
      </c>
      <c r="ET15" s="39">
        <f>SUMIF(Master_Data!$AK$152:$AK$915,CONCATENATE($C15,EY$3),Master_Data!$T$152:$T$915)</f>
        <v>0</v>
      </c>
      <c r="EU15" s="310">
        <f t="shared" si="49"/>
        <v>0</v>
      </c>
      <c r="EV15" s="230"/>
      <c r="EW15" s="84"/>
      <c r="EX15" s="358" t="str">
        <f t="shared" si="11"/>
        <v>DUTA TAMBANG REKAYASA, PTSEP</v>
      </c>
      <c r="EY15" s="24"/>
      <c r="EZ15" s="412"/>
      <c r="FA15" s="109">
        <f t="shared" si="50"/>
        <v>0</v>
      </c>
      <c r="FB15" s="109">
        <f t="shared" si="51"/>
        <v>0</v>
      </c>
      <c r="FC15" s="421"/>
      <c r="FD15" s="109">
        <f>SUMIF(Bill_Out!$Q$534:$Q$606,CONCATENATE($C15,$FP$3),Bill_Out!$N$534:$N$606)</f>
        <v>0</v>
      </c>
      <c r="FE15" s="109" t="e">
        <f>SUMIF(Bill_Out!$Q$534:$Q$606,CONCATENATE($C15,$FP$3),Bill_Out!$O$534:$O$606)</f>
        <v>#VALUE!</v>
      </c>
      <c r="FF15" s="309"/>
      <c r="FG15" s="310">
        <f>SUMIF(Master_Data!$AK$4:$AK$145,CONCATENATE($C15,$FP$3),Master_Data!$R$4:$R$145)+SUMIF(Master_Data!$AK$152:$AK$864,CONCATENATE($C15,$FP$3),Master_Data!$R$152:$R$864)</f>
        <v>0</v>
      </c>
      <c r="FH15" s="310">
        <f>SUMIF(Master_Data!$AK$4:$AK$145,CONCATENATE($C15,$FP$3),Master_Data!$Q$4:$Q$145)+SUMIF(Master_Data!$AK$152:$AK$864,CONCATENATE($C15,$FP$3),Master_Data!$Q$152:$Q$864)</f>
        <v>0</v>
      </c>
      <c r="FI15" s="310">
        <f>SUMIF(Master_Data!$AK$4:$AK$145,CONCATENATE($C15,$FP$3),Master_Data!$U$4:$U$145)+SUMIF(Master_Data!$AK$152:$AK$864,CONCATENATE($C15,$FP$3),Master_Data!$U$152:$U$864)</f>
        <v>0</v>
      </c>
      <c r="FJ15" s="310">
        <f>SUMIF(Master_Data!$AK$4:$AK$145,CONCATENATE($C15,$FP$3),Master_Data!$S$4:$S$145)+SUMIF(Master_Data!$AK$152:$AK$864,CONCATENATE($C15,$FP$3),Master_Data!$S$152:$S$864)</f>
        <v>0</v>
      </c>
      <c r="FK15" s="39">
        <f>SUMIF(Master_Data!$AK$152:$AK$915,CONCATENATE($C15,FP$3),Master_Data!$T$152:$T$915)</f>
        <v>0</v>
      </c>
      <c r="FL15" s="310">
        <f t="shared" si="52"/>
        <v>0</v>
      </c>
      <c r="FM15" s="230" t="e">
        <f t="shared" si="53"/>
        <v>#VALUE!</v>
      </c>
      <c r="FN15" s="31"/>
      <c r="FO15" s="358"/>
      <c r="FP15" s="24"/>
      <c r="FQ15" s="412"/>
      <c r="FR15" s="109"/>
      <c r="FS15" s="109"/>
      <c r="FT15" s="423"/>
      <c r="FU15" s="109"/>
      <c r="FV15" s="109"/>
      <c r="FW15" s="50"/>
      <c r="FX15" s="512"/>
      <c r="FY15" s="512"/>
      <c r="FZ15" s="512"/>
      <c r="GA15" s="310"/>
      <c r="GB15" s="39">
        <f>SUMIF(Master_Data!$AK$152:$AK$915,CONCATENATE($C15,GG$3),Master_Data!$T$152:$T$915)</f>
        <v>0</v>
      </c>
      <c r="GC15" s="230"/>
      <c r="GD15" s="230">
        <f t="shared" si="14"/>
        <v>0</v>
      </c>
      <c r="GE15" s="31"/>
      <c r="GF15" s="358"/>
      <c r="GG15" s="24"/>
      <c r="GH15" s="412"/>
      <c r="GI15" s="109">
        <f t="shared" ref="GI15:GI66" si="70">GC15</f>
        <v>0</v>
      </c>
      <c r="GJ15" s="109">
        <f t="shared" ref="GJ15:GJ66" si="71">GD15</f>
        <v>0</v>
      </c>
      <c r="GK15" s="423"/>
      <c r="GL15" s="109">
        <f>SUMIF(Bill_Out!$Q$679:$Q$756,CONCATENATE($C15,$GX$3),Bill_Out!$N$679:$N$756)</f>
        <v>0</v>
      </c>
      <c r="GM15" s="109" t="e">
        <f>SUMIF(Bill_Out!$Q$679:$Q$756,CONCATENATE($C15,$GX$3),Bill_Out!$O$679:$O$756)</f>
        <v>#VALUE!</v>
      </c>
      <c r="GN15" s="50"/>
      <c r="GO15" s="512">
        <f>SUMIF(Master_Data!$AK$4:$AK$145,CONCATENATE($C15,$GX$3),Master_Data!$R$4:$R$145)+SUMIF(Master_Data!$AK$152:$AK$864,CONCATENATE($C15,$GX$3),Master_Data!$R$152:$R$864)</f>
        <v>0</v>
      </c>
      <c r="GP15" s="512">
        <f>SUMIF(Master_Data!$AK$4:$AK$145,CONCATENATE($C15,$GX$3),Master_Data!$Q$4:$Q$145)+SUMIF(Master_Data!$AK$152:$AK$864,CONCATENATE($C15,$GX$3),Master_Data!$Q$152:$Q$864)</f>
        <v>0</v>
      </c>
      <c r="GQ15" s="512">
        <f>SUMIF(Master_Data!$AK$4:$AK$145,CONCATENATE($C15,$GX$3),Master_Data!$U$4:$U$145)+SUMIF(Master_Data!$AK$152:$AK$864,CONCATENATE($C15,$GX$3),Master_Data!$U$152:$U$864)</f>
        <v>0</v>
      </c>
      <c r="GR15" s="310">
        <f>SUMIF(Master_Data!$AK$4:$AK$145,CONCATENATE($C15,$GX$3),Master_Data!$S$4:$S$145)+SUMIF(Master_Data!$AK$152:$AK$864,CONCATENATE($C15,$GX$3),Master_Data!$S$152:$S$864)</f>
        <v>0</v>
      </c>
      <c r="GS15" s="39">
        <f>SUMIF(Master_Data!$AK$152:$AK$864,CONCATENATE($C15,GX$3),Master_Data!$T$152:$T$864)</f>
        <v>0</v>
      </c>
      <c r="GT15" s="534">
        <f t="shared" si="44"/>
        <v>0</v>
      </c>
      <c r="GU15" s="310" t="e">
        <f t="shared" si="16"/>
        <v>#VALUE!</v>
      </c>
      <c r="GV15" s="31"/>
      <c r="GW15" s="358" t="str">
        <f t="shared" si="69"/>
        <v>DUTA TAMBANG REKAYASA, PTDES</v>
      </c>
      <c r="GX15" s="24"/>
    </row>
    <row r="16" spans="1:206" s="19" customFormat="1">
      <c r="A16" s="21" t="s">
        <v>104</v>
      </c>
      <c r="B16" s="236" t="str">
        <f t="shared" si="18"/>
        <v>ELGA YASA MEDIA, PTJAN</v>
      </c>
      <c r="C16" s="8" t="s">
        <v>49</v>
      </c>
      <c r="D16" s="52" t="s">
        <v>304</v>
      </c>
      <c r="E16" s="238">
        <f>SUMIF(Master_Data!$D8:$D$145,CONCATENATE(C16),Master_Data!M8:M151)</f>
        <v>0</v>
      </c>
      <c r="F16" s="109">
        <f>SUMIF(Master_Data!$D12:$D$145,CONCATENATE(C16),Master_Data!N12:N155)</f>
        <v>30328606</v>
      </c>
      <c r="G16" s="31"/>
      <c r="H16" s="109">
        <f>SUMIF(Bill_Out!$Q$3:$Q$65,CONCATENATE($C16,$S$3),Bill_Out!$N$3:$N$65)</f>
        <v>0</v>
      </c>
      <c r="I16" s="88" t="e">
        <f>SUMIF(Bill_Out!$Q$3:$Q$65,CONCATENATE($C16,$S$3),Bill_Out!$O$3:$O$65)</f>
        <v>#VALUE!</v>
      </c>
      <c r="J16" s="50"/>
      <c r="K16" s="29"/>
      <c r="L16" s="44"/>
      <c r="M16" s="230">
        <f>SUMIF(Master_Data!$AK11:$AK$145,CONCATENATE(C16,$S$3),Master_Data!U11:U152)+SUMIF(Master_Data!$AK196:$AK$864,CONCATENATE(C16,$S$3),Master_Data!U196:U915)</f>
        <v>29777177</v>
      </c>
      <c r="N16" s="310">
        <f>SUMIF(Master_Data!$AK$4:$AK$145,CONCATENATE(C16,$S$3),Master_Data!$S$4:$S$145)+SUMIF(Master_Data!$AK$150:$AK$864,CONCATENATE(C16,$S$3),Master_Data!$S$150:$S$864)</f>
        <v>0</v>
      </c>
      <c r="O16" s="310">
        <f>SUMIF(Master_Data!$AK$4:$AK$145,CONCATENATE(C16,$S$3),Master_Data!$T$4:$T$145)+SUMIF(Master_Data!$AK$150:$AK$864,CONCATENATE(C16,$S$3),Master_Data!$T$150:$T$864)</f>
        <v>-551429.19999999995</v>
      </c>
      <c r="P16" s="230">
        <f t="shared" si="19"/>
        <v>0</v>
      </c>
      <c r="Q16" s="230" t="e">
        <f t="shared" si="20"/>
        <v>#VALUE!</v>
      </c>
      <c r="R16" s="31"/>
      <c r="S16" s="24"/>
      <c r="T16" s="259"/>
      <c r="U16" s="109">
        <f t="shared" si="61"/>
        <v>0</v>
      </c>
      <c r="V16" s="109" t="e">
        <f t="shared" si="62"/>
        <v>#VALUE!</v>
      </c>
      <c r="W16" s="54"/>
      <c r="X16" s="109">
        <f>SUMIF(Bill_Out!$Q$67:$Q$132,CONCATENATE($C16,$AJ$3),Bill_Out!$N$67:$N$132)</f>
        <v>0</v>
      </c>
      <c r="Y16" s="109" t="e">
        <f>SUMIF(Bill_Out!$Q$67:$Q$132,CONCATENATE($C16,$AJ$3),Bill_Out!$O$67:$O$132)</f>
        <v>#VALUE!</v>
      </c>
      <c r="Z16" s="50"/>
      <c r="AA16" s="230">
        <f>SUMIF(Master_Data!$AK$4:$AK$145,CONCATENATE(C16,$AJ$3),Master_Data!$R$4:$R$145)+SUMIF(Master_Data!$AK$152:$AK$850,CONCATENATE(C16,$AJ$3),Master_Data!$R$152:$R$850)</f>
        <v>0</v>
      </c>
      <c r="AB16" s="230">
        <f>SUMIF(Master_Data!$AK$4:$AK$145,CONCATENATE(C16,$AJ$3),Master_Data!$Q$4:$Q$145)+SUMIF(Master_Data!$AK$152:$AK$850,CONCATENATE(C16,$AJ$3),Master_Data!$Q$152:$Q$850)</f>
        <v>0</v>
      </c>
      <c r="AC16" s="230">
        <f>SUMIF(Master_Data!$AK$4:$AK$145,CONCATENATE(C16,$AJ$3),Master_Data!$U$4:$U$145)+SUMIF(Master_Data!$AK$152:$AK$850,CONCATENATE(C16,$AJ$3),Master_Data!$U$152:$U$850)</f>
        <v>29345274</v>
      </c>
      <c r="AD16" s="310">
        <f ca="1">SUMIF(Master_Data!$AK$4:$AK$145,CONCATENATE(C16,$AJ$3),Master_Data!$S$4:$S$145)+SUMIF(Master_Data!$AK$152:$AK$864,CONCATENATE(C16,$AJ$3),Master_Data!$S$152:$S$850)</f>
        <v>0</v>
      </c>
      <c r="AE16" s="310">
        <f>SUMIF(Master_Data!$AK$4:$AK$145,CONCATENATE(C16,$AJ$3),Master_Data!$T$4:$T$145)+SUMIF(Master_Data!$AK$152:$AK$864,CONCATENATE(C16,$AJ$3),Master_Data!$T$152:$T$864)</f>
        <v>-543431</v>
      </c>
      <c r="AF16" s="230">
        <f t="shared" si="63"/>
        <v>0</v>
      </c>
      <c r="AG16" s="230" t="e">
        <f t="shared" ca="1" si="64"/>
        <v>#VALUE!</v>
      </c>
      <c r="AH16" s="31"/>
      <c r="AI16" s="235" t="str">
        <f t="shared" si="3"/>
        <v>ELGA YASA MEDIA, PTFEB</v>
      </c>
      <c r="AJ16" s="24"/>
      <c r="AK16" s="259"/>
      <c r="AL16" s="109">
        <f t="shared" si="65"/>
        <v>0</v>
      </c>
      <c r="AM16" s="109" t="e">
        <f t="shared" ca="1" si="66"/>
        <v>#VALUE!</v>
      </c>
      <c r="AN16" s="31"/>
      <c r="AO16" s="109">
        <f>SUMIF(Bill_Out!$Q$134:$Q$188,CONCATENATE($C16,$BA$3),Bill_Out!$N$134:$N$188)</f>
        <v>0</v>
      </c>
      <c r="AP16" s="109" t="e">
        <f>SUMIF(Bill_Out!$Q$134:$Q$188,CONCATENATE($C16,$BA$3),Bill_Out!$O$134:$O$188)</f>
        <v>#VALUE!</v>
      </c>
      <c r="AQ16" s="50"/>
      <c r="AR16" s="230">
        <f>SUMIF(Master_Data!$AK$4:$AK$145,CONCATENATE(C16,$BA$3),Master_Data!$R$4:$R$145)+SUMIF(Master_Data!$AK$152:$AK$864,CONCATENATE(C16,$BA$3),Master_Data!$R$152:$R$864)</f>
        <v>0</v>
      </c>
      <c r="AS16" s="230">
        <f>SUMIF(Master_Data!$AK$4:$AK$145,CONCATENATE(C16,$BA$3),Master_Data!$Q$4:$Q$145)+SUMIF(Master_Data!$AK$152:$AK$864,CONCATENATE(C16,$BA$3),Master_Data!$Q$152:$Q$864)</f>
        <v>0</v>
      </c>
      <c r="AT16" s="230">
        <f>SUMIF(Master_Data!$AK$4:$AK$145,CONCATENATE(C16,$BA$3),Master_Data!$U$4:$U$145)+SUMIF(Master_Data!$AK$152:$AK$864,CONCATENATE(C16,$BA$3),Master_Data!$U$152:$U$864)</f>
        <v>32218748</v>
      </c>
      <c r="AU16" s="230">
        <f ca="1">SUMIF(Master_Data!$AK$4:$AK$145,CONCATENATE(C16,$BA$3),Master_Data!$S$4:$S$145)+SUMIF(Master_Data!$AK$152:$AK$864,CONCATENATE(C16,$BA$3),Master_Data!$S$152:$S$850)</f>
        <v>0</v>
      </c>
      <c r="AV16" s="39">
        <f>SUMIF(Master_Data!$AK$152:$AK$864,CONCATENATE($C16,BA$3),Master_Data!$T$152:$T$864)</f>
        <v>-541969.4</v>
      </c>
      <c r="AW16" s="230">
        <f t="shared" si="57"/>
        <v>0</v>
      </c>
      <c r="AX16" s="230" t="e">
        <f t="shared" ca="1" si="58"/>
        <v>#VALUE!</v>
      </c>
      <c r="AY16" s="31"/>
      <c r="AZ16" s="235" t="str">
        <f t="shared" si="21"/>
        <v>ELGA YASA MEDIA, PTMAR</v>
      </c>
      <c r="BA16" s="24"/>
      <c r="BB16" s="259"/>
      <c r="BC16" s="109">
        <f t="shared" si="22"/>
        <v>0</v>
      </c>
      <c r="BD16" s="109" t="e">
        <f t="shared" ca="1" si="23"/>
        <v>#VALUE!</v>
      </c>
      <c r="BE16" s="31"/>
      <c r="BF16" s="109">
        <f>SUMIF(Bill_Out!$Q$192:$Q$258,CONCATENATE($C16,$BR$3),Bill_Out!$N$192:$N$258)</f>
        <v>0</v>
      </c>
      <c r="BG16" s="109" t="e">
        <f>SUMIF(Bill_Out!$Q$192:$Q$258,CONCATENATE($C16,$BR$3),Bill_Out!$O$192:$O$258)</f>
        <v>#VALUE!</v>
      </c>
      <c r="BH16" s="50"/>
      <c r="BI16" s="230">
        <f>SUMIF(Master_Data!$AK$4:$AK$145,CONCATENATE(C16,$BR$3),Master_Data!$R$4:$R$145)+SUMIF(Master_Data!$AK$152:$AK$864,CONCATENATE(C16,$BR$3),Master_Data!$R$152:$R$864)</f>
        <v>0</v>
      </c>
      <c r="BJ16" s="230">
        <f>SUMIF(Master_Data!$AK$4:$AK$145,CONCATENATE(C16,$BR$3),Master_Data!$Q$4:$Q$145)+SUMIF(Master_Data!$AK$152:$AK$864,CONCATENATE(C16,$BR$3),Master_Data!$Q$152:$Q$864)</f>
        <v>0</v>
      </c>
      <c r="BK16" s="230">
        <f>SUMIF(Master_Data!$AK$4:$AK$145,CONCATENATE(C16,$BR$3),Master_Data!$U$4:$U$145)+SUMIF(Master_Data!$AK$152:$AK$864,CONCATENATE(C16,$BR$3),Master_Data!$U$152:$U$864)</f>
        <v>29292656</v>
      </c>
      <c r="BL16" s="230">
        <f>SUMIF(Master_Data!$AK$4:$AK$145,CONCATENATE(C16,$BR$3),Master_Data!$S$4:$S$145)+SUMIF(Master_Data!$AK$152:$AK$864,CONCATENATE(C16,$BR$3),Master_Data!$S$152:$S$864)</f>
        <v>0</v>
      </c>
      <c r="BM16" s="39">
        <f>SUMIF(Master_Data!$AK$152:$AK$864,CONCATENATE($C16,BR$3),Master_Data!$T$152:$T$864)</f>
        <v>-542456.6</v>
      </c>
      <c r="BN16" s="230">
        <f t="shared" si="24"/>
        <v>0</v>
      </c>
      <c r="BO16" s="230" t="e">
        <f t="shared" ca="1" si="25"/>
        <v>#VALUE!</v>
      </c>
      <c r="BP16" s="31"/>
      <c r="BQ16" s="909" t="str">
        <f t="shared" si="26"/>
        <v>ELGA YASA MEDIA, PTAPR</v>
      </c>
      <c r="BR16" s="24"/>
      <c r="BS16" s="259"/>
      <c r="BT16" s="109">
        <f t="shared" si="59"/>
        <v>0</v>
      </c>
      <c r="BU16" s="109" t="e">
        <f t="shared" ca="1" si="60"/>
        <v>#VALUE!</v>
      </c>
      <c r="BV16" s="31"/>
      <c r="BW16" s="109">
        <f>SUMIF(Bill_Out!$Q$263:$Q$314,CONCATENATE($C16,$CI$3),Bill_Out!$N$263:$N$314)</f>
        <v>0</v>
      </c>
      <c r="BX16" s="109" t="e">
        <f>SUMIF(Bill_Out!$Q$263:$Q$314,CONCATENATE($C16,$CI$3),Bill_Out!$O$263:$O$314)</f>
        <v>#VALUE!</v>
      </c>
      <c r="BY16" s="50"/>
      <c r="BZ16" s="310">
        <f>SUMIF(Master_Data!$AK$4:$AK$145,CONCATENATE(C16,$CI$3),Master_Data!$R$4:$R$145)+SUMIF(Master_Data!$AK$152:$AK$864,CONCATENATE(C16,$CI$3),Master_Data!$R$152:$R$864)</f>
        <v>0</v>
      </c>
      <c r="CA16" s="310">
        <f>SUMIF(Master_Data!$AK$4:$AK$145,CONCATENATE(C16,$CI$3),Master_Data!$Q$4:$Q$145)+SUMIF(Master_Data!$AK$152:$AK$864,CONCATENATE(C16,$CI$3),Master_Data!$Q$152:$Q$864)</f>
        <v>0</v>
      </c>
      <c r="CB16" s="310">
        <f>SUMIF(Master_Data!$AK$4:$AK$145,CONCATENATE(C16,$CI$3),Master_Data!$U$4:$U$145)+SUMIF(Master_Data!$AK$152:$AK$864,CONCATENATE(C16,$CI$3),Master_Data!$U$152:$U$864)</f>
        <v>29211538</v>
      </c>
      <c r="CC16" s="230">
        <f>SUMIF(Master_Data!$AK$4:$AK$145,CONCATENATE(C16,$CI$3),Master_Data!$S$4:$S$145)+SUMIF(Master_Data!$AK$152:$AK$864,CONCATENATE(C16,$CI$3),Master_Data!$S$152:$S$864)</f>
        <v>0</v>
      </c>
      <c r="CD16" s="39">
        <f>SUMIF(Master_Data!$AK$152:$AK$864,CONCATENATE($C16,CI$3),Master_Data!$T$152:$T$864)</f>
        <v>-540954.4</v>
      </c>
      <c r="CE16" s="310">
        <f t="shared" si="27"/>
        <v>0</v>
      </c>
      <c r="CF16" s="230" t="e">
        <f t="shared" ca="1" si="28"/>
        <v>#VALUE!</v>
      </c>
      <c r="CG16" s="31"/>
      <c r="CH16" s="235" t="str">
        <f t="shared" si="29"/>
        <v>ELGA YASA MEDIA, PTMEI</v>
      </c>
      <c r="CI16" s="24"/>
      <c r="CJ16" s="259"/>
      <c r="CK16" s="109">
        <f t="shared" si="30"/>
        <v>0</v>
      </c>
      <c r="CL16" s="238" t="e">
        <f t="shared" ca="1" si="31"/>
        <v>#VALUE!</v>
      </c>
      <c r="CM16" s="31"/>
      <c r="CN16" s="238">
        <f>SUMIF(Bill_Out!$Q$318:$Q$371,CONCATENATE($C16,$CZ$3),Bill_Out!$N$318:$N$371)</f>
        <v>0</v>
      </c>
      <c r="CO16" s="238" t="e">
        <f>SUMIF(Bill_Out!$Q$318:$Q$371,CONCATENATE($C16,$CZ$3),Bill_Out!$O$318:$O$371)</f>
        <v>#VALUE!</v>
      </c>
      <c r="CP16" s="50"/>
      <c r="CQ16" s="230">
        <f>SUMIF(Master_Data!$AK$4:$AK$145,CONCATENATE($C16,$CZ$3),Master_Data!$R$4:$R$145)+SUMIF(Master_Data!$AK$152:$AK$864,CONCATENATE($C16,$CZ$3),Master_Data!$R$152:$R$864)</f>
        <v>0</v>
      </c>
      <c r="CR16" s="230">
        <f>SUMIF(Master_Data!$AK$4:$AK$145,CONCATENATE($C16,$CZ$3),Master_Data!$Q$4:$Q$145)+SUMIF(Master_Data!$AK$152:$AK$864,CONCATENATE($C16,$CZ$3),Master_Data!$Q$152:$Q$864)</f>
        <v>0</v>
      </c>
      <c r="CS16" s="230">
        <f>SUMIF(Master_Data!$AK$4:$AK$145,CONCATENATE($C16,$CZ$3),Master_Data!$U$4:$U$145)+SUMIF(Master_Data!$AK$152:$AK$864,CONCATENATE($C16,$CZ$3),Master_Data!$U$152:$U$864)</f>
        <v>29193998</v>
      </c>
      <c r="CT16" s="230">
        <f ca="1">SUMIF(Master_Data!$AK$4:$AK$145,CONCATENATE(C16,$CZ$3),Master_Data!$S$4:$S$145)+SUMIF(Master_Data!$AK$152:$AK$915,CONCATENATE(C16,$CZ$3),Master_Data!$S$152:$S$864)</f>
        <v>0</v>
      </c>
      <c r="CU16" s="1010">
        <f>SUMIF(Master_Data!$AK$4:$AK$145,CONCATENATE(C16,$CZ$3),Master_Data!$T$4:$T$145)+SUMIF(Master_Data!$AK$152:$AK$864,CONCATENATE(C16,$CZ$3),Master_Data!$T$152:$T$864)</f>
        <v>-540629.6</v>
      </c>
      <c r="CV16" s="230">
        <f t="shared" si="32"/>
        <v>0</v>
      </c>
      <c r="CW16" s="230" t="e">
        <f t="shared" ca="1" si="33"/>
        <v>#VALUE!</v>
      </c>
      <c r="CX16" s="31"/>
      <c r="CY16" s="1007" t="str">
        <f t="shared" si="6"/>
        <v>ELGA YASA MEDIA, PTJUN</v>
      </c>
      <c r="CZ16" s="24"/>
      <c r="DA16" s="259"/>
      <c r="DB16" s="109">
        <f t="shared" si="34"/>
        <v>0</v>
      </c>
      <c r="DC16" s="109" t="e">
        <f t="shared" ca="1" si="35"/>
        <v>#VALUE!</v>
      </c>
      <c r="DD16" s="31"/>
      <c r="DE16" s="109">
        <f>SUMIF(Bill_Out!$Q$375:$Q$422,CONCATENATE($C16,$DQ$3),Bill_Out!$N$375:$N$422)</f>
        <v>0</v>
      </c>
      <c r="DF16" s="109">
        <f>SUMIF(Bill_Out!$Q$375:$Q$422,CONCATENATE($C16,$DQ$3),Bill_Out!$O$375:$O$422)</f>
        <v>0</v>
      </c>
      <c r="DG16" s="50"/>
      <c r="DH16" s="310">
        <f>SUMIF(Master_Data!$AK$4:$AK$145,CONCATENATE($C16,$DQ$3),Master_Data!$R$4:$R$145)+SUMIF(Master_Data!$AK$152:$AK$864,CONCATENATE($C16,$DQ$3),Master_Data!$R$152:$R$864)</f>
        <v>0</v>
      </c>
      <c r="DI16" s="310">
        <f>SUMIF(Master_Data!$AK$4:$AK$145,CONCATENATE($C16,$DQ$3),Master_Data!$Q$4:$Q$145)+SUMIF(Master_Data!$AK$152:$AK$864,CONCATENATE($C16,$DQ$3),Master_Data!$Q$152:$Q$864)</f>
        <v>0</v>
      </c>
      <c r="DJ16" s="310">
        <f>SUMIF(Master_Data!$AK$4:$AK$145,CONCATENATE($C16,$DQ$3),Master_Data!$U$4:$U$145)+SUMIF(Master_Data!$AK$152:$AK$864,CONCATENATE($C16,$DQ$3),Master_Data!$U$152:$U$864)</f>
        <v>29183036</v>
      </c>
      <c r="DK16" s="310">
        <f>SUMIF(Master_Data!$AK$4:$AK$145,CONCATENATE($C16,$DQ$3),Master_Data!$S$4:$S$145)+SUMIF(Master_Data!$AK$152:$AK$864,CONCATENATE($C16,$DQ$3),Master_Data!$S$152:$S$864)</f>
        <v>0</v>
      </c>
      <c r="DL16" s="39">
        <f>SUMIF(Master_Data!$AK$152:$AK$915,CONCATENATE($C16,DQ$3),Master_Data!$T$152:$T$915)</f>
        <v>-540426.6</v>
      </c>
      <c r="DM16" s="230">
        <f t="shared" si="67"/>
        <v>0</v>
      </c>
      <c r="DN16" s="230" t="e">
        <f t="shared" ca="1" si="68"/>
        <v>#VALUE!</v>
      </c>
      <c r="DO16" s="31"/>
      <c r="DP16" s="358" t="str">
        <f t="shared" si="9"/>
        <v>ELGA YASA MEDIA, PTJUL</v>
      </c>
      <c r="DQ16" s="24"/>
      <c r="DR16" s="390"/>
      <c r="DS16" s="109">
        <f t="shared" si="36"/>
        <v>0</v>
      </c>
      <c r="DT16" s="109" t="e">
        <f t="shared" ca="1" si="37"/>
        <v>#VALUE!</v>
      </c>
      <c r="DU16" s="31"/>
      <c r="DV16" s="109">
        <f>SUMIF(Bill_Out!$Q$426:$Q$472,CONCATENATE($C16,$EH$3),Bill_Out!$N$426:$N$472)</f>
        <v>0</v>
      </c>
      <c r="DW16" s="109">
        <f>SUMIF(Bill_Out!$Q$426:$Q$472,CONCATENATE($C16,$EH$3),Bill_Out!$O$426:$O$472)</f>
        <v>0</v>
      </c>
      <c r="DX16" s="50"/>
      <c r="DY16" s="310">
        <f>SUMIF(Master_Data!$AK$4:$AK$145,CONCATENATE($C16,$EH$3),Master_Data!$R$4:$R$145)+SUMIF(Master_Data!$AK$152:$AK$864,CONCATENATE($C16,$EH$3),Master_Data!$R$152:$R$864)</f>
        <v>0</v>
      </c>
      <c r="DZ16" s="310">
        <f>SUMIF(Master_Data!$AK$4:$AK$145,CONCATENATE($C16,$EH$3),Master_Data!$Q$4:$Q$145)+SUMIF(Master_Data!$AK$152:$AK$864,CONCATENATE($C16,$EH$3),Master_Data!$Q$152:$Q$864)</f>
        <v>0</v>
      </c>
      <c r="EA16" s="310">
        <f>SUMIF(Master_Data!$AK$4:$AK$145,CONCATENATE($C16,$EH$3),Master_Data!$U$4:$U$145)+SUMIF(Master_Data!$AK$152:$AK$864,CONCATENATE($C16,$EH$3),Master_Data!$U$152:$U$864)</f>
        <v>0</v>
      </c>
      <c r="EB16" s="310">
        <f>SUMIF(Master_Data!$AK$4:$AK$145,CONCATENATE($C16,$EH$3),Master_Data!$S$4:$S$145)+SUMIF(Master_Data!$AK$152:$AK$864,CONCATENATE($C16,$EH$3),Master_Data!$S$152:$S$864)</f>
        <v>0</v>
      </c>
      <c r="EC16" s="39">
        <f>SUMIF(Master_Data!$AK$152:$AK$915,CONCATENATE($C16,EH$3),Master_Data!$T$152:$T$915)</f>
        <v>0</v>
      </c>
      <c r="ED16" s="310">
        <f t="shared" si="38"/>
        <v>0</v>
      </c>
      <c r="EE16" s="230" t="e">
        <f t="shared" ca="1" si="39"/>
        <v>#VALUE!</v>
      </c>
      <c r="EF16" s="31"/>
      <c r="EG16" s="358" t="str">
        <f t="shared" si="10"/>
        <v>ELGA YASA MEDIA, PTAGS</v>
      </c>
      <c r="EH16" s="24"/>
      <c r="EI16" s="390"/>
      <c r="EJ16" s="109">
        <f t="shared" si="47"/>
        <v>0</v>
      </c>
      <c r="EK16" s="109" t="e">
        <f t="shared" ca="1" si="48"/>
        <v>#VALUE!</v>
      </c>
      <c r="EL16" s="84"/>
      <c r="EM16" s="109">
        <f>SUMIF(Bill_Out!$Q$476:$Q$530,CONCATENATE($C16,$EY$3),Bill_Out!$N$476:$N$530)</f>
        <v>0</v>
      </c>
      <c r="EN16" s="109">
        <f>SUMIF(Bill_Out!$Q$476:$Q$530,CONCATENATE($C16,$EY$3),Bill_Out!$O$476:$O$530)</f>
        <v>0</v>
      </c>
      <c r="EO16" s="309"/>
      <c r="EP16" s="310">
        <f>SUMIF(Master_Data!$AK$4:$AK$145,CONCATENATE($C16,$EY$3),Master_Data!$R$4:$R$145)+SUMIF(Master_Data!$AK$152:$AK$864,CONCATENATE($C16,$EY$3),Master_Data!$R$152:$R$864)</f>
        <v>0</v>
      </c>
      <c r="EQ16" s="310">
        <f>SUMIF(Master_Data!$AK$4:$AK$145,CONCATENATE($C16,$EY$3),Master_Data!$Q$4:$Q$145)+SUMIF(Master_Data!$AK$152:$AK$864,CONCATENATE($C16,$EY$3),Master_Data!$Q$152:$Q$864)</f>
        <v>0</v>
      </c>
      <c r="ER16" s="310">
        <f>SUMIF(Master_Data!$AK$4:$AK$145,CONCATENATE($C16,$EY$3),Master_Data!$U$4:$U$145)+SUMIF(Master_Data!$AK$152:$AK$864,CONCATENATE($C16,$EY$3),Master_Data!$U$152:$U$864)</f>
        <v>0</v>
      </c>
      <c r="ES16" s="310">
        <f>SUMIF(Master_Data!$AK$4:$AK$145,CONCATENATE($C16,$EY$3),Master_Data!$S$4:$S$145)+SUMIF(Master_Data!$AK$152:$AK$864,CONCATENATE($C16,$EY$3),Master_Data!$S$152:$S$864)</f>
        <v>0</v>
      </c>
      <c r="ET16" s="39">
        <f>SUMIF(Master_Data!$AK$152:$AK$915,CONCATENATE($C16,EY$3),Master_Data!$T$152:$T$915)</f>
        <v>0</v>
      </c>
      <c r="EU16" s="310">
        <f t="shared" si="49"/>
        <v>0</v>
      </c>
      <c r="EV16" s="230"/>
      <c r="EW16" s="84"/>
      <c r="EX16" s="358" t="str">
        <f t="shared" si="11"/>
        <v>ELGA YASA MEDIA, PTSEP</v>
      </c>
      <c r="EY16" s="24"/>
      <c r="EZ16" s="412"/>
      <c r="FA16" s="109">
        <f t="shared" si="50"/>
        <v>0</v>
      </c>
      <c r="FB16" s="109">
        <f t="shared" si="51"/>
        <v>0</v>
      </c>
      <c r="FC16" s="421"/>
      <c r="FD16" s="109">
        <f>SUMIF(Bill_Out!$Q$534:$Q$606,CONCATENATE($C16,$FP$3),Bill_Out!$N$534:$N$606)</f>
        <v>0</v>
      </c>
      <c r="FE16" s="109">
        <f>SUMIF(Bill_Out!$Q$534:$Q$606,CONCATENATE($C16,$FP$3),Bill_Out!$O$534:$O$606)</f>
        <v>0</v>
      </c>
      <c r="FF16" s="309"/>
      <c r="FG16" s="310">
        <f>SUMIF(Master_Data!$AK$4:$AK$145,CONCATENATE($C16,$FP$3),Master_Data!$R$4:$R$145)+SUMIF(Master_Data!$AK$152:$AK$864,CONCATENATE($C16,$FP$3),Master_Data!$R$152:$R$864)</f>
        <v>0</v>
      </c>
      <c r="FH16" s="310">
        <f>SUMIF(Master_Data!$AK$4:$AK$145,CONCATENATE($C16,$FP$3),Master_Data!$Q$4:$Q$145)+SUMIF(Master_Data!$AK$152:$AK$864,CONCATENATE($C16,$FP$3),Master_Data!$Q$152:$Q$864)</f>
        <v>0</v>
      </c>
      <c r="FI16" s="310">
        <f>SUMIF(Master_Data!$AK$4:$AK$145,CONCATENATE($C16,$FP$3),Master_Data!$U$4:$U$145)+SUMIF(Master_Data!$AK$152:$AK$864,CONCATENATE($C16,$FP$3),Master_Data!$U$152:$U$864)</f>
        <v>0</v>
      </c>
      <c r="FJ16" s="310">
        <f>SUMIF(Master_Data!$AK$4:$AK$145,CONCATENATE($C16,$FP$3),Master_Data!$S$4:$S$145)+SUMIF(Master_Data!$AK$152:$AK$864,CONCATENATE($C16,$FP$3),Master_Data!$S$152:$S$864)</f>
        <v>0</v>
      </c>
      <c r="FK16" s="39">
        <f>SUMIF(Master_Data!$AK$152:$AK$915,CONCATENATE($C16,FP$3),Master_Data!$T$152:$T$915)</f>
        <v>0</v>
      </c>
      <c r="FL16" s="310">
        <f t="shared" si="52"/>
        <v>0</v>
      </c>
      <c r="FM16" s="230">
        <f t="shared" si="53"/>
        <v>0</v>
      </c>
      <c r="FN16" s="31"/>
      <c r="FO16" s="358" t="str">
        <f t="shared" ref="FO16:FO26" si="72">CONCATENATE($C16,$FP$3)</f>
        <v>ELGA YASA MEDIA, PTOKT</v>
      </c>
      <c r="FP16" s="24"/>
      <c r="FQ16" s="412"/>
      <c r="FR16" s="109">
        <f t="shared" si="42"/>
        <v>0</v>
      </c>
      <c r="FS16" s="109">
        <f t="shared" si="54"/>
        <v>0</v>
      </c>
      <c r="FT16" s="420"/>
      <c r="FU16" s="109">
        <f>SUMIF(Bill_Out!$Q$610:$Q$675,CONCATENATE($C16,$GG$3),Bill_Out!$N$610:$N$675)</f>
        <v>0</v>
      </c>
      <c r="FV16" s="109">
        <f>SUMIF(Bill_Out!$Q$610:$Q$675,CONCATENATE($C16,$GG$3),Bill_Out!$O$610:$O$675)</f>
        <v>0</v>
      </c>
      <c r="FW16" s="50"/>
      <c r="FX16" s="512">
        <f>SUMIF(Master_Data!$AK$4:$AK$145,CONCATENATE($C16,$GG$3),Master_Data!$R$4:$R$145)+SUMIF(Master_Data!$AK$152:$AK$864,CONCATENATE($C16,$GG$3),Master_Data!$R$152:$R$864)</f>
        <v>0</v>
      </c>
      <c r="FY16" s="512">
        <f>SUMIF(Master_Data!$AK$4:$AK$145,CONCATENATE($C16,$GG$3),Master_Data!$Q$4:$Q$145)+SUMIF(Master_Data!$AK$152:$AK$864,CONCATENATE($C16,$GG$3),Master_Data!$Q$152:$Q$864)</f>
        <v>0</v>
      </c>
      <c r="FZ16" s="512">
        <f>SUMIF(Master_Data!$AK$4:$AK$145,CONCATENATE($C16,$GG$3),Master_Data!$U$4:$U$145)+SUMIF(Master_Data!$AK$152:$AK$864,CONCATENATE($C16,$GG$3),Master_Data!$U$152:$U$864)</f>
        <v>0</v>
      </c>
      <c r="GA16" s="310">
        <f>SUMIF(Master_Data!$AK$4:$AK$145,CONCATENATE($C16,$GG$3),Master_Data!$S$4:$S$145)+SUMIF(Master_Data!$AK$152:$AK$864,CONCATENATE($C16,$GG$3),Master_Data!$S$152:$S$864)</f>
        <v>0</v>
      </c>
      <c r="GB16" s="39">
        <f>SUMIF(Master_Data!$AK$152:$AK$915,CONCATENATE($C16,GG$3),Master_Data!$T$152:$T$915)</f>
        <v>0</v>
      </c>
      <c r="GC16" s="230">
        <f t="shared" si="55"/>
        <v>0</v>
      </c>
      <c r="GD16" s="230">
        <f t="shared" si="14"/>
        <v>0</v>
      </c>
      <c r="GE16" s="31"/>
      <c r="GF16" s="358" t="str">
        <f t="shared" ref="GF16:GF26" si="73">CONCATENATE($C16,$GG$3)</f>
        <v>ELGA YASA MEDIA, PTNOV</v>
      </c>
      <c r="GG16" s="24"/>
      <c r="GH16" s="412" t="s">
        <v>510</v>
      </c>
      <c r="GI16" s="109">
        <f t="shared" si="70"/>
        <v>0</v>
      </c>
      <c r="GJ16" s="109">
        <f t="shared" si="71"/>
        <v>0</v>
      </c>
      <c r="GK16" s="423"/>
      <c r="GL16" s="109">
        <f>SUMIF(Bill_Out!$Q$679:$Q$756,CONCATENATE($C16,$GX$3),Bill_Out!$N$679:$N$756)</f>
        <v>0</v>
      </c>
      <c r="GM16" s="109">
        <f>SUMIF(Bill_Out!$Q$679:$Q$756,CONCATENATE($C16,$GX$3),Bill_Out!$O$679:$O$756)</f>
        <v>0</v>
      </c>
      <c r="GN16" s="50"/>
      <c r="GO16" s="512">
        <f>SUMIF(Master_Data!$AK$4:$AK$145,CONCATENATE($C16,$GX$3),Master_Data!$R$4:$R$145)+SUMIF(Master_Data!$AK$152:$AK$864,CONCATENATE($C16,$GX$3),Master_Data!$R$152:$R$864)</f>
        <v>0</v>
      </c>
      <c r="GP16" s="512">
        <f>SUMIF(Master_Data!$AK$4:$AK$145,CONCATENATE($C16,$GX$3),Master_Data!$Q$4:$Q$145)+SUMIF(Master_Data!$AK$152:$AK$864,CONCATENATE($C16,$GX$3),Master_Data!$Q$152:$Q$864)</f>
        <v>0</v>
      </c>
      <c r="GQ16" s="512">
        <f>SUMIF(Master_Data!$AK$4:$AK$145,CONCATENATE($C16,$GX$3),Master_Data!$U$4:$U$145)+SUMIF(Master_Data!$AK$152:$AK$864,CONCATENATE($C16,$GX$3),Master_Data!$U$152:$U$864)</f>
        <v>0</v>
      </c>
      <c r="GR16" s="310">
        <f>SUMIF(Master_Data!$AK$4:$AK$145,CONCATENATE($C16,$GX$3),Master_Data!$S$4:$S$145)+SUMIF(Master_Data!$AK$152:$AK$864,CONCATENATE($C16,$GX$3),Master_Data!$S$152:$S$864)</f>
        <v>0</v>
      </c>
      <c r="GS16" s="39">
        <f>SUMIF(Master_Data!$AK$152:$AK$864,CONCATENATE($C16,GX$3),Master_Data!$T$152:$T$864)</f>
        <v>0</v>
      </c>
      <c r="GT16" s="534">
        <f t="shared" si="44"/>
        <v>0</v>
      </c>
      <c r="GU16" s="310">
        <f t="shared" si="16"/>
        <v>0</v>
      </c>
      <c r="GV16" s="31"/>
      <c r="GW16" s="358" t="str">
        <f t="shared" si="69"/>
        <v>ELGA YASA MEDIA, PTDES</v>
      </c>
      <c r="GX16" s="24"/>
    </row>
    <row r="17" spans="1:206" s="19" customFormat="1">
      <c r="A17" s="328" t="s">
        <v>114</v>
      </c>
      <c r="B17" s="236" t="str">
        <f t="shared" si="18"/>
        <v>EXPANS PETROGAS INTRANUSA, PTJAN</v>
      </c>
      <c r="C17" s="22" t="s">
        <v>28</v>
      </c>
      <c r="D17" s="52" t="s">
        <v>305</v>
      </c>
      <c r="E17" s="238">
        <f>SUMIF(Master_Data!$D9:$D$145,CONCATENATE(C17),Master_Data!M9:M152)</f>
        <v>0</v>
      </c>
      <c r="F17" s="109">
        <f>SUMIF(Master_Data!$D13:$D$145,CONCATENATE(C17),Master_Data!N13:N166)</f>
        <v>72600000</v>
      </c>
      <c r="G17" s="31"/>
      <c r="H17" s="109">
        <f>SUMIF(Bill_Out!$Q$3:$Q$65,CONCATENATE($C17,$S$3),Bill_Out!$N$3:$N$65)</f>
        <v>0</v>
      </c>
      <c r="I17" s="88" t="e">
        <f>SUMIF(Bill_Out!$Q$3:$Q$65,CONCATENATE($C17,$S$3),Bill_Out!$O$3:$O$65)</f>
        <v>#VALUE!</v>
      </c>
      <c r="J17" s="50"/>
      <c r="K17" s="29"/>
      <c r="L17" s="44"/>
      <c r="M17" s="230">
        <f>SUMIF(Master_Data!$AK12:$AK$145,CONCATENATE(C17,$S$3),Master_Data!U12:U166)+SUMIF(Master_Data!$AK197:$AK$864,CONCATENATE(C17,$S$3),Master_Data!U197:U917)</f>
        <v>103680000</v>
      </c>
      <c r="N17" s="310">
        <f>SUMIF(Master_Data!$AK$4:$AK$145,CONCATENATE(C17,$S$3),Master_Data!$S$4:$S$145)+SUMIF(Master_Data!$AK$150:$AK$864,CONCATENATE(C17,$S$3),Master_Data!$S$150:$S$864)</f>
        <v>0</v>
      </c>
      <c r="O17" s="310">
        <f>SUMIF(Master_Data!$AK$4:$AK$145,CONCATENATE(C17,$S$3),Master_Data!$T$4:$T$145)+SUMIF(Master_Data!$AK$150:$AK$864,CONCATENATE(C17,$S$3),Master_Data!$T$150:$T$864)</f>
        <v>-1920000</v>
      </c>
      <c r="P17" s="230">
        <f t="shared" si="19"/>
        <v>0</v>
      </c>
      <c r="Q17" s="230" t="e">
        <f t="shared" si="20"/>
        <v>#VALUE!</v>
      </c>
      <c r="R17" s="31"/>
      <c r="S17" s="232"/>
      <c r="T17" s="259"/>
      <c r="U17" s="109">
        <f t="shared" si="61"/>
        <v>0</v>
      </c>
      <c r="V17" s="109" t="e">
        <f t="shared" si="62"/>
        <v>#VALUE!</v>
      </c>
      <c r="W17" s="54"/>
      <c r="X17" s="109">
        <f>SUMIF(Bill_Out!$Q$67:$Q$132,CONCATENATE($C17,$AJ$3),Bill_Out!$N$67:$N$132)</f>
        <v>0</v>
      </c>
      <c r="Y17" s="109" t="e">
        <f>SUMIF(Bill_Out!$Q$67:$Q$132,CONCATENATE($C17,$AJ$3),Bill_Out!$O$67:$O$132)</f>
        <v>#VALUE!</v>
      </c>
      <c r="Z17" s="50"/>
      <c r="AA17" s="230">
        <f>SUMIF(Master_Data!$AK$4:$AK$145,CONCATENATE(C17,$AJ$3),Master_Data!$R$4:$R$145)+SUMIF(Master_Data!$AK$152:$AK$850,CONCATENATE(C17,$AJ$3),Master_Data!$R$152:$R$850)</f>
        <v>0</v>
      </c>
      <c r="AB17" s="230">
        <f>SUMIF(Master_Data!$AK$4:$AK$145,CONCATENATE(C17,$AJ$3),Master_Data!$Q$4:$Q$145)+SUMIF(Master_Data!$AK$152:$AK$850,CONCATENATE(C17,$AJ$3),Master_Data!$Q$152:$Q$850)</f>
        <v>0</v>
      </c>
      <c r="AC17" s="230">
        <f>SUMIF(Master_Data!$AK$4:$AK$145,CONCATENATE(C17,$AJ$3),Master_Data!$U$4:$U$145)+SUMIF(Master_Data!$AK$152:$AK$850,CONCATENATE(C17,$AJ$3),Master_Data!$U$152:$U$850)</f>
        <v>0</v>
      </c>
      <c r="AD17" s="310">
        <f ca="1">SUMIF(Master_Data!$AK$4:$AK$145,CONCATENATE(C17,$AJ$3),Master_Data!$S$4:$S$145)+SUMIF(Master_Data!$AK$152:$AK$864,CONCATENATE(C17,$AJ$3),Master_Data!$S$152:$S$850)</f>
        <v>0</v>
      </c>
      <c r="AE17" s="310">
        <f>SUMIF(Master_Data!$AK$4:$AK$145,CONCATENATE(C17,$AJ$3),Master_Data!$T$4:$T$145)+SUMIF(Master_Data!$AK$152:$AK$864,CONCATENATE(C17,$AJ$3),Master_Data!$T$152:$T$864)</f>
        <v>0</v>
      </c>
      <c r="AF17" s="230">
        <f t="shared" si="63"/>
        <v>0</v>
      </c>
      <c r="AG17" s="230" t="e">
        <f t="shared" ca="1" si="64"/>
        <v>#VALUE!</v>
      </c>
      <c r="AH17" s="31"/>
      <c r="AI17" s="235" t="str">
        <f t="shared" si="3"/>
        <v>EXPANS PETROGAS INTRANUSA, PTFEB</v>
      </c>
      <c r="AJ17" s="232"/>
      <c r="AK17" s="259"/>
      <c r="AL17" s="109">
        <f t="shared" si="65"/>
        <v>0</v>
      </c>
      <c r="AM17" s="109" t="e">
        <f t="shared" ca="1" si="66"/>
        <v>#VALUE!</v>
      </c>
      <c r="AN17" s="31"/>
      <c r="AO17" s="109">
        <f>SUMIF(Bill_Out!$Q$134:$Q$188,CONCATENATE($C17,$BA$3),Bill_Out!$N$134:$N$188)</f>
        <v>0</v>
      </c>
      <c r="AP17" s="109" t="e">
        <f>SUMIF(Bill_Out!$Q$134:$Q$188,CONCATENATE($C17,$BA$3),Bill_Out!$O$134:$O$188)</f>
        <v>#VALUE!</v>
      </c>
      <c r="AQ17" s="50"/>
      <c r="AR17" s="230">
        <f>SUMIF(Master_Data!$AK$4:$AK$145,CONCATENATE(C17,$BA$3),Master_Data!$R$4:$R$145)+SUMIF(Master_Data!$AK$152:$AK$864,CONCATENATE(C17,$BA$3),Master_Data!$R$152:$R$864)</f>
        <v>0</v>
      </c>
      <c r="AS17" s="230">
        <f>SUMIF(Master_Data!$AK$4:$AK$145,CONCATENATE(C17,$BA$3),Master_Data!$Q$4:$Q$145)+SUMIF(Master_Data!$AK$152:$AK$864,CONCATENATE(C17,$BA$3),Master_Data!$Q$152:$Q$864)</f>
        <v>0</v>
      </c>
      <c r="AT17" s="230">
        <f>SUMIF(Master_Data!$AK$4:$AK$145,CONCATENATE(C17,$BA$3),Master_Data!$U$4:$U$145)+SUMIF(Master_Data!$AK$152:$AK$864,CONCATENATE(C17,$BA$3),Master_Data!$U$152:$U$864)</f>
        <v>0</v>
      </c>
      <c r="AU17" s="230">
        <f ca="1">SUMIF(Master_Data!$AK$4:$AK$145,CONCATENATE(C17,$BA$3),Master_Data!$S$4:$S$145)+SUMIF(Master_Data!$AK$152:$AK$864,CONCATENATE(C17,$BA$3),Master_Data!$S$152:$S$850)</f>
        <v>0</v>
      </c>
      <c r="AV17" s="39">
        <f>SUMIF(Master_Data!$AK$152:$AK$864,CONCATENATE($C17,BA$3),Master_Data!$T$152:$T$864)</f>
        <v>0</v>
      </c>
      <c r="AW17" s="230">
        <f t="shared" si="57"/>
        <v>0</v>
      </c>
      <c r="AX17" s="230" t="e">
        <f t="shared" ca="1" si="58"/>
        <v>#VALUE!</v>
      </c>
      <c r="AY17" s="31"/>
      <c r="AZ17" s="235" t="str">
        <f t="shared" si="21"/>
        <v>EXPANS PETROGAS INTRANUSA, PTMAR</v>
      </c>
      <c r="BA17" s="24"/>
      <c r="BB17" s="259"/>
      <c r="BC17" s="109">
        <f t="shared" si="22"/>
        <v>0</v>
      </c>
      <c r="BD17" s="109" t="e">
        <f t="shared" ca="1" si="23"/>
        <v>#VALUE!</v>
      </c>
      <c r="BE17" s="31"/>
      <c r="BF17" s="109">
        <f>SUMIF(Bill_Out!$Q$192:$Q$258,CONCATENATE($C17,$BR$3),Bill_Out!$N$192:$N$258)</f>
        <v>0</v>
      </c>
      <c r="BG17" s="109">
        <f>SUMIF(Bill_Out!$Q$192:$Q$258,CONCATENATE($C17,$BR$3),Bill_Out!$O$192:$O$258)</f>
        <v>0</v>
      </c>
      <c r="BH17" s="50"/>
      <c r="BI17" s="230">
        <f>SUMIF(Master_Data!$AK$4:$AK$145,CONCATENATE(C17,$BR$3),Master_Data!$R$4:$R$145)+SUMIF(Master_Data!$AK$152:$AK$864,CONCATENATE(C17,$BR$3),Master_Data!$R$152:$R$864)</f>
        <v>0</v>
      </c>
      <c r="BJ17" s="230">
        <f>SUMIF(Master_Data!$AK$4:$AK$145,CONCATENATE(C17,$BR$3),Master_Data!$Q$4:$Q$145)+SUMIF(Master_Data!$AK$152:$AK$864,CONCATENATE(C17,$BR$3),Master_Data!$Q$152:$Q$864)</f>
        <v>0</v>
      </c>
      <c r="BK17" s="230">
        <f>SUMIF(Master_Data!$AK$4:$AK$145,CONCATENATE(C17,$BR$3),Master_Data!$U$4:$U$145)+SUMIF(Master_Data!$AK$152:$AK$864,CONCATENATE(C17,$BR$3),Master_Data!$U$152:$U$864)</f>
        <v>0</v>
      </c>
      <c r="BL17" s="230">
        <f>SUMIF(Master_Data!$AK$4:$AK$145,CONCATENATE(C17,$BR$3),Master_Data!$S$4:$S$145)+SUMIF(Master_Data!$AK$152:$AK$864,CONCATENATE(C17,$BR$3),Master_Data!$S$152:$S$864)</f>
        <v>0</v>
      </c>
      <c r="BM17" s="39">
        <f>SUMIF(Master_Data!$AK$152:$AK$864,CONCATENATE($C17,BR$3),Master_Data!$T$152:$T$864)</f>
        <v>0</v>
      </c>
      <c r="BN17" s="230">
        <f t="shared" si="24"/>
        <v>0</v>
      </c>
      <c r="BO17" s="230" t="e">
        <f t="shared" ca="1" si="25"/>
        <v>#VALUE!</v>
      </c>
      <c r="BP17" s="31"/>
      <c r="BQ17" s="909" t="str">
        <f t="shared" si="26"/>
        <v>EXPANS PETROGAS INTRANUSA, PTAPR</v>
      </c>
      <c r="BR17" s="24"/>
      <c r="BS17" s="259"/>
      <c r="BT17" s="109">
        <f t="shared" si="59"/>
        <v>0</v>
      </c>
      <c r="BU17" s="109" t="e">
        <f t="shared" ca="1" si="60"/>
        <v>#VALUE!</v>
      </c>
      <c r="BV17" s="31"/>
      <c r="BW17" s="109">
        <f>SUMIF(Bill_Out!$Q$263:$Q$314,CONCATENATE($C17,$CI$3),Bill_Out!$N$263:$N$314)</f>
        <v>0</v>
      </c>
      <c r="BX17" s="109">
        <f>SUMIF(Bill_Out!$Q$263:$Q$314,CONCATENATE($C17,$CI$3),Bill_Out!$O$263:$O$314)</f>
        <v>0</v>
      </c>
      <c r="BY17" s="50"/>
      <c r="BZ17" s="310">
        <f>SUMIF(Master_Data!$AK$4:$AK$145,CONCATENATE(C17,$CI$3),Master_Data!$R$4:$R$145)+SUMIF(Master_Data!$AK$152:$AK$864,CONCATENATE(C17,$CI$3),Master_Data!$R$152:$R$864)</f>
        <v>0</v>
      </c>
      <c r="CA17" s="310">
        <f>SUMIF(Master_Data!$AK$4:$AK$145,CONCATENATE(C17,$CI$3),Master_Data!$Q$4:$Q$145)+SUMIF(Master_Data!$AK$152:$AK$864,CONCATENATE(C17,$CI$3),Master_Data!$Q$152:$Q$864)</f>
        <v>0</v>
      </c>
      <c r="CB17" s="310">
        <f>SUMIF(Master_Data!$AK$4:$AK$145,CONCATENATE(C17,$CI$3),Master_Data!$U$4:$U$145)+SUMIF(Master_Data!$AK$152:$AK$864,CONCATENATE(C17,$CI$3),Master_Data!$U$152:$U$864)</f>
        <v>3300000</v>
      </c>
      <c r="CC17" s="230">
        <f>SUMIF(Master_Data!$AK$4:$AK$145,CONCATENATE(C17,$CI$3),Master_Data!$S$4:$S$145)+SUMIF(Master_Data!$AK$152:$AK$864,CONCATENATE(C17,$CI$3),Master_Data!$S$152:$S$864)</f>
        <v>0</v>
      </c>
      <c r="CD17" s="39">
        <f>SUMIF(Master_Data!$AK$152:$AK$864,CONCATENATE($C17,CI$3),Master_Data!$T$152:$T$864)</f>
        <v>0</v>
      </c>
      <c r="CE17" s="310">
        <f t="shared" si="27"/>
        <v>0</v>
      </c>
      <c r="CF17" s="230" t="e">
        <f t="shared" ca="1" si="28"/>
        <v>#VALUE!</v>
      </c>
      <c r="CG17" s="31"/>
      <c r="CH17" s="235" t="str">
        <f t="shared" si="29"/>
        <v>EXPANS PETROGAS INTRANUSA, PTMEI</v>
      </c>
      <c r="CI17" s="24"/>
      <c r="CJ17" s="259"/>
      <c r="CK17" s="109">
        <f t="shared" si="30"/>
        <v>0</v>
      </c>
      <c r="CL17" s="238" t="e">
        <f t="shared" ca="1" si="31"/>
        <v>#VALUE!</v>
      </c>
      <c r="CM17" s="31"/>
      <c r="CN17" s="238">
        <f>SUMIF(Bill_Out!$Q$318:$Q$371,CONCATENATE($C17,$CZ$3),Bill_Out!$N$318:$N$371)</f>
        <v>0</v>
      </c>
      <c r="CO17" s="238">
        <f>SUMIF(Bill_Out!$Q$318:$Q$371,CONCATENATE($C17,$CZ$3),Bill_Out!$O$318:$O$371)</f>
        <v>0</v>
      </c>
      <c r="CP17" s="50"/>
      <c r="CQ17" s="230">
        <f>SUMIF(Master_Data!$AK$4:$AK$145,CONCATENATE($C17,$CZ$3),Master_Data!$R$4:$R$145)+SUMIF(Master_Data!$AK$152:$AK$864,CONCATENATE($C17,$CZ$3),Master_Data!$R$152:$R$864)</f>
        <v>0</v>
      </c>
      <c r="CR17" s="230">
        <f>SUMIF(Master_Data!$AK$4:$AK$145,CONCATENATE($C17,$CZ$3),Master_Data!$Q$4:$Q$145)+SUMIF(Master_Data!$AK$152:$AK$864,CONCATENATE($C17,$CZ$3),Master_Data!$Q$152:$Q$864)</f>
        <v>0</v>
      </c>
      <c r="CS17" s="230">
        <f>SUMIF(Master_Data!$AK$4:$AK$145,CONCATENATE($C17,$CZ$3),Master_Data!$U$4:$U$145)+SUMIF(Master_Data!$AK$152:$AK$864,CONCATENATE($C17,$CZ$3),Master_Data!$U$152:$U$864)</f>
        <v>0</v>
      </c>
      <c r="CT17" s="230">
        <f ca="1">SUMIF(Master_Data!$AK$4:$AK$145,CONCATENATE(C17,$CZ$3),Master_Data!$S$4:$S$145)+SUMIF(Master_Data!$AK$152:$AK$915,CONCATENATE(C17,$CZ$3),Master_Data!$S$152:$S$864)</f>
        <v>0</v>
      </c>
      <c r="CU17" s="1010">
        <f>SUMIF(Master_Data!$AK$4:$AK$145,CONCATENATE(C17,$CZ$3),Master_Data!$T$4:$T$145)+SUMIF(Master_Data!$AK$152:$AK$864,CONCATENATE(C17,$CZ$3),Master_Data!$T$152:$T$864)</f>
        <v>0</v>
      </c>
      <c r="CV17" s="230">
        <f t="shared" si="32"/>
        <v>0</v>
      </c>
      <c r="CW17" s="230" t="e">
        <f t="shared" ca="1" si="33"/>
        <v>#VALUE!</v>
      </c>
      <c r="CX17" s="31"/>
      <c r="CY17" s="1007" t="str">
        <f t="shared" si="6"/>
        <v>EXPANS PETROGAS INTRANUSA, PTJUN</v>
      </c>
      <c r="CZ17" s="24"/>
      <c r="DA17" s="259"/>
      <c r="DB17" s="109">
        <f t="shared" si="34"/>
        <v>0</v>
      </c>
      <c r="DC17" s="109" t="e">
        <f t="shared" ca="1" si="35"/>
        <v>#VALUE!</v>
      </c>
      <c r="DD17" s="31"/>
      <c r="DE17" s="109">
        <f>SUMIF(Bill_Out!$Q$375:$Q$422,CONCATENATE($C17,$DQ$3),Bill_Out!$N$375:$N$422)</f>
        <v>0</v>
      </c>
      <c r="DF17" s="109">
        <f>SUMIF(Bill_Out!$Q$375:$Q$422,CONCATENATE($C17,$DQ$3),Bill_Out!$O$375:$O$422)</f>
        <v>0</v>
      </c>
      <c r="DG17" s="50"/>
      <c r="DH17" s="310">
        <f>SUMIF(Master_Data!$AK$4:$AK$145,CONCATENATE($C17,$DQ$3),Master_Data!$R$4:$R$145)+SUMIF(Master_Data!$AK$152:$AK$864,CONCATENATE($C17,$DQ$3),Master_Data!$R$152:$R$864)</f>
        <v>0</v>
      </c>
      <c r="DI17" s="310">
        <f>SUMIF(Master_Data!$AK$4:$AK$145,CONCATENATE($C17,$DQ$3),Master_Data!$Q$4:$Q$145)+SUMIF(Master_Data!$AK$152:$AK$864,CONCATENATE($C17,$DQ$3),Master_Data!$Q$152:$Q$864)</f>
        <v>0</v>
      </c>
      <c r="DJ17" s="310">
        <f>SUMIF(Master_Data!$AK$4:$AK$145,CONCATENATE($C17,$DQ$3),Master_Data!$U$4:$U$145)+SUMIF(Master_Data!$AK$152:$AK$864,CONCATENATE($C17,$DQ$3),Master_Data!$U$152:$U$864)</f>
        <v>55296006</v>
      </c>
      <c r="DK17" s="310">
        <f>SUMIF(Master_Data!$AK$4:$AK$145,CONCATENATE($C17,$DQ$3),Master_Data!$S$4:$S$145)+SUMIF(Master_Data!$AK$152:$AK$864,CONCATENATE($C17,$DQ$3),Master_Data!$S$152:$S$864)</f>
        <v>0</v>
      </c>
      <c r="DL17" s="39">
        <f>SUMIF(Master_Data!$AK$152:$AK$915,CONCATENATE($C17,DQ$3),Master_Data!$T$152:$T$915)</f>
        <v>-1024000.12</v>
      </c>
      <c r="DM17" s="230">
        <f t="shared" si="67"/>
        <v>0</v>
      </c>
      <c r="DN17" s="230" t="e">
        <f t="shared" ca="1" si="68"/>
        <v>#VALUE!</v>
      </c>
      <c r="DO17" s="31"/>
      <c r="DP17" s="358" t="str">
        <f t="shared" si="9"/>
        <v>EXPANS PETROGAS INTRANUSA, PTJUL</v>
      </c>
      <c r="DQ17" s="24"/>
      <c r="DR17" s="390"/>
      <c r="DS17" s="109">
        <f t="shared" si="36"/>
        <v>0</v>
      </c>
      <c r="DT17" s="109" t="e">
        <f t="shared" ca="1" si="37"/>
        <v>#VALUE!</v>
      </c>
      <c r="DU17" s="31"/>
      <c r="DV17" s="109">
        <f>SUMIF(Bill_Out!$Q$426:$Q$472,CONCATENATE($C17,$EH$3),Bill_Out!$N$426:$N$472)</f>
        <v>0</v>
      </c>
      <c r="DW17" s="109">
        <f>SUMIF(Bill_Out!$Q$426:$Q$472,CONCATENATE($C17,$EH$3),Bill_Out!$O$426:$O$472)</f>
        <v>0</v>
      </c>
      <c r="DX17" s="50"/>
      <c r="DY17" s="310">
        <f>SUMIF(Master_Data!$AK$4:$AK$145,CONCATENATE($C17,$EH$3),Master_Data!$R$4:$R$145)+SUMIF(Master_Data!$AK$152:$AK$864,CONCATENATE($C17,$EH$3),Master_Data!$R$152:$R$864)</f>
        <v>0</v>
      </c>
      <c r="DZ17" s="310">
        <f>SUMIF(Master_Data!$AK$4:$AK$145,CONCATENATE($C17,$EH$3),Master_Data!$Q$4:$Q$145)+SUMIF(Master_Data!$AK$152:$AK$864,CONCATENATE($C17,$EH$3),Master_Data!$Q$152:$Q$864)</f>
        <v>0</v>
      </c>
      <c r="EA17" s="310">
        <f>SUMIF(Master_Data!$AK$4:$AK$145,CONCATENATE($C17,$EH$3),Master_Data!$U$4:$U$145)+SUMIF(Master_Data!$AK$152:$AK$864,CONCATENATE($C17,$EH$3),Master_Data!$U$152:$U$864)</f>
        <v>0</v>
      </c>
      <c r="EB17" s="310">
        <f>SUMIF(Master_Data!$AK$4:$AK$145,CONCATENATE($C17,$EH$3),Master_Data!$S$4:$S$145)+SUMIF(Master_Data!$AK$152:$AK$864,CONCATENATE($C17,$EH$3),Master_Data!$S$152:$S$864)</f>
        <v>0</v>
      </c>
      <c r="EC17" s="39">
        <f>SUMIF(Master_Data!$AK$152:$AK$915,CONCATENATE($C17,EH$3),Master_Data!$T$152:$T$915)</f>
        <v>0</v>
      </c>
      <c r="ED17" s="310">
        <f t="shared" si="38"/>
        <v>0</v>
      </c>
      <c r="EE17" s="230" t="e">
        <f t="shared" ca="1" si="39"/>
        <v>#VALUE!</v>
      </c>
      <c r="EF17" s="31"/>
      <c r="EG17" s="358" t="str">
        <f t="shared" si="10"/>
        <v>EXPANS PETROGAS INTRANUSA, PTAGS</v>
      </c>
      <c r="EH17" s="24"/>
      <c r="EI17" s="390"/>
      <c r="EJ17" s="109">
        <f t="shared" si="47"/>
        <v>0</v>
      </c>
      <c r="EK17" s="109" t="e">
        <f t="shared" ca="1" si="48"/>
        <v>#VALUE!</v>
      </c>
      <c r="EL17" s="84"/>
      <c r="EM17" s="109">
        <f>SUMIF(Bill_Out!$Q$476:$Q$530,CONCATENATE($C17,$EY$3),Bill_Out!$N$476:$N$530)</f>
        <v>0</v>
      </c>
      <c r="EN17" s="109">
        <f>SUMIF(Bill_Out!$Q$476:$Q$530,CONCATENATE($C17,$EY$3),Bill_Out!$O$476:$O$530)</f>
        <v>0</v>
      </c>
      <c r="EO17" s="309"/>
      <c r="EP17" s="310">
        <f>SUMIF(Master_Data!$AK$4:$AK$145,CONCATENATE($C17,$EY$3),Master_Data!$R$4:$R$145)+SUMIF(Master_Data!$AK$152:$AK$864,CONCATENATE($C17,$EY$3),Master_Data!$R$152:$R$864)</f>
        <v>0</v>
      </c>
      <c r="EQ17" s="310">
        <f>SUMIF(Master_Data!$AK$4:$AK$145,CONCATENATE($C17,$EY$3),Master_Data!$Q$4:$Q$145)+SUMIF(Master_Data!$AK$152:$AK$864,CONCATENATE($C17,$EY$3),Master_Data!$Q$152:$Q$864)</f>
        <v>0</v>
      </c>
      <c r="ER17" s="310">
        <f>SUMIF(Master_Data!$AK$4:$AK$145,CONCATENATE($C17,$EY$3),Master_Data!$U$4:$U$145)+SUMIF(Master_Data!$AK$152:$AK$864,CONCATENATE($C17,$EY$3),Master_Data!$U$152:$U$864)</f>
        <v>0</v>
      </c>
      <c r="ES17" s="310">
        <f>SUMIF(Master_Data!$AK$4:$AK$145,CONCATENATE($C17,$EY$3),Master_Data!$S$4:$S$145)+SUMIF(Master_Data!$AK$152:$AK$864,CONCATENATE($C17,$EY$3),Master_Data!$S$152:$S$864)</f>
        <v>0</v>
      </c>
      <c r="ET17" s="39">
        <f>SUMIF(Master_Data!$AK$152:$AK$915,CONCATENATE($C17,EY$3),Master_Data!$T$152:$T$915)</f>
        <v>0</v>
      </c>
      <c r="EU17" s="310">
        <f t="shared" si="49"/>
        <v>0</v>
      </c>
      <c r="EV17" s="230"/>
      <c r="EW17" s="84"/>
      <c r="EX17" s="358" t="str">
        <f t="shared" si="11"/>
        <v>EXPANS PETROGAS INTRANUSA, PTSEP</v>
      </c>
      <c r="EY17" s="24"/>
      <c r="EZ17" s="412"/>
      <c r="FA17" s="109">
        <f t="shared" si="50"/>
        <v>0</v>
      </c>
      <c r="FB17" s="109">
        <f t="shared" si="51"/>
        <v>0</v>
      </c>
      <c r="FC17" s="421"/>
      <c r="FD17" s="109">
        <f>SUMIF(Bill_Out!$Q$534:$Q$606,CONCATENATE($C17,$FP$3),Bill_Out!$N$534:$N$606)</f>
        <v>0</v>
      </c>
      <c r="FE17" s="109" t="e">
        <f>SUMIF(Bill_Out!$Q$534:$Q$606,CONCATENATE($C17,$FP$3),Bill_Out!$O$534:$O$606)</f>
        <v>#VALUE!</v>
      </c>
      <c r="FF17" s="309"/>
      <c r="FG17" s="310">
        <f>SUMIF(Master_Data!$AK$4:$AK$145,CONCATENATE($C17,$FP$3),Master_Data!$R$4:$R$145)+SUMIF(Master_Data!$AK$152:$AK$864,CONCATENATE($C17,$FP$3),Master_Data!$R$152:$R$864)</f>
        <v>0</v>
      </c>
      <c r="FH17" s="310">
        <f>SUMIF(Master_Data!$AK$4:$AK$145,CONCATENATE($C17,$FP$3),Master_Data!$Q$4:$Q$145)+SUMIF(Master_Data!$AK$152:$AK$864,CONCATENATE($C17,$FP$3),Master_Data!$Q$152:$Q$864)</f>
        <v>0</v>
      </c>
      <c r="FI17" s="310">
        <f>SUMIF(Master_Data!$AK$4:$AK$145,CONCATENATE($C17,$FP$3),Master_Data!$U$4:$U$145)+SUMIF(Master_Data!$AK$152:$AK$864,CONCATENATE($C17,$FP$3),Master_Data!$U$152:$U$864)</f>
        <v>0</v>
      </c>
      <c r="FJ17" s="310">
        <f>SUMIF(Master_Data!$AK$4:$AK$145,CONCATENATE($C17,$FP$3),Master_Data!$S$4:$S$145)+SUMIF(Master_Data!$AK$152:$AK$864,CONCATENATE($C17,$FP$3),Master_Data!$S$152:$S$864)</f>
        <v>0</v>
      </c>
      <c r="FK17" s="39">
        <f>SUMIF(Master_Data!$AK$152:$AK$915,CONCATENATE($C17,FP$3),Master_Data!$T$152:$T$915)</f>
        <v>0</v>
      </c>
      <c r="FL17" s="310">
        <f t="shared" si="52"/>
        <v>0</v>
      </c>
      <c r="FM17" s="230" t="e">
        <f t="shared" si="53"/>
        <v>#VALUE!</v>
      </c>
      <c r="FN17" s="31"/>
      <c r="FO17" s="358" t="str">
        <f t="shared" si="72"/>
        <v>EXPANS PETROGAS INTRANUSA, PTOKT</v>
      </c>
      <c r="FP17" s="24"/>
      <c r="FQ17" s="412"/>
      <c r="FR17" s="109">
        <f t="shared" si="42"/>
        <v>0</v>
      </c>
      <c r="FS17" s="109" t="e">
        <f>FM17</f>
        <v>#VALUE!</v>
      </c>
      <c r="FT17" s="420"/>
      <c r="FU17" s="109">
        <f>SUMIF(Bill_Out!$Q$610:$Q$675,CONCATENATE($C17,$GG$3),Bill_Out!$N$610:$N$675)</f>
        <v>0</v>
      </c>
      <c r="FV17" s="109">
        <f>SUMIF(Bill_Out!$Q$610:$Q$675,CONCATENATE($C17,$GG$3),Bill_Out!$O$610:$O$675)</f>
        <v>0</v>
      </c>
      <c r="FW17" s="50"/>
      <c r="FX17" s="512">
        <f>SUMIF(Master_Data!$AK$4:$AK$145,CONCATENATE($C17,$GG$3),Master_Data!$R$4:$R$145)+SUMIF(Master_Data!$AK$152:$AK$864,CONCATENATE($C17,$GG$3),Master_Data!$R$152:$R$864)</f>
        <v>0</v>
      </c>
      <c r="FY17" s="512">
        <f>SUMIF(Master_Data!$AK$4:$AK$145,CONCATENATE($C17,$GG$3),Master_Data!$Q$4:$Q$145)+SUMIF(Master_Data!$AK$152:$AK$864,CONCATENATE($C17,$GG$3),Master_Data!$Q$152:$Q$864)</f>
        <v>0</v>
      </c>
      <c r="FZ17" s="512">
        <f>SUMIF(Master_Data!$AK$4:$AK$145,CONCATENATE($C17,$GG$3),Master_Data!$U$4:$U$145)+SUMIF(Master_Data!$AK$152:$AK$864,CONCATENATE($C17,$GG$3),Master_Data!$U$152:$U$864)</f>
        <v>0</v>
      </c>
      <c r="GA17" s="310">
        <f>SUMIF(Master_Data!$AK$4:$AK$145,CONCATENATE($C17,$GG$3),Master_Data!$S$4:$S$145)+SUMIF(Master_Data!$AK$152:$AK$864,CONCATENATE($C17,$GG$3),Master_Data!$S$152:$S$864)</f>
        <v>0</v>
      </c>
      <c r="GB17" s="39">
        <f>SUMIF(Master_Data!$AK$152:$AK$915,CONCATENATE($C17,GG$3),Master_Data!$T$152:$T$915)</f>
        <v>0</v>
      </c>
      <c r="GC17" s="230">
        <f t="shared" si="55"/>
        <v>0</v>
      </c>
      <c r="GD17" s="230" t="e">
        <f t="shared" si="14"/>
        <v>#VALUE!</v>
      </c>
      <c r="GE17" s="31"/>
      <c r="GF17" s="358" t="str">
        <f t="shared" si="73"/>
        <v>EXPANS PETROGAS INTRANUSA, PTNOV</v>
      </c>
      <c r="GG17" s="24"/>
      <c r="GH17" s="412" t="s">
        <v>621</v>
      </c>
      <c r="GI17" s="109">
        <f t="shared" si="70"/>
        <v>0</v>
      </c>
      <c r="GJ17" s="109" t="e">
        <f t="shared" si="71"/>
        <v>#VALUE!</v>
      </c>
      <c r="GK17" s="423"/>
      <c r="GL17" s="109">
        <f>SUMIF(Bill_Out!$Q$679:$Q$756,CONCATENATE($C17,$GX$3),Bill_Out!$N$679:$N$756)</f>
        <v>0</v>
      </c>
      <c r="GM17" s="109" t="e">
        <f>SUMIF(Bill_Out!$Q$679:$Q$756,CONCATENATE($C17,$GX$3),Bill_Out!$O$679:$O$756)</f>
        <v>#VALUE!</v>
      </c>
      <c r="GN17" s="50"/>
      <c r="GO17" s="512">
        <f>SUMIF(Master_Data!$AK$4:$AK$145,CONCATENATE($C17,$GX$3),Master_Data!$R$4:$R$145)+SUMIF(Master_Data!$AK$152:$AK$864,CONCATENATE($C17,$GX$3),Master_Data!$R$152:$R$864)</f>
        <v>0</v>
      </c>
      <c r="GP17" s="512">
        <f>SUMIF(Master_Data!$AK$4:$AK$145,CONCATENATE($C17,$GX$3),Master_Data!$Q$4:$Q$145)+SUMIF(Master_Data!$AK$152:$AK$864,CONCATENATE($C17,$GX$3),Master_Data!$Q$152:$Q$864)</f>
        <v>0</v>
      </c>
      <c r="GQ17" s="512">
        <f>SUMIF(Master_Data!$AK$4:$AK$145,CONCATENATE($C17,$GX$3),Master_Data!$U$4:$U$145)+SUMIF(Master_Data!$AK$152:$AK$864,CONCATENATE($C17,$GX$3),Master_Data!$U$152:$U$864)</f>
        <v>62640000</v>
      </c>
      <c r="GR17" s="310">
        <f>SUMIF(Master_Data!$AK$4:$AK$145,CONCATENATE($C17,$GX$3),Master_Data!$S$4:$S$145)+SUMIF(Master_Data!$AK$152:$AK$864,CONCATENATE($C17,$GX$3),Master_Data!$S$152:$S$864)</f>
        <v>0</v>
      </c>
      <c r="GS17" s="39">
        <f>SUMIF(Master_Data!$AK$152:$AK$864,CONCATENATE($C17,GX$3),Master_Data!$T$152:$T$864)</f>
        <v>-1160000</v>
      </c>
      <c r="GT17" s="534">
        <f t="shared" si="44"/>
        <v>0</v>
      </c>
      <c r="GU17" s="310" t="e">
        <f t="shared" si="16"/>
        <v>#VALUE!</v>
      </c>
      <c r="GV17" s="31"/>
      <c r="GW17" s="358" t="str">
        <f t="shared" si="69"/>
        <v>EXPANS PETROGAS INTRANUSA, PTDES</v>
      </c>
      <c r="GX17" s="24"/>
    </row>
    <row r="18" spans="1:206" s="19" customFormat="1">
      <c r="A18" s="21" t="s">
        <v>65</v>
      </c>
      <c r="B18" s="236" t="str">
        <f t="shared" si="18"/>
        <v>FAJAR BHAKTI LINTAS NUSANTARA, PTJAN</v>
      </c>
      <c r="C18" s="22" t="s">
        <v>205</v>
      </c>
      <c r="D18" s="52" t="s">
        <v>306</v>
      </c>
      <c r="E18" s="238">
        <f>SUMIF(Master_Data!$D10:$D$145,CONCATENATE(C18),Master_Data!M10:M166)</f>
        <v>0</v>
      </c>
      <c r="F18" s="109">
        <f>SUMIF(Master_Data!$D14:$D$145,CONCATENATE(C18),Master_Data!N14:N167)</f>
        <v>19606100</v>
      </c>
      <c r="G18" s="31"/>
      <c r="H18" s="109">
        <f>SUMIF(Bill_Out!$Q$3:$Q$65,CONCATENATE($C18,$S$3),Bill_Out!$N$3:$N$65)</f>
        <v>0</v>
      </c>
      <c r="I18" s="88">
        <f>SUMIF(Bill_Out!$Q$3:$Q$65,CONCATENATE($C18,$S$3),Bill_Out!$O$3:$O$65)</f>
        <v>0</v>
      </c>
      <c r="J18" s="50"/>
      <c r="K18" s="29"/>
      <c r="L18" s="44"/>
      <c r="M18" s="230">
        <f>SUMIF(Master_Data!$AK13:$AK$145,CONCATENATE(C18,$S$3),Master_Data!U13:U167)+SUMIF(Master_Data!$AK210:$AK$864,CONCATENATE(C18,$S$3),Master_Data!U210:U918)</f>
        <v>0</v>
      </c>
      <c r="N18" s="310">
        <f>SUMIF(Master_Data!$AK$4:$AK$145,CONCATENATE(C18,$S$3),Master_Data!$S$4:$S$145)+SUMIF(Master_Data!$AK$150:$AK$864,CONCATENATE(C18,$S$3),Master_Data!$S$150:$S$864)</f>
        <v>0</v>
      </c>
      <c r="O18" s="310">
        <f>SUMIF(Master_Data!$AK$4:$AK$145,CONCATENATE(C18,$S$3),Master_Data!$T$4:$T$145)+SUMIF(Master_Data!$AK$150:$AK$864,CONCATENATE(C18,$S$3),Master_Data!$T$150:$T$864)</f>
        <v>0</v>
      </c>
      <c r="P18" s="230">
        <f t="shared" si="19"/>
        <v>0</v>
      </c>
      <c r="Q18" s="230">
        <f t="shared" si="20"/>
        <v>19606100</v>
      </c>
      <c r="R18" s="31"/>
      <c r="S18" s="24"/>
      <c r="T18" s="259"/>
      <c r="U18" s="109">
        <f t="shared" si="61"/>
        <v>0</v>
      </c>
      <c r="V18" s="109">
        <f t="shared" si="62"/>
        <v>19606100</v>
      </c>
      <c r="W18" s="54"/>
      <c r="X18" s="109">
        <f>SUMIF(Bill_Out!$Q$67:$Q$132,CONCATENATE($C18,$AJ$3),Bill_Out!$N$67:$N$132)</f>
        <v>0</v>
      </c>
      <c r="Y18" s="109">
        <f>SUMIF(Bill_Out!$Q$67:$Q$132,CONCATENATE($C18,$AJ$3),Bill_Out!$O$67:$O$132)</f>
        <v>0</v>
      </c>
      <c r="Z18" s="50"/>
      <c r="AA18" s="230">
        <f>SUMIF(Master_Data!$AK$4:$AK$145,CONCATENATE(C18,$AJ$3),Master_Data!$R$4:$R$145)+SUMIF(Master_Data!$AK$152:$AK$850,CONCATENATE(C18,$AJ$3),Master_Data!$R$152:$R$850)</f>
        <v>0</v>
      </c>
      <c r="AB18" s="230">
        <f>SUMIF(Master_Data!$AK$4:$AK$145,CONCATENATE(C18,$AJ$3),Master_Data!$Q$4:$Q$145)+SUMIF(Master_Data!$AK$152:$AK$850,CONCATENATE(C18,$AJ$3),Master_Data!$Q$152:$Q$850)</f>
        <v>0</v>
      </c>
      <c r="AC18" s="230">
        <f>SUMIF(Master_Data!$AK$4:$AK$145,CONCATENATE(C18,$AJ$3),Master_Data!$U$4:$U$145)+SUMIF(Master_Data!$AK$152:$AK$850,CONCATENATE(C18,$AJ$3),Master_Data!$U$152:$U$850)</f>
        <v>0</v>
      </c>
      <c r="AD18" s="310">
        <f ca="1">SUMIF(Master_Data!$AK$4:$AK$145,CONCATENATE(C18,$AJ$3),Master_Data!$S$4:$S$145)+SUMIF(Master_Data!$AK$152:$AK$864,CONCATENATE(C18,$AJ$3),Master_Data!$S$152:$S$850)</f>
        <v>0</v>
      </c>
      <c r="AE18" s="310">
        <f>SUMIF(Master_Data!$AK$4:$AK$145,CONCATENATE(C18,$AJ$3),Master_Data!$T$4:$T$145)+SUMIF(Master_Data!$AK$152:$AK$864,CONCATENATE(C18,$AJ$3),Master_Data!$T$152:$T$864)</f>
        <v>0</v>
      </c>
      <c r="AF18" s="230">
        <f t="shared" si="63"/>
        <v>0</v>
      </c>
      <c r="AG18" s="230">
        <f ca="1">V18+Y18-AC18+AD18+AE18</f>
        <v>19606100</v>
      </c>
      <c r="AH18" s="31"/>
      <c r="AI18" s="235" t="str">
        <f t="shared" si="3"/>
        <v>FAJAR BHAKTI LINTAS NUSANTARA, PTFEB</v>
      </c>
      <c r="AJ18" s="24"/>
      <c r="AK18" s="259"/>
      <c r="AL18" s="109">
        <f t="shared" si="65"/>
        <v>0</v>
      </c>
      <c r="AM18" s="109">
        <f t="shared" ca="1" si="66"/>
        <v>19606100</v>
      </c>
      <c r="AN18" s="31"/>
      <c r="AO18" s="109">
        <f>SUMIF(Bill_Out!$Q$134:$Q$188,CONCATENATE($C18,$BA$3),Bill_Out!$N$134:$N$188)</f>
        <v>0</v>
      </c>
      <c r="AP18" s="109">
        <f>SUMIF(Bill_Out!$Q$134:$Q$188,CONCATENATE($C18,$BA$3),Bill_Out!$O$134:$O$188)</f>
        <v>0</v>
      </c>
      <c r="AQ18" s="50"/>
      <c r="AR18" s="230">
        <f>SUMIF(Master_Data!$AK$4:$AK$145,CONCATENATE(C18,$BA$3),Master_Data!$R$4:$R$145)+SUMIF(Master_Data!$AK$152:$AK$864,CONCATENATE(C18,$BA$3),Master_Data!$R$152:$R$864)</f>
        <v>0</v>
      </c>
      <c r="AS18" s="230">
        <f>SUMIF(Master_Data!$AK$4:$AK$145,CONCATENATE(C18,$BA$3),Master_Data!$Q$4:$Q$145)+SUMIF(Master_Data!$AK$152:$AK$864,CONCATENATE(C18,$BA$3),Master_Data!$Q$152:$Q$864)</f>
        <v>0</v>
      </c>
      <c r="AT18" s="230">
        <f>SUMIF(Master_Data!$AK$4:$AK$145,CONCATENATE(C18,$BA$3),Master_Data!$U$4:$U$145)+SUMIF(Master_Data!$AK$152:$AK$864,CONCATENATE(C18,$BA$3),Master_Data!$U$152:$U$864)</f>
        <v>0</v>
      </c>
      <c r="AU18" s="230">
        <f ca="1">SUMIF(Master_Data!$AK$4:$AK$145,CONCATENATE(C18,$BA$3),Master_Data!$S$4:$S$145)+SUMIF(Master_Data!$AK$152:$AK$864,CONCATENATE(C18,$BA$3),Master_Data!$S$152:$S$850)</f>
        <v>0</v>
      </c>
      <c r="AV18" s="39">
        <f>SUMIF(Master_Data!$AK$152:$AK$864,CONCATENATE($C18,BA$3),Master_Data!$T$152:$T$864)</f>
        <v>0</v>
      </c>
      <c r="AW18" s="230">
        <f t="shared" si="57"/>
        <v>0</v>
      </c>
      <c r="AX18" s="230">
        <f t="shared" ca="1" si="58"/>
        <v>19606100</v>
      </c>
      <c r="AY18" s="31"/>
      <c r="AZ18" s="235" t="str">
        <f t="shared" si="21"/>
        <v>FAJAR BHAKTI LINTAS NUSANTARA, PTMAR</v>
      </c>
      <c r="BA18" s="24"/>
      <c r="BB18" s="259"/>
      <c r="BC18" s="109">
        <f t="shared" si="22"/>
        <v>0</v>
      </c>
      <c r="BD18" s="109">
        <f t="shared" ca="1" si="23"/>
        <v>19606100</v>
      </c>
      <c r="BE18" s="31"/>
      <c r="BF18" s="109">
        <f>SUMIF(Bill_Out!$Q$192:$Q$258,CONCATENATE($C18,$BR$3),Bill_Out!$N$192:$N$258)</f>
        <v>0</v>
      </c>
      <c r="BG18" s="109">
        <f>SUMIF(Bill_Out!$Q$192:$Q$258,CONCATENATE($C18,$BR$3),Bill_Out!$O$192:$O$258)</f>
        <v>0</v>
      </c>
      <c r="BH18" s="50"/>
      <c r="BI18" s="230">
        <f>SUMIF(Master_Data!$AK$4:$AK$145,CONCATENATE(C18,$BR$3),Master_Data!$R$4:$R$145)+SUMIF(Master_Data!$AK$152:$AK$864,CONCATENATE(C18,$BR$3),Master_Data!$R$152:$R$864)</f>
        <v>0</v>
      </c>
      <c r="BJ18" s="230">
        <f>SUMIF(Master_Data!$AK$4:$AK$145,CONCATENATE(C18,$BR$3),Master_Data!$Q$4:$Q$145)+SUMIF(Master_Data!$AK$152:$AK$864,CONCATENATE(C18,$BR$3),Master_Data!$Q$152:$Q$864)</f>
        <v>0</v>
      </c>
      <c r="BK18" s="230">
        <f>SUMIF(Master_Data!$AK$4:$AK$145,CONCATENATE(C18,$BR$3),Master_Data!$U$4:$U$145)+SUMIF(Master_Data!$AK$152:$AK$864,CONCATENATE(C18,$BR$3),Master_Data!$U$152:$U$864)</f>
        <v>0</v>
      </c>
      <c r="BL18" s="230">
        <f>SUMIF(Master_Data!$AK$4:$AK$145,CONCATENATE(C18,$BR$3),Master_Data!$S$4:$S$145)+SUMIF(Master_Data!$AK$152:$AK$864,CONCATENATE(C18,$BR$3),Master_Data!$S$152:$S$864)</f>
        <v>0</v>
      </c>
      <c r="BM18" s="39">
        <f>SUMIF(Master_Data!$AK$152:$AK$864,CONCATENATE($C18,BR$3),Master_Data!$T$152:$T$864)</f>
        <v>0</v>
      </c>
      <c r="BN18" s="230">
        <f t="shared" si="24"/>
        <v>0</v>
      </c>
      <c r="BO18" s="230">
        <f t="shared" ca="1" si="25"/>
        <v>19606100</v>
      </c>
      <c r="BP18" s="31"/>
      <c r="BQ18" s="909" t="str">
        <f t="shared" si="26"/>
        <v>FAJAR BHAKTI LINTAS NUSANTARA, PTAPR</v>
      </c>
      <c r="BR18" s="24"/>
      <c r="BS18" s="259"/>
      <c r="BT18" s="109">
        <f t="shared" si="59"/>
        <v>0</v>
      </c>
      <c r="BU18" s="109">
        <f t="shared" ca="1" si="60"/>
        <v>19606100</v>
      </c>
      <c r="BV18" s="31"/>
      <c r="BW18" s="109">
        <f>SUMIF(Bill_Out!$Q$263:$Q$314,CONCATENATE($C18,$CI$3),Bill_Out!$N$263:$N$314)</f>
        <v>0</v>
      </c>
      <c r="BX18" s="109">
        <f>SUMIF(Bill_Out!$Q$263:$Q$314,CONCATENATE($C18,$CI$3),Bill_Out!$O$263:$O$314)</f>
        <v>0</v>
      </c>
      <c r="BY18" s="50"/>
      <c r="BZ18" s="310">
        <f>SUMIF(Master_Data!$AK$4:$AK$145,CONCATENATE(C18,$CI$3),Master_Data!$R$4:$R$145)+SUMIF(Master_Data!$AK$152:$AK$864,CONCATENATE(C18,$CI$3),Master_Data!$R$152:$R$864)</f>
        <v>0</v>
      </c>
      <c r="CA18" s="310">
        <f>SUMIF(Master_Data!$AK$4:$AK$145,CONCATENATE(C18,$CI$3),Master_Data!$Q$4:$Q$145)+SUMIF(Master_Data!$AK$152:$AK$864,CONCATENATE(C18,$CI$3),Master_Data!$Q$152:$Q$864)</f>
        <v>0</v>
      </c>
      <c r="CB18" s="310">
        <f>SUMIF(Master_Data!$AK$4:$AK$145,CONCATENATE(C18,$CI$3),Master_Data!$U$4:$U$145)+SUMIF(Master_Data!$AK$152:$AK$864,CONCATENATE(C18,$CI$3),Master_Data!$U$152:$U$864)</f>
        <v>0</v>
      </c>
      <c r="CC18" s="230">
        <f>SUMIF(Master_Data!$AK$4:$AK$145,CONCATENATE(C18,$CI$3),Master_Data!$S$4:$S$145)+SUMIF(Master_Data!$AK$152:$AK$864,CONCATENATE(C18,$CI$3),Master_Data!$S$152:$S$864)</f>
        <v>0</v>
      </c>
      <c r="CD18" s="39">
        <f>SUMIF(Master_Data!$AK$152:$AK$864,CONCATENATE($C18,CI$3),Master_Data!$T$152:$T$864)</f>
        <v>0</v>
      </c>
      <c r="CE18" s="310">
        <f t="shared" si="27"/>
        <v>0</v>
      </c>
      <c r="CF18" s="230">
        <f t="shared" ca="1" si="28"/>
        <v>19606100</v>
      </c>
      <c r="CG18" s="31"/>
      <c r="CH18" s="235" t="str">
        <f t="shared" si="29"/>
        <v>FAJAR BHAKTI LINTAS NUSANTARA, PTMEI</v>
      </c>
      <c r="CI18" s="24"/>
      <c r="CJ18" s="259"/>
      <c r="CK18" s="109">
        <f t="shared" si="30"/>
        <v>0</v>
      </c>
      <c r="CL18" s="238">
        <f t="shared" ca="1" si="31"/>
        <v>19606100</v>
      </c>
      <c r="CM18" s="31"/>
      <c r="CN18" s="238">
        <f>SUMIF(Bill_Out!$Q$318:$Q$371,CONCATENATE($C18,$CZ$3),Bill_Out!$N$318:$N$371)</f>
        <v>0</v>
      </c>
      <c r="CO18" s="238">
        <f>SUMIF(Bill_Out!$Q$318:$Q$371,CONCATENATE($C18,$CZ$3),Bill_Out!$O$318:$O$371)</f>
        <v>0</v>
      </c>
      <c r="CP18" s="50"/>
      <c r="CQ18" s="230">
        <f>SUMIF(Master_Data!$AK$4:$AK$145,CONCATENATE($C18,$CZ$3),Master_Data!$R$4:$R$145)+SUMIF(Master_Data!$AK$152:$AK$864,CONCATENATE($C18,$CZ$3),Master_Data!$R$152:$R$864)</f>
        <v>0</v>
      </c>
      <c r="CR18" s="230">
        <f>SUMIF(Master_Data!$AK$4:$AK$145,CONCATENATE($C18,$CZ$3),Master_Data!$Q$4:$Q$145)+SUMIF(Master_Data!$AK$152:$AK$864,CONCATENATE($C18,$CZ$3),Master_Data!$Q$152:$Q$864)</f>
        <v>0</v>
      </c>
      <c r="CS18" s="230">
        <f>SUMIF(Master_Data!$AK$4:$AK$145,CONCATENATE($C18,$CZ$3),Master_Data!$U$4:$U$145)+SUMIF(Master_Data!$AK$152:$AK$864,CONCATENATE($C18,$CZ$3),Master_Data!$U$152:$U$864)</f>
        <v>0</v>
      </c>
      <c r="CT18" s="230">
        <f ca="1">SUMIF(Master_Data!$AK$4:$AK$145,CONCATENATE(C18,$CZ$3),Master_Data!$S$4:$S$145)+SUMIF(Master_Data!$AK$152:$AK$915,CONCATENATE(C18,$CZ$3),Master_Data!$S$152:$S$864)</f>
        <v>0</v>
      </c>
      <c r="CU18" s="1010">
        <f>SUMIF(Master_Data!$AK$4:$AK$145,CONCATENATE(C18,$CZ$3),Master_Data!$T$4:$T$145)+SUMIF(Master_Data!$AK$152:$AK$864,CONCATENATE(C18,$CZ$3),Master_Data!$T$152:$T$864)</f>
        <v>0</v>
      </c>
      <c r="CV18" s="230">
        <f t="shared" si="32"/>
        <v>0</v>
      </c>
      <c r="CW18" s="230">
        <f t="shared" ca="1" si="33"/>
        <v>19606100</v>
      </c>
      <c r="CX18" s="31"/>
      <c r="CY18" s="1007" t="str">
        <f t="shared" si="6"/>
        <v>FAJAR BHAKTI LINTAS NUSANTARA, PTJUN</v>
      </c>
      <c r="CZ18" s="24"/>
      <c r="DA18" s="259"/>
      <c r="DB18" s="109">
        <f t="shared" si="34"/>
        <v>0</v>
      </c>
      <c r="DC18" s="109">
        <f t="shared" ca="1" si="35"/>
        <v>19606100</v>
      </c>
      <c r="DD18" s="31"/>
      <c r="DE18" s="109">
        <f>SUMIF(Bill_Out!$Q$375:$Q$422,CONCATENATE($C18,$DQ$3),Bill_Out!$N$375:$N$422)</f>
        <v>0</v>
      </c>
      <c r="DF18" s="109">
        <f>SUMIF(Bill_Out!$Q$375:$Q$422,CONCATENATE($C18,$DQ$3),Bill_Out!$O$375:$O$422)</f>
        <v>0</v>
      </c>
      <c r="DG18" s="50"/>
      <c r="DH18" s="310">
        <f>SUMIF(Master_Data!$AK$4:$AK$145,CONCATENATE($C18,$DQ$3),Master_Data!$R$4:$R$145)+SUMIF(Master_Data!$AK$152:$AK$864,CONCATENATE($C18,$DQ$3),Master_Data!$R$152:$R$864)</f>
        <v>0</v>
      </c>
      <c r="DI18" s="310">
        <f>SUMIF(Master_Data!$AK$4:$AK$145,CONCATENATE($C18,$DQ$3),Master_Data!$Q$4:$Q$145)+SUMIF(Master_Data!$AK$152:$AK$864,CONCATENATE($C18,$DQ$3),Master_Data!$Q$152:$Q$864)</f>
        <v>0</v>
      </c>
      <c r="DJ18" s="310">
        <f>SUMIF(Master_Data!$AK$4:$AK$145,CONCATENATE($C18,$DQ$3),Master_Data!$U$4:$U$145)+SUMIF(Master_Data!$AK$152:$AK$864,CONCATENATE($C18,$DQ$3),Master_Data!$U$152:$U$864)</f>
        <v>0</v>
      </c>
      <c r="DK18" s="310">
        <f>SUMIF(Master_Data!$AK$4:$AK$145,CONCATENATE($C18,$DQ$3),Master_Data!$S$4:$S$145)+SUMIF(Master_Data!$AK$152:$AK$864,CONCATENATE($C18,$DQ$3),Master_Data!$S$152:$S$864)</f>
        <v>0</v>
      </c>
      <c r="DL18" s="39">
        <f>SUMIF(Master_Data!$AK$152:$AK$915,CONCATENATE($C18,DQ$3),Master_Data!$T$152:$T$915)</f>
        <v>0</v>
      </c>
      <c r="DM18" s="230">
        <f t="shared" si="67"/>
        <v>0</v>
      </c>
      <c r="DN18" s="230">
        <f t="shared" ca="1" si="68"/>
        <v>19606100</v>
      </c>
      <c r="DO18" s="31"/>
      <c r="DP18" s="358" t="str">
        <f t="shared" si="9"/>
        <v>FAJAR BHAKTI LINTAS NUSANTARA, PTJUL</v>
      </c>
      <c r="DQ18" s="24"/>
      <c r="DR18" s="390"/>
      <c r="DS18" s="109">
        <f t="shared" si="36"/>
        <v>0</v>
      </c>
      <c r="DT18" s="109">
        <f t="shared" ca="1" si="37"/>
        <v>19606100</v>
      </c>
      <c r="DU18" s="31"/>
      <c r="DV18" s="109">
        <f>SUMIF(Bill_Out!$Q$426:$Q$472,CONCATENATE($C18,$EH$3),Bill_Out!$N$426:$N$472)</f>
        <v>0</v>
      </c>
      <c r="DW18" s="109">
        <f>SUMIF(Bill_Out!$Q$426:$Q$472,CONCATENATE($C18,$EH$3),Bill_Out!$O$426:$O$472)</f>
        <v>0</v>
      </c>
      <c r="DX18" s="50"/>
      <c r="DY18" s="310">
        <f>SUMIF(Master_Data!$AK$4:$AK$145,CONCATENATE($C18,$EH$3),Master_Data!$R$4:$R$145)+SUMIF(Master_Data!$AK$152:$AK$864,CONCATENATE($C18,$EH$3),Master_Data!$R$152:$R$864)</f>
        <v>0</v>
      </c>
      <c r="DZ18" s="310">
        <f>SUMIF(Master_Data!$AK$4:$AK$145,CONCATENATE($C18,$EH$3),Master_Data!$Q$4:$Q$145)+SUMIF(Master_Data!$AK$152:$AK$864,CONCATENATE($C18,$EH$3),Master_Data!$Q$152:$Q$864)</f>
        <v>0</v>
      </c>
      <c r="EA18" s="310">
        <f>SUMIF(Master_Data!$AK$4:$AK$145,CONCATENATE($C18,$EH$3),Master_Data!$U$4:$U$145)+SUMIF(Master_Data!$AK$152:$AK$864,CONCATENATE($C18,$EH$3),Master_Data!$U$152:$U$864)</f>
        <v>0</v>
      </c>
      <c r="EB18" s="310">
        <f>SUMIF(Master_Data!$AK$4:$AK$145,CONCATENATE($C18,$EH$3),Master_Data!$S$4:$S$145)+SUMIF(Master_Data!$AK$152:$AK$864,CONCATENATE($C18,$EH$3),Master_Data!$S$152:$S$864)</f>
        <v>0</v>
      </c>
      <c r="EC18" s="39">
        <f>SUMIF(Master_Data!$AK$152:$AK$915,CONCATENATE($C18,EH$3),Master_Data!$T$152:$T$915)</f>
        <v>0</v>
      </c>
      <c r="ED18" s="310">
        <f t="shared" si="38"/>
        <v>0</v>
      </c>
      <c r="EE18" s="230">
        <f t="shared" ca="1" si="39"/>
        <v>19606100</v>
      </c>
      <c r="EF18" s="31"/>
      <c r="EG18" s="358" t="str">
        <f t="shared" si="10"/>
        <v>FAJAR BHAKTI LINTAS NUSANTARA, PTAGS</v>
      </c>
      <c r="EH18" s="24"/>
      <c r="EI18" s="390"/>
      <c r="EJ18" s="109">
        <f t="shared" si="47"/>
        <v>0</v>
      </c>
      <c r="EK18" s="109">
        <f t="shared" ca="1" si="48"/>
        <v>19606100</v>
      </c>
      <c r="EL18" s="84"/>
      <c r="EM18" s="109">
        <f>SUMIF(Bill_Out!$Q$476:$Q$530,CONCATENATE($C18,$EY$3),Bill_Out!$N$476:$N$530)</f>
        <v>0</v>
      </c>
      <c r="EN18" s="109">
        <f>SUMIF(Bill_Out!$Q$476:$Q$530,CONCATENATE($C18,$EY$3),Bill_Out!$O$476:$O$530)</f>
        <v>0</v>
      </c>
      <c r="EO18" s="309"/>
      <c r="EP18" s="310">
        <f>SUMIF(Master_Data!$AK$4:$AK$145,CONCATENATE($C18,$EY$3),Master_Data!$R$4:$R$145)+SUMIF(Master_Data!$AK$152:$AK$864,CONCATENATE($C18,$EY$3),Master_Data!$R$152:$R$864)</f>
        <v>0</v>
      </c>
      <c r="EQ18" s="310">
        <f>SUMIF(Master_Data!$AK$4:$AK$145,CONCATENATE($C18,$EY$3),Master_Data!$Q$4:$Q$145)+SUMIF(Master_Data!$AK$152:$AK$864,CONCATENATE($C18,$EY$3),Master_Data!$Q$152:$Q$864)</f>
        <v>0</v>
      </c>
      <c r="ER18" s="310">
        <f>SUMIF(Master_Data!$AK$4:$AK$145,CONCATENATE($C18,$EY$3),Master_Data!$U$4:$U$145)+SUMIF(Master_Data!$AK$152:$AK$864,CONCATENATE($C18,$EY$3),Master_Data!$U$152:$U$864)</f>
        <v>0</v>
      </c>
      <c r="ES18" s="310">
        <f>SUMIF(Master_Data!$AK$4:$AK$145,CONCATENATE($C18,$EY$3),Master_Data!$S$4:$S$145)+SUMIF(Master_Data!$AK$152:$AK$864,CONCATENATE($C18,$EY$3),Master_Data!$S$152:$S$864)</f>
        <v>0</v>
      </c>
      <c r="ET18" s="39">
        <f>SUMIF(Master_Data!$AK$152:$AK$915,CONCATENATE($C18,EY$3),Master_Data!$T$152:$T$915)</f>
        <v>0</v>
      </c>
      <c r="EU18" s="310">
        <f t="shared" si="49"/>
        <v>0</v>
      </c>
      <c r="EV18" s="230"/>
      <c r="EW18" s="84"/>
      <c r="EX18" s="358" t="str">
        <f t="shared" si="11"/>
        <v>FAJAR BHAKTI LINTAS NUSANTARA, PTSEP</v>
      </c>
      <c r="EY18" s="24"/>
      <c r="EZ18" s="412"/>
      <c r="FA18" s="109">
        <f t="shared" si="50"/>
        <v>0</v>
      </c>
      <c r="FB18" s="109">
        <f t="shared" si="51"/>
        <v>0</v>
      </c>
      <c r="FC18" s="421"/>
      <c r="FD18" s="109">
        <f>SUMIF(Bill_Out!$Q$534:$Q$606,CONCATENATE($C18,$FP$3),Bill_Out!$N$534:$N$606)</f>
        <v>0</v>
      </c>
      <c r="FE18" s="109">
        <f>SUMIF(Bill_Out!$Q$534:$Q$606,CONCATENATE($C18,$FP$3),Bill_Out!$O$534:$O$606)</f>
        <v>0</v>
      </c>
      <c r="FF18" s="309"/>
      <c r="FG18" s="310">
        <f>SUMIF(Master_Data!$AK$4:$AK$145,CONCATENATE($C18,$FP$3),Master_Data!$R$4:$R$145)+SUMIF(Master_Data!$AK$152:$AK$864,CONCATENATE($C18,$FP$3),Master_Data!$R$152:$R$864)</f>
        <v>0</v>
      </c>
      <c r="FH18" s="310">
        <f>SUMIF(Master_Data!$AK$4:$AK$145,CONCATENATE($C18,$FP$3),Master_Data!$Q$4:$Q$145)+SUMIF(Master_Data!$AK$152:$AK$864,CONCATENATE($C18,$FP$3),Master_Data!$Q$152:$Q$864)</f>
        <v>0</v>
      </c>
      <c r="FI18" s="310">
        <f>SUMIF(Master_Data!$AK$4:$AK$145,CONCATENATE($C18,$FP$3),Master_Data!$U$4:$U$145)+SUMIF(Master_Data!$AK$152:$AK$864,CONCATENATE($C18,$FP$3),Master_Data!$U$152:$U$864)</f>
        <v>0</v>
      </c>
      <c r="FJ18" s="310">
        <f>SUMIF(Master_Data!$AK$4:$AK$145,CONCATENATE($C18,$FP$3),Master_Data!$S$4:$S$145)+SUMIF(Master_Data!$AK$152:$AK$864,CONCATENATE($C18,$FP$3),Master_Data!$S$152:$S$864)</f>
        <v>0</v>
      </c>
      <c r="FK18" s="39">
        <f>SUMIF(Master_Data!$AK$152:$AK$915,CONCATENATE($C18,FP$3),Master_Data!$T$152:$T$915)</f>
        <v>0</v>
      </c>
      <c r="FL18" s="310">
        <f t="shared" si="52"/>
        <v>0</v>
      </c>
      <c r="FM18" s="230">
        <f t="shared" si="53"/>
        <v>0</v>
      </c>
      <c r="FN18" s="31"/>
      <c r="FO18" s="358" t="str">
        <f t="shared" si="72"/>
        <v>FAJAR BHAKTI LINTAS NUSANTARA, PTOKT</v>
      </c>
      <c r="FP18" s="24"/>
      <c r="FQ18" s="412"/>
      <c r="FR18" s="109">
        <f t="shared" si="42"/>
        <v>0</v>
      </c>
      <c r="FS18" s="109">
        <f t="shared" ref="FS18:FS43" si="74">FM18</f>
        <v>0</v>
      </c>
      <c r="FT18" s="420"/>
      <c r="FU18" s="109">
        <f>SUMIF(Bill_Out!$Q$610:$Q$675,CONCATENATE($C18,$GG$3),Bill_Out!$N$610:$N$675)</f>
        <v>0</v>
      </c>
      <c r="FV18" s="109">
        <f>SUMIF(Bill_Out!$Q$610:$Q$675,CONCATENATE($C18,$GG$3),Bill_Out!$O$610:$O$675)</f>
        <v>0</v>
      </c>
      <c r="FW18" s="50"/>
      <c r="FX18" s="512">
        <f>SUMIF(Master_Data!$AK$4:$AK$145,CONCATENATE($C18,$GG$3),Master_Data!$R$4:$R$145)+SUMIF(Master_Data!$AK$152:$AK$864,CONCATENATE($C18,$GG$3),Master_Data!$R$152:$R$864)</f>
        <v>0</v>
      </c>
      <c r="FY18" s="512">
        <f>SUMIF(Master_Data!$AK$4:$AK$145,CONCATENATE($C18,$GG$3),Master_Data!$Q$4:$Q$145)+SUMIF(Master_Data!$AK$152:$AK$864,CONCATENATE($C18,$GG$3),Master_Data!$Q$152:$Q$864)</f>
        <v>0</v>
      </c>
      <c r="FZ18" s="512">
        <f>SUMIF(Master_Data!$AK$4:$AK$145,CONCATENATE($C18,$GG$3),Master_Data!$U$4:$U$145)+SUMIF(Master_Data!$AK$152:$AK$864,CONCATENATE($C18,$GG$3),Master_Data!$U$152:$U$864)</f>
        <v>0</v>
      </c>
      <c r="GA18" s="310">
        <f>SUMIF(Master_Data!$AK$4:$AK$145,CONCATENATE($C18,$GG$3),Master_Data!$S$4:$S$145)+SUMIF(Master_Data!$AK$152:$AK$864,CONCATENATE($C18,$GG$3),Master_Data!$S$152:$S$864)</f>
        <v>0</v>
      </c>
      <c r="GB18" s="39">
        <f>SUMIF(Master_Data!$AK$152:$AK$915,CONCATENATE($C18,GG$3),Master_Data!$T$152:$T$915)</f>
        <v>0</v>
      </c>
      <c r="GC18" s="230">
        <f t="shared" si="55"/>
        <v>0</v>
      </c>
      <c r="GD18" s="230">
        <f t="shared" si="14"/>
        <v>0</v>
      </c>
      <c r="GE18" s="31"/>
      <c r="GF18" s="358" t="str">
        <f t="shared" si="73"/>
        <v>FAJAR BHAKTI LINTAS NUSANTARA, PTNOV</v>
      </c>
      <c r="GG18" s="24"/>
      <c r="GH18" s="412" t="s">
        <v>306</v>
      </c>
      <c r="GI18" s="109">
        <f t="shared" si="70"/>
        <v>0</v>
      </c>
      <c r="GJ18" s="109">
        <f t="shared" si="71"/>
        <v>0</v>
      </c>
      <c r="GK18" s="423"/>
      <c r="GL18" s="109">
        <f>SUMIF(Bill_Out!$Q$679:$Q$756,CONCATENATE($C18,$GX$3),Bill_Out!$N$679:$N$756)</f>
        <v>0</v>
      </c>
      <c r="GM18" s="109">
        <f>SUMIF(Bill_Out!$Q$679:$Q$756,CONCATENATE($C18,$GX$3),Bill_Out!$O$679:$O$756)</f>
        <v>0</v>
      </c>
      <c r="GN18" s="50"/>
      <c r="GO18" s="512">
        <f>SUMIF(Master_Data!$AK$4:$AK$145,CONCATENATE($C18,$GX$3),Master_Data!$R$4:$R$145)+SUMIF(Master_Data!$AK$152:$AK$864,CONCATENATE($C18,$GX$3),Master_Data!$R$152:$R$864)</f>
        <v>0</v>
      </c>
      <c r="GP18" s="512">
        <f>SUMIF(Master_Data!$AK$4:$AK$145,CONCATENATE($C18,$GX$3),Master_Data!$Q$4:$Q$145)+SUMIF(Master_Data!$AK$152:$AK$864,CONCATENATE($C18,$GX$3),Master_Data!$Q$152:$Q$864)</f>
        <v>0</v>
      </c>
      <c r="GQ18" s="512">
        <f>SUMIF(Master_Data!$AK$4:$AK$145,CONCATENATE($C18,$GX$3),Master_Data!$U$4:$U$145)+SUMIF(Master_Data!$AK$152:$AK$864,CONCATENATE($C18,$GX$3),Master_Data!$U$152:$U$864)</f>
        <v>0</v>
      </c>
      <c r="GR18" s="310">
        <f>SUMIF(Master_Data!$AK$4:$AK$145,CONCATENATE($C18,$GX$3),Master_Data!$S$4:$S$145)+SUMIF(Master_Data!$AK$152:$AK$864,CONCATENATE($C18,$GX$3),Master_Data!$S$152:$S$864)</f>
        <v>0</v>
      </c>
      <c r="GS18" s="39">
        <f>SUMIF(Master_Data!$AK$152:$AK$864,CONCATENATE($C18,GX$3),Master_Data!$T$152:$T$864)</f>
        <v>0</v>
      </c>
      <c r="GT18" s="534">
        <f t="shared" si="44"/>
        <v>0</v>
      </c>
      <c r="GU18" s="310">
        <f t="shared" si="16"/>
        <v>0</v>
      </c>
      <c r="GV18" s="31"/>
      <c r="GW18" s="358" t="str">
        <f t="shared" si="69"/>
        <v>FAJAR BHAKTI LINTAS NUSANTARA, PTDES</v>
      </c>
      <c r="GX18" s="24"/>
    </row>
    <row r="19" spans="1:206" s="19" customFormat="1">
      <c r="A19" s="328" t="s">
        <v>37</v>
      </c>
      <c r="B19" s="236" t="str">
        <f t="shared" si="18"/>
        <v>HARMONI PANCA UTAMA, PTJAN</v>
      </c>
      <c r="C19" s="22" t="s">
        <v>95</v>
      </c>
      <c r="D19" s="52" t="s">
        <v>307</v>
      </c>
      <c r="E19" s="238">
        <f>SUMIF(Master_Data!$D11:$D$145,CONCATENATE(C19),Master_Data!M11:M167)</f>
        <v>0</v>
      </c>
      <c r="F19" s="109">
        <f>SUMIF(Master_Data!$D15:$D$145,CONCATENATE(C19),Master_Data!N15:N168)</f>
        <v>4914000</v>
      </c>
      <c r="G19" s="31"/>
      <c r="H19" s="109">
        <f>SUMIF(Bill_Out!$Q$3:$Q$65,CONCATENATE($C19,$S$3),Bill_Out!$N$3:$N$65)</f>
        <v>0</v>
      </c>
      <c r="I19" s="88" t="e">
        <f>SUMIF(Bill_Out!$Q$3:$Q$65,CONCATENATE($C19,$S$3),Bill_Out!$O$3:$O$65)</f>
        <v>#VALUE!</v>
      </c>
      <c r="J19" s="50"/>
      <c r="K19" s="29"/>
      <c r="L19" s="44"/>
      <c r="M19" s="230">
        <f>SUMIF(Master_Data!$AK14:$AK$145,CONCATENATE(C19,$S$3),Master_Data!U14:U186)+SUMIF(Master_Data!$AK211:$AK$864,CONCATENATE(C19,$S$3),Master_Data!U211:U919)</f>
        <v>122185864</v>
      </c>
      <c r="N19" s="310">
        <f>SUMIF(Master_Data!$AK$4:$AK$145,CONCATENATE(C19,$S$3),Master_Data!$S$4:$S$145)+SUMIF(Master_Data!$AK$150:$AK$864,CONCATENATE(C19,$S$3),Master_Data!$S$150:$S$864)</f>
        <v>0</v>
      </c>
      <c r="O19" s="310">
        <f>SUMIF(Master_Data!$AK$4:$AK$145,CONCATENATE(C19,$S$3),Master_Data!$T$4:$T$145)+SUMIF(Master_Data!$AK$150:$AK$864,CONCATENATE(C19,$S$3),Master_Data!$T$150:$T$864)</f>
        <v>-2223516</v>
      </c>
      <c r="P19" s="230">
        <f t="shared" si="19"/>
        <v>0</v>
      </c>
      <c r="Q19" s="230" t="e">
        <f t="shared" si="20"/>
        <v>#VALUE!</v>
      </c>
      <c r="R19" s="31"/>
      <c r="S19" s="24"/>
      <c r="T19" s="259"/>
      <c r="U19" s="109">
        <f t="shared" ref="U19:U28" si="75">P19</f>
        <v>0</v>
      </c>
      <c r="V19" s="109" t="e">
        <f t="shared" ref="V19:V28" si="76">Q19</f>
        <v>#VALUE!</v>
      </c>
      <c r="W19" s="54"/>
      <c r="X19" s="109">
        <f>SUMIF(Bill_Out!$Q$67:$Q$132,CONCATENATE($C19,$AJ$3),Bill_Out!$N$67:$N$132)</f>
        <v>0</v>
      </c>
      <c r="Y19" s="109" t="e">
        <f>SUMIF(Bill_Out!$Q$67:$Q$132,CONCATENATE($C19,$AJ$3),Bill_Out!$O$67:$O$132)</f>
        <v>#VALUE!</v>
      </c>
      <c r="Z19" s="50"/>
      <c r="AA19" s="230">
        <f>SUMIF(Master_Data!$AK$4:$AK$145,CONCATENATE(C19,$AJ$3),Master_Data!$R$4:$R$145)+SUMIF(Master_Data!$AK$152:$AK$850,CONCATENATE(C19,$AJ$3),Master_Data!$R$152:$R$850)</f>
        <v>0</v>
      </c>
      <c r="AB19" s="230">
        <f>SUMIF(Master_Data!$AK$4:$AK$145,CONCATENATE(C19,$AJ$3),Master_Data!$Q$4:$Q$145)+SUMIF(Master_Data!$AK$152:$AK$850,CONCATENATE(C19,$AJ$3),Master_Data!$Q$152:$Q$850)</f>
        <v>0</v>
      </c>
      <c r="AC19" s="230">
        <f>SUMIF(Master_Data!$AK$4:$AK$145,CONCATENATE(C19,$AJ$3),Master_Data!$U$4:$U$145)+SUMIF(Master_Data!$AK$152:$AK$850,CONCATENATE(C19,$AJ$3),Master_Data!$U$152:$U$850)</f>
        <v>0</v>
      </c>
      <c r="AD19" s="310">
        <f ca="1">SUMIF(Master_Data!$AK$4:$AK$145,CONCATENATE(C19,$AJ$3),Master_Data!$S$4:$S$145)+SUMIF(Master_Data!$AK$152:$AK$864,CONCATENATE(C19,$AJ$3),Master_Data!$S$152:$S$850)</f>
        <v>0</v>
      </c>
      <c r="AE19" s="310">
        <f>SUMIF(Master_Data!$AK$4:$AK$145,CONCATENATE(C19,$AJ$3),Master_Data!$T$4:$T$145)+SUMIF(Master_Data!$AK$152:$AK$864,CONCATENATE(C19,$AJ$3),Master_Data!$T$152:$T$864)</f>
        <v>0</v>
      </c>
      <c r="AF19" s="230">
        <f t="shared" si="63"/>
        <v>0</v>
      </c>
      <c r="AG19" s="230" t="e">
        <f t="shared" ca="1" si="64"/>
        <v>#VALUE!</v>
      </c>
      <c r="AH19" s="31"/>
      <c r="AI19" s="235" t="str">
        <f t="shared" si="3"/>
        <v>HARMONI PANCA UTAMA, PTFEB</v>
      </c>
      <c r="AJ19" s="232"/>
      <c r="AK19" s="259"/>
      <c r="AL19" s="109">
        <f t="shared" si="65"/>
        <v>0</v>
      </c>
      <c r="AM19" s="109" t="e">
        <f t="shared" ca="1" si="66"/>
        <v>#VALUE!</v>
      </c>
      <c r="AN19" s="31"/>
      <c r="AO19" s="109">
        <f>SUMIF(Bill_Out!$Q$134:$Q$188,CONCATENATE($C19,$BA$3),Bill_Out!$N$134:$N$188)</f>
        <v>0</v>
      </c>
      <c r="AP19" s="109" t="e">
        <f>SUMIF(Bill_Out!$Q$134:$Q$188,CONCATENATE($C19,$BA$3),Bill_Out!$O$134:$O$188)</f>
        <v>#VALUE!</v>
      </c>
      <c r="AQ19" s="50"/>
      <c r="AR19" s="230">
        <f>SUMIF(Master_Data!$AK$4:$AK$145,CONCATENATE(C19,$BA$3),Master_Data!$R$4:$R$145)+SUMIF(Master_Data!$AK$152:$AK$864,CONCATENATE(C19,$BA$3),Master_Data!$R$152:$R$864)</f>
        <v>0</v>
      </c>
      <c r="AS19" s="230">
        <f>SUMIF(Master_Data!$AK$4:$AK$145,CONCATENATE(C19,$BA$3),Master_Data!$Q$4:$Q$145)+SUMIF(Master_Data!$AK$152:$AK$864,CONCATENATE(C19,$BA$3),Master_Data!$Q$152:$Q$864)</f>
        <v>0</v>
      </c>
      <c r="AT19" s="230">
        <f>SUMIF(Master_Data!$AK$4:$AK$145,CONCATENATE(C19,$BA$3),Master_Data!$U$4:$U$145)+SUMIF(Master_Data!$AK$152:$AK$864,CONCATENATE(C19,$BA$3),Master_Data!$U$152:$U$864)</f>
        <v>104254344</v>
      </c>
      <c r="AU19" s="230">
        <f ca="1">SUMIF(Master_Data!$AK$4:$AK$145,CONCATENATE(C19,$BA$3),Master_Data!$S$4:$S$145)+SUMIF(Master_Data!$AK$152:$AK$864,CONCATENATE(C19,$BA$3),Master_Data!$S$152:$S$850)</f>
        <v>0</v>
      </c>
      <c r="AV19" s="39">
        <f>SUMIF(Master_Data!$AK$152:$AK$864,CONCATENATE($C19,BA$3),Master_Data!$T$152:$T$864)</f>
        <v>-1930636</v>
      </c>
      <c r="AW19" s="230">
        <f t="shared" si="57"/>
        <v>0</v>
      </c>
      <c r="AX19" s="230" t="e">
        <f t="shared" ca="1" si="58"/>
        <v>#VALUE!</v>
      </c>
      <c r="AY19" s="31"/>
      <c r="AZ19" s="235" t="str">
        <f t="shared" si="21"/>
        <v>HARMONI PANCA UTAMA, PTMAR</v>
      </c>
      <c r="BA19" s="232"/>
      <c r="BB19" s="259"/>
      <c r="BC19" s="109">
        <f t="shared" si="22"/>
        <v>0</v>
      </c>
      <c r="BD19" s="109" t="e">
        <f t="shared" ca="1" si="23"/>
        <v>#VALUE!</v>
      </c>
      <c r="BE19" s="31"/>
      <c r="BF19" s="109">
        <f>SUMIF(Bill_Out!$Q$192:$Q$258,CONCATENATE($C19,$BR$3),Bill_Out!$N$192:$N$258)</f>
        <v>0</v>
      </c>
      <c r="BG19" s="109" t="e">
        <f>SUMIF(Bill_Out!$Q$192:$Q$258,CONCATENATE($C19,$BR$3),Bill_Out!$O$192:$O$258)</f>
        <v>#VALUE!</v>
      </c>
      <c r="BH19" s="50"/>
      <c r="BI19" s="230">
        <f>SUMIF(Master_Data!$AK$4:$AK$145,CONCATENATE(C19,$BR$3),Master_Data!$R$4:$R$145)+SUMIF(Master_Data!$AK$152:$AK$864,CONCATENATE(C19,$BR$3),Master_Data!$R$152:$R$864)</f>
        <v>0</v>
      </c>
      <c r="BJ19" s="230">
        <f>SUMIF(Master_Data!$AK$4:$AK$145,CONCATENATE(C19,$BR$3),Master_Data!$Q$4:$Q$145)+SUMIF(Master_Data!$AK$152:$AK$864,CONCATENATE(C19,$BR$3),Master_Data!$Q$152:$Q$864)</f>
        <v>0</v>
      </c>
      <c r="BK19" s="230">
        <f>SUMIF(Master_Data!$AK$4:$AK$145,CONCATENATE(C19,$BR$3),Master_Data!$U$4:$U$145)+SUMIF(Master_Data!$AK$152:$AK$864,CONCATENATE(C19,$BR$3),Master_Data!$U$152:$U$864)</f>
        <v>131414184</v>
      </c>
      <c r="BL19" s="230">
        <f>SUMIF(Master_Data!$AK$4:$AK$145,CONCATENATE(C19,$BR$3),Master_Data!$S$4:$S$145)+SUMIF(Master_Data!$AK$152:$AK$864,CONCATENATE(C19,$BR$3),Master_Data!$S$152:$S$864)</f>
        <v>0</v>
      </c>
      <c r="BM19" s="39">
        <f>SUMIF(Master_Data!$AK$152:$AK$864,CONCATENATE($C19,BR$3),Master_Data!$T$152:$T$864)</f>
        <v>-2433596</v>
      </c>
      <c r="BN19" s="230">
        <f t="shared" si="24"/>
        <v>0</v>
      </c>
      <c r="BO19" s="230" t="e">
        <f t="shared" ca="1" si="25"/>
        <v>#VALUE!</v>
      </c>
      <c r="BP19" s="31"/>
      <c r="BQ19" s="909" t="str">
        <f t="shared" si="26"/>
        <v>HARMONI PANCA UTAMA, PTAPR</v>
      </c>
      <c r="BR19" s="232"/>
      <c r="BS19" s="259"/>
      <c r="BT19" s="109">
        <f t="shared" si="59"/>
        <v>0</v>
      </c>
      <c r="BU19" s="109" t="e">
        <f t="shared" ca="1" si="60"/>
        <v>#VALUE!</v>
      </c>
      <c r="BV19" s="31"/>
      <c r="BW19" s="109">
        <f>SUMIF(Bill_Out!$Q$263:$Q$314,CONCATENATE($C19,$CI$3),Bill_Out!$N$263:$N$314)</f>
        <v>0</v>
      </c>
      <c r="BX19" s="109" t="e">
        <f>SUMIF(Bill_Out!$Q$263:$Q$314,CONCATENATE($C19,$CI$3),Bill_Out!$O$263:$O$314)</f>
        <v>#VALUE!</v>
      </c>
      <c r="BY19" s="50"/>
      <c r="BZ19" s="310">
        <f>SUMIF(Master_Data!$AK$4:$AK$145,CONCATENATE(C19,$CI$3),Master_Data!$R$4:$R$145)+SUMIF(Master_Data!$AK$152:$AK$864,CONCATENATE(C19,$CI$3),Master_Data!$R$152:$R$864)</f>
        <v>0</v>
      </c>
      <c r="CA19" s="310">
        <f>SUMIF(Master_Data!$AK$4:$AK$145,CONCATENATE(C19,$CI$3),Master_Data!$Q$4:$Q$145)+SUMIF(Master_Data!$AK$152:$AK$864,CONCATENATE(C19,$CI$3),Master_Data!$Q$152:$Q$864)</f>
        <v>0</v>
      </c>
      <c r="CB19" s="310">
        <f>SUMIF(Master_Data!$AK$4:$AK$145,CONCATENATE(C19,$CI$3),Master_Data!$U$4:$U$145)+SUMIF(Master_Data!$AK$152:$AK$864,CONCATENATE(C19,$CI$3),Master_Data!$U$152:$U$864)</f>
        <v>143449553</v>
      </c>
      <c r="CC19" s="230">
        <f>SUMIF(Master_Data!$AK$4:$AK$145,CONCATENATE(C19,$CI$3),Master_Data!$S$4:$S$145)+SUMIF(Master_Data!$AK$152:$AK$864,CONCATENATE(C19,$CI$3),Master_Data!$S$152:$S$864)</f>
        <v>0</v>
      </c>
      <c r="CD19" s="39">
        <f>SUMIF(Master_Data!$AK$152:$AK$864,CONCATENATE($C19,CI$3),Master_Data!$T$152:$T$864)</f>
        <v>-2656473.2000000002</v>
      </c>
      <c r="CE19" s="310">
        <f t="shared" si="27"/>
        <v>0</v>
      </c>
      <c r="CF19" s="230" t="e">
        <f t="shared" ca="1" si="28"/>
        <v>#VALUE!</v>
      </c>
      <c r="CG19" s="31"/>
      <c r="CH19" s="235" t="str">
        <f t="shared" si="29"/>
        <v>HARMONI PANCA UTAMA, PTMEI</v>
      </c>
      <c r="CI19" s="232"/>
      <c r="CJ19" s="259"/>
      <c r="CK19" s="109">
        <f t="shared" si="30"/>
        <v>0</v>
      </c>
      <c r="CL19" s="238" t="e">
        <f t="shared" ca="1" si="31"/>
        <v>#VALUE!</v>
      </c>
      <c r="CM19" s="31"/>
      <c r="CN19" s="238">
        <f>SUMIF(Bill_Out!$Q$318:$Q$371,CONCATENATE($C19,$CZ$3),Bill_Out!$N$318:$N$371)</f>
        <v>0</v>
      </c>
      <c r="CO19" s="238" t="e">
        <f>SUMIF(Bill_Out!$Q$318:$Q$371,CONCATENATE($C19,$CZ$3),Bill_Out!$O$318:$O$371)</f>
        <v>#VALUE!</v>
      </c>
      <c r="CP19" s="50"/>
      <c r="CQ19" s="230">
        <f>SUMIF(Master_Data!$AK$4:$AK$145,CONCATENATE($C19,$CZ$3),Master_Data!$R$4:$R$145)+SUMIF(Master_Data!$AK$152:$AK$864,CONCATENATE($C19,$CZ$3),Master_Data!$R$152:$R$864)</f>
        <v>0</v>
      </c>
      <c r="CR19" s="230">
        <f>SUMIF(Master_Data!$AK$4:$AK$145,CONCATENATE($C19,$CZ$3),Master_Data!$Q$4:$Q$145)+SUMIF(Master_Data!$AK$152:$AK$864,CONCATENATE($C19,$CZ$3),Master_Data!$Q$152:$Q$864)</f>
        <v>0</v>
      </c>
      <c r="CS19" s="230">
        <f>SUMIF(Master_Data!$AK$4:$AK$145,CONCATENATE($C19,$CZ$3),Master_Data!$U$4:$U$145)+SUMIF(Master_Data!$AK$152:$AK$864,CONCATENATE($C19,$CZ$3),Master_Data!$U$152:$U$864)</f>
        <v>72462873</v>
      </c>
      <c r="CT19" s="230">
        <f ca="1">SUMIF(Master_Data!$AK$4:$AK$145,CONCATENATE(C19,$CZ$3),Master_Data!$S$4:$S$145)+SUMIF(Master_Data!$AK$152:$AK$915,CONCATENATE(C19,$CZ$3),Master_Data!$S$152:$S$864)</f>
        <v>0</v>
      </c>
      <c r="CU19" s="1010">
        <f>SUMIF(Master_Data!$AK$4:$AK$145,CONCATENATE(C19,$CZ$3),Master_Data!$T$4:$T$145)+SUMIF(Master_Data!$AK$152:$AK$864,CONCATENATE(C19,$CZ$3),Master_Data!$T$152:$T$864)</f>
        <v>-1341905.0666</v>
      </c>
      <c r="CV19" s="230">
        <f t="shared" si="32"/>
        <v>0</v>
      </c>
      <c r="CW19" s="230" t="e">
        <f t="shared" ca="1" si="33"/>
        <v>#VALUE!</v>
      </c>
      <c r="CX19" s="31"/>
      <c r="CY19" s="1007" t="str">
        <f t="shared" si="6"/>
        <v>HARMONI PANCA UTAMA, PTJUN</v>
      </c>
      <c r="CZ19" s="24"/>
      <c r="DA19" s="259"/>
      <c r="DB19" s="109">
        <f t="shared" si="34"/>
        <v>0</v>
      </c>
      <c r="DC19" s="109" t="e">
        <f t="shared" ca="1" si="35"/>
        <v>#VALUE!</v>
      </c>
      <c r="DD19" s="31"/>
      <c r="DE19" s="109">
        <f>SUMIF(Bill_Out!$Q$375:$Q$422,CONCATENATE($C19,$DQ$3),Bill_Out!$N$375:$N$422)</f>
        <v>0</v>
      </c>
      <c r="DF19" s="109" t="e">
        <f>SUMIF(Bill_Out!$Q$375:$Q$422,CONCATENATE($C19,$DQ$3),Bill_Out!$O$375:$O$422)</f>
        <v>#VALUE!</v>
      </c>
      <c r="DG19" s="50"/>
      <c r="DH19" s="310">
        <f>SUMIF(Master_Data!$AK$4:$AK$145,CONCATENATE($C19,$DQ$3),Master_Data!$R$4:$R$145)+SUMIF(Master_Data!$AK$152:$AK$864,CONCATENATE($C19,$DQ$3),Master_Data!$R$152:$R$864)</f>
        <v>0</v>
      </c>
      <c r="DI19" s="310">
        <f>SUMIF(Master_Data!$AK$4:$AK$145,CONCATENATE($C19,$DQ$3),Master_Data!$Q$4:$Q$145)+SUMIF(Master_Data!$AK$152:$AK$864,CONCATENATE($C19,$DQ$3),Master_Data!$Q$152:$Q$864)</f>
        <v>0</v>
      </c>
      <c r="DJ19" s="310">
        <f>SUMIF(Master_Data!$AK$4:$AK$145,CONCATENATE($C19,$DQ$3),Master_Data!$U$4:$U$145)+SUMIF(Master_Data!$AK$152:$AK$864,CONCATENATE($C19,$DQ$3),Master_Data!$U$152:$U$864)</f>
        <v>166972752</v>
      </c>
      <c r="DK19" s="310">
        <f>SUMIF(Master_Data!$AK$4:$AK$145,CONCATENATE($C19,$DQ$3),Master_Data!$S$4:$S$145)+SUMIF(Master_Data!$AK$152:$AK$864,CONCATENATE($C19,$DQ$3),Master_Data!$S$152:$S$864)</f>
        <v>0</v>
      </c>
      <c r="DL19" s="39">
        <f>SUMIF(Master_Data!$AK$152:$AK$915,CONCATENATE($C19,DQ$3),Master_Data!$T$152:$T$915)</f>
        <v>-3092088</v>
      </c>
      <c r="DM19" s="230">
        <f t="shared" si="67"/>
        <v>0</v>
      </c>
      <c r="DN19" s="230" t="e">
        <f t="shared" ca="1" si="68"/>
        <v>#VALUE!</v>
      </c>
      <c r="DO19" s="31"/>
      <c r="DP19" s="358" t="str">
        <f t="shared" si="9"/>
        <v>HARMONI PANCA UTAMA, PTJUL</v>
      </c>
      <c r="DQ19" s="232"/>
      <c r="DR19" s="390"/>
      <c r="DS19" s="109">
        <f t="shared" si="36"/>
        <v>0</v>
      </c>
      <c r="DT19" s="109" t="e">
        <f t="shared" ca="1" si="37"/>
        <v>#VALUE!</v>
      </c>
      <c r="DU19" s="31"/>
      <c r="DV19" s="109">
        <f>SUMIF(Bill_Out!$Q$426:$Q$472,CONCATENATE($C19,$EH$3),Bill_Out!$N$426:$N$472)</f>
        <v>0</v>
      </c>
      <c r="DW19" s="109" t="e">
        <f>SUMIF(Bill_Out!$Q$426:$Q$472,CONCATENATE($C19,$EH$3),Bill_Out!$O$426:$O$472)</f>
        <v>#VALUE!</v>
      </c>
      <c r="DX19" s="50"/>
      <c r="DY19" s="310">
        <f>SUMIF(Master_Data!$AK$4:$AK$145,CONCATENATE($C19,$EH$3),Master_Data!$R$4:$R$145)+SUMIF(Master_Data!$AK$152:$AK$864,CONCATENATE($C19,$EH$3),Master_Data!$R$152:$R$864)</f>
        <v>0</v>
      </c>
      <c r="DZ19" s="310">
        <f>SUMIF(Master_Data!$AK$4:$AK$145,CONCATENATE($C19,$EH$3),Master_Data!$Q$4:$Q$145)+SUMIF(Master_Data!$AK$152:$AK$864,CONCATENATE($C19,$EH$3),Master_Data!$Q$152:$Q$864)</f>
        <v>0</v>
      </c>
      <c r="EA19" s="310">
        <f>SUMIF(Master_Data!$AK$4:$AK$145,CONCATENATE($C19,$EH$3),Master_Data!$U$4:$U$145)+SUMIF(Master_Data!$AK$152:$AK$864,CONCATENATE($C19,$EH$3),Master_Data!$U$152:$U$864)</f>
        <v>165113232</v>
      </c>
      <c r="EB19" s="310">
        <f>SUMIF(Master_Data!$AK$4:$AK$145,CONCATENATE($C19,$EH$3),Master_Data!$S$4:$S$145)+SUMIF(Master_Data!$AK$152:$AK$864,CONCATENATE($C19,$EH$3),Master_Data!$S$152:$S$864)</f>
        <v>0</v>
      </c>
      <c r="EC19" s="39">
        <f>SUMIF(Master_Data!$AK$152:$AK$915,CONCATENATE($C19,EH$3),Master_Data!$T$152:$T$915)</f>
        <v>-3053208</v>
      </c>
      <c r="ED19" s="310">
        <f t="shared" si="38"/>
        <v>0</v>
      </c>
      <c r="EE19" s="230" t="e">
        <f t="shared" ca="1" si="39"/>
        <v>#VALUE!</v>
      </c>
      <c r="EF19" s="31"/>
      <c r="EG19" s="358" t="str">
        <f t="shared" si="10"/>
        <v>HARMONI PANCA UTAMA, PTAGS</v>
      </c>
      <c r="EH19" s="232"/>
      <c r="EI19" s="390"/>
      <c r="EJ19" s="109">
        <f t="shared" si="47"/>
        <v>0</v>
      </c>
      <c r="EK19" s="109" t="e">
        <f t="shared" ca="1" si="48"/>
        <v>#VALUE!</v>
      </c>
      <c r="EL19" s="84"/>
      <c r="EM19" s="109">
        <f>SUMIF(Bill_Out!$Q$476:$Q$530,CONCATENATE($C19,$EY$3),Bill_Out!$N$476:$N$530)</f>
        <v>0</v>
      </c>
      <c r="EN19" s="109" t="e">
        <f>SUMIF(Bill_Out!$Q$476:$Q$530,CONCATENATE($C19,$EY$3),Bill_Out!$O$476:$O$530)</f>
        <v>#VALUE!</v>
      </c>
      <c r="EO19" s="309"/>
      <c r="EP19" s="310">
        <f>SUMIF(Master_Data!$AK$4:$AK$145,CONCATENATE($C19,$EY$3),Master_Data!$R$4:$R$145)+SUMIF(Master_Data!$AK$152:$AK$864,CONCATENATE($C19,$EY$3),Master_Data!$R$152:$R$864)</f>
        <v>0</v>
      </c>
      <c r="EQ19" s="310">
        <f>SUMIF(Master_Data!$AK$4:$AK$145,CONCATENATE($C19,$EY$3),Master_Data!$Q$4:$Q$145)+SUMIF(Master_Data!$AK$152:$AK$864,CONCATENATE($C19,$EY$3),Master_Data!$Q$152:$Q$864)</f>
        <v>0</v>
      </c>
      <c r="ER19" s="310">
        <f>SUMIF(Master_Data!$AK$4:$AK$145,CONCATENATE($C19,$EY$3),Master_Data!$U$4:$U$145)+SUMIF(Master_Data!$AK$152:$AK$864,CONCATENATE($C19,$EY$3),Master_Data!$U$152:$U$864)</f>
        <v>41843648</v>
      </c>
      <c r="ES19" s="310">
        <f>SUMIF(Master_Data!$AK$4:$AK$145,CONCATENATE($C19,$EY$3),Master_Data!$S$4:$S$145)+SUMIF(Master_Data!$AK$152:$AK$864,CONCATENATE($C19,$EY$3),Master_Data!$S$152:$S$864)</f>
        <v>0</v>
      </c>
      <c r="ET19" s="39">
        <f>SUMIF(Master_Data!$AK$152:$AK$915,CONCATENATE($C19,EY$3),Master_Data!$T$152:$T$915)</f>
        <v>-747208</v>
      </c>
      <c r="EU19" s="310">
        <f t="shared" si="49"/>
        <v>0</v>
      </c>
      <c r="EV19" s="230"/>
      <c r="EW19" s="84"/>
      <c r="EX19" s="358" t="str">
        <f t="shared" si="11"/>
        <v>HARMONI PANCA UTAMA, PTSEP</v>
      </c>
      <c r="EY19" s="232"/>
      <c r="EZ19" s="412"/>
      <c r="FA19" s="109">
        <f t="shared" si="50"/>
        <v>0</v>
      </c>
      <c r="FB19" s="109">
        <f t="shared" si="51"/>
        <v>0</v>
      </c>
      <c r="FC19" s="421"/>
      <c r="FD19" s="109">
        <f>SUMIF(Bill_Out!$Q$534:$Q$606,CONCATENATE($C19,$FP$3),Bill_Out!$N$534:$N$606)</f>
        <v>0</v>
      </c>
      <c r="FE19" s="109" t="e">
        <f>SUMIF(Bill_Out!$Q$534:$Q$606,CONCATENATE($C19,$FP$3),Bill_Out!$O$534:$O$606)</f>
        <v>#VALUE!</v>
      </c>
      <c r="FF19" s="309"/>
      <c r="FG19" s="310">
        <f>SUMIF(Master_Data!$AK$4:$AK$145,CONCATENATE($C19,$FP$3),Master_Data!$R$4:$R$145)+SUMIF(Master_Data!$AK$152:$AK$864,CONCATENATE($C19,$FP$3),Master_Data!$R$152:$R$864)</f>
        <v>0</v>
      </c>
      <c r="FH19" s="310">
        <f>SUMIF(Master_Data!$AK$4:$AK$145,CONCATENATE($C19,$FP$3),Master_Data!$Q$4:$Q$145)+SUMIF(Master_Data!$AK$152:$AK$864,CONCATENATE($C19,$FP$3),Master_Data!$Q$152:$Q$864)</f>
        <v>0</v>
      </c>
      <c r="FI19" s="310">
        <f>SUMIF(Master_Data!$AK$4:$AK$145,CONCATENATE($C19,$FP$3),Master_Data!$U$4:$U$145)+SUMIF(Master_Data!$AK$152:$AK$864,CONCATENATE($C19,$FP$3),Master_Data!$U$152:$U$864)</f>
        <v>0</v>
      </c>
      <c r="FJ19" s="310">
        <f>SUMIF(Master_Data!$AK$4:$AK$145,CONCATENATE($C19,$FP$3),Master_Data!$S$4:$S$145)+SUMIF(Master_Data!$AK$152:$AK$864,CONCATENATE($C19,$FP$3),Master_Data!$S$152:$S$864)</f>
        <v>0</v>
      </c>
      <c r="FK19" s="39">
        <f>SUMIF(Master_Data!$AK$152:$AK$915,CONCATENATE($C19,FP$3),Master_Data!$T$152:$T$915)</f>
        <v>0</v>
      </c>
      <c r="FL19" s="310">
        <f t="shared" si="52"/>
        <v>0</v>
      </c>
      <c r="FM19" s="230" t="e">
        <f t="shared" si="53"/>
        <v>#VALUE!</v>
      </c>
      <c r="FN19" s="31"/>
      <c r="FO19" s="358" t="str">
        <f t="shared" si="72"/>
        <v>HARMONI PANCA UTAMA, PTOKT</v>
      </c>
      <c r="FP19" s="232"/>
      <c r="FQ19" s="412"/>
      <c r="FR19" s="109">
        <f t="shared" si="42"/>
        <v>0</v>
      </c>
      <c r="FS19" s="109" t="e">
        <f t="shared" si="74"/>
        <v>#VALUE!</v>
      </c>
      <c r="FT19" s="420"/>
      <c r="FU19" s="109">
        <f>SUMIF(Bill_Out!$Q$610:$Q$675,CONCATENATE($C19,$GG$3),Bill_Out!$N$610:$N$675)</f>
        <v>0</v>
      </c>
      <c r="FV19" s="109" t="e">
        <f>SUMIF(Bill_Out!$Q$610:$Q$675,CONCATENATE($C19,$GG$3),Bill_Out!$O$610:$O$675)</f>
        <v>#VALUE!</v>
      </c>
      <c r="FW19" s="50"/>
      <c r="FX19" s="512">
        <f>SUMIF(Master_Data!$AK$4:$AK$145,CONCATENATE($C19,$GG$3),Master_Data!$R$4:$R$145)+SUMIF(Master_Data!$AK$152:$AK$864,CONCATENATE($C19,$GG$3),Master_Data!$R$152:$R$864)</f>
        <v>0</v>
      </c>
      <c r="FY19" s="512">
        <f>SUMIF(Master_Data!$AK$4:$AK$145,CONCATENATE($C19,$GG$3),Master_Data!$Q$4:$Q$145)+SUMIF(Master_Data!$AK$152:$AK$864,CONCATENATE($C19,$GG$3),Master_Data!$Q$152:$Q$864)</f>
        <v>0</v>
      </c>
      <c r="FZ19" s="512">
        <f>SUMIF(Master_Data!$AK$4:$AK$145,CONCATENATE($C19,$GG$3),Master_Data!$U$4:$U$145)+SUMIF(Master_Data!$AK$152:$AK$864,CONCATENATE($C19,$GG$3),Master_Data!$U$152:$U$864)</f>
        <v>0</v>
      </c>
      <c r="GA19" s="310">
        <f>SUMIF(Master_Data!$AK$4:$AK$145,CONCATENATE($C19,$GG$3),Master_Data!$S$4:$S$145)+SUMIF(Master_Data!$AK$152:$AK$864,CONCATENATE($C19,$GG$3),Master_Data!$S$152:$S$864)</f>
        <v>0</v>
      </c>
      <c r="GB19" s="39">
        <f>SUMIF(Master_Data!$AK$152:$AK$915,CONCATENATE($C19,GG$3),Master_Data!$T$152:$T$915)</f>
        <v>0</v>
      </c>
      <c r="GC19" s="230">
        <f t="shared" si="55"/>
        <v>0</v>
      </c>
      <c r="GD19" s="230" t="e">
        <f t="shared" si="14"/>
        <v>#VALUE!</v>
      </c>
      <c r="GE19" s="31"/>
      <c r="GF19" s="358" t="str">
        <f t="shared" si="73"/>
        <v>HARMONI PANCA UTAMA, PTNOV</v>
      </c>
      <c r="GG19" s="232"/>
      <c r="GH19" s="412" t="s">
        <v>622</v>
      </c>
      <c r="GI19" s="109">
        <f t="shared" si="70"/>
        <v>0</v>
      </c>
      <c r="GJ19" s="109" t="e">
        <f t="shared" si="71"/>
        <v>#VALUE!</v>
      </c>
      <c r="GK19" s="423"/>
      <c r="GL19" s="109">
        <f>SUMIF(Bill_Out!$Q$679:$Q$756,CONCATENATE($C19,$GX$3),Bill_Out!$N$679:$N$756)</f>
        <v>0</v>
      </c>
      <c r="GM19" s="109" t="e">
        <f>SUMIF(Bill_Out!$Q$679:$Q$756,CONCATENATE($C19,$GX$3),Bill_Out!$O$679:$O$756)</f>
        <v>#VALUE!</v>
      </c>
      <c r="GN19" s="50"/>
      <c r="GO19" s="512">
        <f>SUMIF(Master_Data!$AK$4:$AK$145,CONCATENATE($C19,$GX$3),Master_Data!$R$4:$R$145)+SUMIF(Master_Data!$AK$152:$AK$864,CONCATENATE($C19,$GX$3),Master_Data!$R$152:$R$864)</f>
        <v>0</v>
      </c>
      <c r="GP19" s="512">
        <f>SUMIF(Master_Data!$AK$4:$AK$145,CONCATENATE($C19,$GX$3),Master_Data!$Q$4:$Q$145)+SUMIF(Master_Data!$AK$152:$AK$864,CONCATENATE($C19,$GX$3),Master_Data!$Q$152:$Q$864)</f>
        <v>0</v>
      </c>
      <c r="GQ19" s="512">
        <f>SUMIF(Master_Data!$AK$4:$AK$145,CONCATENATE($C19,$GX$3),Master_Data!$U$4:$U$145)+SUMIF(Master_Data!$AK$152:$AK$864,CONCATENATE($C19,$GX$3),Master_Data!$U$152:$U$864)</f>
        <v>0</v>
      </c>
      <c r="GR19" s="310">
        <f>SUMIF(Master_Data!$AK$4:$AK$145,CONCATENATE($C19,$GX$3),Master_Data!$S$4:$S$145)+SUMIF(Master_Data!$AK$152:$AK$864,CONCATENATE($C19,$GX$3),Master_Data!$S$152:$S$864)</f>
        <v>0</v>
      </c>
      <c r="GS19" s="39">
        <f>SUMIF(Master_Data!$AK$152:$AK$864,CONCATENATE($C19,GX$3),Master_Data!$T$152:$T$864)</f>
        <v>0</v>
      </c>
      <c r="GT19" s="534">
        <f t="shared" si="44"/>
        <v>0</v>
      </c>
      <c r="GU19" s="310" t="e">
        <f t="shared" si="16"/>
        <v>#VALUE!</v>
      </c>
      <c r="GV19" s="31"/>
      <c r="GW19" s="358" t="str">
        <f t="shared" si="69"/>
        <v>HARMONI PANCA UTAMA, PTDES</v>
      </c>
      <c r="GX19" s="232"/>
    </row>
    <row r="20" spans="1:206" s="19" customFormat="1" ht="12.75" customHeight="1">
      <c r="A20" s="21" t="s">
        <v>115</v>
      </c>
      <c r="B20" s="236" t="str">
        <f t="shared" si="18"/>
        <v>HASTA PANCA MANDIRI UTAMA, PTJAN</v>
      </c>
      <c r="C20" s="22" t="s">
        <v>96</v>
      </c>
      <c r="D20" s="52"/>
      <c r="E20" s="238">
        <f>SUMIF(Master_Data!$D12:$D$145,CONCATENATE(C20),Master_Data!M12:M186)</f>
        <v>0</v>
      </c>
      <c r="F20" s="109">
        <f>SUMIF(Master_Data!$D16:$D$145,CONCATENATE(C20),Master_Data!N16:N169)</f>
        <v>0</v>
      </c>
      <c r="G20" s="31"/>
      <c r="H20" s="109">
        <f>SUMIF(Bill_Out!$Q$3:$Q$65,CONCATENATE($C20,$S$3),Bill_Out!$N$3:$N$65)</f>
        <v>0</v>
      </c>
      <c r="I20" s="88" t="e">
        <f>SUMIF(Bill_Out!$Q$3:$Q$65,CONCATENATE($C20,$S$3),Bill_Out!$O$3:$O$65)</f>
        <v>#VALUE!</v>
      </c>
      <c r="J20" s="50"/>
      <c r="K20" s="29"/>
      <c r="L20" s="44"/>
      <c r="M20" s="230">
        <f>SUMIF(Master_Data!$AK15:$AK$145,CONCATENATE(C20,$S$3),Master_Data!U15:U187)+SUMIF(Master_Data!$AK212:$AK$864,CONCATENATE(C20,$S$3),Master_Data!U212:U920)</f>
        <v>0</v>
      </c>
      <c r="N20" s="310">
        <f>SUMIF(Master_Data!$AK$4:$AK$145,CONCATENATE(C20,$S$3),Master_Data!$S$4:$S$145)+SUMIF(Master_Data!$AK$150:$AK$864,CONCATENATE(C20,$S$3),Master_Data!$S$150:$S$864)</f>
        <v>0</v>
      </c>
      <c r="O20" s="310">
        <f>SUMIF(Master_Data!$AK$4:$AK$145,CONCATENATE(C20,$S$3),Master_Data!$T$4:$T$145)+SUMIF(Master_Data!$AK$150:$AK$864,CONCATENATE(C20,$S$3),Master_Data!$T$150:$T$864)</f>
        <v>0</v>
      </c>
      <c r="P20" s="230">
        <f t="shared" si="19"/>
        <v>0</v>
      </c>
      <c r="Q20" s="230" t="e">
        <f t="shared" si="20"/>
        <v>#VALUE!</v>
      </c>
      <c r="R20" s="31"/>
      <c r="S20" s="24"/>
      <c r="T20" s="259"/>
      <c r="U20" s="109">
        <f t="shared" si="75"/>
        <v>0</v>
      </c>
      <c r="V20" s="109" t="e">
        <f t="shared" si="76"/>
        <v>#VALUE!</v>
      </c>
      <c r="W20" s="54"/>
      <c r="X20" s="109">
        <f>SUMIF(Bill_Out!$Q$67:$Q$132,CONCATENATE($C20,$AJ$3),Bill_Out!$N$67:$N$132)</f>
        <v>0</v>
      </c>
      <c r="Y20" s="109" t="e">
        <f>SUMIF(Bill_Out!$Q$67:$Q$132,CONCATENATE($C20,$AJ$3),Bill_Out!$O$67:$O$132)</f>
        <v>#VALUE!</v>
      </c>
      <c r="Z20" s="50"/>
      <c r="AA20" s="230">
        <f>SUMIF(Master_Data!$AK$4:$AK$145,CONCATENATE(C20,$AJ$3),Master_Data!$R$4:$R$145)+SUMIF(Master_Data!$AK$152:$AK$850,CONCATENATE(C20,$AJ$3),Master_Data!$R$152:$R$850)</f>
        <v>0</v>
      </c>
      <c r="AB20" s="230">
        <f>SUMIF(Master_Data!$AK$4:$AK$145,CONCATENATE(C20,$AJ$3),Master_Data!$Q$4:$Q$145)+SUMIF(Master_Data!$AK$152:$AK$850,CONCATENATE(C20,$AJ$3),Master_Data!$Q$152:$Q$850)</f>
        <v>0</v>
      </c>
      <c r="AC20" s="230">
        <f>SUMIF(Master_Data!$AK$4:$AK$145,CONCATENATE(C20,$AJ$3),Master_Data!$U$4:$U$145)+SUMIF(Master_Data!$AK$152:$AK$850,CONCATENATE(C20,$AJ$3),Master_Data!$U$152:$U$850)</f>
        <v>47952540</v>
      </c>
      <c r="AD20" s="310">
        <f ca="1">SUMIF(Master_Data!$AK$4:$AK$145,CONCATENATE(C20,$AJ$3),Master_Data!$S$4:$S$145)+SUMIF(Master_Data!$AK$152:$AK$864,CONCATENATE(C20,$AJ$3),Master_Data!$S$152:$S$850)</f>
        <v>0</v>
      </c>
      <c r="AE20" s="310">
        <f>SUMIF(Master_Data!$AK$4:$AK$145,CONCATENATE(C20,$AJ$3),Master_Data!$T$4:$T$145)+SUMIF(Master_Data!$AK$152:$AK$864,CONCATENATE(C20,$AJ$3),Master_Data!$T$152:$T$864)</f>
        <v>-888010</v>
      </c>
      <c r="AF20" s="230">
        <f t="shared" si="63"/>
        <v>0</v>
      </c>
      <c r="AG20" s="230" t="e">
        <f t="shared" ca="1" si="64"/>
        <v>#VALUE!</v>
      </c>
      <c r="AH20" s="31"/>
      <c r="AI20" s="235" t="str">
        <f t="shared" si="3"/>
        <v>HASTA PANCA MANDIRI UTAMA, PTFEB</v>
      </c>
      <c r="AJ20" s="24"/>
      <c r="AK20" s="259"/>
      <c r="AL20" s="109">
        <f t="shared" si="65"/>
        <v>0</v>
      </c>
      <c r="AM20" s="109" t="e">
        <f t="shared" ca="1" si="66"/>
        <v>#VALUE!</v>
      </c>
      <c r="AN20" s="31"/>
      <c r="AO20" s="109">
        <f>SUMIF(Bill_Out!$Q$134:$Q$188,CONCATENATE($C20,$BA$3),Bill_Out!$N$134:$N$188)</f>
        <v>0</v>
      </c>
      <c r="AP20" s="109" t="e">
        <f>SUMIF(Bill_Out!$Q$134:$Q$188,CONCATENATE($C20,$BA$3),Bill_Out!$O$134:$O$188)</f>
        <v>#VALUE!</v>
      </c>
      <c r="AQ20" s="50"/>
      <c r="AR20" s="230">
        <f>SUMIF(Master_Data!$AK$4:$AK$145,CONCATENATE(C20,$BA$3),Master_Data!$R$4:$R$145)+SUMIF(Master_Data!$AK$152:$AK$864,CONCATENATE(C20,$BA$3),Master_Data!$R$152:$R$864)</f>
        <v>0</v>
      </c>
      <c r="AS20" s="230">
        <f>SUMIF(Master_Data!$AK$4:$AK$145,CONCATENATE(C20,$BA$3),Master_Data!$Q$4:$Q$145)+SUMIF(Master_Data!$AK$152:$AK$864,CONCATENATE(C20,$BA$3),Master_Data!$Q$152:$Q$864)</f>
        <v>0</v>
      </c>
      <c r="AT20" s="230">
        <f>SUMIF(Master_Data!$AK$4:$AK$145,CONCATENATE(C20,$BA$3),Master_Data!$U$4:$U$145)+SUMIF(Master_Data!$AK$152:$AK$864,CONCATENATE(C20,$BA$3),Master_Data!$U$152:$U$864)</f>
        <v>77061996</v>
      </c>
      <c r="AU20" s="230">
        <f ca="1">SUMIF(Master_Data!$AK$4:$AK$145,CONCATENATE(C20,$BA$3),Master_Data!$S$4:$S$145)+SUMIF(Master_Data!$AK$152:$AK$864,CONCATENATE(C20,$BA$3),Master_Data!$S$152:$S$850)</f>
        <v>0</v>
      </c>
      <c r="AV20" s="39">
        <f>SUMIF(Master_Data!$AK$152:$AK$864,CONCATENATE($C20,BA$3),Master_Data!$T$152:$T$864)</f>
        <v>-1427074</v>
      </c>
      <c r="AW20" s="230">
        <f t="shared" si="57"/>
        <v>0</v>
      </c>
      <c r="AX20" s="230" t="e">
        <f t="shared" ca="1" si="58"/>
        <v>#VALUE!</v>
      </c>
      <c r="AY20" s="31"/>
      <c r="AZ20" s="235" t="str">
        <f t="shared" si="21"/>
        <v>HASTA PANCA MANDIRI UTAMA, PTMAR</v>
      </c>
      <c r="BA20" s="24"/>
      <c r="BB20" s="259"/>
      <c r="BC20" s="109">
        <f t="shared" si="22"/>
        <v>0</v>
      </c>
      <c r="BD20" s="109" t="e">
        <f t="shared" ca="1" si="23"/>
        <v>#VALUE!</v>
      </c>
      <c r="BE20" s="31"/>
      <c r="BF20" s="109">
        <f>SUMIF(Bill_Out!$Q$192:$Q$258,CONCATENATE($C20,$BR$3),Bill_Out!$N$192:$N$258)</f>
        <v>0</v>
      </c>
      <c r="BG20" s="109" t="e">
        <f>SUMIF(Bill_Out!$Q$192:$Q$258,CONCATENATE($C20,$BR$3),Bill_Out!$O$192:$O$258)</f>
        <v>#VALUE!</v>
      </c>
      <c r="BH20" s="50"/>
      <c r="BI20" s="230">
        <f>SUMIF(Master_Data!$AK$4:$AK$145,CONCATENATE(C20,$BR$3),Master_Data!$R$4:$R$145)+SUMIF(Master_Data!$AK$152:$AK$864,CONCATENATE(C20,$BR$3),Master_Data!$R$152:$R$864)</f>
        <v>0</v>
      </c>
      <c r="BJ20" s="230">
        <f>SUMIF(Master_Data!$AK$4:$AK$145,CONCATENATE(C20,$BR$3),Master_Data!$Q$4:$Q$145)+SUMIF(Master_Data!$AK$152:$AK$864,CONCATENATE(C20,$BR$3),Master_Data!$Q$152:$Q$864)</f>
        <v>0</v>
      </c>
      <c r="BK20" s="230">
        <f>SUMIF(Master_Data!$AK$4:$AK$145,CONCATENATE(C20,$BR$3),Master_Data!$U$4:$U$145)+SUMIF(Master_Data!$AK$152:$AK$864,CONCATENATE(C20,$BR$3),Master_Data!$U$152:$U$864)</f>
        <v>0</v>
      </c>
      <c r="BL20" s="230">
        <f>SUMIF(Master_Data!$AK$4:$AK$145,CONCATENATE(C20,$BR$3),Master_Data!$S$4:$S$145)+SUMIF(Master_Data!$AK$152:$AK$864,CONCATENATE(C20,$BR$3),Master_Data!$S$152:$S$864)</f>
        <v>0</v>
      </c>
      <c r="BM20" s="39">
        <f>SUMIF(Master_Data!$AK$152:$AK$864,CONCATENATE($C20,BR$3),Master_Data!$T$152:$T$864)</f>
        <v>0</v>
      </c>
      <c r="BN20" s="230">
        <f t="shared" si="24"/>
        <v>0</v>
      </c>
      <c r="BO20" s="230" t="e">
        <f t="shared" ca="1" si="25"/>
        <v>#VALUE!</v>
      </c>
      <c r="BP20" s="31"/>
      <c r="BQ20" s="909" t="str">
        <f t="shared" si="26"/>
        <v>HASTA PANCA MANDIRI UTAMA, PTAPR</v>
      </c>
      <c r="BR20" s="24"/>
      <c r="BS20" s="259"/>
      <c r="BT20" s="109">
        <f t="shared" si="59"/>
        <v>0</v>
      </c>
      <c r="BU20" s="109" t="e">
        <f t="shared" ca="1" si="60"/>
        <v>#VALUE!</v>
      </c>
      <c r="BV20" s="31"/>
      <c r="BW20" s="109">
        <f>SUMIF(Bill_Out!$Q$263:$Q$314,CONCATENATE($C20,$CI$3),Bill_Out!$N$263:$N$314)</f>
        <v>0</v>
      </c>
      <c r="BX20" s="109" t="e">
        <f>SUMIF(Bill_Out!$Q$263:$Q$314,CONCATENATE($C20,$CI$3),Bill_Out!$O$263:$O$314)</f>
        <v>#VALUE!</v>
      </c>
      <c r="BY20" s="50"/>
      <c r="BZ20" s="310">
        <f>SUMIF(Master_Data!$AK$4:$AK$145,CONCATENATE(C20,$CI$3),Master_Data!$R$4:$R$145)+SUMIF(Master_Data!$AK$152:$AK$864,CONCATENATE(C20,$CI$3),Master_Data!$R$152:$R$864)</f>
        <v>0</v>
      </c>
      <c r="CA20" s="310">
        <f>SUMIF(Master_Data!$AK$4:$AK$145,CONCATENATE(C20,$CI$3),Master_Data!$Q$4:$Q$145)+SUMIF(Master_Data!$AK$152:$AK$864,CONCATENATE(C20,$CI$3),Master_Data!$Q$152:$Q$864)</f>
        <v>0</v>
      </c>
      <c r="CB20" s="310">
        <f>SUMIF(Master_Data!$AK$4:$AK$145,CONCATENATE(C20,$CI$3),Master_Data!$U$4:$U$145)+SUMIF(Master_Data!$AK$152:$AK$864,CONCATENATE(C20,$CI$3),Master_Data!$U$152:$U$864)</f>
        <v>71171687</v>
      </c>
      <c r="CC20" s="230">
        <f>SUMIF(Master_Data!$AK$4:$AK$145,CONCATENATE(C20,$CI$3),Master_Data!$S$4:$S$145)+SUMIF(Master_Data!$AK$152:$AK$864,CONCATENATE(C20,$CI$3),Master_Data!$S$152:$S$864)</f>
        <v>0</v>
      </c>
      <c r="CD20" s="39">
        <f>SUMIF(Master_Data!$AK$152:$AK$864,CONCATENATE($C20,CI$3),Master_Data!$T$152:$T$864)</f>
        <v>-1317994.2094000001</v>
      </c>
      <c r="CE20" s="310">
        <f t="shared" si="27"/>
        <v>0</v>
      </c>
      <c r="CF20" s="230" t="e">
        <f t="shared" ca="1" si="28"/>
        <v>#VALUE!</v>
      </c>
      <c r="CG20" s="31"/>
      <c r="CH20" s="235" t="str">
        <f t="shared" si="29"/>
        <v>HASTA PANCA MANDIRI UTAMA, PTMEI</v>
      </c>
      <c r="CI20" s="24"/>
      <c r="CJ20" s="259"/>
      <c r="CK20" s="109">
        <f t="shared" si="30"/>
        <v>0</v>
      </c>
      <c r="CL20" s="238" t="e">
        <f t="shared" ca="1" si="31"/>
        <v>#VALUE!</v>
      </c>
      <c r="CM20" s="31"/>
      <c r="CN20" s="238">
        <f>SUMIF(Bill_Out!$Q$318:$Q$371,CONCATENATE($C20,$CZ$3),Bill_Out!$N$318:$N$371)</f>
        <v>0</v>
      </c>
      <c r="CO20" s="238" t="e">
        <f>SUMIF(Bill_Out!$Q$318:$Q$371,CONCATENATE($C20,$CZ$3),Bill_Out!$O$318:$O$371)</f>
        <v>#VALUE!</v>
      </c>
      <c r="CP20" s="50"/>
      <c r="CQ20" s="230">
        <f>SUMIF(Master_Data!$AK$4:$AK$145,CONCATENATE($C20,$CZ$3),Master_Data!$R$4:$R$145)+SUMIF(Master_Data!$AK$152:$AK$864,CONCATENATE($C20,$CZ$3),Master_Data!$R$152:$R$864)</f>
        <v>0</v>
      </c>
      <c r="CR20" s="230">
        <f>SUMIF(Master_Data!$AK$4:$AK$145,CONCATENATE($C20,$CZ$3),Master_Data!$Q$4:$Q$145)+SUMIF(Master_Data!$AK$152:$AK$864,CONCATENATE($C20,$CZ$3),Master_Data!$Q$152:$Q$864)</f>
        <v>0</v>
      </c>
      <c r="CS20" s="230">
        <f>SUMIF(Master_Data!$AK$4:$AK$145,CONCATENATE($C20,$CZ$3),Master_Data!$U$4:$U$145)+SUMIF(Master_Data!$AK$152:$AK$864,CONCATENATE($C20,$CZ$3),Master_Data!$U$152:$U$864)</f>
        <v>38556000</v>
      </c>
      <c r="CT20" s="230">
        <f ca="1">SUMIF(Master_Data!$AK$4:$AK$145,CONCATENATE(C20,$CZ$3),Master_Data!$S$4:$S$145)+SUMIF(Master_Data!$AK$152:$AK$915,CONCATENATE(C20,$CZ$3),Master_Data!$S$152:$S$864)</f>
        <v>0</v>
      </c>
      <c r="CU20" s="1010">
        <f>SUMIF(Master_Data!$AK$4:$AK$145,CONCATENATE(C20,$CZ$3),Master_Data!$T$4:$T$145)+SUMIF(Master_Data!$AK$152:$AK$864,CONCATENATE(C20,$CZ$3),Master_Data!$T$152:$T$864)</f>
        <v>-714000</v>
      </c>
      <c r="CV20" s="230">
        <f t="shared" si="32"/>
        <v>0</v>
      </c>
      <c r="CW20" s="230" t="e">
        <f t="shared" ca="1" si="33"/>
        <v>#VALUE!</v>
      </c>
      <c r="CX20" s="31"/>
      <c r="CY20" s="1007" t="str">
        <f t="shared" si="6"/>
        <v>HASTA PANCA MANDIRI UTAMA, PTJUN</v>
      </c>
      <c r="CZ20" s="24"/>
      <c r="DA20" s="259"/>
      <c r="DB20" s="109">
        <f t="shared" si="34"/>
        <v>0</v>
      </c>
      <c r="DC20" s="109" t="e">
        <f t="shared" ca="1" si="35"/>
        <v>#VALUE!</v>
      </c>
      <c r="DD20" s="31"/>
      <c r="DE20" s="109">
        <f>SUMIF(Bill_Out!$Q$375:$Q$422,CONCATENATE($C20,$DQ$3),Bill_Out!$N$375:$N$422)</f>
        <v>0</v>
      </c>
      <c r="DF20" s="109" t="e">
        <f>SUMIF(Bill_Out!$Q$375:$Q$422,CONCATENATE($C20,$DQ$3),Bill_Out!$O$375:$O$422)</f>
        <v>#VALUE!</v>
      </c>
      <c r="DG20" s="50"/>
      <c r="DH20" s="310">
        <f>SUMIF(Master_Data!$AK$4:$AK$145,CONCATENATE($C20,$DQ$3),Master_Data!$R$4:$R$145)+SUMIF(Master_Data!$AK$152:$AK$864,CONCATENATE($C20,$DQ$3),Master_Data!$R$152:$R$864)</f>
        <v>0</v>
      </c>
      <c r="DI20" s="310">
        <f>SUMIF(Master_Data!$AK$4:$AK$145,CONCATENATE($C20,$DQ$3),Master_Data!$Q$4:$Q$145)+SUMIF(Master_Data!$AK$152:$AK$864,CONCATENATE($C20,$DQ$3),Master_Data!$Q$152:$Q$864)</f>
        <v>0</v>
      </c>
      <c r="DJ20" s="310">
        <f>SUMIF(Master_Data!$AK$4:$AK$145,CONCATENATE($C20,$DQ$3),Master_Data!$U$4:$U$145)+SUMIF(Master_Data!$AK$152:$AK$864,CONCATENATE($C20,$DQ$3),Master_Data!$U$152:$U$864)</f>
        <v>137700000</v>
      </c>
      <c r="DK20" s="310">
        <f>SUMIF(Master_Data!$AK$4:$AK$145,CONCATENATE($C20,$DQ$3),Master_Data!$S$4:$S$145)+SUMIF(Master_Data!$AK$152:$AK$864,CONCATENATE($C20,$DQ$3),Master_Data!$S$152:$S$864)</f>
        <v>0</v>
      </c>
      <c r="DL20" s="39">
        <f>SUMIF(Master_Data!$AK$152:$AK$915,CONCATENATE($C20,DQ$3),Master_Data!$T$152:$T$915)</f>
        <v>-2550000</v>
      </c>
      <c r="DM20" s="230">
        <f t="shared" si="67"/>
        <v>0</v>
      </c>
      <c r="DN20" s="230" t="e">
        <f t="shared" ca="1" si="68"/>
        <v>#VALUE!</v>
      </c>
      <c r="DO20" s="31"/>
      <c r="DP20" s="358" t="str">
        <f t="shared" si="9"/>
        <v>HASTA PANCA MANDIRI UTAMA, PTJUL</v>
      </c>
      <c r="DQ20" s="24"/>
      <c r="DR20" s="390"/>
      <c r="DS20" s="109">
        <f t="shared" si="36"/>
        <v>0</v>
      </c>
      <c r="DT20" s="109" t="e">
        <f t="shared" ca="1" si="37"/>
        <v>#VALUE!</v>
      </c>
      <c r="DU20" s="31"/>
      <c r="DV20" s="109">
        <f>SUMIF(Bill_Out!$Q$426:$Q$472,CONCATENATE($C20,$EH$3),Bill_Out!$N$426:$N$472)</f>
        <v>0</v>
      </c>
      <c r="DW20" s="109" t="e">
        <f>SUMIF(Bill_Out!$Q$426:$Q$472,CONCATENATE($C20,$EH$3),Bill_Out!$O$426:$O$472)</f>
        <v>#VALUE!</v>
      </c>
      <c r="DX20" s="50"/>
      <c r="DY20" s="310">
        <f>SUMIF(Master_Data!$AK$4:$AK$145,CONCATENATE($C20,$EH$3),Master_Data!$R$4:$R$145)+SUMIF(Master_Data!$AK$152:$AK$864,CONCATENATE($C20,$EH$3),Master_Data!$R$152:$R$864)</f>
        <v>0</v>
      </c>
      <c r="DZ20" s="310">
        <f>SUMIF(Master_Data!$AK$4:$AK$145,CONCATENATE($C20,$EH$3),Master_Data!$Q$4:$Q$145)+SUMIF(Master_Data!$AK$152:$AK$864,CONCATENATE($C20,$EH$3),Master_Data!$Q$152:$Q$864)</f>
        <v>0</v>
      </c>
      <c r="EA20" s="310">
        <f>SUMIF(Master_Data!$AK$4:$AK$145,CONCATENATE($C20,$EH$3),Master_Data!$U$4:$U$145)+SUMIF(Master_Data!$AK$152:$AK$864,CONCATENATE($C20,$EH$3),Master_Data!$U$152:$U$864)</f>
        <v>0</v>
      </c>
      <c r="EB20" s="310">
        <f>SUMIF(Master_Data!$AK$4:$AK$145,CONCATENATE($C20,$EH$3),Master_Data!$S$4:$S$145)+SUMIF(Master_Data!$AK$152:$AK$864,CONCATENATE($C20,$EH$3),Master_Data!$S$152:$S$864)</f>
        <v>0</v>
      </c>
      <c r="EC20" s="39">
        <f>SUMIF(Master_Data!$AK$152:$AK$915,CONCATENATE($C20,EH$3),Master_Data!$T$152:$T$915)</f>
        <v>0</v>
      </c>
      <c r="ED20" s="310">
        <f t="shared" si="38"/>
        <v>0</v>
      </c>
      <c r="EE20" s="230" t="e">
        <f t="shared" ca="1" si="39"/>
        <v>#VALUE!</v>
      </c>
      <c r="EF20" s="31"/>
      <c r="EG20" s="358" t="str">
        <f t="shared" si="10"/>
        <v>HASTA PANCA MANDIRI UTAMA, PTAGS</v>
      </c>
      <c r="EH20" s="24"/>
      <c r="EI20" s="390"/>
      <c r="EJ20" s="109">
        <f t="shared" si="47"/>
        <v>0</v>
      </c>
      <c r="EK20" s="109" t="e">
        <f t="shared" ca="1" si="48"/>
        <v>#VALUE!</v>
      </c>
      <c r="EL20" s="84"/>
      <c r="EM20" s="109">
        <f>SUMIF(Bill_Out!$Q$476:$Q$530,CONCATENATE($C20,$EY$3),Bill_Out!$N$476:$N$530)</f>
        <v>0</v>
      </c>
      <c r="EN20" s="109">
        <f>SUMIF(Bill_Out!$Q$476:$Q$530,CONCATENATE($C20,$EY$3),Bill_Out!$O$476:$O$530)</f>
        <v>0</v>
      </c>
      <c r="EO20" s="309"/>
      <c r="EP20" s="310">
        <f>SUMIF(Master_Data!$AK$4:$AK$145,CONCATENATE($C20,$EY$3),Master_Data!$R$4:$R$145)+SUMIF(Master_Data!$AK$152:$AK$864,CONCATENATE($C20,$EY$3),Master_Data!$R$152:$R$864)</f>
        <v>0</v>
      </c>
      <c r="EQ20" s="310">
        <f>SUMIF(Master_Data!$AK$4:$AK$145,CONCATENATE($C20,$EY$3),Master_Data!$Q$4:$Q$145)+SUMIF(Master_Data!$AK$152:$AK$864,CONCATENATE($C20,$EY$3),Master_Data!$Q$152:$Q$864)</f>
        <v>0</v>
      </c>
      <c r="ER20" s="310">
        <f>SUMIF(Master_Data!$AK$4:$AK$145,CONCATENATE($C20,$EY$3),Master_Data!$U$4:$U$145)+SUMIF(Master_Data!$AK$152:$AK$864,CONCATENATE($C20,$EY$3),Master_Data!$U$152:$U$864)</f>
        <v>22680000</v>
      </c>
      <c r="ES20" s="310">
        <f>SUMIF(Master_Data!$AK$4:$AK$145,CONCATENATE($C20,$EY$3),Master_Data!$S$4:$S$145)+SUMIF(Master_Data!$AK$152:$AK$864,CONCATENATE($C20,$EY$3),Master_Data!$S$152:$S$864)</f>
        <v>0</v>
      </c>
      <c r="ET20" s="39">
        <f>SUMIF(Master_Data!$AK$152:$AK$915,CONCATENATE($C20,EY$3),Master_Data!$T$152:$T$915)</f>
        <v>-420000</v>
      </c>
      <c r="EU20" s="310">
        <f t="shared" si="49"/>
        <v>0</v>
      </c>
      <c r="EV20" s="230"/>
      <c r="EW20" s="84"/>
      <c r="EX20" s="358" t="str">
        <f t="shared" si="11"/>
        <v>HASTA PANCA MANDIRI UTAMA, PTSEP</v>
      </c>
      <c r="EY20" s="24"/>
      <c r="EZ20" s="412"/>
      <c r="FA20" s="109">
        <f t="shared" si="50"/>
        <v>0</v>
      </c>
      <c r="FB20" s="109">
        <f t="shared" si="51"/>
        <v>0</v>
      </c>
      <c r="FC20" s="421"/>
      <c r="FD20" s="109">
        <f>SUMIF(Bill_Out!$Q$534:$Q$606,CONCATENATE($C20,$FP$3),Bill_Out!$N$534:$N$606)</f>
        <v>0</v>
      </c>
      <c r="FE20" s="109" t="e">
        <f>SUMIF(Bill_Out!$Q$534:$Q$606,CONCATENATE($C20,$FP$3),Bill_Out!$O$534:$O$606)</f>
        <v>#VALUE!</v>
      </c>
      <c r="FF20" s="309"/>
      <c r="FG20" s="310">
        <f>SUMIF(Master_Data!$AK$4:$AK$145,CONCATENATE($C20,$FP$3),Master_Data!$R$4:$R$145)+SUMIF(Master_Data!$AK$152:$AK$864,CONCATENATE($C20,$FP$3),Master_Data!$R$152:$R$864)</f>
        <v>0</v>
      </c>
      <c r="FH20" s="310">
        <f>SUMIF(Master_Data!$AK$4:$AK$145,CONCATENATE($C20,$FP$3),Master_Data!$Q$4:$Q$145)+SUMIF(Master_Data!$AK$152:$AK$864,CONCATENATE($C20,$FP$3),Master_Data!$Q$152:$Q$864)</f>
        <v>0</v>
      </c>
      <c r="FI20" s="310">
        <f>SUMIF(Master_Data!$AK$4:$AK$145,CONCATENATE($C20,$FP$3),Master_Data!$U$4:$U$145)+SUMIF(Master_Data!$AK$152:$AK$864,CONCATENATE($C20,$FP$3),Master_Data!$U$152:$U$864)</f>
        <v>0</v>
      </c>
      <c r="FJ20" s="310">
        <f>SUMIF(Master_Data!$AK$4:$AK$145,CONCATENATE($C20,$FP$3),Master_Data!$S$4:$S$145)+SUMIF(Master_Data!$AK$152:$AK$864,CONCATENATE($C20,$FP$3),Master_Data!$S$152:$S$864)</f>
        <v>0</v>
      </c>
      <c r="FK20" s="39">
        <f>SUMIF(Master_Data!$AK$152:$AK$915,CONCATENATE($C20,FP$3),Master_Data!$T$152:$T$915)</f>
        <v>0</v>
      </c>
      <c r="FL20" s="310">
        <f t="shared" si="52"/>
        <v>0</v>
      </c>
      <c r="FM20" s="230" t="e">
        <f t="shared" si="53"/>
        <v>#VALUE!</v>
      </c>
      <c r="FN20" s="31"/>
      <c r="FO20" s="358" t="str">
        <f t="shared" si="72"/>
        <v>HASTA PANCA MANDIRI UTAMA, PTOKT</v>
      </c>
      <c r="FP20" s="24"/>
      <c r="FQ20" s="412"/>
      <c r="FR20" s="109">
        <f t="shared" si="42"/>
        <v>0</v>
      </c>
      <c r="FS20" s="109" t="e">
        <f t="shared" si="74"/>
        <v>#VALUE!</v>
      </c>
      <c r="FT20" s="420"/>
      <c r="FU20" s="109">
        <f>SUMIF(Bill_Out!$Q$610:$Q$675,CONCATENATE($C20,$GG$3),Bill_Out!$N$610:$N$675)</f>
        <v>0</v>
      </c>
      <c r="FV20" s="109" t="e">
        <f>SUMIF(Bill_Out!$Q$610:$Q$675,CONCATENATE($C20,$GG$3),Bill_Out!$O$610:$O$675)</f>
        <v>#VALUE!</v>
      </c>
      <c r="FW20" s="50"/>
      <c r="FX20" s="512">
        <f>SUMIF(Master_Data!$AK$4:$AK$145,CONCATENATE($C20,$GG$3),Master_Data!$R$4:$R$145)+SUMIF(Master_Data!$AK$152:$AK$864,CONCATENATE($C20,$GG$3),Master_Data!$R$152:$R$864)</f>
        <v>0</v>
      </c>
      <c r="FY20" s="512">
        <f>SUMIF(Master_Data!$AK$4:$AK$145,CONCATENATE($C20,$GG$3),Master_Data!$Q$4:$Q$145)+SUMIF(Master_Data!$AK$152:$AK$864,CONCATENATE($C20,$GG$3),Master_Data!$Q$152:$Q$864)</f>
        <v>0</v>
      </c>
      <c r="FZ20" s="512">
        <f>SUMIF(Master_Data!$AK$4:$AK$145,CONCATENATE($C20,$GG$3),Master_Data!$U$4:$U$145)+SUMIF(Master_Data!$AK$152:$AK$864,CONCATENATE($C20,$GG$3),Master_Data!$U$152:$U$864)</f>
        <v>0</v>
      </c>
      <c r="GA20" s="310">
        <f>SUMIF(Master_Data!$AK$4:$AK$145,CONCATENATE($C20,$GG$3),Master_Data!$S$4:$S$145)+SUMIF(Master_Data!$AK$152:$AK$864,CONCATENATE($C20,$GG$3),Master_Data!$S$152:$S$864)</f>
        <v>0</v>
      </c>
      <c r="GB20" s="39">
        <f>SUMIF(Master_Data!$AK$152:$AK$915,CONCATENATE($C20,GG$3),Master_Data!$T$152:$T$915)</f>
        <v>0</v>
      </c>
      <c r="GC20" s="230">
        <f>FR20+FU20-FX20+FY20</f>
        <v>0</v>
      </c>
      <c r="GD20" s="230" t="e">
        <f t="shared" si="14"/>
        <v>#VALUE!</v>
      </c>
      <c r="GE20" s="31"/>
      <c r="GF20" s="358" t="str">
        <f t="shared" si="73"/>
        <v>HASTA PANCA MANDIRI UTAMA, PTNOV</v>
      </c>
      <c r="GG20" s="24"/>
      <c r="GH20" s="412" t="s">
        <v>623</v>
      </c>
      <c r="GI20" s="109">
        <f t="shared" si="70"/>
        <v>0</v>
      </c>
      <c r="GJ20" s="109" t="e">
        <f t="shared" si="71"/>
        <v>#VALUE!</v>
      </c>
      <c r="GK20" s="423"/>
      <c r="GL20" s="109">
        <f>SUMIF(Bill_Out!$Q$679:$Q$756,CONCATENATE($C20,$GX$3),Bill_Out!$N$679:$N$756)</f>
        <v>0</v>
      </c>
      <c r="GM20" s="109" t="e">
        <f>SUMIF(Bill_Out!$Q$679:$Q$756,CONCATENATE($C20,$GX$3),Bill_Out!$O$679:$O$756)</f>
        <v>#VALUE!</v>
      </c>
      <c r="GN20" s="50"/>
      <c r="GO20" s="512">
        <f>SUMIF(Master_Data!$AK$4:$AK$145,CONCATENATE($C20,$GX$3),Master_Data!$R$4:$R$145)+SUMIF(Master_Data!$AK$152:$AK$864,CONCATENATE($C20,$GX$3),Master_Data!$R$152:$R$864)</f>
        <v>0</v>
      </c>
      <c r="GP20" s="512">
        <f>SUMIF(Master_Data!$AK$4:$AK$145,CONCATENATE($C20,$GX$3),Master_Data!$Q$4:$Q$145)+SUMIF(Master_Data!$AK$152:$AK$864,CONCATENATE($C20,$GX$3),Master_Data!$Q$152:$Q$864)</f>
        <v>0</v>
      </c>
      <c r="GQ20" s="512">
        <f>SUMIF(Master_Data!$AK$4:$AK$145,CONCATENATE($C20,$GX$3),Master_Data!$U$4:$U$145)+SUMIF(Master_Data!$AK$152:$AK$864,CONCATENATE($C20,$GX$3),Master_Data!$U$152:$U$864)</f>
        <v>0</v>
      </c>
      <c r="GR20" s="310">
        <f>SUMIF(Master_Data!$AK$4:$AK$145,CONCATENATE($C20,$GX$3),Master_Data!$S$4:$S$145)+SUMIF(Master_Data!$AK$152:$AK$864,CONCATENATE($C20,$GX$3),Master_Data!$S$152:$S$864)</f>
        <v>0</v>
      </c>
      <c r="GS20" s="39">
        <f>SUMIF(Master_Data!$AK$152:$AK$864,CONCATENATE($C20,GX$3),Master_Data!$T$152:$T$864)</f>
        <v>0</v>
      </c>
      <c r="GT20" s="534">
        <f t="shared" si="44"/>
        <v>0</v>
      </c>
      <c r="GU20" s="310" t="e">
        <f t="shared" si="16"/>
        <v>#VALUE!</v>
      </c>
      <c r="GV20" s="31"/>
      <c r="GW20" s="358" t="str">
        <f t="shared" si="69"/>
        <v>HASTA PANCA MANDIRI UTAMA, PTDES</v>
      </c>
      <c r="GX20" s="24"/>
    </row>
    <row r="21" spans="1:206" s="19" customFormat="1">
      <c r="A21" s="328" t="s">
        <v>88</v>
      </c>
      <c r="B21" s="236" t="str">
        <f t="shared" si="18"/>
        <v>HUTAN KETAPANG INDUSTRI, PTJAN</v>
      </c>
      <c r="C21" s="22" t="s">
        <v>206</v>
      </c>
      <c r="D21" s="52" t="s">
        <v>308</v>
      </c>
      <c r="E21" s="238">
        <f>SUMIF(Master_Data!$D13:$D$145,CONCATENATE(C21),Master_Data!M13:M187)</f>
        <v>0</v>
      </c>
      <c r="F21" s="109">
        <f>SUMIF(Master_Data!$D17:$D$145,CONCATENATE(C21),Master_Data!N17:N186)</f>
        <v>0</v>
      </c>
      <c r="G21" s="31"/>
      <c r="H21" s="109">
        <f>SUMIF(Bill_Out!$Q$3:$Q$65,CONCATENATE($C21,$S$3),Bill_Out!$N$3:$N$65)</f>
        <v>0</v>
      </c>
      <c r="I21" s="88" t="e">
        <f>SUMIF(Bill_Out!$Q$3:$Q$65,CONCATENATE($C21,$S$3),Bill_Out!$O$3:$O$65)</f>
        <v>#VALUE!</v>
      </c>
      <c r="J21" s="50"/>
      <c r="K21" s="29"/>
      <c r="L21" s="44"/>
      <c r="M21" s="230">
        <f>SUMIF(Master_Data!$AK16:$AK$145,CONCATENATE(C21,$S$3),Master_Data!U16:U188)+SUMIF(Master_Data!$AK217:$AK$864,CONCATENATE(C21,$S$3),Master_Data!U217:U921)</f>
        <v>0</v>
      </c>
      <c r="N21" s="310">
        <f>SUMIF(Master_Data!$AK$4:$AK$145,CONCATENATE(C21,$S$3),Master_Data!$S$4:$S$145)+SUMIF(Master_Data!$AK$150:$AK$864,CONCATENATE(C21,$S$3),Master_Data!$S$150:$S$864)</f>
        <v>0</v>
      </c>
      <c r="O21" s="310">
        <f>SUMIF(Master_Data!$AK$4:$AK$145,CONCATENATE(C21,$S$3),Master_Data!$T$4:$T$145)+SUMIF(Master_Data!$AK$150:$AK$864,CONCATENATE(C21,$S$3),Master_Data!$T$150:$T$864)</f>
        <v>0</v>
      </c>
      <c r="P21" s="230">
        <f t="shared" si="19"/>
        <v>0</v>
      </c>
      <c r="Q21" s="230" t="e">
        <f t="shared" si="20"/>
        <v>#VALUE!</v>
      </c>
      <c r="R21" s="23"/>
      <c r="S21" s="24"/>
      <c r="T21" s="259"/>
      <c r="U21" s="109">
        <f t="shared" si="75"/>
        <v>0</v>
      </c>
      <c r="V21" s="109" t="e">
        <f t="shared" si="76"/>
        <v>#VALUE!</v>
      </c>
      <c r="W21" s="54"/>
      <c r="X21" s="109">
        <f>SUMIF(Bill_Out!$Q$67:$Q$132,CONCATENATE($C21,$AJ$3),Bill_Out!$N$67:$N$132)</f>
        <v>0</v>
      </c>
      <c r="Y21" s="109" t="e">
        <f>SUMIF(Bill_Out!$Q$67:$Q$132,CONCATENATE($C21,$AJ$3),Bill_Out!$O$67:$O$132)</f>
        <v>#VALUE!</v>
      </c>
      <c r="Z21" s="50"/>
      <c r="AA21" s="230">
        <f>SUMIF(Master_Data!$AK$4:$AK$145,CONCATENATE(C21,$AJ$3),Master_Data!$R$4:$R$145)+SUMIF(Master_Data!$AK$152:$AK$850,CONCATENATE(C21,$AJ$3),Master_Data!$R$152:$R$850)</f>
        <v>0</v>
      </c>
      <c r="AB21" s="230">
        <f>SUMIF(Master_Data!$AK$4:$AK$145,CONCATENATE(C21,$AJ$3),Master_Data!$Q$4:$Q$145)+SUMIF(Master_Data!$AK$152:$AK$850,CONCATENATE(C21,$AJ$3),Master_Data!$Q$152:$Q$850)</f>
        <v>0</v>
      </c>
      <c r="AC21" s="230">
        <f>SUMIF(Master_Data!$AK$4:$AK$145,CONCATENATE(C21,$AJ$3),Master_Data!$U$4:$U$145)+SUMIF(Master_Data!$AK$152:$AK$850,CONCATENATE(C21,$AJ$3),Master_Data!$U$152:$U$850)</f>
        <v>95040000</v>
      </c>
      <c r="AD21" s="310">
        <f ca="1">SUMIF(Master_Data!$AK$4:$AK$145,CONCATENATE(C21,$AJ$3),Master_Data!$S$4:$S$145)+SUMIF(Master_Data!$AK$152:$AK$864,CONCATENATE(C21,$AJ$3),Master_Data!$S$152:$S$850)</f>
        <v>0</v>
      </c>
      <c r="AE21" s="310">
        <f>SUMIF(Master_Data!$AK$4:$AK$145,CONCATENATE(C21,$AJ$3),Master_Data!$T$4:$T$145)+SUMIF(Master_Data!$AK$152:$AK$864,CONCATENATE(C21,$AJ$3),Master_Data!$T$152:$T$864)</f>
        <v>-1760000</v>
      </c>
      <c r="AF21" s="230">
        <f t="shared" si="63"/>
        <v>0</v>
      </c>
      <c r="AG21" s="230" t="e">
        <f t="shared" ca="1" si="64"/>
        <v>#VALUE!</v>
      </c>
      <c r="AH21" s="23"/>
      <c r="AI21" s="235" t="str">
        <f t="shared" si="3"/>
        <v>HUTAN KETAPANG INDUSTRI, PTFEB</v>
      </c>
      <c r="AJ21" s="24"/>
      <c r="AK21" s="259"/>
      <c r="AL21" s="109">
        <f t="shared" si="65"/>
        <v>0</v>
      </c>
      <c r="AM21" s="109" t="e">
        <f t="shared" ca="1" si="66"/>
        <v>#VALUE!</v>
      </c>
      <c r="AN21" s="31"/>
      <c r="AO21" s="109">
        <f>SUMIF(Bill_Out!$Q$134:$Q$188,CONCATENATE($C21,$BA$3),Bill_Out!$N$134:$N$188)</f>
        <v>0</v>
      </c>
      <c r="AP21" s="109" t="e">
        <f>SUMIF(Bill_Out!$Q$134:$Q$188,CONCATENATE($C21,$BA$3),Bill_Out!$O$134:$O$188)</f>
        <v>#VALUE!</v>
      </c>
      <c r="AQ21" s="50"/>
      <c r="AR21" s="230">
        <f>SUMIF(Master_Data!$AK$4:$AK$145,CONCATENATE(C21,$BA$3),Master_Data!$R$4:$R$145)+SUMIF(Master_Data!$AK$152:$AK$864,CONCATENATE(C21,$BA$3),Master_Data!$R$152:$R$864)</f>
        <v>0</v>
      </c>
      <c r="AS21" s="230">
        <f>SUMIF(Master_Data!$AK$4:$AK$145,CONCATENATE(C21,$BA$3),Master_Data!$Q$4:$Q$145)+SUMIF(Master_Data!$AK$152:$AK$864,CONCATENATE(C21,$BA$3),Master_Data!$Q$152:$Q$864)</f>
        <v>0</v>
      </c>
      <c r="AT21" s="230">
        <f>SUMIF(Master_Data!$AK$4:$AK$145,CONCATENATE(C21,$BA$3),Master_Data!$U$4:$U$145)+SUMIF(Master_Data!$AK$152:$AK$864,CONCATENATE(C21,$BA$3),Master_Data!$U$152:$U$864)</f>
        <v>190080000</v>
      </c>
      <c r="AU21" s="230">
        <f ca="1">SUMIF(Master_Data!$AK$4:$AK$145,CONCATENATE(C21,$BA$3),Master_Data!$S$4:$S$145)+SUMIF(Master_Data!$AK$152:$AK$864,CONCATENATE(C21,$BA$3),Master_Data!$S$152:$S$850)</f>
        <v>0</v>
      </c>
      <c r="AV21" s="39">
        <f>SUMIF(Master_Data!$AK$152:$AK$864,CONCATENATE($C21,BA$3),Master_Data!$T$152:$T$864)</f>
        <v>-3520000</v>
      </c>
      <c r="AW21" s="230">
        <f t="shared" si="57"/>
        <v>0</v>
      </c>
      <c r="AX21" s="230" t="e">
        <f t="shared" ca="1" si="58"/>
        <v>#VALUE!</v>
      </c>
      <c r="AY21" s="23"/>
      <c r="AZ21" s="235" t="str">
        <f t="shared" si="21"/>
        <v>HUTAN KETAPANG INDUSTRI, PTMAR</v>
      </c>
      <c r="BA21" s="24"/>
      <c r="BB21" s="259"/>
      <c r="BC21" s="109">
        <f t="shared" si="22"/>
        <v>0</v>
      </c>
      <c r="BD21" s="109" t="e">
        <f t="shared" ca="1" si="23"/>
        <v>#VALUE!</v>
      </c>
      <c r="BE21" s="31"/>
      <c r="BF21" s="109">
        <f>SUMIF(Bill_Out!$Q$192:$Q$258,CONCATENATE($C21,$BR$3),Bill_Out!$N$192:$N$258)</f>
        <v>0</v>
      </c>
      <c r="BG21" s="109" t="e">
        <f>SUMIF(Bill_Out!$Q$192:$Q$258,CONCATENATE($C21,$BR$3),Bill_Out!$O$192:$O$258)</f>
        <v>#VALUE!</v>
      </c>
      <c r="BH21" s="50"/>
      <c r="BI21" s="230">
        <f>SUMIF(Master_Data!$AK$4:$AK$145,CONCATENATE(C21,$BR$3),Master_Data!$R$4:$R$145)+SUMIF(Master_Data!$AK$152:$AK$864,CONCATENATE(C21,$BR$3),Master_Data!$R$152:$R$864)</f>
        <v>0</v>
      </c>
      <c r="BJ21" s="230">
        <f>SUMIF(Master_Data!$AK$4:$AK$145,CONCATENATE(C21,$BR$3),Master_Data!$Q$4:$Q$145)+SUMIF(Master_Data!$AK$152:$AK$864,CONCATENATE(C21,$BR$3),Master_Data!$Q$152:$Q$864)</f>
        <v>0</v>
      </c>
      <c r="BK21" s="230">
        <f>SUMIF(Master_Data!$AK$4:$AK$145,CONCATENATE(C21,$BR$3),Master_Data!$U$4:$U$145)+SUMIF(Master_Data!$AK$152:$AK$864,CONCATENATE(C21,$BR$3),Master_Data!$U$152:$U$864)</f>
        <v>0</v>
      </c>
      <c r="BL21" s="230">
        <f>SUMIF(Master_Data!$AK$4:$AK$145,CONCATENATE(C21,$BR$3),Master_Data!$S$4:$S$145)+SUMIF(Master_Data!$AK$152:$AK$864,CONCATENATE(C21,$BR$3),Master_Data!$S$152:$S$864)</f>
        <v>0</v>
      </c>
      <c r="BM21" s="39">
        <f>SUMIF(Master_Data!$AK$152:$AK$864,CONCATENATE($C21,BR$3),Master_Data!$T$152:$T$864)</f>
        <v>0</v>
      </c>
      <c r="BN21" s="230">
        <f t="shared" si="24"/>
        <v>0</v>
      </c>
      <c r="BO21" s="230" t="e">
        <f t="shared" ca="1" si="25"/>
        <v>#VALUE!</v>
      </c>
      <c r="BP21" s="23"/>
      <c r="BQ21" s="909" t="str">
        <f t="shared" si="26"/>
        <v>HUTAN KETAPANG INDUSTRI, PTAPR</v>
      </c>
      <c r="BR21" s="24"/>
      <c r="BS21" s="259"/>
      <c r="BT21" s="109">
        <f t="shared" si="59"/>
        <v>0</v>
      </c>
      <c r="BU21" s="109" t="e">
        <f t="shared" ca="1" si="60"/>
        <v>#VALUE!</v>
      </c>
      <c r="BV21" s="31"/>
      <c r="BW21" s="109">
        <f>SUMIF(Bill_Out!$Q$263:$Q$314,CONCATENATE($C21,$CI$3),Bill_Out!$N$263:$N$314)</f>
        <v>0</v>
      </c>
      <c r="BX21" s="109" t="e">
        <f>SUMIF(Bill_Out!$Q$263:$Q$314,CONCATENATE($C21,$CI$3),Bill_Out!$O$263:$O$314)</f>
        <v>#VALUE!</v>
      </c>
      <c r="BY21" s="50"/>
      <c r="BZ21" s="310">
        <f>SUMIF(Master_Data!$AK$4:$AK$145,CONCATENATE(C21,$CI$3),Master_Data!$R$4:$R$145)+SUMIF(Master_Data!$AK$152:$AK$864,CONCATENATE(C21,$CI$3),Master_Data!$R$152:$R$864)</f>
        <v>0</v>
      </c>
      <c r="CA21" s="310">
        <f>SUMIF(Master_Data!$AK$4:$AK$145,CONCATENATE(C21,$CI$3),Master_Data!$Q$4:$Q$145)+SUMIF(Master_Data!$AK$152:$AK$864,CONCATENATE(C21,$CI$3),Master_Data!$Q$152:$Q$864)</f>
        <v>0</v>
      </c>
      <c r="CB21" s="310">
        <f>SUMIF(Master_Data!$AK$4:$AK$145,CONCATENATE(C21,$CI$3),Master_Data!$U$4:$U$145)+SUMIF(Master_Data!$AK$152:$AK$864,CONCATENATE(C21,$CI$3),Master_Data!$U$152:$U$864)</f>
        <v>160776000</v>
      </c>
      <c r="CC21" s="230">
        <f>SUMIF(Master_Data!$AK$4:$AK$145,CONCATENATE(C21,$CI$3),Master_Data!$S$4:$S$145)+SUMIF(Master_Data!$AK$152:$AK$864,CONCATENATE(C21,$CI$3),Master_Data!$S$152:$S$864)</f>
        <v>0</v>
      </c>
      <c r="CD21" s="39">
        <f>SUMIF(Master_Data!$AK$152:$AK$864,CONCATENATE($C21,CI$3),Master_Data!$T$152:$T$864)</f>
        <v>-2977333.3333999999</v>
      </c>
      <c r="CE21" s="310">
        <f t="shared" si="27"/>
        <v>0</v>
      </c>
      <c r="CF21" s="230" t="e">
        <f t="shared" ca="1" si="28"/>
        <v>#VALUE!</v>
      </c>
      <c r="CG21" s="23"/>
      <c r="CH21" s="235" t="str">
        <f t="shared" si="29"/>
        <v>HUTAN KETAPANG INDUSTRI, PTMEI</v>
      </c>
      <c r="CI21" s="24"/>
      <c r="CJ21" s="259"/>
      <c r="CK21" s="109">
        <f t="shared" si="30"/>
        <v>0</v>
      </c>
      <c r="CL21" s="238" t="e">
        <f t="shared" ca="1" si="31"/>
        <v>#VALUE!</v>
      </c>
      <c r="CM21" s="31"/>
      <c r="CN21" s="238">
        <f>SUMIF(Bill_Out!$Q$318:$Q$371,CONCATENATE($C21,$CZ$3),Bill_Out!$N$318:$N$371)</f>
        <v>0</v>
      </c>
      <c r="CO21" s="238" t="e">
        <f>SUMIF(Bill_Out!$Q$318:$Q$371,CONCATENATE($C21,$CZ$3),Bill_Out!$O$318:$O$371)</f>
        <v>#VALUE!</v>
      </c>
      <c r="CP21" s="50"/>
      <c r="CQ21" s="230">
        <f>SUMIF(Master_Data!$AK$4:$AK$145,CONCATENATE($C21,$CZ$3),Master_Data!$R$4:$R$145)+SUMIF(Master_Data!$AK$152:$AK$864,CONCATENATE($C21,$CZ$3),Master_Data!$R$152:$R$864)</f>
        <v>0</v>
      </c>
      <c r="CR21" s="230">
        <f>SUMIF(Master_Data!$AK$4:$AK$145,CONCATENATE($C21,$CZ$3),Master_Data!$Q$4:$Q$145)+SUMIF(Master_Data!$AK$152:$AK$864,CONCATENATE($C21,$CZ$3),Master_Data!$Q$152:$Q$864)</f>
        <v>0</v>
      </c>
      <c r="CS21" s="230">
        <f>SUMIF(Master_Data!$AK$4:$AK$145,CONCATENATE($C21,$CZ$3),Master_Data!$U$4:$U$145)+SUMIF(Master_Data!$AK$152:$AK$864,CONCATENATE($C21,$CZ$3),Master_Data!$U$152:$U$864)</f>
        <v>0</v>
      </c>
      <c r="CT21" s="230">
        <f ca="1">SUMIF(Master_Data!$AK$4:$AK$145,CONCATENATE(C21,$CZ$3),Master_Data!$S$4:$S$145)+SUMIF(Master_Data!$AK$152:$AK$915,CONCATENATE(C21,$CZ$3),Master_Data!$S$152:$S$864)</f>
        <v>0</v>
      </c>
      <c r="CU21" s="1010">
        <f>SUMIF(Master_Data!$AK$4:$AK$145,CONCATENATE(C21,$CZ$3),Master_Data!$T$4:$T$145)+SUMIF(Master_Data!$AK$152:$AK$864,CONCATENATE(C21,$CZ$3),Master_Data!$T$152:$T$864)</f>
        <v>0</v>
      </c>
      <c r="CV21" s="230">
        <f t="shared" si="32"/>
        <v>0</v>
      </c>
      <c r="CW21" s="230" t="e">
        <f t="shared" ca="1" si="33"/>
        <v>#VALUE!</v>
      </c>
      <c r="CX21" s="23"/>
      <c r="CY21" s="1007" t="str">
        <f t="shared" si="6"/>
        <v>HUTAN KETAPANG INDUSTRI, PTJUN</v>
      </c>
      <c r="CZ21" s="24"/>
      <c r="DA21" s="259"/>
      <c r="DB21" s="109">
        <f t="shared" si="34"/>
        <v>0</v>
      </c>
      <c r="DC21" s="109" t="e">
        <f t="shared" ca="1" si="35"/>
        <v>#VALUE!</v>
      </c>
      <c r="DD21" s="31"/>
      <c r="DE21" s="109">
        <f>SUMIF(Bill_Out!$Q$375:$Q$422,CONCATENATE($C21,$DQ$3),Bill_Out!$N$375:$N$422)</f>
        <v>0</v>
      </c>
      <c r="DF21" s="109" t="e">
        <f>SUMIF(Bill_Out!$Q$375:$Q$422,CONCATENATE($C21,$DQ$3),Bill_Out!$O$375:$O$422)</f>
        <v>#VALUE!</v>
      </c>
      <c r="DG21" s="50"/>
      <c r="DH21" s="310">
        <f>SUMIF(Master_Data!$AK$4:$AK$145,CONCATENATE($C21,$DQ$3),Master_Data!$R$4:$R$145)+SUMIF(Master_Data!$AK$152:$AK$864,CONCATENATE($C21,$DQ$3),Master_Data!$R$152:$R$864)</f>
        <v>0</v>
      </c>
      <c r="DI21" s="310">
        <f>SUMIF(Master_Data!$AK$4:$AK$145,CONCATENATE($C21,$DQ$3),Master_Data!$Q$4:$Q$145)+SUMIF(Master_Data!$AK$152:$AK$864,CONCATENATE($C21,$DQ$3),Master_Data!$Q$152:$Q$864)</f>
        <v>0</v>
      </c>
      <c r="DJ21" s="310">
        <f>SUMIF(Master_Data!$AK$4:$AK$145,CONCATENATE($C21,$DQ$3),Master_Data!$U$4:$U$145)+SUMIF(Master_Data!$AK$152:$AK$864,CONCATENATE($C21,$DQ$3),Master_Data!$U$152:$U$864)</f>
        <v>103579809</v>
      </c>
      <c r="DK21" s="310">
        <f>SUMIF(Master_Data!$AK$4:$AK$145,CONCATENATE($C21,$DQ$3),Master_Data!$S$4:$S$145)+SUMIF(Master_Data!$AK$152:$AK$864,CONCATENATE($C21,$DQ$3),Master_Data!$S$152:$S$864)</f>
        <v>0</v>
      </c>
      <c r="DL21" s="39">
        <f>SUMIF(Master_Data!$AK$152:$AK$915,CONCATENATE($C21,DQ$3),Master_Data!$T$152:$T$915)</f>
        <v>-1860000</v>
      </c>
      <c r="DM21" s="230">
        <f t="shared" si="67"/>
        <v>0</v>
      </c>
      <c r="DN21" s="230" t="e">
        <f t="shared" ca="1" si="68"/>
        <v>#VALUE!</v>
      </c>
      <c r="DO21" s="23"/>
      <c r="DP21" s="358" t="str">
        <f t="shared" si="9"/>
        <v>HUTAN KETAPANG INDUSTRI, PTJUL</v>
      </c>
      <c r="DQ21" s="24"/>
      <c r="DR21" s="390"/>
      <c r="DS21" s="109">
        <f t="shared" si="36"/>
        <v>0</v>
      </c>
      <c r="DT21" s="109" t="e">
        <f t="shared" ca="1" si="37"/>
        <v>#VALUE!</v>
      </c>
      <c r="DU21" s="31"/>
      <c r="DV21" s="109">
        <f>SUMIF(Bill_Out!$Q$426:$Q$472,CONCATENATE($C21,$EH$3),Bill_Out!$N$426:$N$472)</f>
        <v>0</v>
      </c>
      <c r="DW21" s="109" t="e">
        <f>SUMIF(Bill_Out!$Q$426:$Q$472,CONCATENATE($C21,$EH$3),Bill_Out!$O$426:$O$472)</f>
        <v>#VALUE!</v>
      </c>
      <c r="DX21" s="50"/>
      <c r="DY21" s="310">
        <f>SUMIF(Master_Data!$AK$4:$AK$145,CONCATENATE($C21,$EH$3),Master_Data!$R$4:$R$145)+SUMIF(Master_Data!$AK$152:$AK$864,CONCATENATE($C21,$EH$3),Master_Data!$R$152:$R$864)</f>
        <v>0</v>
      </c>
      <c r="DZ21" s="310">
        <f>SUMIF(Master_Data!$AK$4:$AK$145,CONCATENATE($C21,$EH$3),Master_Data!$Q$4:$Q$145)+SUMIF(Master_Data!$AK$152:$AK$864,CONCATENATE($C21,$EH$3),Master_Data!$Q$152:$Q$864)</f>
        <v>0</v>
      </c>
      <c r="EA21" s="310">
        <f>SUMIF(Master_Data!$AK$4:$AK$145,CONCATENATE($C21,$EH$3),Master_Data!$U$4:$U$145)+SUMIF(Master_Data!$AK$152:$AK$864,CONCATENATE($C21,$EH$3),Master_Data!$U$152:$U$864)</f>
        <v>95040000</v>
      </c>
      <c r="EB21" s="310">
        <f>SUMIF(Master_Data!$AK$4:$AK$145,CONCATENATE($C21,$EH$3),Master_Data!$S$4:$S$145)+SUMIF(Master_Data!$AK$152:$AK$864,CONCATENATE($C21,$EH$3),Master_Data!$S$152:$S$864)</f>
        <v>0</v>
      </c>
      <c r="EC21" s="39">
        <f>SUMIF(Master_Data!$AK$152:$AK$915,CONCATENATE($C21,EH$3),Master_Data!$T$152:$T$915)</f>
        <v>-1760000</v>
      </c>
      <c r="ED21" s="310">
        <f t="shared" si="38"/>
        <v>0</v>
      </c>
      <c r="EE21" s="230" t="e">
        <f t="shared" ca="1" si="39"/>
        <v>#VALUE!</v>
      </c>
      <c r="EF21" s="23"/>
      <c r="EG21" s="358" t="str">
        <f t="shared" si="10"/>
        <v>HUTAN KETAPANG INDUSTRI, PTAGS</v>
      </c>
      <c r="EH21" s="24"/>
      <c r="EI21" s="390"/>
      <c r="EJ21" s="109">
        <f t="shared" si="47"/>
        <v>0</v>
      </c>
      <c r="EK21" s="109" t="e">
        <f t="shared" ca="1" si="48"/>
        <v>#VALUE!</v>
      </c>
      <c r="EL21" s="84"/>
      <c r="EM21" s="109">
        <f>SUMIF(Bill_Out!$Q$476:$Q$530,CONCATENATE($C21,$EY$3),Bill_Out!$N$476:$N$530)</f>
        <v>0</v>
      </c>
      <c r="EN21" s="109" t="e">
        <f>SUMIF(Bill_Out!$Q$476:$Q$530,CONCATENATE($C21,$EY$3),Bill_Out!$O$476:$O$530)</f>
        <v>#VALUE!</v>
      </c>
      <c r="EO21" s="309"/>
      <c r="EP21" s="310">
        <f>SUMIF(Master_Data!$AK$4:$AK$145,CONCATENATE($C21,$EY$3),Master_Data!$R$4:$R$145)+SUMIF(Master_Data!$AK$152:$AK$864,CONCATENATE($C21,$EY$3),Master_Data!$R$152:$R$864)</f>
        <v>0</v>
      </c>
      <c r="EQ21" s="310">
        <f>SUMIF(Master_Data!$AK$4:$AK$145,CONCATENATE($C21,$EY$3),Master_Data!$Q$4:$Q$145)+SUMIF(Master_Data!$AK$152:$AK$864,CONCATENATE($C21,$EY$3),Master_Data!$Q$152:$Q$864)</f>
        <v>0</v>
      </c>
      <c r="ER21" s="310">
        <f>SUMIF(Master_Data!$AK$4:$AK$145,CONCATENATE($C21,$EY$3),Master_Data!$U$4:$U$145)+SUMIF(Master_Data!$AK$152:$AK$864,CONCATENATE($C21,$EY$3),Master_Data!$U$152:$U$864)</f>
        <v>0</v>
      </c>
      <c r="ES21" s="310">
        <f>SUMIF(Master_Data!$AK$4:$AK$145,CONCATENATE($C21,$EY$3),Master_Data!$S$4:$S$145)+SUMIF(Master_Data!$AK$152:$AK$864,CONCATENATE($C21,$EY$3),Master_Data!$S$152:$S$864)</f>
        <v>0</v>
      </c>
      <c r="ET21" s="39">
        <f>SUMIF(Master_Data!$AK$152:$AK$915,CONCATENATE($C21,EY$3),Master_Data!$T$152:$T$915)</f>
        <v>0</v>
      </c>
      <c r="EU21" s="310">
        <f t="shared" si="49"/>
        <v>0</v>
      </c>
      <c r="EV21" s="230"/>
      <c r="EW21" s="84"/>
      <c r="EX21" s="358" t="str">
        <f t="shared" si="11"/>
        <v>HUTAN KETAPANG INDUSTRI, PTSEP</v>
      </c>
      <c r="EY21" s="24"/>
      <c r="EZ21" s="412"/>
      <c r="FA21" s="109">
        <f t="shared" si="50"/>
        <v>0</v>
      </c>
      <c r="FB21" s="109">
        <f t="shared" si="51"/>
        <v>0</v>
      </c>
      <c r="FC21" s="421"/>
      <c r="FD21" s="109">
        <f>SUMIF(Bill_Out!$Q$534:$Q$606,CONCATENATE($C21,$FP$3),Bill_Out!$N$534:$N$606)</f>
        <v>0</v>
      </c>
      <c r="FE21" s="109" t="e">
        <f>SUMIF(Bill_Out!$Q$534:$Q$606,CONCATENATE($C21,$FP$3),Bill_Out!$O$534:$O$606)</f>
        <v>#VALUE!</v>
      </c>
      <c r="FF21" s="309"/>
      <c r="FG21" s="310">
        <f>SUMIF(Master_Data!$AK$4:$AK$145,CONCATENATE($C21,$FP$3),Master_Data!$R$4:$R$145)+SUMIF(Master_Data!$AK$152:$AK$864,CONCATENATE($C21,$FP$3),Master_Data!$R$152:$R$864)</f>
        <v>0</v>
      </c>
      <c r="FH21" s="310">
        <f>SUMIF(Master_Data!$AK$4:$AK$145,CONCATENATE($C21,$FP$3),Master_Data!$Q$4:$Q$145)+SUMIF(Master_Data!$AK$152:$AK$864,CONCATENATE($C21,$FP$3),Master_Data!$Q$152:$Q$864)</f>
        <v>0</v>
      </c>
      <c r="FI21" s="310">
        <f>SUMIF(Master_Data!$AK$4:$AK$145,CONCATENATE($C21,$FP$3),Master_Data!$U$4:$U$145)+SUMIF(Master_Data!$AK$152:$AK$864,CONCATENATE($C21,$FP$3),Master_Data!$U$152:$U$864)</f>
        <v>0</v>
      </c>
      <c r="FJ21" s="310">
        <f>SUMIF(Master_Data!$AK$4:$AK$145,CONCATENATE($C21,$FP$3),Master_Data!$S$4:$S$145)+SUMIF(Master_Data!$AK$152:$AK$864,CONCATENATE($C21,$FP$3),Master_Data!$S$152:$S$864)</f>
        <v>0</v>
      </c>
      <c r="FK21" s="39">
        <f>SUMIF(Master_Data!$AK$152:$AK$915,CONCATENATE($C21,FP$3),Master_Data!$T$152:$T$915)</f>
        <v>0</v>
      </c>
      <c r="FL21" s="310">
        <f t="shared" si="52"/>
        <v>0</v>
      </c>
      <c r="FM21" s="230" t="e">
        <f t="shared" si="53"/>
        <v>#VALUE!</v>
      </c>
      <c r="FN21" s="23"/>
      <c r="FO21" s="358" t="str">
        <f t="shared" si="72"/>
        <v>HUTAN KETAPANG INDUSTRI, PTOKT</v>
      </c>
      <c r="FP21" s="24"/>
      <c r="FQ21" s="412"/>
      <c r="FR21" s="109">
        <f t="shared" si="42"/>
        <v>0</v>
      </c>
      <c r="FS21" s="109" t="e">
        <f t="shared" si="74"/>
        <v>#VALUE!</v>
      </c>
      <c r="FT21" s="420"/>
      <c r="FU21" s="109">
        <f>SUMIF(Bill_Out!$Q$610:$Q$675,CONCATENATE($C21,$GG$3),Bill_Out!$N$610:$N$675)</f>
        <v>0</v>
      </c>
      <c r="FV21" s="109" t="e">
        <f>SUMIF(Bill_Out!$Q$610:$Q$675,CONCATENATE($C21,$GG$3),Bill_Out!$O$610:$O$675)</f>
        <v>#VALUE!</v>
      </c>
      <c r="FW21" s="50"/>
      <c r="FX21" s="512">
        <f>SUMIF(Master_Data!$AK$4:$AK$145,CONCATENATE($C21,$GG$3),Master_Data!$R$4:$R$145)+SUMIF(Master_Data!$AK$152:$AK$864,CONCATENATE($C21,$GG$3),Master_Data!$R$152:$R$864)</f>
        <v>0</v>
      </c>
      <c r="FY21" s="512">
        <f>SUMIF(Master_Data!$AK$4:$AK$145,CONCATENATE($C21,$GG$3),Master_Data!$Q$4:$Q$145)+SUMIF(Master_Data!$AK$152:$AK$864,CONCATENATE($C21,$GG$3),Master_Data!$Q$152:$Q$864)</f>
        <v>0</v>
      </c>
      <c r="FZ21" s="512">
        <f>SUMIF(Master_Data!$AK$4:$AK$145,CONCATENATE($C21,$GG$3),Master_Data!$U$4:$U$145)+SUMIF(Master_Data!$AK$152:$AK$864,CONCATENATE($C21,$GG$3),Master_Data!$U$152:$U$864)</f>
        <v>0</v>
      </c>
      <c r="GA21" s="310">
        <f>SUMIF(Master_Data!$AK$4:$AK$145,CONCATENATE($C21,$GG$3),Master_Data!$S$4:$S$145)+SUMIF(Master_Data!$AK$152:$AK$864,CONCATENATE($C21,$GG$3),Master_Data!$S$152:$S$864)</f>
        <v>0</v>
      </c>
      <c r="GB21" s="39">
        <f>SUMIF(Master_Data!$AK$152:$AK$915,CONCATENATE($C21,GG$3),Master_Data!$T$152:$T$915)</f>
        <v>0</v>
      </c>
      <c r="GC21" s="230">
        <f t="shared" si="55"/>
        <v>0</v>
      </c>
      <c r="GD21" s="230" t="e">
        <f t="shared" si="14"/>
        <v>#VALUE!</v>
      </c>
      <c r="GE21" s="23"/>
      <c r="GF21" s="358" t="str">
        <f t="shared" si="73"/>
        <v>HUTAN KETAPANG INDUSTRI, PTNOV</v>
      </c>
      <c r="GG21" s="24"/>
      <c r="GH21" s="412" t="s">
        <v>624</v>
      </c>
      <c r="GI21" s="109">
        <f t="shared" si="70"/>
        <v>0</v>
      </c>
      <c r="GJ21" s="109" t="e">
        <f t="shared" si="71"/>
        <v>#VALUE!</v>
      </c>
      <c r="GK21" s="423"/>
      <c r="GL21" s="109">
        <f>SUMIF(Bill_Out!$Q$679:$Q$756,CONCATENATE($C21,$GX$3),Bill_Out!$N$679:$N$756)</f>
        <v>0</v>
      </c>
      <c r="GM21" s="109" t="e">
        <f>SUMIF(Bill_Out!$Q$679:$Q$756,CONCATENATE($C21,$GX$3),Bill_Out!$O$679:$O$756)</f>
        <v>#VALUE!</v>
      </c>
      <c r="GN21" s="50"/>
      <c r="GO21" s="512">
        <f>SUMIF(Master_Data!$AK$4:$AK$145,CONCATENATE($C21,$GX$3),Master_Data!$R$4:$R$145)+SUMIF(Master_Data!$AK$152:$AK$864,CONCATENATE($C21,$GX$3),Master_Data!$R$152:$R$864)</f>
        <v>0</v>
      </c>
      <c r="GP21" s="512">
        <f>SUMIF(Master_Data!$AK$4:$AK$145,CONCATENATE($C21,$GX$3),Master_Data!$Q$4:$Q$145)+SUMIF(Master_Data!$AK$152:$AK$864,CONCATENATE($C21,$GX$3),Master_Data!$Q$152:$Q$864)</f>
        <v>0</v>
      </c>
      <c r="GQ21" s="512">
        <f>SUMIF(Master_Data!$AK$4:$AK$145,CONCATENATE($C21,$GX$3),Master_Data!$U$4:$U$145)+SUMIF(Master_Data!$AK$152:$AK$864,CONCATENATE($C21,$GX$3),Master_Data!$U$152:$U$864)</f>
        <v>0</v>
      </c>
      <c r="GR21" s="310">
        <f>SUMIF(Master_Data!$AK$4:$AK$145,CONCATENATE($C21,$GX$3),Master_Data!$S$4:$S$145)+SUMIF(Master_Data!$AK$152:$AK$864,CONCATENATE($C21,$GX$3),Master_Data!$S$152:$S$864)</f>
        <v>0</v>
      </c>
      <c r="GS21" s="39">
        <f>SUMIF(Master_Data!$AK$152:$AK$864,CONCATENATE($C21,GX$3),Master_Data!$T$152:$T$864)</f>
        <v>0</v>
      </c>
      <c r="GT21" s="534">
        <f t="shared" si="44"/>
        <v>0</v>
      </c>
      <c r="GU21" s="310" t="e">
        <f t="shared" si="16"/>
        <v>#VALUE!</v>
      </c>
      <c r="GV21" s="23"/>
      <c r="GW21" s="358" t="str">
        <f t="shared" si="69"/>
        <v>HUTAN KETAPANG INDUSTRI, PTDES</v>
      </c>
      <c r="GX21" s="24"/>
    </row>
    <row r="22" spans="1:206" s="19" customFormat="1">
      <c r="A22" s="21" t="s">
        <v>31</v>
      </c>
      <c r="B22" s="236" t="str">
        <f t="shared" si="18"/>
        <v>HUTCHISON 3 INDONESIA, PTJAN</v>
      </c>
      <c r="C22" s="22" t="s">
        <v>2405</v>
      </c>
      <c r="D22" s="52"/>
      <c r="E22" s="238"/>
      <c r="F22" s="109"/>
      <c r="G22" s="31"/>
      <c r="H22" s="109"/>
      <c r="I22" s="88"/>
      <c r="J22" s="50"/>
      <c r="K22" s="29"/>
      <c r="L22" s="44"/>
      <c r="M22" s="230"/>
      <c r="N22" s="310"/>
      <c r="O22" s="310"/>
      <c r="P22" s="230"/>
      <c r="Q22" s="230"/>
      <c r="R22" s="23"/>
      <c r="S22" s="24"/>
      <c r="T22" s="259"/>
      <c r="U22" s="109"/>
      <c r="V22" s="109"/>
      <c r="W22" s="54"/>
      <c r="X22" s="109"/>
      <c r="Y22" s="109"/>
      <c r="Z22" s="50"/>
      <c r="AA22" s="230"/>
      <c r="AB22" s="230"/>
      <c r="AC22" s="230"/>
      <c r="AD22" s="310"/>
      <c r="AE22" s="310"/>
      <c r="AF22" s="230"/>
      <c r="AG22" s="230"/>
      <c r="AH22" s="23"/>
      <c r="AI22" s="235" t="str">
        <f t="shared" si="3"/>
        <v>HUTCHISON 3 INDONESIA, PTFEB</v>
      </c>
      <c r="AJ22" s="24"/>
      <c r="AK22" s="259"/>
      <c r="AL22" s="109">
        <f>AF22</f>
        <v>0</v>
      </c>
      <c r="AM22" s="109">
        <f>AG22</f>
        <v>0</v>
      </c>
      <c r="AN22" s="31"/>
      <c r="AO22" s="109">
        <f>SUMIF(Bill_Out!$Q$134:$Q$188,CONCATENATE($C22,$BA$3),Bill_Out!$N$134:$N$188)</f>
        <v>0</v>
      </c>
      <c r="AP22" s="109">
        <f>SUMIF(Bill_Out!$Q$134:$Q$188,CONCATENATE($C22,$BA$3),Bill_Out!$O$134:$O$188)</f>
        <v>0</v>
      </c>
      <c r="AQ22" s="50"/>
      <c r="AR22" s="230">
        <f>SUMIF(Master_Data!$AK$4:$AK$145,CONCATENATE(C22,$BA$3),Master_Data!$R$4:$R$145)+SUMIF(Master_Data!$AK$152:$AK$864,CONCATENATE(C22,$BA$3),Master_Data!$R$152:$R$864)</f>
        <v>0</v>
      </c>
      <c r="AS22" s="230">
        <f>SUMIF(Master_Data!$AK$4:$AK$145,CONCATENATE(C22,$BA$3),Master_Data!$Q$4:$Q$145)+SUMIF(Master_Data!$AK$152:$AK$864,CONCATENATE(C22,$BA$3),Master_Data!$Q$152:$Q$864)</f>
        <v>0</v>
      </c>
      <c r="AT22" s="230">
        <f>SUMIF(Master_Data!$AK$4:$AK$145,CONCATENATE(C22,$BA$3),Master_Data!$U$4:$U$145)+SUMIF(Master_Data!$AK$152:$AK$864,CONCATENATE(C22,$BA$3),Master_Data!$U$152:$U$864)</f>
        <v>0</v>
      </c>
      <c r="AU22" s="230">
        <f ca="1">SUMIF(Master_Data!$AK$4:$AK$145,CONCATENATE(C22,$BA$3),Master_Data!$S$4:$S$145)+SUMIF(Master_Data!$AK$152:$AK$864,CONCATENATE(C22,$BA$3),Master_Data!$S$152:$S$850)</f>
        <v>0</v>
      </c>
      <c r="AV22" s="39">
        <f>SUMIF(Master_Data!$AK$152:$AK$864,CONCATENATE($C22,BA$3),Master_Data!$T$152:$T$864)</f>
        <v>0</v>
      </c>
      <c r="AW22" s="230">
        <f>AL22+AO22-AR22+AS22</f>
        <v>0</v>
      </c>
      <c r="AX22" s="230">
        <f ca="1">AM22+AP22-AT22+AU22+AV22</f>
        <v>0</v>
      </c>
      <c r="AY22" s="23"/>
      <c r="AZ22" s="235" t="str">
        <f t="shared" si="21"/>
        <v>HUTCHISON 3 INDONESIA, PTMAR</v>
      </c>
      <c r="BA22" s="24"/>
      <c r="BB22" s="259"/>
      <c r="BC22" s="109">
        <f>AW22</f>
        <v>0</v>
      </c>
      <c r="BD22" s="109">
        <f ca="1">AX22</f>
        <v>0</v>
      </c>
      <c r="BE22" s="31"/>
      <c r="BF22" s="109">
        <f>SUMIF(Bill_Out!$Q$192:$Q$258,CONCATENATE($C22,$BR$3),Bill_Out!$N$192:$N$258)</f>
        <v>0</v>
      </c>
      <c r="BG22" s="109" t="e">
        <f>SUMIF(Bill_Out!$Q$192:$Q$258,CONCATENATE($C22,$BR$3),Bill_Out!$O$192:$O$258)</f>
        <v>#VALUE!</v>
      </c>
      <c r="BH22" s="50"/>
      <c r="BI22" s="230">
        <f>SUMIF(Master_Data!$AK$4:$AK$145,CONCATENATE(C22,$BR$3),Master_Data!$R$4:$R$145)+SUMIF(Master_Data!$AK$152:$AK$864,CONCATENATE(C22,$BR$3),Master_Data!$R$152:$R$864)</f>
        <v>0</v>
      </c>
      <c r="BJ22" s="230">
        <f>SUMIF(Master_Data!$AK$4:$AK$145,CONCATENATE(C22,$BR$3),Master_Data!$Q$4:$Q$145)+SUMIF(Master_Data!$AK$152:$AK$864,CONCATENATE(C22,$BR$3),Master_Data!$Q$152:$Q$864)</f>
        <v>0</v>
      </c>
      <c r="BK22" s="230">
        <f>SUMIF(Master_Data!$AK$4:$AK$145,CONCATENATE(C22,$BR$3),Master_Data!$U$4:$U$145)+SUMIF(Master_Data!$AK$152:$AK$864,CONCATENATE(C22,$BR$3),Master_Data!$U$152:$U$864)</f>
        <v>0</v>
      </c>
      <c r="BL22" s="230">
        <f>SUMIF(Master_Data!$AK$4:$AK$145,CONCATENATE(C22,$BR$3),Master_Data!$S$4:$S$145)+SUMIF(Master_Data!$AK$152:$AK$864,CONCATENATE(C22,$BR$3),Master_Data!$S$152:$S$864)</f>
        <v>0</v>
      </c>
      <c r="BM22" s="39">
        <f>SUMIF(Master_Data!$AK$152:$AK$864,CONCATENATE($C22,BR$3),Master_Data!$T$152:$T$864)</f>
        <v>0</v>
      </c>
      <c r="BN22" s="230">
        <f t="shared" si="24"/>
        <v>0</v>
      </c>
      <c r="BO22" s="230" t="e">
        <f t="shared" ca="1" si="25"/>
        <v>#VALUE!</v>
      </c>
      <c r="BP22" s="23"/>
      <c r="BQ22" s="909" t="str">
        <f t="shared" si="26"/>
        <v>HUTCHISON 3 INDONESIA, PTAPR</v>
      </c>
      <c r="BR22" s="24"/>
      <c r="BS22" s="259"/>
      <c r="BT22" s="109">
        <f t="shared" si="59"/>
        <v>0</v>
      </c>
      <c r="BU22" s="109" t="e">
        <f t="shared" ca="1" si="60"/>
        <v>#VALUE!</v>
      </c>
      <c r="BV22" s="31"/>
      <c r="BW22" s="109">
        <f>SUMIF(Bill_Out!$Q$263:$Q$314,CONCATENATE($C22,$CI$3),Bill_Out!$N$263:$N$314)</f>
        <v>0</v>
      </c>
      <c r="BX22" s="109">
        <f>SUMIF(Bill_Out!$Q$263:$Q$314,CONCATENATE($C22,$CI$3),Bill_Out!$O$263:$O$314)</f>
        <v>0</v>
      </c>
      <c r="BY22" s="50"/>
      <c r="BZ22" s="310">
        <f>SUMIF(Master_Data!$AK$4:$AK$145,CONCATENATE(C22,$CI$3),Master_Data!$R$4:$R$145)+SUMIF(Master_Data!$AK$152:$AK$864,CONCATENATE(C22,$CI$3),Master_Data!$R$152:$R$864)</f>
        <v>0</v>
      </c>
      <c r="CA22" s="310">
        <f>SUMIF(Master_Data!$AK$4:$AK$145,CONCATENATE(C22,$CI$3),Master_Data!$Q$4:$Q$145)+SUMIF(Master_Data!$AK$152:$AK$864,CONCATENATE(C22,$CI$3),Master_Data!$Q$152:$Q$864)</f>
        <v>0</v>
      </c>
      <c r="CB22" s="310">
        <f>SUMIF(Master_Data!$AK$4:$AK$145,CONCATENATE(C22,$CI$3),Master_Data!$U$4:$U$145)+SUMIF(Master_Data!$AK$152:$AK$864,CONCATENATE(C22,$CI$3),Master_Data!$U$152:$U$864)</f>
        <v>85601880</v>
      </c>
      <c r="CC22" s="230">
        <f>SUMIF(Master_Data!$AK$4:$AK$145,CONCATENATE(C22,$CI$3),Master_Data!$S$4:$S$145)+SUMIF(Master_Data!$AK$152:$AK$864,CONCATENATE(C22,$CI$3),Master_Data!$S$152:$S$864)</f>
        <v>0</v>
      </c>
      <c r="CD22" s="39">
        <f>SUMIF(Master_Data!$AK$152:$AK$864,CONCATENATE($C22,CI$3),Master_Data!$T$152:$T$864)</f>
        <v>-1585220</v>
      </c>
      <c r="CE22" s="310">
        <f t="shared" si="27"/>
        <v>0</v>
      </c>
      <c r="CF22" s="230" t="e">
        <f t="shared" ca="1" si="28"/>
        <v>#VALUE!</v>
      </c>
      <c r="CG22" s="23"/>
      <c r="CH22" s="235" t="str">
        <f t="shared" si="29"/>
        <v>HUTCHISON 3 INDONESIA, PTMEI</v>
      </c>
      <c r="CI22" s="24"/>
      <c r="CJ22" s="259"/>
      <c r="CK22" s="109">
        <f t="shared" si="30"/>
        <v>0</v>
      </c>
      <c r="CL22" s="238" t="e">
        <f t="shared" ca="1" si="31"/>
        <v>#VALUE!</v>
      </c>
      <c r="CM22" s="31"/>
      <c r="CN22" s="238">
        <f>SUMIF(Bill_Out!$Q$318:$Q$371,CONCATENATE($C22,$CZ$3),Bill_Out!$N$318:$N$371)</f>
        <v>0</v>
      </c>
      <c r="CO22" s="238">
        <f>SUMIF(Bill_Out!$Q$318:$Q$371,CONCATENATE($C22,$CZ$3),Bill_Out!$O$318:$O$371)</f>
        <v>0</v>
      </c>
      <c r="CP22" s="50"/>
      <c r="CQ22" s="230">
        <f>SUMIF(Master_Data!$AK$4:$AK$145,CONCATENATE($C22,$CZ$3),Master_Data!$R$4:$R$145)+SUMIF(Master_Data!$AK$152:$AK$864,CONCATENATE($C22,$CZ$3),Master_Data!$R$152:$R$864)</f>
        <v>0</v>
      </c>
      <c r="CR22" s="230">
        <f>SUMIF(Master_Data!$AK$4:$AK$145,CONCATENATE($C22,$CZ$3),Master_Data!$Q$4:$Q$145)+SUMIF(Master_Data!$AK$152:$AK$864,CONCATENATE($C22,$CZ$3),Master_Data!$Q$152:$Q$864)</f>
        <v>0</v>
      </c>
      <c r="CS22" s="230">
        <f>SUMIF(Master_Data!$AK$4:$AK$145,CONCATENATE($C22,$CZ$3),Master_Data!$U$4:$U$145)+SUMIF(Master_Data!$AK$152:$AK$864,CONCATENATE($C22,$CZ$3),Master_Data!$U$152:$U$864)</f>
        <v>0</v>
      </c>
      <c r="CT22" s="230">
        <f ca="1">SUMIF(Master_Data!$AK$4:$AK$145,CONCATENATE(C22,$CZ$3),Master_Data!$S$4:$S$145)+SUMIF(Master_Data!$AK$152:$AK$915,CONCATENATE(C22,$CZ$3),Master_Data!$S$152:$S$864)</f>
        <v>0</v>
      </c>
      <c r="CU22" s="1010">
        <f>SUMIF(Master_Data!$AK$4:$AK$145,CONCATENATE(C22,$CZ$3),Master_Data!$T$4:$T$145)+SUMIF(Master_Data!$AK$152:$AK$864,CONCATENATE(C22,$CZ$3),Master_Data!$T$152:$T$864)</f>
        <v>0</v>
      </c>
      <c r="CV22" s="230">
        <f t="shared" si="32"/>
        <v>0</v>
      </c>
      <c r="CW22" s="230" t="e">
        <f t="shared" ca="1" si="33"/>
        <v>#VALUE!</v>
      </c>
      <c r="CX22" s="23"/>
      <c r="CY22" s="1007" t="str">
        <f t="shared" si="6"/>
        <v>HUTCHISON 3 INDONESIA, PTJUN</v>
      </c>
      <c r="CZ22" s="24"/>
      <c r="DA22" s="259"/>
      <c r="DB22" s="109">
        <f t="shared" si="34"/>
        <v>0</v>
      </c>
      <c r="DC22" s="109" t="e">
        <f t="shared" ca="1" si="35"/>
        <v>#VALUE!</v>
      </c>
      <c r="DD22" s="31"/>
      <c r="DE22" s="109">
        <f>SUMIF(Bill_Out!$Q$375:$Q$422,CONCATENATE($C22,$DQ$3),Bill_Out!$N$375:$N$422)</f>
        <v>0</v>
      </c>
      <c r="DF22" s="109">
        <f>SUMIF(Bill_Out!$Q$375:$Q$422,CONCATENATE($C22,$DQ$3),Bill_Out!$O$375:$O$422)</f>
        <v>0</v>
      </c>
      <c r="DG22" s="50"/>
      <c r="DH22" s="310">
        <f>SUMIF(Master_Data!$AK$4:$AK$145,CONCATENATE($C22,$DQ$3),Master_Data!$R$4:$R$145)+SUMIF(Master_Data!$AK$152:$AK$864,CONCATENATE($C22,$DQ$3),Master_Data!$R$152:$R$864)</f>
        <v>0</v>
      </c>
      <c r="DI22" s="310">
        <f>SUMIF(Master_Data!$AK$4:$AK$145,CONCATENATE($C22,$DQ$3),Master_Data!$Q$4:$Q$145)+SUMIF(Master_Data!$AK$152:$AK$864,CONCATENATE($C22,$DQ$3),Master_Data!$Q$152:$Q$864)</f>
        <v>0</v>
      </c>
      <c r="DJ22" s="310">
        <f>SUMIF(Master_Data!$AK$4:$AK$145,CONCATENATE($C22,$DQ$3),Master_Data!$U$4:$U$145)+SUMIF(Master_Data!$AK$152:$AK$864,CONCATENATE($C22,$DQ$3),Master_Data!$U$152:$U$864)</f>
        <v>0</v>
      </c>
      <c r="DK22" s="310">
        <f>SUMIF(Master_Data!$AK$4:$AK$145,CONCATENATE($C22,$DQ$3),Master_Data!$S$4:$S$145)+SUMIF(Master_Data!$AK$152:$AK$864,CONCATENATE($C22,$DQ$3),Master_Data!$S$152:$S$864)</f>
        <v>0</v>
      </c>
      <c r="DL22" s="39">
        <f>SUMIF(Master_Data!$AK$152:$AK$915,CONCATENATE($C22,DQ$3),Master_Data!$T$152:$T$915)</f>
        <v>0</v>
      </c>
      <c r="DM22" s="230">
        <f t="shared" si="67"/>
        <v>0</v>
      </c>
      <c r="DN22" s="230" t="e">
        <f t="shared" ca="1" si="68"/>
        <v>#VALUE!</v>
      </c>
      <c r="DO22" s="23"/>
      <c r="DP22" s="358" t="str">
        <f t="shared" si="9"/>
        <v>HUTCHISON 3 INDONESIA, PTJUL</v>
      </c>
      <c r="DQ22" s="24"/>
      <c r="DR22" s="390"/>
      <c r="DS22" s="109">
        <f t="shared" si="36"/>
        <v>0</v>
      </c>
      <c r="DT22" s="109" t="e">
        <f t="shared" ca="1" si="37"/>
        <v>#VALUE!</v>
      </c>
      <c r="DU22" s="31"/>
      <c r="DV22" s="109">
        <f>SUMIF(Bill_Out!$Q$426:$Q$472,CONCATENATE($C22,$EH$3),Bill_Out!$N$426:$N$472)</f>
        <v>0</v>
      </c>
      <c r="DW22" s="109">
        <f>SUMIF(Bill_Out!$Q$426:$Q$472,CONCATENATE($C22,$EH$3),Bill_Out!$O$426:$O$472)</f>
        <v>0</v>
      </c>
      <c r="DX22" s="50"/>
      <c r="DY22" s="310">
        <f>SUMIF(Master_Data!$AK$4:$AK$145,CONCATENATE($C22,$EH$3),Master_Data!$R$4:$R$145)+SUMIF(Master_Data!$AK$152:$AK$864,CONCATENATE($C22,$EH$3),Master_Data!$R$152:$R$864)</f>
        <v>0</v>
      </c>
      <c r="DZ22" s="310">
        <f>SUMIF(Master_Data!$AK$4:$AK$145,CONCATENATE($C22,$EH$3),Master_Data!$Q$4:$Q$145)+SUMIF(Master_Data!$AK$152:$AK$864,CONCATENATE($C22,$EH$3),Master_Data!$Q$152:$Q$864)</f>
        <v>0</v>
      </c>
      <c r="EA22" s="310">
        <f>SUMIF(Master_Data!$AK$4:$AK$145,CONCATENATE($C22,$EH$3),Master_Data!$U$4:$U$145)+SUMIF(Master_Data!$AK$152:$AK$864,CONCATENATE($C22,$EH$3),Master_Data!$U$152:$U$864)</f>
        <v>0</v>
      </c>
      <c r="EB22" s="310">
        <f>SUMIF(Master_Data!$AK$4:$AK$145,CONCATENATE($C22,$EH$3),Master_Data!$S$4:$S$145)+SUMIF(Master_Data!$AK$152:$AK$864,CONCATENATE($C22,$EH$3),Master_Data!$S$152:$S$864)</f>
        <v>0</v>
      </c>
      <c r="EC22" s="39">
        <f>SUMIF(Master_Data!$AK$152:$AK$915,CONCATENATE($C22,EH$3),Master_Data!$T$152:$T$915)</f>
        <v>0</v>
      </c>
      <c r="ED22" s="310">
        <f t="shared" si="38"/>
        <v>0</v>
      </c>
      <c r="EE22" s="230" t="e">
        <f t="shared" ca="1" si="39"/>
        <v>#VALUE!</v>
      </c>
      <c r="EF22" s="23"/>
      <c r="EG22" s="358" t="str">
        <f t="shared" si="10"/>
        <v>HUTCHISON 3 INDONESIA, PTAGS</v>
      </c>
      <c r="EH22" s="24"/>
      <c r="EI22" s="390"/>
      <c r="EJ22" s="109">
        <f t="shared" si="47"/>
        <v>0</v>
      </c>
      <c r="EK22" s="109" t="e">
        <f t="shared" ca="1" si="48"/>
        <v>#VALUE!</v>
      </c>
      <c r="EL22" s="84"/>
      <c r="EM22" s="109">
        <f>SUMIF(Bill_Out!$Q$476:$Q$530,CONCATENATE($C22,$EY$3),Bill_Out!$N$476:$N$530)</f>
        <v>0</v>
      </c>
      <c r="EN22" s="109">
        <f>SUMIF(Bill_Out!$Q$476:$Q$530,CONCATENATE($C22,$EY$3),Bill_Out!$O$476:$O$530)</f>
        <v>0</v>
      </c>
      <c r="EO22" s="309"/>
      <c r="EP22" s="310">
        <f>SUMIF(Master_Data!$AK$4:$AK$145,CONCATENATE($C22,$EY$3),Master_Data!$R$4:$R$145)+SUMIF(Master_Data!$AK$152:$AK$864,CONCATENATE($C22,$EY$3),Master_Data!$R$152:$R$864)</f>
        <v>0</v>
      </c>
      <c r="EQ22" s="310">
        <f>SUMIF(Master_Data!$AK$4:$AK$145,CONCATENATE($C22,$EY$3),Master_Data!$Q$4:$Q$145)+SUMIF(Master_Data!$AK$152:$AK$864,CONCATENATE($C22,$EY$3),Master_Data!$Q$152:$Q$864)</f>
        <v>0</v>
      </c>
      <c r="ER22" s="310">
        <f>SUMIF(Master_Data!$AK$4:$AK$145,CONCATENATE($C22,$EY$3),Master_Data!$U$4:$U$145)+SUMIF(Master_Data!$AK$152:$AK$864,CONCATENATE($C22,$EY$3),Master_Data!$U$152:$U$864)</f>
        <v>0</v>
      </c>
      <c r="ES22" s="310">
        <f>SUMIF(Master_Data!$AK$4:$AK$145,CONCATENATE($C22,$EY$3),Master_Data!$S$4:$S$145)+SUMIF(Master_Data!$AK$152:$AK$864,CONCATENATE($C22,$EY$3),Master_Data!$S$152:$S$864)</f>
        <v>0</v>
      </c>
      <c r="ET22" s="39">
        <f>SUMIF(Master_Data!$AK$152:$AK$915,CONCATENATE($C22,EY$3),Master_Data!$T$152:$T$915)</f>
        <v>0</v>
      </c>
      <c r="EU22" s="310">
        <f t="shared" si="49"/>
        <v>0</v>
      </c>
      <c r="EV22" s="230"/>
      <c r="EW22" s="84"/>
      <c r="EX22" s="358" t="str">
        <f t="shared" si="11"/>
        <v>HUTCHISON 3 INDONESIA, PTSEP</v>
      </c>
      <c r="EY22" s="24"/>
      <c r="EZ22" s="412"/>
      <c r="FA22" s="109">
        <f t="shared" si="50"/>
        <v>0</v>
      </c>
      <c r="FB22" s="109">
        <f t="shared" si="51"/>
        <v>0</v>
      </c>
      <c r="FC22" s="421"/>
      <c r="FD22" s="109">
        <f>SUMIF(Bill_Out!$Q$534:$Q$606,CONCATENATE($C22,$FP$3),Bill_Out!$N$534:$N$606)</f>
        <v>0</v>
      </c>
      <c r="FE22" s="109">
        <f>SUMIF(Bill_Out!$Q$534:$Q$606,CONCATENATE($C22,$FP$3),Bill_Out!$O$534:$O$606)</f>
        <v>0</v>
      </c>
      <c r="FF22" s="309"/>
      <c r="FG22" s="310">
        <f>SUMIF(Master_Data!$AK$4:$AK$145,CONCATENATE($C22,$FP$3),Master_Data!$R$4:$R$145)+SUMIF(Master_Data!$AK$152:$AK$864,CONCATENATE($C22,$FP$3),Master_Data!$R$152:$R$864)</f>
        <v>0</v>
      </c>
      <c r="FH22" s="310">
        <f>SUMIF(Master_Data!$AK$4:$AK$145,CONCATENATE($C22,$FP$3),Master_Data!$Q$4:$Q$145)+SUMIF(Master_Data!$AK$152:$AK$864,CONCATENATE($C22,$FP$3),Master_Data!$Q$152:$Q$864)</f>
        <v>0</v>
      </c>
      <c r="FI22" s="310">
        <f>SUMIF(Master_Data!$AK$4:$AK$145,CONCATENATE($C22,$FP$3),Master_Data!$U$4:$U$145)+SUMIF(Master_Data!$AK$152:$AK$864,CONCATENATE($C22,$FP$3),Master_Data!$U$152:$U$864)</f>
        <v>0</v>
      </c>
      <c r="FJ22" s="310">
        <f>SUMIF(Master_Data!$AK$4:$AK$145,CONCATENATE($C22,$FP$3),Master_Data!$S$4:$S$145)+SUMIF(Master_Data!$AK$152:$AK$864,CONCATENATE($C22,$FP$3),Master_Data!$S$152:$S$864)</f>
        <v>0</v>
      </c>
      <c r="FK22" s="39">
        <f>SUMIF(Master_Data!$AK$152:$AK$915,CONCATENATE($C22,FP$3),Master_Data!$T$152:$T$915)</f>
        <v>0</v>
      </c>
      <c r="FL22" s="310">
        <f t="shared" si="52"/>
        <v>0</v>
      </c>
      <c r="FM22" s="230">
        <f t="shared" si="53"/>
        <v>0</v>
      </c>
      <c r="FN22" s="23"/>
      <c r="FO22" s="358" t="str">
        <f t="shared" si="72"/>
        <v>HUTCHISON 3 INDONESIA, PTOKT</v>
      </c>
      <c r="FP22" s="24"/>
      <c r="FQ22" s="412"/>
      <c r="FR22" s="109"/>
      <c r="FS22" s="109"/>
      <c r="FT22" s="420"/>
      <c r="FU22" s="109"/>
      <c r="FV22" s="109"/>
      <c r="FW22" s="50"/>
      <c r="FX22" s="512"/>
      <c r="FY22" s="512"/>
      <c r="FZ22" s="512"/>
      <c r="GA22" s="310"/>
      <c r="GB22" s="39"/>
      <c r="GC22" s="230"/>
      <c r="GD22" s="230"/>
      <c r="GE22" s="23"/>
      <c r="GF22" s="358" t="str">
        <f t="shared" si="73"/>
        <v>HUTCHISON 3 INDONESIA, PTNOV</v>
      </c>
      <c r="GG22" s="24"/>
      <c r="GH22" s="412"/>
      <c r="GI22" s="109"/>
      <c r="GJ22" s="109"/>
      <c r="GK22" s="423"/>
      <c r="GL22" s="109"/>
      <c r="GM22" s="109"/>
      <c r="GN22" s="50"/>
      <c r="GO22" s="512"/>
      <c r="GP22" s="512"/>
      <c r="GQ22" s="512"/>
      <c r="GR22" s="310"/>
      <c r="GS22" s="39"/>
      <c r="GT22" s="534"/>
      <c r="GU22" s="310"/>
      <c r="GV22" s="23"/>
      <c r="GW22" s="358" t="str">
        <f t="shared" si="69"/>
        <v>HUTCHISON 3 INDONESIA, PTDES</v>
      </c>
      <c r="GX22" s="24"/>
    </row>
    <row r="23" spans="1:206" s="19" customFormat="1">
      <c r="A23" s="328" t="s">
        <v>105</v>
      </c>
      <c r="B23" s="236" t="str">
        <f t="shared" si="18"/>
        <v>INTICOM SENTRALINDO, PTJAN</v>
      </c>
      <c r="C23" s="8" t="s">
        <v>131</v>
      </c>
      <c r="D23" s="52"/>
      <c r="E23" s="238">
        <f>SUMIF(Master_Data!$D17:$D$145,CONCATENATE(C23),Master_Data!M17:M210)</f>
        <v>0</v>
      </c>
      <c r="F23" s="109">
        <f>SUMIF(Master_Data!$D21:$D$145,CONCATENATE(C23),Master_Data!N21:N194)</f>
        <v>1890240000</v>
      </c>
      <c r="G23" s="31"/>
      <c r="H23" s="109">
        <f>SUMIF(Bill_Out!$Q$3:$Q$65,CONCATENATE($C23,$S$3),Bill_Out!$N$3:$N$65)</f>
        <v>0</v>
      </c>
      <c r="I23" s="88">
        <f>SUMIF(Bill_Out!$Q$3:$Q$65,CONCATENATE($C23,$S$3),Bill_Out!$O$3:$O$65)</f>
        <v>0</v>
      </c>
      <c r="J23" s="50"/>
      <c r="K23" s="29"/>
      <c r="L23" s="44"/>
      <c r="M23" s="230">
        <f>SUMIF(Master_Data!$AK20:$AK$145,CONCATENATE(C23,$S$3),Master_Data!U20:U211)+SUMIF(Master_Data!$AK225:$AK$864,CONCATENATE(C23,$S$3),Master_Data!U225:U925)</f>
        <v>0</v>
      </c>
      <c r="N23" s="310">
        <f>SUMIF(Master_Data!$AK$4:$AK$145,CONCATENATE(C23,$S$3),Master_Data!$S$4:$S$145)+SUMIF(Master_Data!$AK$150:$AK$864,CONCATENATE(C23,$S$3),Master_Data!$S$150:$S$864)</f>
        <v>0</v>
      </c>
      <c r="O23" s="310">
        <f>SUMIF(Master_Data!$AK$4:$AK$145,CONCATENATE(C23,$S$3),Master_Data!$T$4:$T$145)+SUMIF(Master_Data!$AK$150:$AK$864,CONCATENATE(C23,$S$3),Master_Data!$T$150:$T$864)</f>
        <v>0</v>
      </c>
      <c r="P23" s="230">
        <f t="shared" si="19"/>
        <v>0</v>
      </c>
      <c r="Q23" s="230">
        <f t="shared" si="20"/>
        <v>1890240000</v>
      </c>
      <c r="R23" s="23"/>
      <c r="S23" s="24"/>
      <c r="T23" s="259"/>
      <c r="U23" s="109">
        <f t="shared" si="75"/>
        <v>0</v>
      </c>
      <c r="V23" s="109">
        <f t="shared" si="76"/>
        <v>1890240000</v>
      </c>
      <c r="W23" s="54"/>
      <c r="X23" s="109">
        <f>SUMIF(Bill_Out!$Q$67:$Q$132,CONCATENATE($C23,$AJ$3),Bill_Out!$N$67:$N$132)</f>
        <v>0</v>
      </c>
      <c r="Y23" s="109">
        <f>SUMIF(Bill_Out!$Q$67:$Q$132,CONCATENATE($C23,$AJ$3),Bill_Out!$O$67:$O$132)</f>
        <v>0</v>
      </c>
      <c r="Z23" s="50"/>
      <c r="AA23" s="230">
        <f>SUMIF(Master_Data!$AK$4:$AK$145,CONCATENATE(C23,$AJ$3),Master_Data!$R$4:$R$145)+SUMIF(Master_Data!$AK$152:$AK$850,CONCATENATE(C23,$AJ$3),Master_Data!$R$152:$R$850)</f>
        <v>0</v>
      </c>
      <c r="AB23" s="230">
        <f>SUMIF(Master_Data!$AK$4:$AK$145,CONCATENATE(C23,$AJ$3),Master_Data!$Q$4:$Q$145)+SUMIF(Master_Data!$AK$152:$AK$850,CONCATENATE(C23,$AJ$3),Master_Data!$Q$152:$Q$850)</f>
        <v>0</v>
      </c>
      <c r="AC23" s="230">
        <f>SUMIF(Master_Data!$AK$4:$AK$145,CONCATENATE(C23,$AJ$3),Master_Data!$U$4:$U$145)+SUMIF(Master_Data!$AK$152:$AK$850,CONCATENATE(C23,$AJ$3),Master_Data!$U$152:$U$850)</f>
        <v>0</v>
      </c>
      <c r="AD23" s="310">
        <f ca="1">SUMIF(Master_Data!$AK$4:$AK$145,CONCATENATE(C23,$AJ$3),Master_Data!$S$4:$S$145)+SUMIF(Master_Data!$AK$152:$AK$864,CONCATENATE(C23,$AJ$3),Master_Data!$S$152:$S$850)</f>
        <v>0</v>
      </c>
      <c r="AE23" s="310">
        <f>SUMIF(Master_Data!$AK$4:$AK$145,CONCATENATE(C23,$AJ$3),Master_Data!$T$4:$T$145)+SUMIF(Master_Data!$AK$152:$AK$864,CONCATENATE(C23,$AJ$3),Master_Data!$T$152:$T$864)</f>
        <v>0</v>
      </c>
      <c r="AF23" s="230">
        <f t="shared" si="63"/>
        <v>0</v>
      </c>
      <c r="AG23" s="230">
        <f t="shared" ca="1" si="64"/>
        <v>1890240000</v>
      </c>
      <c r="AH23" s="23"/>
      <c r="AI23" s="235" t="str">
        <f t="shared" si="3"/>
        <v>INTICOM SENTRALINDO, PTFEB</v>
      </c>
      <c r="AJ23" s="24"/>
      <c r="AK23" s="259"/>
      <c r="AL23" s="109">
        <f t="shared" si="65"/>
        <v>0</v>
      </c>
      <c r="AM23" s="109">
        <f t="shared" ca="1" si="66"/>
        <v>1890240000</v>
      </c>
      <c r="AN23" s="31"/>
      <c r="AO23" s="109">
        <f>SUMIF(Bill_Out!$Q$134:$Q$188,CONCATENATE($C23,$BA$3),Bill_Out!$N$134:$N$188)</f>
        <v>0</v>
      </c>
      <c r="AP23" s="109">
        <f>SUMIF(Bill_Out!$Q$134:$Q$188,CONCATENATE($C23,$BA$3),Bill_Out!$O$134:$O$188)</f>
        <v>0</v>
      </c>
      <c r="AQ23" s="50"/>
      <c r="AR23" s="230">
        <f>SUMIF(Master_Data!$AK$4:$AK$145,CONCATENATE(C23,$BA$3),Master_Data!$R$4:$R$145)+SUMIF(Master_Data!$AK$152:$AK$864,CONCATENATE(C23,$BA$3),Master_Data!$R$152:$R$864)</f>
        <v>0</v>
      </c>
      <c r="AS23" s="230">
        <f>SUMIF(Master_Data!$AK$4:$AK$145,CONCATENATE(C23,$BA$3),Master_Data!$Q$4:$Q$145)+SUMIF(Master_Data!$AK$152:$AK$864,CONCATENATE(C23,$BA$3),Master_Data!$Q$152:$Q$864)</f>
        <v>0</v>
      </c>
      <c r="AT23" s="230">
        <f>SUMIF(Master_Data!$AK$4:$AK$145,CONCATENATE(C23,$BA$3),Master_Data!$U$4:$U$145)+SUMIF(Master_Data!$AK$152:$AK$864,CONCATENATE(C23,$BA$3),Master_Data!$U$152:$U$864)</f>
        <v>0</v>
      </c>
      <c r="AU23" s="230">
        <f ca="1">SUMIF(Master_Data!$AK$4:$AK$145,CONCATENATE(C23,$BA$3),Master_Data!$S$4:$S$145)+SUMIF(Master_Data!$AK$152:$AK$864,CONCATENATE(C23,$BA$3),Master_Data!$S$152:$S$850)</f>
        <v>0</v>
      </c>
      <c r="AV23" s="39">
        <f>SUMIF(Master_Data!$AK$152:$AK$864,CONCATENATE($C23,BA$3),Master_Data!$T$152:$T$864)</f>
        <v>0</v>
      </c>
      <c r="AW23" s="230">
        <f t="shared" si="57"/>
        <v>0</v>
      </c>
      <c r="AX23" s="230">
        <f t="shared" ca="1" si="58"/>
        <v>1890240000</v>
      </c>
      <c r="AY23" s="23"/>
      <c r="AZ23" s="235" t="str">
        <f t="shared" si="21"/>
        <v>INTICOM SENTRALINDO, PTMAR</v>
      </c>
      <c r="BA23" s="24"/>
      <c r="BB23" s="259"/>
      <c r="BC23" s="109">
        <f t="shared" si="22"/>
        <v>0</v>
      </c>
      <c r="BD23" s="109">
        <f t="shared" ca="1" si="23"/>
        <v>1890240000</v>
      </c>
      <c r="BE23" s="31"/>
      <c r="BF23" s="109">
        <f>SUMIF(Bill_Out!$Q$192:$Q$258,CONCATENATE($C23,$BR$3),Bill_Out!$N$192:$N$258)</f>
        <v>0</v>
      </c>
      <c r="BG23" s="109">
        <f>SUMIF(Bill_Out!$Q$192:$Q$258,CONCATENATE($C23,$BR$3),Bill_Out!$O$192:$O$258)</f>
        <v>0</v>
      </c>
      <c r="BH23" s="50"/>
      <c r="BI23" s="230">
        <f>SUMIF(Master_Data!$AK$4:$AK$145,CONCATENATE(C23,$BR$3),Master_Data!$R$4:$R$145)+SUMIF(Master_Data!$AK$152:$AK$864,CONCATENATE(C23,$BR$3),Master_Data!$R$152:$R$864)</f>
        <v>0</v>
      </c>
      <c r="BJ23" s="230">
        <f>SUMIF(Master_Data!$AK$4:$AK$145,CONCATENATE(C23,$BR$3),Master_Data!$Q$4:$Q$145)+SUMIF(Master_Data!$AK$152:$AK$864,CONCATENATE(C23,$BR$3),Master_Data!$Q$152:$Q$864)</f>
        <v>0</v>
      </c>
      <c r="BK23" s="230">
        <f>SUMIF(Master_Data!$AK$4:$AK$145,CONCATENATE(C23,$BR$3),Master_Data!$U$4:$U$145)+SUMIF(Master_Data!$AK$152:$AK$864,CONCATENATE(C23,$BR$3),Master_Data!$U$152:$U$864)</f>
        <v>0</v>
      </c>
      <c r="BL23" s="230">
        <f>SUMIF(Master_Data!$AK$4:$AK$145,CONCATENATE(C23,$BR$3),Master_Data!$S$4:$S$145)+SUMIF(Master_Data!$AK$152:$AK$864,CONCATENATE(C23,$BR$3),Master_Data!$S$152:$S$864)</f>
        <v>0</v>
      </c>
      <c r="BM23" s="39">
        <f>SUMIF(Master_Data!$AK$152:$AK$864,CONCATENATE($C23,BR$3),Master_Data!$T$152:$T$864)</f>
        <v>0</v>
      </c>
      <c r="BN23" s="230">
        <f t="shared" si="24"/>
        <v>0</v>
      </c>
      <c r="BO23" s="230">
        <f t="shared" ca="1" si="25"/>
        <v>1890240000</v>
      </c>
      <c r="BP23" s="23"/>
      <c r="BQ23" s="909" t="str">
        <f t="shared" si="26"/>
        <v>INTICOM SENTRALINDO, PTAPR</v>
      </c>
      <c r="BR23" s="24"/>
      <c r="BS23" s="259"/>
      <c r="BT23" s="109">
        <f t="shared" si="59"/>
        <v>0</v>
      </c>
      <c r="BU23" s="109">
        <f t="shared" ca="1" si="60"/>
        <v>1890240000</v>
      </c>
      <c r="BV23" s="31"/>
      <c r="BW23" s="109">
        <f>SUMIF(Bill_Out!$Q$263:$Q$314,CONCATENATE($C23,$CI$3),Bill_Out!$N$263:$N$314)</f>
        <v>0</v>
      </c>
      <c r="BX23" s="109">
        <f>SUMIF(Bill_Out!$Q$263:$Q$314,CONCATENATE($C23,$CI$3),Bill_Out!$O$263:$O$314)</f>
        <v>0</v>
      </c>
      <c r="BY23" s="50"/>
      <c r="BZ23" s="310">
        <f>SUMIF(Master_Data!$AK$4:$AK$145,CONCATENATE(C23,$CI$3),Master_Data!$R$4:$R$145)+SUMIF(Master_Data!$AK$152:$AK$864,CONCATENATE(C23,$CI$3),Master_Data!$R$152:$R$864)</f>
        <v>0</v>
      </c>
      <c r="CA23" s="310">
        <f>SUMIF(Master_Data!$AK$4:$AK$145,CONCATENATE(C23,$CI$3),Master_Data!$Q$4:$Q$145)+SUMIF(Master_Data!$AK$152:$AK$864,CONCATENATE(C23,$CI$3),Master_Data!$Q$152:$Q$864)</f>
        <v>0</v>
      </c>
      <c r="CB23" s="310">
        <f>SUMIF(Master_Data!$AK$4:$AK$145,CONCATENATE(C23,$CI$3),Master_Data!$U$4:$U$145)+SUMIF(Master_Data!$AK$152:$AK$864,CONCATENATE(C23,$CI$3),Master_Data!$U$152:$U$864)</f>
        <v>0</v>
      </c>
      <c r="CC23" s="230">
        <f>SUMIF(Master_Data!$AK$4:$AK$145,CONCATENATE(C23,$CI$3),Master_Data!$S$4:$S$145)+SUMIF(Master_Data!$AK$152:$AK$864,CONCATENATE(C23,$CI$3),Master_Data!$S$152:$S$864)</f>
        <v>0</v>
      </c>
      <c r="CD23" s="39">
        <f>SUMIF(Master_Data!$AK$152:$AK$864,CONCATENATE($C23,CI$3),Master_Data!$T$152:$T$864)</f>
        <v>0</v>
      </c>
      <c r="CE23" s="310">
        <f t="shared" si="27"/>
        <v>0</v>
      </c>
      <c r="CF23" s="230">
        <f t="shared" ca="1" si="28"/>
        <v>1890240000</v>
      </c>
      <c r="CG23" s="23"/>
      <c r="CH23" s="235" t="str">
        <f t="shared" si="29"/>
        <v>INTICOM SENTRALINDO, PTMEI</v>
      </c>
      <c r="CI23" s="24"/>
      <c r="CJ23" s="259"/>
      <c r="CK23" s="109">
        <f t="shared" si="30"/>
        <v>0</v>
      </c>
      <c r="CL23" s="238">
        <f t="shared" ca="1" si="31"/>
        <v>1890240000</v>
      </c>
      <c r="CM23" s="31"/>
      <c r="CN23" s="238">
        <f>SUMIF(Bill_Out!$Q$318:$Q$371,CONCATENATE($C23,$CZ$3),Bill_Out!$N$318:$N$371)</f>
        <v>0</v>
      </c>
      <c r="CO23" s="238">
        <f>SUMIF(Bill_Out!$Q$318:$Q$371,CONCATENATE($C23,$CZ$3),Bill_Out!$O$318:$O$371)</f>
        <v>0</v>
      </c>
      <c r="CP23" s="50"/>
      <c r="CQ23" s="230">
        <f>SUMIF(Master_Data!$AK$4:$AK$145,CONCATENATE($C23,$CZ$3),Master_Data!$R$4:$R$145)+SUMIF(Master_Data!$AK$152:$AK$864,CONCATENATE($C23,$CZ$3),Master_Data!$R$152:$R$864)</f>
        <v>0</v>
      </c>
      <c r="CR23" s="230">
        <f>SUMIF(Master_Data!$AK$4:$AK$145,CONCATENATE($C23,$CZ$3),Master_Data!$Q$4:$Q$145)+SUMIF(Master_Data!$AK$152:$AK$864,CONCATENATE($C23,$CZ$3),Master_Data!$Q$152:$Q$864)</f>
        <v>0</v>
      </c>
      <c r="CS23" s="230">
        <f>SUMIF(Master_Data!$AK$4:$AK$145,CONCATENATE($C23,$CZ$3),Master_Data!$U$4:$U$145)+SUMIF(Master_Data!$AK$152:$AK$864,CONCATENATE($C23,$CZ$3),Master_Data!$U$152:$U$864)</f>
        <v>2574692390</v>
      </c>
      <c r="CT23" s="230">
        <f ca="1">SUMIF(Master_Data!$AK$4:$AK$145,CONCATENATE(C23,$CZ$3),Master_Data!$S$4:$S$145)+SUMIF(Master_Data!$AK$152:$AK$915,CONCATENATE(C23,$CZ$3),Master_Data!$S$152:$S$864)</f>
        <v>0</v>
      </c>
      <c r="CU23" s="1010">
        <f>SUMIF(Master_Data!$AK$4:$AK$145,CONCATENATE(C23,$CZ$3),Master_Data!$T$4:$T$145)+SUMIF(Master_Data!$AK$152:$AK$864,CONCATENATE(C23,$CZ$3),Master_Data!$T$152:$T$864)</f>
        <v>-34368000</v>
      </c>
      <c r="CV23" s="230">
        <f t="shared" si="32"/>
        <v>0</v>
      </c>
      <c r="CW23" s="230">
        <f t="shared" ca="1" si="33"/>
        <v>-718820390</v>
      </c>
      <c r="CX23" s="23"/>
      <c r="CY23" s="1007" t="str">
        <f t="shared" si="6"/>
        <v>INTICOM SENTRALINDO, PTJUN</v>
      </c>
      <c r="CZ23" s="24"/>
      <c r="DA23" s="259"/>
      <c r="DB23" s="109">
        <f t="shared" si="34"/>
        <v>0</v>
      </c>
      <c r="DC23" s="109">
        <f t="shared" ca="1" si="35"/>
        <v>-718820390</v>
      </c>
      <c r="DD23" s="31"/>
      <c r="DE23" s="109">
        <f>SUMIF(Bill_Out!$Q$375:$Q$422,CONCATENATE($C23,$DQ$3),Bill_Out!$N$375:$N$422)</f>
        <v>0</v>
      </c>
      <c r="DF23" s="109">
        <f>SUMIF(Bill_Out!$Q$375:$Q$422,CONCATENATE($C23,$DQ$3),Bill_Out!$O$375:$O$422)</f>
        <v>0</v>
      </c>
      <c r="DG23" s="50"/>
      <c r="DH23" s="310">
        <f>SUMIF(Master_Data!$AK$4:$AK$145,CONCATENATE($C23,$DQ$3),Master_Data!$R$4:$R$145)+SUMIF(Master_Data!$AK$152:$AK$864,CONCATENATE($C23,$DQ$3),Master_Data!$R$152:$R$864)</f>
        <v>0</v>
      </c>
      <c r="DI23" s="310">
        <f>SUMIF(Master_Data!$AK$4:$AK$145,CONCATENATE($C23,$DQ$3),Master_Data!$Q$4:$Q$145)+SUMIF(Master_Data!$AK$152:$AK$864,CONCATENATE($C23,$DQ$3),Master_Data!$Q$152:$Q$864)</f>
        <v>0</v>
      </c>
      <c r="DJ23" s="310">
        <f>SUMIF(Master_Data!$AK$4:$AK$145,CONCATENATE($C23,$DQ$3),Master_Data!$U$4:$U$145)+SUMIF(Master_Data!$AK$152:$AK$864,CONCATENATE($C23,$DQ$3),Master_Data!$U$152:$U$864)</f>
        <v>0</v>
      </c>
      <c r="DK23" s="310">
        <f>SUMIF(Master_Data!$AK$4:$AK$145,CONCATENATE($C23,$DQ$3),Master_Data!$S$4:$S$145)+SUMIF(Master_Data!$AK$152:$AK$864,CONCATENATE($C23,$DQ$3),Master_Data!$S$152:$S$864)</f>
        <v>0</v>
      </c>
      <c r="DL23" s="39">
        <f>SUMIF(Master_Data!$AK$152:$AK$915,CONCATENATE($C23,DQ$3),Master_Data!$T$152:$T$915)</f>
        <v>0</v>
      </c>
      <c r="DM23" s="230">
        <f t="shared" si="67"/>
        <v>0</v>
      </c>
      <c r="DN23" s="230">
        <f t="shared" ca="1" si="68"/>
        <v>-718820390</v>
      </c>
      <c r="DO23" s="23"/>
      <c r="DP23" s="358" t="str">
        <f t="shared" si="9"/>
        <v>INTICOM SENTRALINDO, PTJUL</v>
      </c>
      <c r="DQ23" s="24"/>
      <c r="DR23" s="390"/>
      <c r="DS23" s="109">
        <f t="shared" si="36"/>
        <v>0</v>
      </c>
      <c r="DT23" s="109">
        <f t="shared" ca="1" si="37"/>
        <v>-718820390</v>
      </c>
      <c r="DU23" s="31"/>
      <c r="DV23" s="109">
        <f>SUMIF(Bill_Out!$Q$426:$Q$472,CONCATENATE($C23,$EH$3),Bill_Out!$N$426:$N$472)</f>
        <v>0</v>
      </c>
      <c r="DW23" s="109" t="e">
        <f>SUMIF(Bill_Out!$Q$426:$Q$472,CONCATENATE($C23,$EH$3),Bill_Out!$O$426:$O$472)</f>
        <v>#VALUE!</v>
      </c>
      <c r="DX23" s="50"/>
      <c r="DY23" s="310">
        <f>SUMIF(Master_Data!$AK$4:$AK$145,CONCATENATE($C23,$EH$3),Master_Data!$R$4:$R$145)+SUMIF(Master_Data!$AK$152:$AK$864,CONCATENATE($C23,$EH$3),Master_Data!$R$152:$R$864)</f>
        <v>0</v>
      </c>
      <c r="DZ23" s="310">
        <f>SUMIF(Master_Data!$AK$4:$AK$145,CONCATENATE($C23,$EH$3),Master_Data!$Q$4:$Q$145)+SUMIF(Master_Data!$AK$152:$AK$864,CONCATENATE($C23,$EH$3),Master_Data!$Q$152:$Q$864)</f>
        <v>0</v>
      </c>
      <c r="EA23" s="310">
        <f>SUMIF(Master_Data!$AK$4:$AK$145,CONCATENATE($C23,$EH$3),Master_Data!$U$4:$U$145)+SUMIF(Master_Data!$AK$152:$AK$864,CONCATENATE($C23,$EH$3),Master_Data!$U$152:$U$864)</f>
        <v>0</v>
      </c>
      <c r="EB23" s="310">
        <f>SUMIF(Master_Data!$AK$4:$AK$145,CONCATENATE($C23,$EH$3),Master_Data!$S$4:$S$145)+SUMIF(Master_Data!$AK$152:$AK$864,CONCATENATE($C23,$EH$3),Master_Data!$S$152:$S$864)</f>
        <v>0</v>
      </c>
      <c r="EC23" s="39">
        <f>SUMIF(Master_Data!$AK$152:$AK$915,CONCATENATE($C23,EH$3),Master_Data!$T$152:$T$915)</f>
        <v>0</v>
      </c>
      <c r="ED23" s="310">
        <f t="shared" si="38"/>
        <v>0</v>
      </c>
      <c r="EE23" s="230" t="e">
        <f t="shared" ca="1" si="39"/>
        <v>#VALUE!</v>
      </c>
      <c r="EF23" s="23"/>
      <c r="EG23" s="358" t="str">
        <f t="shared" si="10"/>
        <v>INTICOM SENTRALINDO, PTAGS</v>
      </c>
      <c r="EH23" s="24"/>
      <c r="EI23" s="390"/>
      <c r="EJ23" s="109">
        <f t="shared" si="47"/>
        <v>0</v>
      </c>
      <c r="EK23" s="109" t="e">
        <f t="shared" ca="1" si="48"/>
        <v>#VALUE!</v>
      </c>
      <c r="EL23" s="84"/>
      <c r="EM23" s="109">
        <f>SUMIF(Bill_Out!$Q$476:$Q$530,CONCATENATE($C23,$EY$3),Bill_Out!$N$476:$N$530)</f>
        <v>0</v>
      </c>
      <c r="EN23" s="109">
        <f>SUMIF(Bill_Out!$Q$476:$Q$530,CONCATENATE($C23,$EY$3),Bill_Out!$O$476:$O$530)</f>
        <v>0</v>
      </c>
      <c r="EO23" s="309"/>
      <c r="EP23" s="310">
        <f>SUMIF(Master_Data!$AK$4:$AK$145,CONCATENATE($C23,$EY$3),Master_Data!$R$4:$R$145)+SUMIF(Master_Data!$AK$152:$AK$864,CONCATENATE($C23,$EY$3),Master_Data!$R$152:$R$864)</f>
        <v>0</v>
      </c>
      <c r="EQ23" s="310">
        <f>SUMIF(Master_Data!$AK$4:$AK$145,CONCATENATE($C23,$EY$3),Master_Data!$Q$4:$Q$145)+SUMIF(Master_Data!$AK$152:$AK$864,CONCATENATE($C23,$EY$3),Master_Data!$Q$152:$Q$864)</f>
        <v>0</v>
      </c>
      <c r="ER23" s="310">
        <f>SUMIF(Master_Data!$AK$4:$AK$145,CONCATENATE($C23,$EY$3),Master_Data!$U$4:$U$145)+SUMIF(Master_Data!$AK$152:$AK$864,CONCATENATE($C23,$EY$3),Master_Data!$U$152:$U$864)</f>
        <v>0</v>
      </c>
      <c r="ES23" s="310">
        <f>SUMIF(Master_Data!$AK$4:$AK$145,CONCATENATE($C23,$EY$3),Master_Data!$S$4:$S$145)+SUMIF(Master_Data!$AK$152:$AK$864,CONCATENATE($C23,$EY$3),Master_Data!$S$152:$S$864)</f>
        <v>0</v>
      </c>
      <c r="ET23" s="39">
        <f>SUMIF(Master_Data!$AK$152:$AK$915,CONCATENATE($C23,EY$3),Master_Data!$T$152:$T$915)</f>
        <v>0</v>
      </c>
      <c r="EU23" s="310">
        <f t="shared" si="49"/>
        <v>0</v>
      </c>
      <c r="EV23" s="230"/>
      <c r="EW23" s="84"/>
      <c r="EX23" s="358" t="str">
        <f t="shared" si="11"/>
        <v>INTICOM SENTRALINDO, PTSEP</v>
      </c>
      <c r="EY23" s="24"/>
      <c r="EZ23" s="412"/>
      <c r="FA23" s="109">
        <f t="shared" si="50"/>
        <v>0</v>
      </c>
      <c r="FB23" s="109">
        <f t="shared" si="51"/>
        <v>0</v>
      </c>
      <c r="FC23" s="421"/>
      <c r="FD23" s="109">
        <f>SUMIF(Bill_Out!$Q$534:$Q$606,CONCATENATE($C23,$FP$3),Bill_Out!$N$534:$N$606)</f>
        <v>0</v>
      </c>
      <c r="FE23" s="109">
        <f>SUMIF(Bill_Out!$Q$534:$Q$606,CONCATENATE($C23,$FP$3),Bill_Out!$O$534:$O$606)</f>
        <v>0</v>
      </c>
      <c r="FF23" s="309"/>
      <c r="FG23" s="310">
        <f>SUMIF(Master_Data!$AK$4:$AK$145,CONCATENATE($C23,$FP$3),Master_Data!$R$4:$R$145)+SUMIF(Master_Data!$AK$152:$AK$864,CONCATENATE($C23,$FP$3),Master_Data!$R$152:$R$864)</f>
        <v>0</v>
      </c>
      <c r="FH23" s="310">
        <f>SUMIF(Master_Data!$AK$4:$AK$145,CONCATENATE($C23,$FP$3),Master_Data!$Q$4:$Q$145)+SUMIF(Master_Data!$AK$152:$AK$864,CONCATENATE($C23,$FP$3),Master_Data!$Q$152:$Q$864)</f>
        <v>0</v>
      </c>
      <c r="FI23" s="310">
        <f>SUMIF(Master_Data!$AK$4:$AK$145,CONCATENATE($C23,$FP$3),Master_Data!$U$4:$U$145)+SUMIF(Master_Data!$AK$152:$AK$864,CONCATENATE($C23,$FP$3),Master_Data!$U$152:$U$864)</f>
        <v>0</v>
      </c>
      <c r="FJ23" s="310">
        <f>SUMIF(Master_Data!$AK$4:$AK$145,CONCATENATE($C23,$FP$3),Master_Data!$S$4:$S$145)+SUMIF(Master_Data!$AK$152:$AK$864,CONCATENATE($C23,$FP$3),Master_Data!$S$152:$S$864)</f>
        <v>0</v>
      </c>
      <c r="FK23" s="39">
        <f>SUMIF(Master_Data!$AK$152:$AK$915,CONCATENATE($C23,FP$3),Master_Data!$T$152:$T$915)</f>
        <v>0</v>
      </c>
      <c r="FL23" s="310">
        <f t="shared" si="52"/>
        <v>0</v>
      </c>
      <c r="FM23" s="230">
        <f t="shared" si="53"/>
        <v>0</v>
      </c>
      <c r="FN23" s="23"/>
      <c r="FO23" s="358" t="str">
        <f t="shared" si="72"/>
        <v>INTICOM SENTRALINDO, PTOKT</v>
      </c>
      <c r="FP23" s="24"/>
      <c r="FQ23" s="412"/>
      <c r="FR23" s="109">
        <f t="shared" si="42"/>
        <v>0</v>
      </c>
      <c r="FS23" s="109">
        <f t="shared" si="74"/>
        <v>0</v>
      </c>
      <c r="FT23" s="420"/>
      <c r="FU23" s="109">
        <f>SUMIF(Bill_Out!$Q$610:$Q$675,CONCATENATE($C23,$GG$3),Bill_Out!$N$610:$N$675)</f>
        <v>0</v>
      </c>
      <c r="FV23" s="109">
        <f>SUMIF(Bill_Out!$Q$610:$Q$675,CONCATENATE($C23,$GG$3),Bill_Out!$O$610:$O$675)</f>
        <v>0</v>
      </c>
      <c r="FW23" s="50"/>
      <c r="FX23" s="512">
        <f>SUMIF(Master_Data!$AK$4:$AK$145,CONCATENATE($C23,$GG$3),Master_Data!$R$4:$R$145)+SUMIF(Master_Data!$AK$152:$AK$864,CONCATENATE($C23,$GG$3),Master_Data!$R$152:$R$864)</f>
        <v>0</v>
      </c>
      <c r="FY23" s="512">
        <f>SUMIF(Master_Data!$AK$4:$AK$145,CONCATENATE($C23,$GG$3),Master_Data!$Q$4:$Q$145)+SUMIF(Master_Data!$AK$152:$AK$864,CONCATENATE($C23,$GG$3),Master_Data!$Q$152:$Q$864)</f>
        <v>0</v>
      </c>
      <c r="FZ23" s="512">
        <f>SUMIF(Master_Data!$AK$4:$AK$145,CONCATENATE($C23,$GG$3),Master_Data!$U$4:$U$145)+SUMIF(Master_Data!$AK$152:$AK$864,CONCATENATE($C23,$GG$3),Master_Data!$U$152:$U$864)</f>
        <v>0</v>
      </c>
      <c r="GA23" s="310">
        <f>SUMIF(Master_Data!$AK$4:$AK$145,CONCATENATE($C23,$GG$3),Master_Data!$S$4:$S$145)+SUMIF(Master_Data!$AK$152:$AK$864,CONCATENATE($C23,$GG$3),Master_Data!$S$152:$S$864)</f>
        <v>0</v>
      </c>
      <c r="GB23" s="39">
        <f>SUMIF(Master_Data!$AK$152:$AK$915,CONCATENATE($C23,GG$3),Master_Data!$T$152:$T$915)</f>
        <v>0</v>
      </c>
      <c r="GC23" s="230">
        <f t="shared" ref="GC23:GC43" si="77">FR23+FU23-FX23+FY23</f>
        <v>0</v>
      </c>
      <c r="GD23" s="230">
        <f t="shared" si="14"/>
        <v>0</v>
      </c>
      <c r="GE23" s="23"/>
      <c r="GF23" s="358" t="str">
        <f t="shared" si="73"/>
        <v>INTICOM SENTRALINDO, PTNOV</v>
      </c>
      <c r="GG23" s="24"/>
      <c r="GH23" s="412"/>
      <c r="GI23" s="109">
        <f t="shared" si="70"/>
        <v>0</v>
      </c>
      <c r="GJ23" s="109">
        <f t="shared" si="71"/>
        <v>0</v>
      </c>
      <c r="GK23" s="423"/>
      <c r="GL23" s="109">
        <f>SUMIF(Bill_Out!$Q$679:$Q$756,CONCATENATE($C23,$GX$3),Bill_Out!$N$679:$N$756)</f>
        <v>0</v>
      </c>
      <c r="GM23" s="109">
        <f>SUMIF(Bill_Out!$Q$679:$Q$756,CONCATENATE($C23,$GX$3),Bill_Out!$O$679:$O$756)</f>
        <v>0</v>
      </c>
      <c r="GN23" s="50"/>
      <c r="GO23" s="512">
        <f>SUMIF(Master_Data!$AK$4:$AK$145,CONCATENATE($C23,$GX$3),Master_Data!$R$4:$R$145)+SUMIF(Master_Data!$AK$152:$AK$864,CONCATENATE($C23,$GX$3),Master_Data!$R$152:$R$864)</f>
        <v>0</v>
      </c>
      <c r="GP23" s="512">
        <f>SUMIF(Master_Data!$AK$4:$AK$145,CONCATENATE($C23,$GX$3),Master_Data!$Q$4:$Q$145)+SUMIF(Master_Data!$AK$152:$AK$864,CONCATENATE($C23,$GX$3),Master_Data!$Q$152:$Q$864)</f>
        <v>0</v>
      </c>
      <c r="GQ23" s="512">
        <f>SUMIF(Master_Data!$AK$4:$AK$145,CONCATENATE($C23,$GX$3),Master_Data!$U$4:$U$145)+SUMIF(Master_Data!$AK$152:$AK$864,CONCATENATE($C23,$GX$3),Master_Data!$U$152:$U$864)</f>
        <v>0</v>
      </c>
      <c r="GR23" s="310">
        <f>SUMIF(Master_Data!$AK$4:$AK$145,CONCATENATE($C23,$GX$3),Master_Data!$S$4:$S$145)+SUMIF(Master_Data!$AK$152:$AK$864,CONCATENATE($C23,$GX$3),Master_Data!$S$152:$S$864)</f>
        <v>0</v>
      </c>
      <c r="GS23" s="39">
        <f>SUMIF(Master_Data!$AK$152:$AK$864,CONCATENATE($C23,GX$3),Master_Data!$T$152:$T$864)</f>
        <v>0</v>
      </c>
      <c r="GT23" s="534">
        <f t="shared" si="44"/>
        <v>0</v>
      </c>
      <c r="GU23" s="310">
        <f t="shared" si="16"/>
        <v>0</v>
      </c>
      <c r="GV23" s="23"/>
      <c r="GW23" s="358" t="str">
        <f t="shared" si="69"/>
        <v>INTICOM SENTRALINDO, PTDES</v>
      </c>
      <c r="GX23" s="24"/>
    </row>
    <row r="24" spans="1:206" s="19" customFormat="1">
      <c r="A24" s="21" t="s">
        <v>99</v>
      </c>
      <c r="B24" s="236" t="str">
        <f t="shared" si="18"/>
        <v>J RESOURCES BOOLANG MONGONDOW, PTJAN</v>
      </c>
      <c r="C24" s="160" t="s">
        <v>112</v>
      </c>
      <c r="D24" s="227" t="s">
        <v>309</v>
      </c>
      <c r="E24" s="238">
        <f>SUMIF(Master_Data!$D18:$D$145,CONCATENATE(C24),Master_Data!M18:M211)</f>
        <v>330</v>
      </c>
      <c r="F24" s="109">
        <f>SUMIF(Master_Data!$D22:$D$145,CONCATENATE(C24),Master_Data!N22:N196)</f>
        <v>0</v>
      </c>
      <c r="G24" s="31"/>
      <c r="H24" s="109">
        <f>SUMIF(Bill_Out!$Q$3:$Q$65,CONCATENATE($C24,$S$3),Bill_Out!$N$3:$N$65)</f>
        <v>0</v>
      </c>
      <c r="I24" s="88">
        <f>SUMIF(Bill_Out!$Q$3:$Q$65,CONCATENATE($C24,$S$3),Bill_Out!$O$3:$O$65)</f>
        <v>0</v>
      </c>
      <c r="J24" s="50"/>
      <c r="K24" s="29"/>
      <c r="L24" s="44"/>
      <c r="M24" s="230">
        <f>SUMIF(Master_Data!$AK21:$AK$145,CONCATENATE(C24,$S$3),Master_Data!U21:U212)+SUMIF(Master_Data!$AK226:$AK$864,CONCATENATE(C24,$S$3),Master_Data!U226:U926)</f>
        <v>0</v>
      </c>
      <c r="N24" s="310">
        <f>SUMIF(Master_Data!$AK$4:$AK$145,CONCATENATE(C24,$S$3),Master_Data!$S$4:$S$145)+SUMIF(Master_Data!$AK$150:$AK$864,CONCATENATE(C24,$S$3),Master_Data!$S$150:$S$864)</f>
        <v>0</v>
      </c>
      <c r="O24" s="310">
        <f>SUMIF(Master_Data!$AK$4:$AK$145,CONCATENATE(C24,$S$3),Master_Data!$T$4:$T$145)+SUMIF(Master_Data!$AK$150:$AK$864,CONCATENATE(C24,$S$3),Master_Data!$T$150:$T$864)</f>
        <v>0</v>
      </c>
      <c r="P24" s="230">
        <f t="shared" si="19"/>
        <v>330</v>
      </c>
      <c r="Q24" s="230">
        <f t="shared" si="20"/>
        <v>0</v>
      </c>
      <c r="R24" s="23"/>
      <c r="S24" s="24"/>
      <c r="T24" s="283"/>
      <c r="U24" s="109">
        <f t="shared" si="75"/>
        <v>330</v>
      </c>
      <c r="V24" s="109">
        <f t="shared" si="76"/>
        <v>0</v>
      </c>
      <c r="W24" s="54"/>
      <c r="X24" s="109">
        <f>SUMIF(Bill_Out!$Q$67:$Q$132,CONCATENATE($C24,$AJ$3),Bill_Out!$N$67:$N$132)</f>
        <v>0</v>
      </c>
      <c r="Y24" s="109">
        <f>SUMIF(Bill_Out!$Q$67:$Q$132,CONCATENATE($C24,$AJ$3),Bill_Out!$O$67:$O$132)</f>
        <v>0</v>
      </c>
      <c r="Z24" s="50"/>
      <c r="AA24" s="230">
        <f>SUMIF(Master_Data!$AK$4:$AK$145,CONCATENATE(C24,$AJ$3),Master_Data!$R$4:$R$145)+SUMIF(Master_Data!$AK$152:$AK$850,CONCATENATE(C24,$AJ$3),Master_Data!$R$152:$R$850)</f>
        <v>0</v>
      </c>
      <c r="AB24" s="230">
        <f>SUMIF(Master_Data!$AK$4:$AK$145,CONCATENATE(C24,$AJ$3),Master_Data!$Q$4:$Q$145)+SUMIF(Master_Data!$AK$152:$AK$850,CONCATENATE(C24,$AJ$3),Master_Data!$Q$152:$Q$850)</f>
        <v>0</v>
      </c>
      <c r="AC24" s="230">
        <f>SUMIF(Master_Data!$AK$4:$AK$145,CONCATENATE(C24,$AJ$3),Master_Data!$U$4:$U$145)+SUMIF(Master_Data!$AK$152:$AK$850,CONCATENATE(C24,$AJ$3),Master_Data!$U$152:$U$850)</f>
        <v>0</v>
      </c>
      <c r="AD24" s="310">
        <f ca="1">SUMIF(Master_Data!$AK$4:$AK$145,CONCATENATE(C24,$AJ$3),Master_Data!$S$4:$S$145)+SUMIF(Master_Data!$AK$152:$AK$864,CONCATENATE(C24,$AJ$3),Master_Data!$S$152:$S$850)</f>
        <v>0</v>
      </c>
      <c r="AE24" s="310">
        <f>SUMIF(Master_Data!$AK$4:$AK$145,CONCATENATE(C24,$AJ$3),Master_Data!$T$4:$T$145)+SUMIF(Master_Data!$AK$152:$AK$864,CONCATENATE(C24,$AJ$3),Master_Data!$T$152:$T$864)</f>
        <v>0</v>
      </c>
      <c r="AF24" s="230">
        <f t="shared" si="63"/>
        <v>330</v>
      </c>
      <c r="AG24" s="230">
        <f t="shared" ca="1" si="64"/>
        <v>0</v>
      </c>
      <c r="AH24" s="23"/>
      <c r="AI24" s="235" t="str">
        <f t="shared" si="3"/>
        <v>J RESOURCES BOOLANG MONGONDOW, PTFEB</v>
      </c>
      <c r="AJ24" s="24"/>
      <c r="AK24" s="237"/>
      <c r="AL24" s="109">
        <f t="shared" si="65"/>
        <v>330</v>
      </c>
      <c r="AM24" s="109">
        <f t="shared" ca="1" si="66"/>
        <v>0</v>
      </c>
      <c r="AN24" s="31"/>
      <c r="AO24" s="109">
        <f>SUMIF(Bill_Out!$Q$134:$Q$188,CONCATENATE($C24,$BA$3),Bill_Out!$N$134:$N$188)</f>
        <v>0</v>
      </c>
      <c r="AP24" s="109">
        <f>SUMIF(Bill_Out!$Q$134:$Q$188,CONCATENATE($C24,$BA$3),Bill_Out!$O$134:$O$188)</f>
        <v>0</v>
      </c>
      <c r="AQ24" s="50"/>
      <c r="AR24" s="230">
        <f>SUMIF(Master_Data!$AK$4:$AK$145,CONCATENATE(C24,$BA$3),Master_Data!$R$4:$R$145)+SUMIF(Master_Data!$AK$152:$AK$864,CONCATENATE(C24,$BA$3),Master_Data!$R$152:$R$864)</f>
        <v>0</v>
      </c>
      <c r="AS24" s="230">
        <f>SUMIF(Master_Data!$AK$4:$AK$145,CONCATENATE(C24,$BA$3),Master_Data!$Q$4:$Q$145)+SUMIF(Master_Data!$AK$152:$AK$864,CONCATENATE(C24,$BA$3),Master_Data!$Q$152:$Q$864)</f>
        <v>0</v>
      </c>
      <c r="AT24" s="230">
        <f>SUMIF(Master_Data!$AK$4:$AK$145,CONCATENATE(C24,$BA$3),Master_Data!$U$4:$U$145)+SUMIF(Master_Data!$AK$152:$AK$864,CONCATENATE(C24,$BA$3),Master_Data!$U$152:$U$864)</f>
        <v>0</v>
      </c>
      <c r="AU24" s="230">
        <f ca="1">SUMIF(Master_Data!$AK$4:$AK$145,CONCATENATE(C24,$BA$3),Master_Data!$S$4:$S$145)+SUMIF(Master_Data!$AK$152:$AK$864,CONCATENATE(C24,$BA$3),Master_Data!$S$152:$S$850)</f>
        <v>0</v>
      </c>
      <c r="AV24" s="39">
        <f>SUMIF(Master_Data!$AK$152:$AK$864,CONCATENATE($C24,BA$3),Master_Data!$T$152:$T$864)</f>
        <v>0</v>
      </c>
      <c r="AW24" s="230">
        <f t="shared" si="57"/>
        <v>330</v>
      </c>
      <c r="AX24" s="230">
        <f t="shared" ca="1" si="58"/>
        <v>0</v>
      </c>
      <c r="AY24" s="23"/>
      <c r="AZ24" s="235" t="str">
        <f t="shared" si="21"/>
        <v>J RESOURCES BOOLANG MONGONDOW, PTMAR</v>
      </c>
      <c r="BA24" s="24"/>
      <c r="BB24" s="237"/>
      <c r="BC24" s="109">
        <f t="shared" si="22"/>
        <v>330</v>
      </c>
      <c r="BD24" s="109">
        <f t="shared" ca="1" si="23"/>
        <v>0</v>
      </c>
      <c r="BE24" s="31"/>
      <c r="BF24" s="109">
        <f>SUMIF(Bill_Out!$Q$192:$Q$258,CONCATENATE($C24,$BR$3),Bill_Out!$N$192:$N$258)</f>
        <v>0</v>
      </c>
      <c r="BG24" s="109">
        <f>SUMIF(Bill_Out!$Q$192:$Q$258,CONCATENATE($C24,$BR$3),Bill_Out!$O$192:$O$258)</f>
        <v>0</v>
      </c>
      <c r="BH24" s="50"/>
      <c r="BI24" s="230">
        <f>SUMIF(Master_Data!$AK$4:$AK$145,CONCATENATE(C24,$BR$3),Master_Data!$R$4:$R$145)+SUMIF(Master_Data!$AK$152:$AK$864,CONCATENATE(C24,$BR$3),Master_Data!$R$152:$R$864)</f>
        <v>0</v>
      </c>
      <c r="BJ24" s="230">
        <f>SUMIF(Master_Data!$AK$4:$AK$145,CONCATENATE(C24,$BR$3),Master_Data!$Q$4:$Q$145)+SUMIF(Master_Data!$AK$152:$AK$864,CONCATENATE(C24,$BR$3),Master_Data!$Q$152:$Q$864)</f>
        <v>0</v>
      </c>
      <c r="BK24" s="230">
        <f>SUMIF(Master_Data!$AK$4:$AK$145,CONCATENATE(C24,$BR$3),Master_Data!$U$4:$U$145)+SUMIF(Master_Data!$AK$152:$AK$864,CONCATENATE(C24,$BR$3),Master_Data!$U$152:$U$864)</f>
        <v>0</v>
      </c>
      <c r="BL24" s="230">
        <f>SUMIF(Master_Data!$AK$4:$AK$145,CONCATENATE(C24,$BR$3),Master_Data!$S$4:$S$145)+SUMIF(Master_Data!$AK$152:$AK$864,CONCATENATE(C24,$BR$3),Master_Data!$S$152:$S$864)</f>
        <v>0</v>
      </c>
      <c r="BM24" s="39">
        <f>SUMIF(Master_Data!$AK$152:$AK$864,CONCATENATE($C24,BR$3),Master_Data!$T$152:$T$864)</f>
        <v>0</v>
      </c>
      <c r="BN24" s="230">
        <f t="shared" si="24"/>
        <v>330</v>
      </c>
      <c r="BO24" s="230">
        <f t="shared" ca="1" si="25"/>
        <v>0</v>
      </c>
      <c r="BP24" s="23"/>
      <c r="BQ24" s="909" t="str">
        <f t="shared" si="26"/>
        <v>J RESOURCES BOOLANG MONGONDOW, PTAPR</v>
      </c>
      <c r="BR24" s="24"/>
      <c r="BS24" s="237"/>
      <c r="BT24" s="109">
        <f t="shared" si="59"/>
        <v>330</v>
      </c>
      <c r="BU24" s="109">
        <f t="shared" ca="1" si="60"/>
        <v>0</v>
      </c>
      <c r="BV24" s="31"/>
      <c r="BW24" s="109">
        <f>SUMIF(Bill_Out!$Q$263:$Q$314,CONCATENATE($C24,$CI$3),Bill_Out!$N$263:$N$314)</f>
        <v>0</v>
      </c>
      <c r="BX24" s="109">
        <f>SUMIF(Bill_Out!$Q$263:$Q$314,CONCATENATE($C24,$CI$3),Bill_Out!$O$263:$O$314)</f>
        <v>0</v>
      </c>
      <c r="BY24" s="50"/>
      <c r="BZ24" s="310">
        <f>SUMIF(Master_Data!$AK$4:$AK$145,CONCATENATE(C24,$CI$3),Master_Data!$R$4:$R$145)+SUMIF(Master_Data!$AK$152:$AK$864,CONCATENATE(C24,$CI$3),Master_Data!$R$152:$R$864)</f>
        <v>0</v>
      </c>
      <c r="CA24" s="310">
        <f>SUMIF(Master_Data!$AK$4:$AK$145,CONCATENATE(C24,$CI$3),Master_Data!$Q$4:$Q$145)+SUMIF(Master_Data!$AK$152:$AK$864,CONCATENATE(C24,$CI$3),Master_Data!$Q$152:$Q$864)</f>
        <v>0</v>
      </c>
      <c r="CB24" s="310">
        <f>SUMIF(Master_Data!$AK$4:$AK$145,CONCATENATE(C24,$CI$3),Master_Data!$U$4:$U$145)+SUMIF(Master_Data!$AK$152:$AK$864,CONCATENATE(C24,$CI$3),Master_Data!$U$152:$U$864)</f>
        <v>0</v>
      </c>
      <c r="CC24" s="230">
        <f>SUMIF(Master_Data!$AK$4:$AK$145,CONCATENATE(C24,$CI$3),Master_Data!$S$4:$S$145)+SUMIF(Master_Data!$AK$152:$AK$864,CONCATENATE(C24,$CI$3),Master_Data!$S$152:$S$864)</f>
        <v>0</v>
      </c>
      <c r="CD24" s="39">
        <f>SUMIF(Master_Data!$AK$152:$AK$864,CONCATENATE($C24,CI$3),Master_Data!$T$152:$T$864)</f>
        <v>0</v>
      </c>
      <c r="CE24" s="310">
        <f t="shared" si="27"/>
        <v>330</v>
      </c>
      <c r="CF24" s="230">
        <f t="shared" ca="1" si="28"/>
        <v>0</v>
      </c>
      <c r="CG24" s="23"/>
      <c r="CH24" s="235" t="str">
        <f t="shared" si="29"/>
        <v>J RESOURCES BOOLANG MONGONDOW, PTMEI</v>
      </c>
      <c r="CI24" s="24"/>
      <c r="CJ24" s="237"/>
      <c r="CK24" s="109">
        <f t="shared" si="30"/>
        <v>330</v>
      </c>
      <c r="CL24" s="238">
        <f t="shared" ca="1" si="31"/>
        <v>0</v>
      </c>
      <c r="CM24" s="31"/>
      <c r="CN24" s="238">
        <f>SUMIF(Bill_Out!$Q$318:$Q$371,CONCATENATE($C24,$CZ$3),Bill_Out!$N$318:$N$371)</f>
        <v>0</v>
      </c>
      <c r="CO24" s="238">
        <f>SUMIF(Bill_Out!$Q$318:$Q$371,CONCATENATE($C24,$CZ$3),Bill_Out!$O$318:$O$371)</f>
        <v>0</v>
      </c>
      <c r="CP24" s="50"/>
      <c r="CQ24" s="230">
        <f>SUMIF(Master_Data!$AK$4:$AK$145,CONCATENATE($C24,$CZ$3),Master_Data!$R$4:$R$145)+SUMIF(Master_Data!$AK$152:$AK$864,CONCATENATE($C24,$CZ$3),Master_Data!$R$152:$R$864)</f>
        <v>0</v>
      </c>
      <c r="CR24" s="230">
        <f>SUMIF(Master_Data!$AK$4:$AK$145,CONCATENATE($C24,$CZ$3),Master_Data!$Q$4:$Q$145)+SUMIF(Master_Data!$AK$152:$AK$864,CONCATENATE($C24,$CZ$3),Master_Data!$Q$152:$Q$864)</f>
        <v>0</v>
      </c>
      <c r="CS24" s="230">
        <f>SUMIF(Master_Data!$AK$4:$AK$145,CONCATENATE($C24,$CZ$3),Master_Data!$U$4:$U$145)+SUMIF(Master_Data!$AK$152:$AK$864,CONCATENATE($C24,$CZ$3),Master_Data!$U$152:$U$864)</f>
        <v>0</v>
      </c>
      <c r="CT24" s="230">
        <f ca="1">SUMIF(Master_Data!$AK$4:$AK$145,CONCATENATE(C24,$CZ$3),Master_Data!$S$4:$S$145)+SUMIF(Master_Data!$AK$152:$AK$915,CONCATENATE(C24,$CZ$3),Master_Data!$S$152:$S$864)</f>
        <v>0</v>
      </c>
      <c r="CU24" s="1010">
        <f>SUMIF(Master_Data!$AK$4:$AK$145,CONCATENATE(C24,$CZ$3),Master_Data!$T$4:$T$145)+SUMIF(Master_Data!$AK$152:$AK$864,CONCATENATE(C24,$CZ$3),Master_Data!$T$152:$T$864)</f>
        <v>0</v>
      </c>
      <c r="CV24" s="230">
        <f t="shared" si="32"/>
        <v>330</v>
      </c>
      <c r="CW24" s="230">
        <f t="shared" ca="1" si="33"/>
        <v>0</v>
      </c>
      <c r="CX24" s="23"/>
      <c r="CY24" s="1007" t="str">
        <f t="shared" si="6"/>
        <v>J RESOURCES BOOLANG MONGONDOW, PTJUN</v>
      </c>
      <c r="CZ24" s="24"/>
      <c r="DA24" s="237"/>
      <c r="DB24" s="109">
        <f t="shared" si="34"/>
        <v>330</v>
      </c>
      <c r="DC24" s="109">
        <f t="shared" ca="1" si="35"/>
        <v>0</v>
      </c>
      <c r="DD24" s="31"/>
      <c r="DE24" s="109">
        <f>SUMIF(Bill_Out!$Q$375:$Q$422,CONCATENATE($C24,$DQ$3),Bill_Out!$N$375:$N$422)</f>
        <v>0</v>
      </c>
      <c r="DF24" s="109">
        <f>SUMIF(Bill_Out!$Q$375:$Q$422,CONCATENATE($C24,$DQ$3),Bill_Out!$O$375:$O$422)</f>
        <v>0</v>
      </c>
      <c r="DG24" s="50"/>
      <c r="DH24" s="310">
        <f>SUMIF(Master_Data!$AK$4:$AK$145,CONCATENATE($C24,$DQ$3),Master_Data!$R$4:$R$145)+SUMIF(Master_Data!$AK$152:$AK$864,CONCATENATE($C24,$DQ$3),Master_Data!$R$152:$R$864)</f>
        <v>0</v>
      </c>
      <c r="DI24" s="310">
        <f>SUMIF(Master_Data!$AK$4:$AK$145,CONCATENATE($C24,$DQ$3),Master_Data!$Q$4:$Q$145)+SUMIF(Master_Data!$AK$152:$AK$864,CONCATENATE($C24,$DQ$3),Master_Data!$Q$152:$Q$864)</f>
        <v>0</v>
      </c>
      <c r="DJ24" s="310">
        <f>SUMIF(Master_Data!$AK$4:$AK$145,CONCATENATE($C24,$DQ$3),Master_Data!$U$4:$U$145)+SUMIF(Master_Data!$AK$152:$AK$864,CONCATENATE($C24,$DQ$3),Master_Data!$U$152:$U$864)</f>
        <v>0</v>
      </c>
      <c r="DK24" s="310">
        <f>SUMIF(Master_Data!$AK$4:$AK$145,CONCATENATE($C24,$DQ$3),Master_Data!$S$4:$S$145)+SUMIF(Master_Data!$AK$152:$AK$864,CONCATENATE($C24,$DQ$3),Master_Data!$S$152:$S$864)</f>
        <v>0</v>
      </c>
      <c r="DL24" s="39">
        <f>SUMIF(Master_Data!$AK$152:$AK$915,CONCATENATE($C24,DQ$3),Master_Data!$T$152:$T$915)</f>
        <v>0</v>
      </c>
      <c r="DM24" s="230">
        <f t="shared" si="67"/>
        <v>330</v>
      </c>
      <c r="DN24" s="230">
        <f t="shared" ca="1" si="68"/>
        <v>0</v>
      </c>
      <c r="DO24" s="23"/>
      <c r="DP24" s="358" t="str">
        <f t="shared" si="9"/>
        <v>J RESOURCES BOOLANG MONGONDOW, PTJUL</v>
      </c>
      <c r="DQ24" s="24"/>
      <c r="DR24" s="391"/>
      <c r="DS24" s="109">
        <f t="shared" si="36"/>
        <v>330</v>
      </c>
      <c r="DT24" s="109">
        <f t="shared" ca="1" si="37"/>
        <v>0</v>
      </c>
      <c r="DU24" s="31"/>
      <c r="DV24" s="109">
        <f>SUMIF(Bill_Out!$Q$426:$Q$472,CONCATENATE($C24,$EH$3),Bill_Out!$N$426:$N$472)</f>
        <v>0</v>
      </c>
      <c r="DW24" s="109">
        <f>SUMIF(Bill_Out!$Q$426:$Q$472,CONCATENATE($C24,$EH$3),Bill_Out!$O$426:$O$472)</f>
        <v>0</v>
      </c>
      <c r="DX24" s="50"/>
      <c r="DY24" s="310">
        <f>SUMIF(Master_Data!$AK$4:$AK$145,CONCATENATE($C24,$EH$3),Master_Data!$R$4:$R$145)+SUMIF(Master_Data!$AK$152:$AK$864,CONCATENATE($C24,$EH$3),Master_Data!$R$152:$R$864)</f>
        <v>0</v>
      </c>
      <c r="DZ24" s="310">
        <f>SUMIF(Master_Data!$AK$4:$AK$145,CONCATENATE($C24,$EH$3),Master_Data!$Q$4:$Q$145)+SUMIF(Master_Data!$AK$152:$AK$864,CONCATENATE($C24,$EH$3),Master_Data!$Q$152:$Q$864)</f>
        <v>0</v>
      </c>
      <c r="EA24" s="310">
        <f>SUMIF(Master_Data!$AK$4:$AK$145,CONCATENATE($C24,$EH$3),Master_Data!$U$4:$U$145)+SUMIF(Master_Data!$AK$152:$AK$864,CONCATENATE($C24,$EH$3),Master_Data!$U$152:$U$864)</f>
        <v>0</v>
      </c>
      <c r="EB24" s="310">
        <f>SUMIF(Master_Data!$AK$4:$AK$145,CONCATENATE($C24,$EH$3),Master_Data!$S$4:$S$145)+SUMIF(Master_Data!$AK$152:$AK$864,CONCATENATE($C24,$EH$3),Master_Data!$S$152:$S$864)</f>
        <v>0</v>
      </c>
      <c r="EC24" s="39">
        <f>SUMIF(Master_Data!$AK$152:$AK$915,CONCATENATE($C24,EH$3),Master_Data!$T$152:$T$915)</f>
        <v>0</v>
      </c>
      <c r="ED24" s="310">
        <f t="shared" si="38"/>
        <v>330</v>
      </c>
      <c r="EE24" s="230">
        <f t="shared" ca="1" si="39"/>
        <v>0</v>
      </c>
      <c r="EF24" s="23"/>
      <c r="EG24" s="358" t="str">
        <f t="shared" si="10"/>
        <v>J RESOURCES BOOLANG MONGONDOW, PTAGS</v>
      </c>
      <c r="EH24" s="24"/>
      <c r="EI24" s="391"/>
      <c r="EJ24" s="109">
        <f t="shared" si="47"/>
        <v>330</v>
      </c>
      <c r="EK24" s="109">
        <f t="shared" ca="1" si="48"/>
        <v>0</v>
      </c>
      <c r="EL24" s="84"/>
      <c r="EM24" s="109">
        <f>SUMIF(Bill_Out!$Q$476:$Q$530,CONCATENATE($C24,$EY$3),Bill_Out!$N$476:$N$530)</f>
        <v>0</v>
      </c>
      <c r="EN24" s="109">
        <f>SUMIF(Bill_Out!$Q$476:$Q$530,CONCATENATE($C24,$EY$3),Bill_Out!$O$476:$O$530)</f>
        <v>0</v>
      </c>
      <c r="EO24" s="309"/>
      <c r="EP24" s="310">
        <f>SUMIF(Master_Data!$AK$4:$AK$145,CONCATENATE($C24,$EY$3),Master_Data!$R$4:$R$145)+SUMIF(Master_Data!$AK$152:$AK$864,CONCATENATE($C24,$EY$3),Master_Data!$R$152:$R$864)</f>
        <v>0</v>
      </c>
      <c r="EQ24" s="310">
        <f>SUMIF(Master_Data!$AK$4:$AK$145,CONCATENATE($C24,$EY$3),Master_Data!$Q$4:$Q$145)+SUMIF(Master_Data!$AK$152:$AK$864,CONCATENATE($C24,$EY$3),Master_Data!$Q$152:$Q$864)</f>
        <v>0</v>
      </c>
      <c r="ER24" s="310">
        <f>SUMIF(Master_Data!$AK$4:$AK$145,CONCATENATE($C24,$EY$3),Master_Data!$U$4:$U$145)+SUMIF(Master_Data!$AK$152:$AK$864,CONCATENATE($C24,$EY$3),Master_Data!$U$152:$U$864)</f>
        <v>0</v>
      </c>
      <c r="ES24" s="310">
        <f>SUMIF(Master_Data!$AK$4:$AK$145,CONCATENATE($C24,$EY$3),Master_Data!$S$4:$S$145)+SUMIF(Master_Data!$AK$152:$AK$864,CONCATENATE($C24,$EY$3),Master_Data!$S$152:$S$864)</f>
        <v>0</v>
      </c>
      <c r="ET24" s="39">
        <f>SUMIF(Master_Data!$AK$152:$AK$915,CONCATENATE($C24,EY$3),Master_Data!$T$152:$T$915)</f>
        <v>0</v>
      </c>
      <c r="EU24" s="310">
        <f t="shared" si="49"/>
        <v>330</v>
      </c>
      <c r="EV24" s="230"/>
      <c r="EW24" s="84"/>
      <c r="EX24" s="358" t="str">
        <f t="shared" si="11"/>
        <v>J RESOURCES BOOLANG MONGONDOW, PTSEP</v>
      </c>
      <c r="EY24" s="24"/>
      <c r="EZ24" s="413"/>
      <c r="FA24" s="109">
        <f t="shared" si="50"/>
        <v>330</v>
      </c>
      <c r="FB24" s="109">
        <f t="shared" si="51"/>
        <v>0</v>
      </c>
      <c r="FC24" s="421"/>
      <c r="FD24" s="109">
        <f>SUMIF(Bill_Out!$Q$534:$Q$606,CONCATENATE($C24,$FP$3),Bill_Out!$N$534:$N$606)</f>
        <v>0</v>
      </c>
      <c r="FE24" s="109">
        <f>SUMIF(Bill_Out!$Q$534:$Q$606,CONCATENATE($C24,$FP$3),Bill_Out!$O$534:$O$606)</f>
        <v>0</v>
      </c>
      <c r="FF24" s="309"/>
      <c r="FG24" s="310">
        <f>SUMIF(Master_Data!$AK$4:$AK$145,CONCATENATE($C24,$FP$3),Master_Data!$R$4:$R$145)+SUMIF(Master_Data!$AK$152:$AK$864,CONCATENATE($C24,$FP$3),Master_Data!$R$152:$R$864)</f>
        <v>0</v>
      </c>
      <c r="FH24" s="310">
        <f>SUMIF(Master_Data!$AK$4:$AK$145,CONCATENATE($C24,$FP$3),Master_Data!$Q$4:$Q$145)+SUMIF(Master_Data!$AK$152:$AK$864,CONCATENATE($C24,$FP$3),Master_Data!$Q$152:$Q$864)</f>
        <v>0</v>
      </c>
      <c r="FI24" s="310">
        <f>SUMIF(Master_Data!$AK$4:$AK$145,CONCATENATE($C24,$FP$3),Master_Data!$U$4:$U$145)+SUMIF(Master_Data!$AK$152:$AK$864,CONCATENATE($C24,$FP$3),Master_Data!$U$152:$U$864)</f>
        <v>0</v>
      </c>
      <c r="FJ24" s="310">
        <f>SUMIF(Master_Data!$AK$4:$AK$145,CONCATENATE($C24,$FP$3),Master_Data!$S$4:$S$145)+SUMIF(Master_Data!$AK$152:$AK$864,CONCATENATE($C24,$FP$3),Master_Data!$S$152:$S$864)</f>
        <v>0</v>
      </c>
      <c r="FK24" s="39">
        <f>SUMIF(Master_Data!$AK$152:$AK$915,CONCATENATE($C24,FP$3),Master_Data!$T$152:$T$915)</f>
        <v>0</v>
      </c>
      <c r="FL24" s="310">
        <f t="shared" si="52"/>
        <v>330</v>
      </c>
      <c r="FM24" s="230">
        <f t="shared" si="53"/>
        <v>0</v>
      </c>
      <c r="FN24" s="23"/>
      <c r="FO24" s="358" t="str">
        <f t="shared" si="72"/>
        <v>J RESOURCES BOOLANG MONGONDOW, PTOKT</v>
      </c>
      <c r="FP24" s="24"/>
      <c r="FQ24" s="413"/>
      <c r="FR24" s="109">
        <f t="shared" si="42"/>
        <v>330</v>
      </c>
      <c r="FS24" s="109">
        <f t="shared" si="74"/>
        <v>0</v>
      </c>
      <c r="FT24" s="420"/>
      <c r="FU24" s="109">
        <f>SUMIF(Bill_Out!$Q$610:$Q$675,CONCATENATE($C24,$GG$3),Bill_Out!$N$610:$N$675)</f>
        <v>0</v>
      </c>
      <c r="FV24" s="109">
        <f>SUMIF(Bill_Out!$Q$610:$Q$675,CONCATENATE($C24,$GG$3),Bill_Out!$O$610:$O$675)</f>
        <v>0</v>
      </c>
      <c r="FW24" s="50"/>
      <c r="FX24" s="512">
        <f>SUMIF(Master_Data!$AK$4:$AK$145,CONCATENATE($C24,$GG$3),Master_Data!$R$4:$R$145)+SUMIF(Master_Data!$AK$152:$AK$864,CONCATENATE($C24,$GG$3),Master_Data!$R$152:$R$864)</f>
        <v>0</v>
      </c>
      <c r="FY24" s="512">
        <f>SUMIF(Master_Data!$AK$4:$AK$145,CONCATENATE($C24,$GG$3),Master_Data!$Q$4:$Q$145)+SUMIF(Master_Data!$AK$152:$AK$864,CONCATENATE($C24,$GG$3),Master_Data!$Q$152:$Q$864)</f>
        <v>0</v>
      </c>
      <c r="FZ24" s="512">
        <f>SUMIF(Master_Data!$AK$4:$AK$145,CONCATENATE($C24,$GG$3),Master_Data!$U$4:$U$145)+SUMIF(Master_Data!$AK$152:$AK$864,CONCATENATE($C24,$GG$3),Master_Data!$U$152:$U$864)</f>
        <v>0</v>
      </c>
      <c r="GA24" s="310">
        <f>SUMIF(Master_Data!$AK$4:$AK$145,CONCATENATE($C24,$GG$3),Master_Data!$S$4:$S$145)+SUMIF(Master_Data!$AK$152:$AK$864,CONCATENATE($C24,$GG$3),Master_Data!$S$152:$S$864)</f>
        <v>0</v>
      </c>
      <c r="GB24" s="39">
        <f>SUMIF(Master_Data!$AK$152:$AK$915,CONCATENATE($C24,GG$3),Master_Data!$T$152:$T$915)</f>
        <v>0</v>
      </c>
      <c r="GC24" s="230">
        <f t="shared" si="77"/>
        <v>330</v>
      </c>
      <c r="GD24" s="230">
        <f t="shared" si="14"/>
        <v>0</v>
      </c>
      <c r="GE24" s="23"/>
      <c r="GF24" s="358" t="str">
        <f t="shared" si="73"/>
        <v>J RESOURCES BOOLANG MONGONDOW, PTNOV</v>
      </c>
      <c r="GG24" s="24"/>
      <c r="GH24" s="413" t="s">
        <v>309</v>
      </c>
      <c r="GI24" s="109">
        <f t="shared" si="70"/>
        <v>330</v>
      </c>
      <c r="GJ24" s="109">
        <f t="shared" si="71"/>
        <v>0</v>
      </c>
      <c r="GK24" s="423"/>
      <c r="GL24" s="109">
        <f>SUMIF(Bill_Out!$Q$679:$Q$756,CONCATENATE($C24,$GX$3),Bill_Out!$N$679:$N$756)</f>
        <v>0</v>
      </c>
      <c r="GM24" s="109">
        <f>SUMIF(Bill_Out!$Q$679:$Q$756,CONCATENATE($C24,$GX$3),Bill_Out!$O$679:$O$756)</f>
        <v>0</v>
      </c>
      <c r="GN24" s="50"/>
      <c r="GO24" s="512">
        <f>SUMIF(Master_Data!$AK$4:$AK$145,CONCATENATE($C24,$GX$3),Master_Data!$R$4:$R$145)+SUMIF(Master_Data!$AK$152:$AK$864,CONCATENATE($C24,$GX$3),Master_Data!$R$152:$R$864)</f>
        <v>0</v>
      </c>
      <c r="GP24" s="512">
        <f>SUMIF(Master_Data!$AK$4:$AK$145,CONCATENATE($C24,$GX$3),Master_Data!$Q$4:$Q$145)+SUMIF(Master_Data!$AK$152:$AK$864,CONCATENATE($C24,$GX$3),Master_Data!$Q$152:$Q$864)</f>
        <v>0</v>
      </c>
      <c r="GQ24" s="512">
        <f>SUMIF(Master_Data!$AK$4:$AK$145,CONCATENATE($C24,$GX$3),Master_Data!$U$4:$U$145)+SUMIF(Master_Data!$AK$152:$AK$864,CONCATENATE($C24,$GX$3),Master_Data!$U$152:$U$864)</f>
        <v>0</v>
      </c>
      <c r="GR24" s="310">
        <f>SUMIF(Master_Data!$AK$4:$AK$145,CONCATENATE($C24,$GX$3),Master_Data!$S$4:$S$145)+SUMIF(Master_Data!$AK$152:$AK$864,CONCATENATE($C24,$GX$3),Master_Data!$S$152:$S$864)</f>
        <v>0</v>
      </c>
      <c r="GS24" s="39">
        <f>SUMIF(Master_Data!$AK$152:$AK$864,CONCATENATE($C24,GX$3),Master_Data!$T$152:$T$864)</f>
        <v>0</v>
      </c>
      <c r="GT24" s="534">
        <f t="shared" si="44"/>
        <v>330</v>
      </c>
      <c r="GU24" s="310">
        <f t="shared" si="16"/>
        <v>0</v>
      </c>
      <c r="GV24" s="23"/>
      <c r="GW24" s="358" t="str">
        <f t="shared" si="69"/>
        <v>J RESOURCES BOOLANG MONGONDOW, PTDES</v>
      </c>
      <c r="GX24" s="24"/>
    </row>
    <row r="25" spans="1:206" s="19" customFormat="1">
      <c r="A25" s="328" t="s">
        <v>38</v>
      </c>
      <c r="B25" s="236" t="str">
        <f t="shared" si="18"/>
        <v>JETCOMS NETINDO, PTJAN</v>
      </c>
      <c r="C25" s="8" t="s">
        <v>395</v>
      </c>
      <c r="D25" s="227"/>
      <c r="E25" s="238">
        <f>SUMIF(Master_Data!$D19:$D$145,CONCATENATE(C25),Master_Data!M19:M212)</f>
        <v>0</v>
      </c>
      <c r="F25" s="109">
        <f>SUMIF(Master_Data!$D23:$D$145,CONCATENATE(C25),Master_Data!N23:N197)</f>
        <v>0</v>
      </c>
      <c r="G25" s="31"/>
      <c r="H25" s="109">
        <f>SUMIF(Bill_Out!$Q$3:$Q$65,CONCATENATE($C25,$S$3),Bill_Out!$N$3:$N$65)</f>
        <v>0</v>
      </c>
      <c r="I25" s="88">
        <f>SUMIF(Bill_Out!$Q$3:$Q$65,CONCATENATE($C25,$S$3),Bill_Out!$O$3:$O$65)</f>
        <v>0</v>
      </c>
      <c r="J25" s="50"/>
      <c r="K25" s="29"/>
      <c r="L25" s="44"/>
      <c r="M25" s="230">
        <f>SUMIF(Master_Data!$AK22:$AK$145,CONCATENATE(C25,$S$3),Master_Data!U22:U217)+SUMIF(Master_Data!$AK227:$AK$864,CONCATENATE(C25,$S$3),Master_Data!U227:U927)</f>
        <v>0</v>
      </c>
      <c r="N25" s="310">
        <f>SUMIF(Master_Data!$AK$4:$AK$145,CONCATENATE(C25,$S$3),Master_Data!$S$4:$S$145)+SUMIF(Master_Data!$AK$150:$AK$864,CONCATENATE(C25,$S$3),Master_Data!$S$150:$S$864)</f>
        <v>0</v>
      </c>
      <c r="O25" s="310">
        <f>SUMIF(Master_Data!$AK$4:$AK$145,CONCATENATE(C25,$S$3),Master_Data!$T$4:$T$145)+SUMIF(Master_Data!$AK$150:$AK$864,CONCATENATE(C25,$S$3),Master_Data!$T$150:$T$864)</f>
        <v>0</v>
      </c>
      <c r="P25" s="230">
        <f t="shared" si="19"/>
        <v>0</v>
      </c>
      <c r="Q25" s="230">
        <f t="shared" si="20"/>
        <v>0</v>
      </c>
      <c r="R25" s="23"/>
      <c r="S25" s="24"/>
      <c r="T25" s="283"/>
      <c r="U25" s="109">
        <f t="shared" si="75"/>
        <v>0</v>
      </c>
      <c r="V25" s="109">
        <f t="shared" si="76"/>
        <v>0</v>
      </c>
      <c r="W25" s="54"/>
      <c r="X25" s="109">
        <f>SUMIF(Bill_Out!$Q$67:$Q$132,CONCATENATE($C25,$AJ$3),Bill_Out!$N$67:$N$132)</f>
        <v>0</v>
      </c>
      <c r="Y25" s="109">
        <f>SUMIF(Bill_Out!$Q$67:$Q$132,CONCATENATE($C25,$AJ$3),Bill_Out!$O$67:$O$132)</f>
        <v>0</v>
      </c>
      <c r="Z25" s="50"/>
      <c r="AA25" s="230">
        <f>SUMIF(Master_Data!$AK$4:$AK$145,CONCATENATE(C25,$AJ$3),Master_Data!$R$4:$R$145)+SUMIF(Master_Data!$AK$152:$AK$850,CONCATENATE(C25,$AJ$3),Master_Data!$R$152:$R$850)</f>
        <v>0</v>
      </c>
      <c r="AB25" s="230">
        <f>SUMIF(Master_Data!$AK$4:$AK$145,CONCATENATE(C25,$AJ$3),Master_Data!$Q$4:$Q$145)+SUMIF(Master_Data!$AK$152:$AK$850,CONCATENATE(C25,$AJ$3),Master_Data!$Q$152:$Q$850)</f>
        <v>0</v>
      </c>
      <c r="AC25" s="230">
        <f>SUMIF(Master_Data!$AK$4:$AK$145,CONCATENATE(C25,$AJ$3),Master_Data!$U$4:$U$145)+SUMIF(Master_Data!$AK$152:$AK$850,CONCATENATE(C25,$AJ$3),Master_Data!$U$152:$U$850)</f>
        <v>0</v>
      </c>
      <c r="AD25" s="310">
        <f ca="1">SUMIF(Master_Data!$AK$4:$AK$145,CONCATENATE(C25,$AJ$3),Master_Data!$S$4:$S$145)+SUMIF(Master_Data!$AK$152:$AK$864,CONCATENATE(C25,$AJ$3),Master_Data!$S$152:$S$850)</f>
        <v>0</v>
      </c>
      <c r="AE25" s="310">
        <f>SUMIF(Master_Data!$AK$4:$AK$145,CONCATENATE(C25,$AJ$3),Master_Data!$T$4:$T$145)+SUMIF(Master_Data!$AK$152:$AK$864,CONCATENATE(C25,$AJ$3),Master_Data!$T$152:$T$864)</f>
        <v>0</v>
      </c>
      <c r="AF25" s="230">
        <f t="shared" si="63"/>
        <v>0</v>
      </c>
      <c r="AG25" s="230">
        <f t="shared" ca="1" si="64"/>
        <v>0</v>
      </c>
      <c r="AH25" s="23"/>
      <c r="AI25" s="235" t="str">
        <f t="shared" si="3"/>
        <v>JETCOMS NETINDO, PTFEB</v>
      </c>
      <c r="AJ25" s="24"/>
      <c r="AK25" s="283"/>
      <c r="AL25" s="109">
        <f t="shared" si="65"/>
        <v>0</v>
      </c>
      <c r="AM25" s="109">
        <f t="shared" ca="1" si="66"/>
        <v>0</v>
      </c>
      <c r="AN25" s="31"/>
      <c r="AO25" s="109">
        <f>SUMIF(Bill_Out!$Q$134:$Q$188,CONCATENATE($C25,$BA$3),Bill_Out!$N$134:$N$188)</f>
        <v>0</v>
      </c>
      <c r="AP25" s="109">
        <f>SUMIF(Bill_Out!$Q$134:$Q$188,CONCATENATE($C25,$BA$3),Bill_Out!$O$134:$O$188)</f>
        <v>0</v>
      </c>
      <c r="AQ25" s="50"/>
      <c r="AR25" s="230">
        <f>SUMIF(Master_Data!$AK$4:$AK$145,CONCATENATE(C25,$BA$3),Master_Data!$R$4:$R$145)+SUMIF(Master_Data!$AK$152:$AK$864,CONCATENATE(C25,$BA$3),Master_Data!$R$152:$R$864)</f>
        <v>0</v>
      </c>
      <c r="AS25" s="230">
        <f>SUMIF(Master_Data!$AK$4:$AK$145,CONCATENATE(C25,$BA$3),Master_Data!$Q$4:$Q$145)+SUMIF(Master_Data!$AK$152:$AK$864,CONCATENATE(C25,$BA$3),Master_Data!$Q$152:$Q$864)</f>
        <v>0</v>
      </c>
      <c r="AT25" s="230">
        <f>SUMIF(Master_Data!$AK$4:$AK$145,CONCATENATE(C25,$BA$3),Master_Data!$U$4:$U$145)+SUMIF(Master_Data!$AK$152:$AK$864,CONCATENATE(C25,$BA$3),Master_Data!$U$152:$U$864)</f>
        <v>0</v>
      </c>
      <c r="AU25" s="230">
        <f ca="1">SUMIF(Master_Data!$AK$4:$AK$145,CONCATENATE(C25,$BA$3),Master_Data!$S$4:$S$145)+SUMIF(Master_Data!$AK$152:$AK$864,CONCATENATE(C25,$BA$3),Master_Data!$S$152:$S$850)</f>
        <v>0</v>
      </c>
      <c r="AV25" s="39">
        <f>SUMIF(Master_Data!$AK$152:$AK$864,CONCATENATE($C25,BA$3),Master_Data!$T$152:$T$864)</f>
        <v>0</v>
      </c>
      <c r="AW25" s="230">
        <f t="shared" si="57"/>
        <v>0</v>
      </c>
      <c r="AX25" s="230">
        <f t="shared" ca="1" si="58"/>
        <v>0</v>
      </c>
      <c r="AY25" s="23"/>
      <c r="AZ25" s="235" t="str">
        <f t="shared" si="21"/>
        <v>JETCOMS NETINDO, PTMAR</v>
      </c>
      <c r="BA25" s="24"/>
      <c r="BB25" s="259"/>
      <c r="BC25" s="109">
        <f t="shared" si="22"/>
        <v>0</v>
      </c>
      <c r="BD25" s="109">
        <f t="shared" ca="1" si="23"/>
        <v>0</v>
      </c>
      <c r="BE25" s="31"/>
      <c r="BF25" s="109">
        <f>SUMIF(Bill_Out!$Q$192:$Q$258,CONCATENATE($C25,$BR$3),Bill_Out!$N$192:$N$258)</f>
        <v>0</v>
      </c>
      <c r="BG25" s="109">
        <f>SUMIF(Bill_Out!$Q$192:$Q$258,CONCATENATE($C25,$BR$3),Bill_Out!$O$192:$O$258)</f>
        <v>0</v>
      </c>
      <c r="BH25" s="50"/>
      <c r="BI25" s="230">
        <f>SUMIF(Master_Data!$AK$4:$AK$145,CONCATENATE(C25,$BR$3),Master_Data!$R$4:$R$145)+SUMIF(Master_Data!$AK$152:$AK$864,CONCATENATE(C25,$BR$3),Master_Data!$R$152:$R$864)</f>
        <v>0</v>
      </c>
      <c r="BJ25" s="230">
        <f>SUMIF(Master_Data!$AK$4:$AK$145,CONCATENATE(C25,$BR$3),Master_Data!$Q$4:$Q$145)+SUMIF(Master_Data!$AK$152:$AK$864,CONCATENATE(C25,$BR$3),Master_Data!$Q$152:$Q$864)</f>
        <v>0</v>
      </c>
      <c r="BK25" s="230">
        <f>SUMIF(Master_Data!$AK$4:$AK$145,CONCATENATE(C25,$BR$3),Master_Data!$U$4:$U$145)+SUMIF(Master_Data!$AK$152:$AK$864,CONCATENATE(C25,$BR$3),Master_Data!$U$152:$U$864)</f>
        <v>0</v>
      </c>
      <c r="BL25" s="230">
        <f>SUMIF(Master_Data!$AK$4:$AK$145,CONCATENATE(C25,$BR$3),Master_Data!$S$4:$S$145)+SUMIF(Master_Data!$AK$152:$AK$864,CONCATENATE(C25,$BR$3),Master_Data!$S$152:$S$864)</f>
        <v>0</v>
      </c>
      <c r="BM25" s="39">
        <f>SUMIF(Master_Data!$AK$152:$AK$864,CONCATENATE($C25,BR$3),Master_Data!$T$152:$T$864)</f>
        <v>0</v>
      </c>
      <c r="BN25" s="230">
        <f t="shared" si="24"/>
        <v>0</v>
      </c>
      <c r="BO25" s="230">
        <f t="shared" ca="1" si="25"/>
        <v>0</v>
      </c>
      <c r="BP25" s="23"/>
      <c r="BQ25" s="909" t="str">
        <f t="shared" si="26"/>
        <v>JETCOMS NETINDO, PTAPR</v>
      </c>
      <c r="BR25" s="24"/>
      <c r="BS25" s="259"/>
      <c r="BT25" s="109">
        <f t="shared" ref="BT25:BT65" si="78">BN25</f>
        <v>0</v>
      </c>
      <c r="BU25" s="109">
        <f t="shared" ref="BU25:BU65" ca="1" si="79">BO25</f>
        <v>0</v>
      </c>
      <c r="BV25" s="31"/>
      <c r="BW25" s="109">
        <f>SUMIF(Bill_Out!$Q$263:$Q$314,CONCATENATE($C25,$CI$3),Bill_Out!$N$263:$N$314)</f>
        <v>0</v>
      </c>
      <c r="BX25" s="109">
        <f>SUMIF(Bill_Out!$Q$263:$Q$314,CONCATENATE($C25,$CI$3),Bill_Out!$O$263:$O$314)</f>
        <v>0</v>
      </c>
      <c r="BY25" s="50"/>
      <c r="BZ25" s="310">
        <f>SUMIF(Master_Data!$AK$4:$AK$145,CONCATENATE(C25,$CI$3),Master_Data!$R$4:$R$145)+SUMIF(Master_Data!$AK$152:$AK$864,CONCATENATE(C25,$CI$3),Master_Data!$R$152:$R$864)</f>
        <v>0</v>
      </c>
      <c r="CA25" s="310">
        <f>SUMIF(Master_Data!$AK$4:$AK$145,CONCATENATE(C25,$CI$3),Master_Data!$Q$4:$Q$145)+SUMIF(Master_Data!$AK$152:$AK$864,CONCATENATE(C25,$CI$3),Master_Data!$Q$152:$Q$864)</f>
        <v>0</v>
      </c>
      <c r="CB25" s="310">
        <f>SUMIF(Master_Data!$AK$4:$AK$145,CONCATENATE(C25,$CI$3),Master_Data!$U$4:$U$145)+SUMIF(Master_Data!$AK$152:$AK$864,CONCATENATE(C25,$CI$3),Master_Data!$U$152:$U$864)</f>
        <v>0</v>
      </c>
      <c r="CC25" s="230">
        <f>SUMIF(Master_Data!$AK$4:$AK$145,CONCATENATE(C25,$CI$3),Master_Data!$S$4:$S$145)+SUMIF(Master_Data!$AK$152:$AK$864,CONCATENATE(C25,$CI$3),Master_Data!$S$152:$S$864)</f>
        <v>0</v>
      </c>
      <c r="CD25" s="39">
        <f>SUMIF(Master_Data!$AK$152:$AK$864,CONCATENATE($C25,CI$3),Master_Data!$T$152:$T$864)</f>
        <v>0</v>
      </c>
      <c r="CE25" s="310">
        <f t="shared" si="27"/>
        <v>0</v>
      </c>
      <c r="CF25" s="230">
        <f t="shared" ca="1" si="28"/>
        <v>0</v>
      </c>
      <c r="CG25" s="23"/>
      <c r="CH25" s="235" t="str">
        <f t="shared" si="29"/>
        <v>JETCOMS NETINDO, PTMEI</v>
      </c>
      <c r="CI25" s="24"/>
      <c r="CJ25" s="259"/>
      <c r="CK25" s="109">
        <f t="shared" si="30"/>
        <v>0</v>
      </c>
      <c r="CL25" s="238">
        <f t="shared" ca="1" si="31"/>
        <v>0</v>
      </c>
      <c r="CM25" s="31"/>
      <c r="CN25" s="238">
        <f>SUMIF(Bill_Out!$Q$318:$Q$371,CONCATENATE($C25,$CZ$3),Bill_Out!$N$318:$N$371)</f>
        <v>0</v>
      </c>
      <c r="CO25" s="238">
        <f>SUMIF(Bill_Out!$Q$318:$Q$371,CONCATENATE($C25,$CZ$3),Bill_Out!$O$318:$O$371)</f>
        <v>0</v>
      </c>
      <c r="CP25" s="50"/>
      <c r="CQ25" s="230">
        <f>SUMIF(Master_Data!$AK$4:$AK$145,CONCATENATE($C25,$CZ$3),Master_Data!$R$4:$R$145)+SUMIF(Master_Data!$AK$152:$AK$864,CONCATENATE($C25,$CZ$3),Master_Data!$R$152:$R$864)</f>
        <v>0</v>
      </c>
      <c r="CR25" s="230">
        <f>SUMIF(Master_Data!$AK$4:$AK$145,CONCATENATE($C25,$CZ$3),Master_Data!$Q$4:$Q$145)+SUMIF(Master_Data!$AK$152:$AK$864,CONCATENATE($C25,$CZ$3),Master_Data!$Q$152:$Q$864)</f>
        <v>0</v>
      </c>
      <c r="CS25" s="230">
        <f>SUMIF(Master_Data!$AK$4:$AK$145,CONCATENATE($C25,$CZ$3),Master_Data!$U$4:$U$145)+SUMIF(Master_Data!$AK$152:$AK$864,CONCATENATE($C25,$CZ$3),Master_Data!$U$152:$U$864)</f>
        <v>0</v>
      </c>
      <c r="CT25" s="230">
        <f ca="1">SUMIF(Master_Data!$AK$4:$AK$145,CONCATENATE(C25,$CZ$3),Master_Data!$S$4:$S$145)+SUMIF(Master_Data!$AK$152:$AK$915,CONCATENATE(C25,$CZ$3),Master_Data!$S$152:$S$864)</f>
        <v>0</v>
      </c>
      <c r="CU25" s="1010">
        <f>SUMIF(Master_Data!$AK$4:$AK$145,CONCATENATE(C25,$CZ$3),Master_Data!$T$4:$T$145)+SUMIF(Master_Data!$AK$152:$AK$864,CONCATENATE(C25,$CZ$3),Master_Data!$T$152:$T$864)</f>
        <v>0</v>
      </c>
      <c r="CV25" s="230">
        <f t="shared" si="32"/>
        <v>0</v>
      </c>
      <c r="CW25" s="230">
        <f t="shared" ca="1" si="33"/>
        <v>0</v>
      </c>
      <c r="CX25" s="23"/>
      <c r="CY25" s="1007" t="str">
        <f t="shared" si="6"/>
        <v>JETCOMS NETINDO, PTJUN</v>
      </c>
      <c r="CZ25" s="24"/>
      <c r="DA25" s="259"/>
      <c r="DB25" s="109">
        <f t="shared" si="34"/>
        <v>0</v>
      </c>
      <c r="DC25" s="109">
        <f t="shared" ca="1" si="35"/>
        <v>0</v>
      </c>
      <c r="DD25" s="31"/>
      <c r="DE25" s="109">
        <f>SUMIF(Bill_Out!$Q$375:$Q$422,CONCATENATE($C25,$DQ$3),Bill_Out!$N$375:$N$422)</f>
        <v>0</v>
      </c>
      <c r="DF25" s="109">
        <f>SUMIF(Bill_Out!$Q$375:$Q$422,CONCATENATE($C25,$DQ$3),Bill_Out!$O$375:$O$422)</f>
        <v>0</v>
      </c>
      <c r="DG25" s="50"/>
      <c r="DH25" s="310">
        <f>SUMIF(Master_Data!$AK$4:$AK$145,CONCATENATE($C25,$DQ$3),Master_Data!$R$4:$R$145)+SUMIF(Master_Data!$AK$152:$AK$864,CONCATENATE($C25,$DQ$3),Master_Data!$R$152:$R$864)</f>
        <v>0</v>
      </c>
      <c r="DI25" s="310">
        <f>SUMIF(Master_Data!$AK$4:$AK$145,CONCATENATE($C25,$DQ$3),Master_Data!$Q$4:$Q$145)+SUMIF(Master_Data!$AK$152:$AK$864,CONCATENATE($C25,$DQ$3),Master_Data!$Q$152:$Q$864)</f>
        <v>0</v>
      </c>
      <c r="DJ25" s="310">
        <f>SUMIF(Master_Data!$AK$4:$AK$145,CONCATENATE($C25,$DQ$3),Master_Data!$U$4:$U$145)+SUMIF(Master_Data!$AK$152:$AK$864,CONCATENATE($C25,$DQ$3),Master_Data!$U$152:$U$864)</f>
        <v>0</v>
      </c>
      <c r="DK25" s="310">
        <f>SUMIF(Master_Data!$AK$4:$AK$145,CONCATENATE($C25,$DQ$3),Master_Data!$S$4:$S$145)+SUMIF(Master_Data!$AK$152:$AK$864,CONCATENATE($C25,$DQ$3),Master_Data!$S$152:$S$864)</f>
        <v>0</v>
      </c>
      <c r="DL25" s="39">
        <f>SUMIF(Master_Data!$AK$152:$AK$915,CONCATENATE($C25,DQ$3),Master_Data!$T$152:$T$915)</f>
        <v>0</v>
      </c>
      <c r="DM25" s="230">
        <f t="shared" si="67"/>
        <v>0</v>
      </c>
      <c r="DN25" s="230">
        <f t="shared" ca="1" si="68"/>
        <v>0</v>
      </c>
      <c r="DO25" s="23"/>
      <c r="DP25" s="358" t="str">
        <f t="shared" si="9"/>
        <v>JETCOMS NETINDO, PTJUL</v>
      </c>
      <c r="DQ25" s="24"/>
      <c r="DR25" s="390"/>
      <c r="DS25" s="109">
        <f t="shared" si="36"/>
        <v>0</v>
      </c>
      <c r="DT25" s="109">
        <f t="shared" ca="1" si="37"/>
        <v>0</v>
      </c>
      <c r="DU25" s="31"/>
      <c r="DV25" s="109">
        <f>SUMIF(Bill_Out!$Q$426:$Q$472,CONCATENATE($C25,$EH$3),Bill_Out!$N$426:$N$472)</f>
        <v>0</v>
      </c>
      <c r="DW25" s="109">
        <f>SUMIF(Bill_Out!$Q$426:$Q$472,CONCATENATE($C25,$EH$3),Bill_Out!$O$426:$O$472)</f>
        <v>0</v>
      </c>
      <c r="DX25" s="50"/>
      <c r="DY25" s="310">
        <f>SUMIF(Master_Data!$AK$4:$AK$145,CONCATENATE($C25,$EH$3),Master_Data!$R$4:$R$145)+SUMIF(Master_Data!$AK$152:$AK$864,CONCATENATE($C25,$EH$3),Master_Data!$R$152:$R$864)</f>
        <v>0</v>
      </c>
      <c r="DZ25" s="310">
        <f>SUMIF(Master_Data!$AK$4:$AK$145,CONCATENATE($C25,$EH$3),Master_Data!$Q$4:$Q$145)+SUMIF(Master_Data!$AK$152:$AK$864,CONCATENATE($C25,$EH$3),Master_Data!$Q$152:$Q$864)</f>
        <v>0</v>
      </c>
      <c r="EA25" s="310">
        <f>SUMIF(Master_Data!$AK$4:$AK$145,CONCATENATE($C25,$EH$3),Master_Data!$U$4:$U$145)+SUMIF(Master_Data!$AK$152:$AK$864,CONCATENATE($C25,$EH$3),Master_Data!$U$152:$U$864)</f>
        <v>0</v>
      </c>
      <c r="EB25" s="310">
        <f>SUMIF(Master_Data!$AK$4:$AK$145,CONCATENATE($C25,$EH$3),Master_Data!$S$4:$S$145)+SUMIF(Master_Data!$AK$152:$AK$864,CONCATENATE($C25,$EH$3),Master_Data!$S$152:$S$864)</f>
        <v>0</v>
      </c>
      <c r="EC25" s="39">
        <f>SUMIF(Master_Data!$AK$152:$AK$915,CONCATENATE($C25,EH$3),Master_Data!$T$152:$T$915)</f>
        <v>0</v>
      </c>
      <c r="ED25" s="310">
        <f t="shared" si="38"/>
        <v>0</v>
      </c>
      <c r="EE25" s="230">
        <f t="shared" ca="1" si="39"/>
        <v>0</v>
      </c>
      <c r="EF25" s="23"/>
      <c r="EG25" s="358" t="str">
        <f t="shared" si="10"/>
        <v>JETCOMS NETINDO, PTAGS</v>
      </c>
      <c r="EH25" s="24"/>
      <c r="EI25" s="390"/>
      <c r="EJ25" s="109">
        <f t="shared" si="47"/>
        <v>0</v>
      </c>
      <c r="EK25" s="109">
        <f t="shared" ca="1" si="48"/>
        <v>0</v>
      </c>
      <c r="EL25" s="84"/>
      <c r="EM25" s="109">
        <f>SUMIF(Bill_Out!$Q$476:$Q$530,CONCATENATE($C25,$EY$3),Bill_Out!$N$476:$N$530)</f>
        <v>0</v>
      </c>
      <c r="EN25" s="109">
        <f>SUMIF(Bill_Out!$Q$476:$Q$530,CONCATENATE($C25,$EY$3),Bill_Out!$O$476:$O$530)</f>
        <v>0</v>
      </c>
      <c r="EO25" s="309"/>
      <c r="EP25" s="310">
        <f>SUMIF(Master_Data!$AK$4:$AK$145,CONCATENATE($C25,$EY$3),Master_Data!$R$4:$R$145)+SUMIF(Master_Data!$AK$152:$AK$864,CONCATENATE($C25,$EY$3),Master_Data!$R$152:$R$864)</f>
        <v>0</v>
      </c>
      <c r="EQ25" s="310">
        <f>SUMIF(Master_Data!$AK$4:$AK$145,CONCATENATE($C25,$EY$3),Master_Data!$Q$4:$Q$145)+SUMIF(Master_Data!$AK$152:$AK$864,CONCATENATE($C25,$EY$3),Master_Data!$Q$152:$Q$864)</f>
        <v>0</v>
      </c>
      <c r="ER25" s="310">
        <f>SUMIF(Master_Data!$AK$4:$AK$145,CONCATENATE($C25,$EY$3),Master_Data!$U$4:$U$145)+SUMIF(Master_Data!$AK$152:$AK$864,CONCATENATE($C25,$EY$3),Master_Data!$U$152:$U$864)</f>
        <v>0</v>
      </c>
      <c r="ES25" s="310">
        <f>SUMIF(Master_Data!$AK$4:$AK$145,CONCATENATE($C25,$EY$3),Master_Data!$S$4:$S$145)+SUMIF(Master_Data!$AK$152:$AK$864,CONCATENATE($C25,$EY$3),Master_Data!$S$152:$S$864)</f>
        <v>0</v>
      </c>
      <c r="ET25" s="39">
        <f>SUMIF(Master_Data!$AK$152:$AK$915,CONCATENATE($C25,EY$3),Master_Data!$T$152:$T$915)</f>
        <v>0</v>
      </c>
      <c r="EU25" s="310">
        <f t="shared" si="49"/>
        <v>0</v>
      </c>
      <c r="EV25" s="230"/>
      <c r="EW25" s="84"/>
      <c r="EX25" s="358" t="str">
        <f t="shared" si="11"/>
        <v>JETCOMS NETINDO, PTSEP</v>
      </c>
      <c r="EY25" s="24"/>
      <c r="EZ25" s="412"/>
      <c r="FA25" s="109">
        <f t="shared" si="50"/>
        <v>0</v>
      </c>
      <c r="FB25" s="109">
        <f t="shared" si="51"/>
        <v>0</v>
      </c>
      <c r="FC25" s="421"/>
      <c r="FD25" s="109">
        <f>SUMIF(Bill_Out!$Q$534:$Q$606,CONCATENATE($C25,$FP$3),Bill_Out!$N$534:$N$606)</f>
        <v>0</v>
      </c>
      <c r="FE25" s="109">
        <f>SUMIF(Bill_Out!$Q$534:$Q$606,CONCATENATE($C25,$FP$3),Bill_Out!$O$534:$O$606)</f>
        <v>0</v>
      </c>
      <c r="FF25" s="309"/>
      <c r="FG25" s="310">
        <f>SUMIF(Master_Data!$AK$4:$AK$145,CONCATENATE($C25,$FP$3),Master_Data!$R$4:$R$145)+SUMIF(Master_Data!$AK$152:$AK$864,CONCATENATE($C25,$FP$3),Master_Data!$R$152:$R$864)</f>
        <v>0</v>
      </c>
      <c r="FH25" s="310">
        <f>SUMIF(Master_Data!$AK$4:$AK$145,CONCATENATE($C25,$FP$3),Master_Data!$Q$4:$Q$145)+SUMIF(Master_Data!$AK$152:$AK$864,CONCATENATE($C25,$FP$3),Master_Data!$Q$152:$Q$864)</f>
        <v>0</v>
      </c>
      <c r="FI25" s="310">
        <f>SUMIF(Master_Data!$AK$4:$AK$145,CONCATENATE($C25,$FP$3),Master_Data!$U$4:$U$145)+SUMIF(Master_Data!$AK$152:$AK$864,CONCATENATE($C25,$FP$3),Master_Data!$U$152:$U$864)</f>
        <v>0</v>
      </c>
      <c r="FJ25" s="310">
        <f>SUMIF(Master_Data!$AK$4:$AK$145,CONCATENATE($C25,$FP$3),Master_Data!$S$4:$S$145)+SUMIF(Master_Data!$AK$152:$AK$864,CONCATENATE($C25,$FP$3),Master_Data!$S$152:$S$864)</f>
        <v>0</v>
      </c>
      <c r="FK25" s="39">
        <f>SUMIF(Master_Data!$AK$152:$AK$915,CONCATENATE($C25,FP$3),Master_Data!$T$152:$T$915)</f>
        <v>0</v>
      </c>
      <c r="FL25" s="310">
        <f t="shared" si="52"/>
        <v>0</v>
      </c>
      <c r="FM25" s="230">
        <f t="shared" si="53"/>
        <v>0</v>
      </c>
      <c r="FN25" s="23"/>
      <c r="FO25" s="358" t="str">
        <f t="shared" si="72"/>
        <v>JETCOMS NETINDO, PTOKT</v>
      </c>
      <c r="FP25" s="24"/>
      <c r="FQ25" s="412"/>
      <c r="FR25" s="109">
        <f t="shared" si="42"/>
        <v>0</v>
      </c>
      <c r="FS25" s="109">
        <f t="shared" si="74"/>
        <v>0</v>
      </c>
      <c r="FT25" s="420"/>
      <c r="FU25" s="109">
        <f>SUMIF(Bill_Out!$Q$610:$Q$675,CONCATENATE($C25,$GG$3),Bill_Out!$N$610:$N$675)</f>
        <v>0</v>
      </c>
      <c r="FV25" s="109">
        <f>SUMIF(Bill_Out!$Q$610:$Q$675,CONCATENATE($C25,$GG$3),Bill_Out!$O$610:$O$675)</f>
        <v>0</v>
      </c>
      <c r="FW25" s="50"/>
      <c r="FX25" s="512">
        <f>SUMIF(Master_Data!$AK$4:$AK$145,CONCATENATE($C25,$GG$3),Master_Data!$R$4:$R$145)+SUMIF(Master_Data!$AK$152:$AK$864,CONCATENATE($C25,$GG$3),Master_Data!$R$152:$R$864)</f>
        <v>0</v>
      </c>
      <c r="FY25" s="512">
        <f>SUMIF(Master_Data!$AK$4:$AK$145,CONCATENATE($C25,$GG$3),Master_Data!$Q$4:$Q$145)+SUMIF(Master_Data!$AK$152:$AK$864,CONCATENATE($C25,$GG$3),Master_Data!$Q$152:$Q$864)</f>
        <v>0</v>
      </c>
      <c r="FZ25" s="512">
        <f>SUMIF(Master_Data!$AK$4:$AK$145,CONCATENATE($C25,$GG$3),Master_Data!$U$4:$U$145)+SUMIF(Master_Data!$AK$152:$AK$864,CONCATENATE($C25,$GG$3),Master_Data!$U$152:$U$864)</f>
        <v>0</v>
      </c>
      <c r="GA25" s="310">
        <f>SUMIF(Master_Data!$AK$4:$AK$145,CONCATENATE($C25,$GG$3),Master_Data!$S$4:$S$145)+SUMIF(Master_Data!$AK$152:$AK$864,CONCATENATE($C25,$GG$3),Master_Data!$S$152:$S$864)</f>
        <v>0</v>
      </c>
      <c r="GB25" s="39">
        <f>SUMIF(Master_Data!$AK$152:$AK$915,CONCATENATE($C25,GG$3),Master_Data!$T$152:$T$915)</f>
        <v>0</v>
      </c>
      <c r="GC25" s="230">
        <f t="shared" si="77"/>
        <v>0</v>
      </c>
      <c r="GD25" s="230">
        <f t="shared" si="14"/>
        <v>0</v>
      </c>
      <c r="GE25" s="23"/>
      <c r="GF25" s="358" t="str">
        <f t="shared" si="73"/>
        <v>JETCOMS NETINDO, PTNOV</v>
      </c>
      <c r="GG25" s="24"/>
      <c r="GH25" s="412"/>
      <c r="GI25" s="109">
        <f t="shared" si="70"/>
        <v>0</v>
      </c>
      <c r="GJ25" s="109">
        <f t="shared" si="71"/>
        <v>0</v>
      </c>
      <c r="GK25" s="423"/>
      <c r="GL25" s="109">
        <f>SUMIF(Bill_Out!$Q$679:$Q$756,CONCATENATE($C25,$GX$3),Bill_Out!$N$679:$N$756)</f>
        <v>0</v>
      </c>
      <c r="GM25" s="109">
        <f>SUMIF(Bill_Out!$Q$679:$Q$756,CONCATENATE($C25,$GX$3),Bill_Out!$O$679:$O$756)</f>
        <v>0</v>
      </c>
      <c r="GN25" s="50"/>
      <c r="GO25" s="512">
        <f>SUMIF(Master_Data!$AK$4:$AK$145,CONCATENATE($C25,$GX$3),Master_Data!$R$4:$R$145)+SUMIF(Master_Data!$AK$152:$AK$864,CONCATENATE($C25,$GX$3),Master_Data!$R$152:$R$864)</f>
        <v>0</v>
      </c>
      <c r="GP25" s="512">
        <f>SUMIF(Master_Data!$AK$4:$AK$145,CONCATENATE($C25,$GX$3),Master_Data!$Q$4:$Q$145)+SUMIF(Master_Data!$AK$152:$AK$864,CONCATENATE($C25,$GX$3),Master_Data!$Q$152:$Q$864)</f>
        <v>0</v>
      </c>
      <c r="GQ25" s="512">
        <f>SUMIF(Master_Data!$AK$4:$AK$145,CONCATENATE($C25,$GX$3),Master_Data!$U$4:$U$145)+SUMIF(Master_Data!$AK$152:$AK$864,CONCATENATE($C25,$GX$3),Master_Data!$U$152:$U$864)</f>
        <v>0</v>
      </c>
      <c r="GR25" s="310">
        <f>SUMIF(Master_Data!$AK$4:$AK$145,CONCATENATE($C25,$GX$3),Master_Data!$S$4:$S$145)+SUMIF(Master_Data!$AK$152:$AK$864,CONCATENATE($C25,$GX$3),Master_Data!$S$152:$S$864)</f>
        <v>0</v>
      </c>
      <c r="GS25" s="39">
        <f>SUMIF(Master_Data!$AK$152:$AK$864,CONCATENATE($C25,GX$3),Master_Data!$T$152:$T$864)</f>
        <v>0</v>
      </c>
      <c r="GT25" s="534">
        <f t="shared" si="44"/>
        <v>0</v>
      </c>
      <c r="GU25" s="310">
        <f t="shared" si="16"/>
        <v>0</v>
      </c>
      <c r="GV25" s="23"/>
      <c r="GW25" s="358" t="str">
        <f t="shared" si="69"/>
        <v>JETCOMS NETINDO, PTDES</v>
      </c>
      <c r="GX25" s="24"/>
    </row>
    <row r="26" spans="1:206" s="19" customFormat="1">
      <c r="A26" s="21" t="s">
        <v>34</v>
      </c>
      <c r="B26" s="236" t="str">
        <f t="shared" si="18"/>
        <v>KALIMANTAN PRIMA PERSADA, PTJAN</v>
      </c>
      <c r="C26" s="22" t="s">
        <v>121</v>
      </c>
      <c r="D26" s="52" t="s">
        <v>310</v>
      </c>
      <c r="E26" s="238">
        <f>SUMIF(Master_Data!$D20:$D$145,CONCATENATE(C26),Master_Data!M20:M217)</f>
        <v>0</v>
      </c>
      <c r="F26" s="109">
        <f>SUMIF(Master_Data!$D24:$D$145,CONCATENATE(C26),Master_Data!N24:N198)</f>
        <v>121550000</v>
      </c>
      <c r="G26" s="31"/>
      <c r="H26" s="109">
        <f>SUMIF(Bill_Out!$Q$3:$Q$65,CONCATENATE($C26,$S$3),Bill_Out!$N$3:$N$65)</f>
        <v>0</v>
      </c>
      <c r="I26" s="88" t="e">
        <f>SUMIF(Bill_Out!$Q$3:$Q$65,CONCATENATE($C26,$S$3),Bill_Out!$O$3:$O$65)</f>
        <v>#VALUE!</v>
      </c>
      <c r="J26" s="50"/>
      <c r="K26" s="29"/>
      <c r="L26" s="44"/>
      <c r="M26" s="230">
        <f>SUMIF(Master_Data!$AK23:$AK$145,CONCATENATE(C26,$S$3),Master_Data!U23:U218)+SUMIF(Master_Data!$AK228:$AK$864,CONCATENATE(C26,$S$3),Master_Data!U228:U928)</f>
        <v>119340000</v>
      </c>
      <c r="N26" s="310">
        <f>SUMIF(Master_Data!$AK$4:$AK$145,CONCATENATE(C26,$S$3),Master_Data!$S$4:$S$145)+SUMIF(Master_Data!$AK$150:$AK$864,CONCATENATE(C26,$S$3),Master_Data!$S$150:$S$864)</f>
        <v>0</v>
      </c>
      <c r="O26" s="310">
        <f>SUMIF(Master_Data!$AK$4:$AK$145,CONCATENATE(C26,$S$3),Master_Data!$T$4:$T$145)+SUMIF(Master_Data!$AK$150:$AK$864,CONCATENATE(C26,$S$3),Master_Data!$T$150:$T$864)</f>
        <v>-2210000</v>
      </c>
      <c r="P26" s="230">
        <f t="shared" si="19"/>
        <v>0</v>
      </c>
      <c r="Q26" s="230" t="e">
        <f t="shared" si="20"/>
        <v>#VALUE!</v>
      </c>
      <c r="R26" s="23"/>
      <c r="S26" s="24"/>
      <c r="T26" s="259"/>
      <c r="U26" s="109">
        <f t="shared" si="75"/>
        <v>0</v>
      </c>
      <c r="V26" s="109" t="e">
        <f t="shared" si="76"/>
        <v>#VALUE!</v>
      </c>
      <c r="W26" s="54"/>
      <c r="X26" s="109">
        <f>SUMIF(Bill_Out!$Q$67:$Q$132,CONCATENATE($C26,$AJ$3),Bill_Out!$N$67:$N$132)</f>
        <v>0</v>
      </c>
      <c r="Y26" s="109" t="e">
        <f>SUMIF(Bill_Out!$Q$67:$Q$132,CONCATENATE($C26,$AJ$3),Bill_Out!$O$67:$O$132)</f>
        <v>#VALUE!</v>
      </c>
      <c r="Z26" s="50"/>
      <c r="AA26" s="230">
        <f>SUMIF(Master_Data!$AK$4:$AK$145,CONCATENATE(C26,$AJ$3),Master_Data!$R$4:$R$145)+SUMIF(Master_Data!$AK$152:$AK$850,CONCATENATE(C26,$AJ$3),Master_Data!$R$152:$R$850)</f>
        <v>0</v>
      </c>
      <c r="AB26" s="230">
        <f>SUMIF(Master_Data!$AK$4:$AK$145,CONCATENATE(C26,$AJ$3),Master_Data!$Q$4:$Q$145)+SUMIF(Master_Data!$AK$152:$AK$850,CONCATENATE(C26,$AJ$3),Master_Data!$Q$152:$Q$850)</f>
        <v>0</v>
      </c>
      <c r="AC26" s="230">
        <f>SUMIF(Master_Data!$AK$4:$AK$145,CONCATENATE(C26,$AJ$3),Master_Data!$U$4:$U$145)+SUMIF(Master_Data!$AK$152:$AK$850,CONCATENATE(C26,$AJ$3),Master_Data!$U$152:$U$850)</f>
        <v>0</v>
      </c>
      <c r="AD26" s="310">
        <f ca="1">SUMIF(Master_Data!$AK$4:$AK$145,CONCATENATE(C26,$AJ$3),Master_Data!$S$4:$S$145)+SUMIF(Master_Data!$AK$152:$AK$864,CONCATENATE(C26,$AJ$3),Master_Data!$S$152:$S$850)</f>
        <v>0</v>
      </c>
      <c r="AE26" s="310">
        <f>SUMIF(Master_Data!$AK$4:$AK$145,CONCATENATE(C26,$AJ$3),Master_Data!$T$4:$T$145)+SUMIF(Master_Data!$AK$152:$AK$864,CONCATENATE(C26,$AJ$3),Master_Data!$T$152:$T$864)</f>
        <v>0</v>
      </c>
      <c r="AF26" s="230">
        <f t="shared" si="63"/>
        <v>0</v>
      </c>
      <c r="AG26" s="230" t="e">
        <f t="shared" ca="1" si="64"/>
        <v>#VALUE!</v>
      </c>
      <c r="AH26" s="23"/>
      <c r="AI26" s="235" t="str">
        <f t="shared" si="3"/>
        <v>KALIMANTAN PRIMA PERSADA, PTFEB</v>
      </c>
      <c r="AJ26" s="24"/>
      <c r="AK26" s="259"/>
      <c r="AL26" s="109">
        <f t="shared" si="65"/>
        <v>0</v>
      </c>
      <c r="AM26" s="109" t="e">
        <f t="shared" ca="1" si="66"/>
        <v>#VALUE!</v>
      </c>
      <c r="AN26" s="31"/>
      <c r="AO26" s="109">
        <f>SUMIF(Bill_Out!$Q$134:$Q$188,CONCATENATE($C26,$BA$3),Bill_Out!$N$134:$N$188)</f>
        <v>0</v>
      </c>
      <c r="AP26" s="109" t="e">
        <f>SUMIF(Bill_Out!$Q$134:$Q$188,CONCATENATE($C26,$BA$3),Bill_Out!$O$134:$O$188)</f>
        <v>#VALUE!</v>
      </c>
      <c r="AQ26" s="50"/>
      <c r="AR26" s="230">
        <f>SUMIF(Master_Data!$AK$4:$AK$145,CONCATENATE(C26,$BA$3),Master_Data!$R$4:$R$145)+SUMIF(Master_Data!$AK$152:$AK$864,CONCATENATE(C26,$BA$3),Master_Data!$R$152:$R$864)</f>
        <v>0</v>
      </c>
      <c r="AS26" s="230">
        <f>SUMIF(Master_Data!$AK$4:$AK$145,CONCATENATE(C26,$BA$3),Master_Data!$Q$4:$Q$145)+SUMIF(Master_Data!$AK$152:$AK$864,CONCATENATE(C26,$BA$3),Master_Data!$Q$152:$Q$864)</f>
        <v>0</v>
      </c>
      <c r="AT26" s="230">
        <f>SUMIF(Master_Data!$AK$4:$AK$145,CONCATENATE(C26,$BA$3),Master_Data!$U$4:$U$145)+SUMIF(Master_Data!$AK$152:$AK$864,CONCATENATE(C26,$BA$3),Master_Data!$U$152:$U$864)</f>
        <v>56160000</v>
      </c>
      <c r="AU26" s="230">
        <f ca="1">SUMIF(Master_Data!$AK$4:$AK$145,CONCATENATE(C26,$BA$3),Master_Data!$S$4:$S$145)+SUMIF(Master_Data!$AK$152:$AK$864,CONCATENATE(C26,$BA$3),Master_Data!$S$152:$S$850)</f>
        <v>0</v>
      </c>
      <c r="AV26" s="39">
        <f>SUMIF(Master_Data!$AK$152:$AK$864,CONCATENATE($C26,BA$3),Master_Data!$T$152:$T$864)</f>
        <v>-1040000</v>
      </c>
      <c r="AW26" s="230">
        <f t="shared" si="57"/>
        <v>0</v>
      </c>
      <c r="AX26" s="230" t="e">
        <f t="shared" ca="1" si="58"/>
        <v>#VALUE!</v>
      </c>
      <c r="AY26" s="23"/>
      <c r="AZ26" s="235" t="str">
        <f t="shared" si="21"/>
        <v>KALIMANTAN PRIMA PERSADA, PTMAR</v>
      </c>
      <c r="BA26" s="24"/>
      <c r="BB26" s="259"/>
      <c r="BC26" s="109">
        <f t="shared" si="22"/>
        <v>0</v>
      </c>
      <c r="BD26" s="109" t="e">
        <f t="shared" ca="1" si="23"/>
        <v>#VALUE!</v>
      </c>
      <c r="BE26" s="31"/>
      <c r="BF26" s="109">
        <f>SUMIF(Bill_Out!$Q$192:$Q$258,CONCATENATE($C26,$BR$3),Bill_Out!$N$192:$N$258)</f>
        <v>0</v>
      </c>
      <c r="BG26" s="109" t="e">
        <f>SUMIF(Bill_Out!$Q$192:$Q$258,CONCATENATE($C26,$BR$3),Bill_Out!$O$192:$O$258)</f>
        <v>#VALUE!</v>
      </c>
      <c r="BH26" s="50"/>
      <c r="BI26" s="230">
        <f>SUMIF(Master_Data!$AK$4:$AK$145,CONCATENATE(C26,$BR$3),Master_Data!$R$4:$R$145)+SUMIF(Master_Data!$AK$152:$AK$864,CONCATENATE(C26,$BR$3),Master_Data!$R$152:$R$864)</f>
        <v>0</v>
      </c>
      <c r="BJ26" s="230">
        <f>SUMIF(Master_Data!$AK$4:$AK$145,CONCATENATE(C26,$BR$3),Master_Data!$Q$4:$Q$145)+SUMIF(Master_Data!$AK$152:$AK$864,CONCATENATE(C26,$BR$3),Master_Data!$Q$152:$Q$864)</f>
        <v>0</v>
      </c>
      <c r="BK26" s="230">
        <f>SUMIF(Master_Data!$AK$4:$AK$145,CONCATENATE(C26,$BR$3),Master_Data!$U$4:$U$145)+SUMIF(Master_Data!$AK$152:$AK$864,CONCATENATE(C26,$BR$3),Master_Data!$U$152:$U$864)</f>
        <v>68040000</v>
      </c>
      <c r="BL26" s="230">
        <f>SUMIF(Master_Data!$AK$4:$AK$145,CONCATENATE(C26,$BR$3),Master_Data!$S$4:$S$145)+SUMIF(Master_Data!$AK$152:$AK$864,CONCATENATE(C26,$BR$3),Master_Data!$S$152:$S$864)</f>
        <v>0</v>
      </c>
      <c r="BM26" s="39">
        <f>SUMIF(Master_Data!$AK$152:$AK$864,CONCATENATE($C26,BR$3),Master_Data!$T$152:$T$864)</f>
        <v>-1260000</v>
      </c>
      <c r="BN26" s="230">
        <f t="shared" si="24"/>
        <v>0</v>
      </c>
      <c r="BO26" s="230" t="e">
        <f t="shared" ca="1" si="25"/>
        <v>#VALUE!</v>
      </c>
      <c r="BP26" s="23"/>
      <c r="BQ26" s="909" t="str">
        <f t="shared" si="26"/>
        <v>KALIMANTAN PRIMA PERSADA, PTAPR</v>
      </c>
      <c r="BR26" s="24"/>
      <c r="BS26" s="259"/>
      <c r="BT26" s="109">
        <f t="shared" si="78"/>
        <v>0</v>
      </c>
      <c r="BU26" s="109" t="e">
        <f t="shared" ca="1" si="79"/>
        <v>#VALUE!</v>
      </c>
      <c r="BV26" s="31"/>
      <c r="BW26" s="109">
        <f>SUMIF(Bill_Out!$Q$263:$Q$314,CONCATENATE($C26,$CI$3),Bill_Out!$N$263:$N$314)</f>
        <v>0</v>
      </c>
      <c r="BX26" s="109" t="e">
        <f>SUMIF(Bill_Out!$Q$263:$Q$314,CONCATENATE($C26,$CI$3),Bill_Out!$O$263:$O$314)</f>
        <v>#VALUE!</v>
      </c>
      <c r="BY26" s="50"/>
      <c r="BZ26" s="310">
        <f>SUMIF(Master_Data!$AK$4:$AK$145,CONCATENATE(C26,$CI$3),Master_Data!$R$4:$R$145)+SUMIF(Master_Data!$AK$152:$AK$864,CONCATENATE(C26,$CI$3),Master_Data!$R$152:$R$864)</f>
        <v>0</v>
      </c>
      <c r="CA26" s="310">
        <f>SUMIF(Master_Data!$AK$4:$AK$145,CONCATENATE(C26,$CI$3),Master_Data!$Q$4:$Q$145)+SUMIF(Master_Data!$AK$152:$AK$864,CONCATENATE(C26,$CI$3),Master_Data!$Q$152:$Q$864)</f>
        <v>0</v>
      </c>
      <c r="CB26" s="310">
        <f>SUMIF(Master_Data!$AK$4:$AK$145,CONCATENATE(C26,$CI$3),Master_Data!$U$4:$U$145)+SUMIF(Master_Data!$AK$152:$AK$864,CONCATENATE(C26,$CI$3),Master_Data!$U$152:$U$864)</f>
        <v>89640000</v>
      </c>
      <c r="CC26" s="230">
        <f>SUMIF(Master_Data!$AK$4:$AK$145,CONCATENATE(C26,$CI$3),Master_Data!$S$4:$S$145)+SUMIF(Master_Data!$AK$152:$AK$864,CONCATENATE(C26,$CI$3),Master_Data!$S$152:$S$864)</f>
        <v>0</v>
      </c>
      <c r="CD26" s="39">
        <f>SUMIF(Master_Data!$AK$152:$AK$864,CONCATENATE($C26,CI$3),Master_Data!$T$152:$T$864)</f>
        <v>-1660000</v>
      </c>
      <c r="CE26" s="310">
        <f t="shared" si="27"/>
        <v>0</v>
      </c>
      <c r="CF26" s="230" t="e">
        <f t="shared" ca="1" si="28"/>
        <v>#VALUE!</v>
      </c>
      <c r="CG26" s="23"/>
      <c r="CH26" s="235" t="str">
        <f t="shared" si="29"/>
        <v>KALIMANTAN PRIMA PERSADA, PTMEI</v>
      </c>
      <c r="CI26" s="24"/>
      <c r="CJ26" s="259"/>
      <c r="CK26" s="109">
        <f t="shared" si="30"/>
        <v>0</v>
      </c>
      <c r="CL26" s="238" t="e">
        <f t="shared" ca="1" si="31"/>
        <v>#VALUE!</v>
      </c>
      <c r="CM26" s="31"/>
      <c r="CN26" s="238">
        <f>SUMIF(Bill_Out!$Q$318:$Q$371,CONCATENATE($C26,$CZ$3),Bill_Out!$N$318:$N$371)</f>
        <v>0</v>
      </c>
      <c r="CO26" s="238" t="e">
        <f>SUMIF(Bill_Out!$Q$318:$Q$371,CONCATENATE($C26,$CZ$3),Bill_Out!$O$318:$O$371)</f>
        <v>#VALUE!</v>
      </c>
      <c r="CP26" s="50"/>
      <c r="CQ26" s="230">
        <f>SUMIF(Master_Data!$AK$4:$AK$145,CONCATENATE($C26,$CZ$3),Master_Data!$R$4:$R$145)+SUMIF(Master_Data!$AK$152:$AK$864,CONCATENATE($C26,$CZ$3),Master_Data!$R$152:$R$864)</f>
        <v>0</v>
      </c>
      <c r="CR26" s="230">
        <f>SUMIF(Master_Data!$AK$4:$AK$145,CONCATENATE($C26,$CZ$3),Master_Data!$Q$4:$Q$145)+SUMIF(Master_Data!$AK$152:$AK$864,CONCATENATE($C26,$CZ$3),Master_Data!$Q$152:$Q$864)</f>
        <v>0</v>
      </c>
      <c r="CS26" s="230">
        <f>SUMIF(Master_Data!$AK$4:$AK$145,CONCATENATE($C26,$CZ$3),Master_Data!$U$4:$U$145)+SUMIF(Master_Data!$AK$152:$AK$864,CONCATENATE($C26,$CZ$3),Master_Data!$U$152:$U$864)</f>
        <v>58050000</v>
      </c>
      <c r="CT26" s="230">
        <f ca="1">SUMIF(Master_Data!$AK$4:$AK$145,CONCATENATE(C26,$CZ$3),Master_Data!$S$4:$S$145)+SUMIF(Master_Data!$AK$152:$AK$915,CONCATENATE(C26,$CZ$3),Master_Data!$S$152:$S$864)</f>
        <v>0</v>
      </c>
      <c r="CU26" s="1010">
        <f>SUMIF(Master_Data!$AK$4:$AK$145,CONCATENATE(C26,$CZ$3),Master_Data!$T$4:$T$145)+SUMIF(Master_Data!$AK$152:$AK$864,CONCATENATE(C26,$CZ$3),Master_Data!$T$152:$T$864)</f>
        <v>-1075000</v>
      </c>
      <c r="CV26" s="230">
        <f t="shared" si="32"/>
        <v>0</v>
      </c>
      <c r="CW26" s="230" t="e">
        <f t="shared" ca="1" si="33"/>
        <v>#VALUE!</v>
      </c>
      <c r="CX26" s="23"/>
      <c r="CY26" s="1007" t="str">
        <f t="shared" si="6"/>
        <v>KALIMANTAN PRIMA PERSADA, PTJUN</v>
      </c>
      <c r="CZ26" s="24"/>
      <c r="DA26" s="259"/>
      <c r="DB26" s="109">
        <f t="shared" si="34"/>
        <v>0</v>
      </c>
      <c r="DC26" s="109" t="e">
        <f t="shared" ca="1" si="35"/>
        <v>#VALUE!</v>
      </c>
      <c r="DD26" s="31"/>
      <c r="DE26" s="109">
        <f>SUMIF(Bill_Out!$Q$375:$Q$422,CONCATENATE($C26,$DQ$3),Bill_Out!$N$375:$N$422)</f>
        <v>0</v>
      </c>
      <c r="DF26" s="109" t="e">
        <f>SUMIF(Bill_Out!$Q$375:$Q$422,CONCATENATE($C26,$DQ$3),Bill_Out!$O$375:$O$422)</f>
        <v>#VALUE!</v>
      </c>
      <c r="DG26" s="50"/>
      <c r="DH26" s="310">
        <f>SUMIF(Master_Data!$AK$4:$AK$145,CONCATENATE($C26,$DQ$3),Master_Data!$R$4:$R$145)+SUMIF(Master_Data!$AK$152:$AK$864,CONCATENATE($C26,$DQ$3),Master_Data!$R$152:$R$864)</f>
        <v>0</v>
      </c>
      <c r="DI26" s="310">
        <f>SUMIF(Master_Data!$AK$4:$AK$145,CONCATENATE($C26,$DQ$3),Master_Data!$Q$4:$Q$145)+SUMIF(Master_Data!$AK$152:$AK$864,CONCATENATE($C26,$DQ$3),Master_Data!$Q$152:$Q$864)</f>
        <v>0</v>
      </c>
      <c r="DJ26" s="310">
        <f>SUMIF(Master_Data!$AK$4:$AK$145,CONCATENATE($C26,$DQ$3),Master_Data!$U$4:$U$145)+SUMIF(Master_Data!$AK$152:$AK$864,CONCATENATE($C26,$DQ$3),Master_Data!$U$152:$U$864)</f>
        <v>94635000</v>
      </c>
      <c r="DK26" s="310">
        <f>SUMIF(Master_Data!$AK$4:$AK$145,CONCATENATE($C26,$DQ$3),Master_Data!$S$4:$S$145)+SUMIF(Master_Data!$AK$152:$AK$864,CONCATENATE($C26,$DQ$3),Master_Data!$S$152:$S$864)</f>
        <v>0</v>
      </c>
      <c r="DL26" s="39">
        <f>SUMIF(Master_Data!$AK$152:$AK$915,CONCATENATE($C26,DQ$3),Master_Data!$T$152:$T$915)</f>
        <v>-1752500</v>
      </c>
      <c r="DM26" s="230">
        <f t="shared" si="67"/>
        <v>0</v>
      </c>
      <c r="DN26" s="230" t="e">
        <f t="shared" ca="1" si="68"/>
        <v>#VALUE!</v>
      </c>
      <c r="DO26" s="23"/>
      <c r="DP26" s="358" t="str">
        <f t="shared" si="9"/>
        <v>KALIMANTAN PRIMA PERSADA, PTJUL</v>
      </c>
      <c r="DQ26" s="24"/>
      <c r="DR26" s="390"/>
      <c r="DS26" s="109">
        <f t="shared" si="36"/>
        <v>0</v>
      </c>
      <c r="DT26" s="109" t="e">
        <f t="shared" ca="1" si="37"/>
        <v>#VALUE!</v>
      </c>
      <c r="DU26" s="31"/>
      <c r="DV26" s="109">
        <f>SUMIF(Bill_Out!$Q$426:$Q$472,CONCATENATE($C26,$EH$3),Bill_Out!$N$426:$N$472)</f>
        <v>0</v>
      </c>
      <c r="DW26" s="109" t="e">
        <f>SUMIF(Bill_Out!$Q$426:$Q$472,CONCATENATE($C26,$EH$3),Bill_Out!$O$426:$O$472)</f>
        <v>#VALUE!</v>
      </c>
      <c r="DX26" s="50"/>
      <c r="DY26" s="310">
        <f>SUMIF(Master_Data!$AK$4:$AK$145,CONCATENATE($C26,$EH$3),Master_Data!$R$4:$R$145)+SUMIF(Master_Data!$AK$152:$AK$864,CONCATENATE($C26,$EH$3),Master_Data!$R$152:$R$864)</f>
        <v>0</v>
      </c>
      <c r="DZ26" s="310">
        <f>SUMIF(Master_Data!$AK$4:$AK$145,CONCATENATE($C26,$EH$3),Master_Data!$Q$4:$Q$145)+SUMIF(Master_Data!$AK$152:$AK$864,CONCATENATE($C26,$EH$3),Master_Data!$Q$152:$Q$864)</f>
        <v>0</v>
      </c>
      <c r="EA26" s="310">
        <f>SUMIF(Master_Data!$AK$4:$AK$145,CONCATENATE($C26,$EH$3),Master_Data!$U$4:$U$145)+SUMIF(Master_Data!$AK$152:$AK$864,CONCATENATE($C26,$EH$3),Master_Data!$U$152:$U$864)</f>
        <v>0</v>
      </c>
      <c r="EB26" s="310">
        <f>SUMIF(Master_Data!$AK$4:$AK$145,CONCATENATE($C26,$EH$3),Master_Data!$S$4:$S$145)+SUMIF(Master_Data!$AK$152:$AK$864,CONCATENATE($C26,$EH$3),Master_Data!$S$152:$S$864)</f>
        <v>0</v>
      </c>
      <c r="EC26" s="39">
        <f>SUMIF(Master_Data!$AK$152:$AK$915,CONCATENATE($C26,EH$3),Master_Data!$T$152:$T$915)</f>
        <v>0</v>
      </c>
      <c r="ED26" s="310">
        <f t="shared" si="38"/>
        <v>0</v>
      </c>
      <c r="EE26" s="230" t="e">
        <f t="shared" ca="1" si="39"/>
        <v>#VALUE!</v>
      </c>
      <c r="EF26" s="23"/>
      <c r="EG26" s="358" t="str">
        <f t="shared" si="10"/>
        <v>KALIMANTAN PRIMA PERSADA, PTAGS</v>
      </c>
      <c r="EH26" s="24"/>
      <c r="EI26" s="390"/>
      <c r="EJ26" s="109">
        <f t="shared" si="47"/>
        <v>0</v>
      </c>
      <c r="EK26" s="109" t="e">
        <f t="shared" ca="1" si="48"/>
        <v>#VALUE!</v>
      </c>
      <c r="EL26" s="84"/>
      <c r="EM26" s="109">
        <f>SUMIF(Bill_Out!$Q$476:$Q$530,CONCATENATE($C26,$EY$3),Bill_Out!$N$476:$N$530)</f>
        <v>0</v>
      </c>
      <c r="EN26" s="109" t="e">
        <f>SUMIF(Bill_Out!$Q$476:$Q$530,CONCATENATE($C26,$EY$3),Bill_Out!$O$476:$O$530)</f>
        <v>#VALUE!</v>
      </c>
      <c r="EO26" s="309"/>
      <c r="EP26" s="310">
        <f>SUMIF(Master_Data!$AK$4:$AK$145,CONCATENATE($C26,$EY$3),Master_Data!$R$4:$R$145)+SUMIF(Master_Data!$AK$152:$AK$864,CONCATENATE($C26,$EY$3),Master_Data!$R$152:$R$864)</f>
        <v>0</v>
      </c>
      <c r="EQ26" s="310">
        <f>SUMIF(Master_Data!$AK$4:$AK$145,CONCATENATE($C26,$EY$3),Master_Data!$Q$4:$Q$145)+SUMIF(Master_Data!$AK$152:$AK$864,CONCATENATE($C26,$EY$3),Master_Data!$Q$152:$Q$864)</f>
        <v>0</v>
      </c>
      <c r="ER26" s="310">
        <f>SUMIF(Master_Data!$AK$4:$AK$145,CONCATENATE($C26,$EY$3),Master_Data!$U$4:$U$145)+SUMIF(Master_Data!$AK$152:$AK$864,CONCATENATE($C26,$EY$3),Master_Data!$U$152:$U$864)</f>
        <v>104220000</v>
      </c>
      <c r="ES26" s="310">
        <f>SUMIF(Master_Data!$AK$4:$AK$145,CONCATENATE($C26,$EY$3),Master_Data!$S$4:$S$145)+SUMIF(Master_Data!$AK$152:$AK$864,CONCATENATE($C26,$EY$3),Master_Data!$S$152:$S$864)</f>
        <v>0</v>
      </c>
      <c r="ET26" s="39">
        <f>SUMIF(Master_Data!$AK$152:$AK$915,CONCATENATE($C26,EY$3),Master_Data!$T$152:$T$915)</f>
        <v>-1930000</v>
      </c>
      <c r="EU26" s="310">
        <f t="shared" si="49"/>
        <v>0</v>
      </c>
      <c r="EV26" s="230"/>
      <c r="EW26" s="84"/>
      <c r="EX26" s="358" t="str">
        <f t="shared" si="11"/>
        <v>KALIMANTAN PRIMA PERSADA, PTSEP</v>
      </c>
      <c r="EY26" s="24"/>
      <c r="EZ26" s="412"/>
      <c r="FA26" s="109">
        <f t="shared" si="50"/>
        <v>0</v>
      </c>
      <c r="FB26" s="109">
        <f t="shared" si="51"/>
        <v>0</v>
      </c>
      <c r="FC26" s="421"/>
      <c r="FD26" s="109">
        <f>SUMIF(Bill_Out!$Q$534:$Q$606,CONCATENATE($C26,$FP$3),Bill_Out!$N$534:$N$606)</f>
        <v>0</v>
      </c>
      <c r="FE26" s="109" t="e">
        <f>SUMIF(Bill_Out!$Q$534:$Q$606,CONCATENATE($C26,$FP$3),Bill_Out!$O$534:$O$606)</f>
        <v>#VALUE!</v>
      </c>
      <c r="FF26" s="309"/>
      <c r="FG26" s="310">
        <f>SUMIF(Master_Data!$AK$4:$AK$145,CONCATENATE($C26,$FP$3),Master_Data!$R$4:$R$145)+SUMIF(Master_Data!$AK$152:$AK$864,CONCATENATE($C26,$FP$3),Master_Data!$R$152:$R$864)</f>
        <v>0</v>
      </c>
      <c r="FH26" s="310">
        <f>SUMIF(Master_Data!$AK$4:$AK$145,CONCATENATE($C26,$FP$3),Master_Data!$Q$4:$Q$145)+SUMIF(Master_Data!$AK$152:$AK$864,CONCATENATE($C26,$FP$3),Master_Data!$Q$152:$Q$864)</f>
        <v>0</v>
      </c>
      <c r="FI26" s="310">
        <f>SUMIF(Master_Data!$AK$4:$AK$145,CONCATENATE($C26,$FP$3),Master_Data!$U$4:$U$145)+SUMIF(Master_Data!$AK$152:$AK$864,CONCATENATE($C26,$FP$3),Master_Data!$U$152:$U$864)</f>
        <v>0</v>
      </c>
      <c r="FJ26" s="310">
        <f>SUMIF(Master_Data!$AK$4:$AK$145,CONCATENATE($C26,$FP$3),Master_Data!$S$4:$S$145)+SUMIF(Master_Data!$AK$152:$AK$864,CONCATENATE($C26,$FP$3),Master_Data!$S$152:$S$864)</f>
        <v>0</v>
      </c>
      <c r="FK26" s="39">
        <f>SUMIF(Master_Data!$AK$152:$AK$915,CONCATENATE($C26,FP$3),Master_Data!$T$152:$T$915)</f>
        <v>0</v>
      </c>
      <c r="FL26" s="310">
        <f t="shared" si="52"/>
        <v>0</v>
      </c>
      <c r="FM26" s="230" t="e">
        <f t="shared" si="53"/>
        <v>#VALUE!</v>
      </c>
      <c r="FN26" s="23"/>
      <c r="FO26" s="358" t="str">
        <f t="shared" si="72"/>
        <v>KALIMANTAN PRIMA PERSADA, PTOKT</v>
      </c>
      <c r="FP26" s="24"/>
      <c r="FQ26" s="412"/>
      <c r="FR26" s="109">
        <f t="shared" si="42"/>
        <v>0</v>
      </c>
      <c r="FS26" s="109" t="e">
        <f t="shared" si="74"/>
        <v>#VALUE!</v>
      </c>
      <c r="FT26" s="420"/>
      <c r="FU26" s="109">
        <f>SUMIF(Bill_Out!$Q$610:$Q$675,CONCATENATE($C26,$GG$3),Bill_Out!$N$610:$N$675)</f>
        <v>0</v>
      </c>
      <c r="FV26" s="109" t="e">
        <f>SUMIF(Bill_Out!$Q$610:$Q$675,CONCATENATE($C26,$GG$3),Bill_Out!$O$610:$O$675)</f>
        <v>#VALUE!</v>
      </c>
      <c r="FW26" s="50"/>
      <c r="FX26" s="512">
        <f>SUMIF(Master_Data!$AK$4:$AK$145,CONCATENATE($C26,$GG$3),Master_Data!$R$4:$R$145)+SUMIF(Master_Data!$AK$152:$AK$864,CONCATENATE($C26,$GG$3),Master_Data!$R$152:$R$864)</f>
        <v>0</v>
      </c>
      <c r="FY26" s="512">
        <f>SUMIF(Master_Data!$AK$4:$AK$145,CONCATENATE($C26,$GG$3),Master_Data!$Q$4:$Q$145)+SUMIF(Master_Data!$AK$152:$AK$864,CONCATENATE($C26,$GG$3),Master_Data!$Q$152:$Q$864)</f>
        <v>0</v>
      </c>
      <c r="FZ26" s="512">
        <f>SUMIF(Master_Data!$AK$4:$AK$145,CONCATENATE($C26,$GG$3),Master_Data!$U$4:$U$145)+SUMIF(Master_Data!$AK$152:$AK$864,CONCATENATE($C26,$GG$3),Master_Data!$U$152:$U$864)</f>
        <v>19440000</v>
      </c>
      <c r="GA26" s="310">
        <f>SUMIF(Master_Data!$AK$4:$AK$145,CONCATENATE($C26,$GG$3),Master_Data!$S$4:$S$145)+SUMIF(Master_Data!$AK$152:$AK$864,CONCATENATE($C26,$GG$3),Master_Data!$S$152:$S$864)</f>
        <v>0</v>
      </c>
      <c r="GB26" s="39">
        <f>SUMIF(Master_Data!$AK$152:$AK$915,CONCATENATE($C26,GG$3),Master_Data!$T$152:$T$915)</f>
        <v>-360000</v>
      </c>
      <c r="GC26" s="230">
        <f t="shared" si="77"/>
        <v>0</v>
      </c>
      <c r="GD26" s="230" t="e">
        <f t="shared" si="14"/>
        <v>#VALUE!</v>
      </c>
      <c r="GE26" s="23"/>
      <c r="GF26" s="358" t="str">
        <f t="shared" si="73"/>
        <v>KALIMANTAN PRIMA PERSADA, PTNOV</v>
      </c>
      <c r="GG26" s="24"/>
      <c r="GH26" s="412" t="s">
        <v>625</v>
      </c>
      <c r="GI26" s="109">
        <f t="shared" si="70"/>
        <v>0</v>
      </c>
      <c r="GJ26" s="109" t="e">
        <f t="shared" si="71"/>
        <v>#VALUE!</v>
      </c>
      <c r="GK26" s="423"/>
      <c r="GL26" s="109">
        <f>SUMIF(Bill_Out!$Q$679:$Q$756,CONCATENATE($C26,$GX$3),Bill_Out!$N$679:$N$756)</f>
        <v>0</v>
      </c>
      <c r="GM26" s="109" t="e">
        <f>SUMIF(Bill_Out!$Q$679:$Q$756,CONCATENATE($C26,$GX$3),Bill_Out!$O$679:$O$756)</f>
        <v>#VALUE!</v>
      </c>
      <c r="GN26" s="50"/>
      <c r="GO26" s="512">
        <f>SUMIF(Master_Data!$AK$4:$AK$145,CONCATENATE($C26,$GX$3),Master_Data!$R$4:$R$145)+SUMIF(Master_Data!$AK$152:$AK$864,CONCATENATE($C26,$GX$3),Master_Data!$R$152:$R$864)</f>
        <v>0</v>
      </c>
      <c r="GP26" s="512">
        <f>SUMIF(Master_Data!$AK$4:$AK$145,CONCATENATE($C26,$GX$3),Master_Data!$Q$4:$Q$145)+SUMIF(Master_Data!$AK$152:$AK$864,CONCATENATE($C26,$GX$3),Master_Data!$Q$152:$Q$864)</f>
        <v>0</v>
      </c>
      <c r="GQ26" s="512">
        <f>SUMIF(Master_Data!$AK$4:$AK$145,CONCATENATE($C26,$GX$3),Master_Data!$U$4:$U$145)+SUMIF(Master_Data!$AK$152:$AK$864,CONCATENATE($C26,$GX$3),Master_Data!$U$152:$U$864)</f>
        <v>0</v>
      </c>
      <c r="GR26" s="310">
        <f>SUMIF(Master_Data!$AK$4:$AK$145,CONCATENATE($C26,$GX$3),Master_Data!$S$4:$S$145)+SUMIF(Master_Data!$AK$152:$AK$864,CONCATENATE($C26,$GX$3),Master_Data!$S$152:$S$864)</f>
        <v>0</v>
      </c>
      <c r="GS26" s="39">
        <f>SUMIF(Master_Data!$AK$152:$AK$864,CONCATENATE($C26,GX$3),Master_Data!$T$152:$T$864)</f>
        <v>0</v>
      </c>
      <c r="GT26" s="534">
        <f t="shared" si="44"/>
        <v>0</v>
      </c>
      <c r="GU26" s="310" t="e">
        <f t="shared" si="16"/>
        <v>#VALUE!</v>
      </c>
      <c r="GV26" s="23"/>
      <c r="GW26" s="358" t="str">
        <f t="shared" si="69"/>
        <v>KALIMANTAN PRIMA PERSADA, PTDES</v>
      </c>
      <c r="GX26" s="24"/>
    </row>
    <row r="27" spans="1:206" s="19" customFormat="1">
      <c r="A27" s="328" t="s">
        <v>48</v>
      </c>
      <c r="B27" s="236" t="str">
        <f t="shared" si="18"/>
        <v>KEMENTRIAN KOORDINATOR BIDANG KEMARITIMANJAN</v>
      </c>
      <c r="C27" s="8" t="s">
        <v>1655</v>
      </c>
      <c r="D27" s="52"/>
      <c r="E27" s="238">
        <f>SUMIF(Master_Data!$D21:$D$145,CONCATENATE(C27),Master_Data!M21:M218)</f>
        <v>0</v>
      </c>
      <c r="F27" s="109">
        <f>SUMIF(Master_Data!$D25:$D$145,CONCATENATE(C27),Master_Data!N25:N210)</f>
        <v>18000000</v>
      </c>
      <c r="G27" s="31"/>
      <c r="H27" s="109">
        <f>SUMIF(Bill_Out!$Q$3:$Q$65,CONCATENATE($C27,$S$3),Bill_Out!$N$3:$N$65)</f>
        <v>0</v>
      </c>
      <c r="I27" s="88">
        <f>SUMIF(Bill_Out!$Q$3:$Q$65,CONCATENATE($C27,$S$3),Bill_Out!$O$3:$O$65)</f>
        <v>0</v>
      </c>
      <c r="J27" s="50"/>
      <c r="K27" s="29"/>
      <c r="L27" s="44"/>
      <c r="M27" s="230">
        <f>SUMIF(Master_Data!$AK24:$AK$145,CONCATENATE(C27,$S$3),Master_Data!U24:U219)+SUMIF(Master_Data!$AK229:$AK$864,CONCATENATE(C27,$S$3),Master_Data!U229:U929)</f>
        <v>15930000</v>
      </c>
      <c r="N27" s="310">
        <f>SUMIF(Master_Data!$AK$4:$AK$145,CONCATENATE(C27,$S$3),Master_Data!$S$4:$S$145)+SUMIF(Master_Data!$AK$150:$AK$864,CONCATENATE(C27,$S$3),Master_Data!$S$150:$S$864)</f>
        <v>-1800000</v>
      </c>
      <c r="O27" s="310">
        <f>SUMIF(Master_Data!$AK$4:$AK$145,CONCATENATE(C27,$S$3),Master_Data!$T$4:$T$145)+SUMIF(Master_Data!$AK$150:$AK$864,CONCATENATE(C27,$S$3),Master_Data!$T$150:$T$864)</f>
        <v>-270000</v>
      </c>
      <c r="P27" s="230">
        <f t="shared" si="19"/>
        <v>0</v>
      </c>
      <c r="Q27" s="230">
        <f t="shared" si="20"/>
        <v>0</v>
      </c>
      <c r="R27" s="23"/>
      <c r="S27" s="24"/>
      <c r="T27" s="259"/>
      <c r="U27" s="109">
        <f t="shared" si="75"/>
        <v>0</v>
      </c>
      <c r="V27" s="109">
        <f t="shared" si="76"/>
        <v>0</v>
      </c>
      <c r="W27" s="54"/>
      <c r="X27" s="109">
        <f>SUMIF(Bill_Out!$Q$67:$Q$132,CONCATENATE($C27,$AJ$3),Bill_Out!$N$67:$N$132)</f>
        <v>0</v>
      </c>
      <c r="Y27" s="109">
        <f>SUMIF(Bill_Out!$Q$67:$Q$132,CONCATENATE($C27,$AJ$3),Bill_Out!$O$67:$O$132)</f>
        <v>0</v>
      </c>
      <c r="Z27" s="50"/>
      <c r="AA27" s="230">
        <f>SUMIF(Master_Data!$AK$4:$AK$145,CONCATENATE(C27,$AJ$3),Master_Data!$R$4:$R$145)+SUMIF(Master_Data!$AK$152:$AK$850,CONCATENATE(C27,$AJ$3),Master_Data!$R$152:$R$850)</f>
        <v>0</v>
      </c>
      <c r="AB27" s="230">
        <f>SUMIF(Master_Data!$AK$4:$AK$145,CONCATENATE(C27,$AJ$3),Master_Data!$Q$4:$Q$145)+SUMIF(Master_Data!$AK$152:$AK$850,CONCATENATE(C27,$AJ$3),Master_Data!$Q$152:$Q$850)</f>
        <v>0</v>
      </c>
      <c r="AC27" s="230">
        <f>SUMIF(Master_Data!$AK$4:$AK$145,CONCATENATE(C27,$AJ$3),Master_Data!$U$4:$U$145)+SUMIF(Master_Data!$AK$152:$AK$850,CONCATENATE(C27,$AJ$3),Master_Data!$U$152:$U$850)</f>
        <v>0</v>
      </c>
      <c r="AD27" s="310">
        <f ca="1">SUMIF(Master_Data!$AK$4:$AK$145,CONCATENATE(C27,$AJ$3),Master_Data!$S$4:$S$145)+SUMIF(Master_Data!$AK$152:$AK$864,CONCATENATE(C27,$AJ$3),Master_Data!$S$152:$S$850)</f>
        <v>0</v>
      </c>
      <c r="AE27" s="310">
        <f>SUMIF(Master_Data!$AK$4:$AK$145,CONCATENATE(C27,$AJ$3),Master_Data!$T$4:$T$145)+SUMIF(Master_Data!$AK$152:$AK$864,CONCATENATE(C27,$AJ$3),Master_Data!$T$152:$T$864)</f>
        <v>0</v>
      </c>
      <c r="AF27" s="230">
        <f t="shared" si="63"/>
        <v>0</v>
      </c>
      <c r="AG27" s="230">
        <f t="shared" ca="1" si="64"/>
        <v>0</v>
      </c>
      <c r="AH27" s="23"/>
      <c r="AI27" s="235" t="str">
        <f t="shared" si="3"/>
        <v>KEMENTRIAN KOORDINATOR BIDANG KEMARITIMANFEB</v>
      </c>
      <c r="AJ27" s="24"/>
      <c r="AK27" s="259"/>
      <c r="AL27" s="109">
        <f t="shared" si="65"/>
        <v>0</v>
      </c>
      <c r="AM27" s="109">
        <f t="shared" ca="1" si="66"/>
        <v>0</v>
      </c>
      <c r="AN27" s="31"/>
      <c r="AO27" s="109">
        <f>SUMIF(Bill_Out!$Q$134:$Q$188,CONCATENATE($C27,$BA$3),Bill_Out!$N$134:$N$188)</f>
        <v>0</v>
      </c>
      <c r="AP27" s="109">
        <f>SUMIF(Bill_Out!$Q$134:$Q$188,CONCATENATE($C27,$BA$3),Bill_Out!$O$134:$O$188)</f>
        <v>0</v>
      </c>
      <c r="AQ27" s="50"/>
      <c r="AR27" s="230">
        <f>SUMIF(Master_Data!$AK$4:$AK$145,CONCATENATE(C27,$BA$3),Master_Data!$R$4:$R$145)+SUMIF(Master_Data!$AK$152:$AK$864,CONCATENATE(C27,$BA$3),Master_Data!$R$152:$R$864)</f>
        <v>0</v>
      </c>
      <c r="AS27" s="230">
        <f>SUMIF(Master_Data!$AK$4:$AK$145,CONCATENATE(C27,$BA$3),Master_Data!$Q$4:$Q$145)+SUMIF(Master_Data!$AK$152:$AK$864,CONCATENATE(C27,$BA$3),Master_Data!$Q$152:$Q$864)</f>
        <v>0</v>
      </c>
      <c r="AT27" s="230">
        <f>SUMIF(Master_Data!$AK$4:$AK$145,CONCATENATE(C27,$BA$3),Master_Data!$U$4:$U$145)+SUMIF(Master_Data!$AK$152:$AK$864,CONCATENATE(C27,$BA$3),Master_Data!$U$152:$U$864)</f>
        <v>0</v>
      </c>
      <c r="AU27" s="230">
        <f ca="1">SUMIF(Master_Data!$AK$4:$AK$145,CONCATENATE(C27,$BA$3),Master_Data!$S$4:$S$145)+SUMIF(Master_Data!$AK$152:$AK$864,CONCATENATE(C27,$BA$3),Master_Data!$S$152:$S$850)</f>
        <v>0</v>
      </c>
      <c r="AV27" s="39">
        <f>SUMIF(Master_Data!$AK$152:$AK$864,CONCATENATE($C27,BA$3),Master_Data!$T$152:$T$864)</f>
        <v>0</v>
      </c>
      <c r="AW27" s="230">
        <f t="shared" si="57"/>
        <v>0</v>
      </c>
      <c r="AX27" s="230">
        <f t="shared" ca="1" si="58"/>
        <v>0</v>
      </c>
      <c r="AY27" s="23"/>
      <c r="AZ27" s="235" t="str">
        <f t="shared" si="21"/>
        <v>KEMENTRIAN KOORDINATOR BIDANG KEMARITIMANMAR</v>
      </c>
      <c r="BA27" s="24"/>
      <c r="BB27" s="259"/>
      <c r="BC27" s="109">
        <f t="shared" si="22"/>
        <v>0</v>
      </c>
      <c r="BD27" s="109">
        <f t="shared" ca="1" si="23"/>
        <v>0</v>
      </c>
      <c r="BE27" s="31"/>
      <c r="BF27" s="109">
        <f>SUMIF(Bill_Out!$Q$192:$Q$258,CONCATENATE($C27,$BR$3),Bill_Out!$N$192:$N$258)</f>
        <v>0</v>
      </c>
      <c r="BG27" s="109">
        <f>SUMIF(Bill_Out!$Q$192:$Q$258,CONCATENATE($C27,$BR$3),Bill_Out!$O$192:$O$258)</f>
        <v>0</v>
      </c>
      <c r="BH27" s="50"/>
      <c r="BI27" s="230">
        <f>SUMIF(Master_Data!$AK$4:$AK$145,CONCATENATE(C27,$BR$3),Master_Data!$R$4:$R$145)+SUMIF(Master_Data!$AK$152:$AK$864,CONCATENATE(C27,$BR$3),Master_Data!$R$152:$R$864)</f>
        <v>0</v>
      </c>
      <c r="BJ27" s="230">
        <f>SUMIF(Master_Data!$AK$4:$AK$145,CONCATENATE(C27,$BR$3),Master_Data!$Q$4:$Q$145)+SUMIF(Master_Data!$AK$152:$AK$864,CONCATENATE(C27,$BR$3),Master_Data!$Q$152:$Q$864)</f>
        <v>0</v>
      </c>
      <c r="BK27" s="230">
        <f>SUMIF(Master_Data!$AK$4:$AK$145,CONCATENATE(C27,$BR$3),Master_Data!$U$4:$U$145)+SUMIF(Master_Data!$AK$152:$AK$864,CONCATENATE(C27,$BR$3),Master_Data!$U$152:$U$864)</f>
        <v>0</v>
      </c>
      <c r="BL27" s="230">
        <f>SUMIF(Master_Data!$AK$4:$AK$145,CONCATENATE(C27,$BR$3),Master_Data!$S$4:$S$145)+SUMIF(Master_Data!$AK$152:$AK$864,CONCATENATE(C27,$BR$3),Master_Data!$S$152:$S$864)</f>
        <v>0</v>
      </c>
      <c r="BM27" s="39">
        <f>SUMIF(Master_Data!$AK$152:$AK$864,CONCATENATE($C27,BR$3),Master_Data!$T$152:$T$864)</f>
        <v>0</v>
      </c>
      <c r="BN27" s="230">
        <f t="shared" si="24"/>
        <v>0</v>
      </c>
      <c r="BO27" s="230">
        <f t="shared" ca="1" si="25"/>
        <v>0</v>
      </c>
      <c r="BP27" s="23"/>
      <c r="BQ27" s="909" t="str">
        <f t="shared" si="26"/>
        <v>KEMENTRIAN KOORDINATOR BIDANG KEMARITIMANAPR</v>
      </c>
      <c r="BR27" s="24"/>
      <c r="BS27" s="259"/>
      <c r="BT27" s="109">
        <f t="shared" si="78"/>
        <v>0</v>
      </c>
      <c r="BU27" s="109">
        <f t="shared" ca="1" si="79"/>
        <v>0</v>
      </c>
      <c r="BV27" s="31"/>
      <c r="BW27" s="109">
        <f>SUMIF(Bill_Out!$Q$263:$Q$314,CONCATENATE($C27,$CI$3),Bill_Out!$N$263:$N$314)</f>
        <v>0</v>
      </c>
      <c r="BX27" s="109">
        <f>SUMIF(Bill_Out!$Q$263:$Q$314,CONCATENATE($C27,$CI$3),Bill_Out!$O$263:$O$314)</f>
        <v>0</v>
      </c>
      <c r="BY27" s="50"/>
      <c r="BZ27" s="310">
        <f>SUMIF(Master_Data!$AK$4:$AK$145,CONCATENATE(C27,$CI$3),Master_Data!$R$4:$R$145)+SUMIF(Master_Data!$AK$152:$AK$864,CONCATENATE(C27,$CI$3),Master_Data!$R$152:$R$864)</f>
        <v>0</v>
      </c>
      <c r="CA27" s="310">
        <f>SUMIF(Master_Data!$AK$4:$AK$145,CONCATENATE(C27,$CI$3),Master_Data!$Q$4:$Q$145)+SUMIF(Master_Data!$AK$152:$AK$864,CONCATENATE(C27,$CI$3),Master_Data!$Q$152:$Q$864)</f>
        <v>0</v>
      </c>
      <c r="CB27" s="310">
        <f>SUMIF(Master_Data!$AK$4:$AK$145,CONCATENATE(C27,$CI$3),Master_Data!$U$4:$U$145)+SUMIF(Master_Data!$AK$152:$AK$864,CONCATENATE(C27,$CI$3),Master_Data!$U$152:$U$864)</f>
        <v>0</v>
      </c>
      <c r="CC27" s="230">
        <f>SUMIF(Master_Data!$AK$4:$AK$145,CONCATENATE(C27,$CI$3),Master_Data!$S$4:$S$145)+SUMIF(Master_Data!$AK$152:$AK$864,CONCATENATE(C27,$CI$3),Master_Data!$S$152:$S$864)</f>
        <v>0</v>
      </c>
      <c r="CD27" s="39">
        <f>SUMIF(Master_Data!$AK$152:$AK$864,CONCATENATE($C27,CI$3),Master_Data!$T$152:$T$864)</f>
        <v>0</v>
      </c>
      <c r="CE27" s="310">
        <f t="shared" si="27"/>
        <v>0</v>
      </c>
      <c r="CF27" s="230">
        <f t="shared" ca="1" si="28"/>
        <v>0</v>
      </c>
      <c r="CG27" s="23"/>
      <c r="CH27" s="235" t="str">
        <f t="shared" si="29"/>
        <v>KEMENTRIAN KOORDINATOR BIDANG KEMARITIMANMEI</v>
      </c>
      <c r="CI27" s="24"/>
      <c r="CJ27" s="259"/>
      <c r="CK27" s="109">
        <f t="shared" si="30"/>
        <v>0</v>
      </c>
      <c r="CL27" s="238">
        <f t="shared" ca="1" si="31"/>
        <v>0</v>
      </c>
      <c r="CM27" s="31"/>
      <c r="CN27" s="238">
        <f>SUMIF(Bill_Out!$Q$318:$Q$371,CONCATENATE($C27,$CZ$3),Bill_Out!$N$318:$N$371)</f>
        <v>0</v>
      </c>
      <c r="CO27" s="238">
        <f>SUMIF(Bill_Out!$Q$318:$Q$371,CONCATENATE($C27,$CZ$3),Bill_Out!$O$318:$O$371)</f>
        <v>0</v>
      </c>
      <c r="CP27" s="50"/>
      <c r="CQ27" s="230">
        <f>SUMIF(Master_Data!$AK$4:$AK$145,CONCATENATE($C27,$CZ$3),Master_Data!$R$4:$R$145)+SUMIF(Master_Data!$AK$152:$AK$864,CONCATENATE($C27,$CZ$3),Master_Data!$R$152:$R$864)</f>
        <v>0</v>
      </c>
      <c r="CR27" s="230">
        <f>SUMIF(Master_Data!$AK$4:$AK$145,CONCATENATE($C27,$CZ$3),Master_Data!$Q$4:$Q$145)+SUMIF(Master_Data!$AK$152:$AK$864,CONCATENATE($C27,$CZ$3),Master_Data!$Q$152:$Q$864)</f>
        <v>0</v>
      </c>
      <c r="CS27" s="230">
        <f>SUMIF(Master_Data!$AK$4:$AK$145,CONCATENATE($C27,$CZ$3),Master_Data!$U$4:$U$145)+SUMIF(Master_Data!$AK$152:$AK$864,CONCATENATE($C27,$CZ$3),Master_Data!$U$152:$U$864)</f>
        <v>0</v>
      </c>
      <c r="CT27" s="230">
        <f ca="1">SUMIF(Master_Data!$AK$4:$AK$145,CONCATENATE(C27,$CZ$3),Master_Data!$S$4:$S$145)+SUMIF(Master_Data!$AK$152:$AK$915,CONCATENATE(C27,$CZ$3),Master_Data!$S$152:$S$864)</f>
        <v>0</v>
      </c>
      <c r="CU27" s="1010">
        <f>SUMIF(Master_Data!$AK$4:$AK$145,CONCATENATE(C27,$CZ$3),Master_Data!$T$4:$T$145)+SUMIF(Master_Data!$AK$152:$AK$864,CONCATENATE(C27,$CZ$3),Master_Data!$T$152:$T$864)</f>
        <v>0</v>
      </c>
      <c r="CV27" s="230">
        <f t="shared" si="32"/>
        <v>0</v>
      </c>
      <c r="CW27" s="230">
        <f t="shared" ca="1" si="33"/>
        <v>0</v>
      </c>
      <c r="CX27" s="23"/>
      <c r="CY27" s="1007" t="str">
        <f t="shared" si="6"/>
        <v>KEMENTRIAN KOORDINATOR BIDANG KEMARITIMANJUN</v>
      </c>
      <c r="CZ27" s="24"/>
      <c r="DA27" s="259"/>
      <c r="DB27" s="109">
        <f t="shared" si="34"/>
        <v>0</v>
      </c>
      <c r="DC27" s="109">
        <f t="shared" ca="1" si="35"/>
        <v>0</v>
      </c>
      <c r="DD27" s="31"/>
      <c r="DE27" s="109">
        <f>SUMIF(Bill_Out!$Q$375:$Q$422,CONCATENATE($C27,$DQ$3),Bill_Out!$N$375:$N$422)</f>
        <v>0</v>
      </c>
      <c r="DF27" s="109">
        <f>SUMIF(Bill_Out!$Q$375:$Q$422,CONCATENATE($C27,$DQ$3),Bill_Out!$O$375:$O$422)</f>
        <v>0</v>
      </c>
      <c r="DG27" s="50"/>
      <c r="DH27" s="310">
        <f>SUMIF(Master_Data!$AK$4:$AK$145,CONCATENATE($C27,$DQ$3),Master_Data!$R$4:$R$145)+SUMIF(Master_Data!$AK$152:$AK$864,CONCATENATE($C27,$DQ$3),Master_Data!$R$152:$R$864)</f>
        <v>0</v>
      </c>
      <c r="DI27" s="310">
        <f>SUMIF(Master_Data!$AK$4:$AK$145,CONCATENATE($C27,$DQ$3),Master_Data!$Q$4:$Q$145)+SUMIF(Master_Data!$AK$152:$AK$864,CONCATENATE($C27,$DQ$3),Master_Data!$Q$152:$Q$864)</f>
        <v>0</v>
      </c>
      <c r="DJ27" s="310">
        <f>SUMIF(Master_Data!$AK$4:$AK$145,CONCATENATE($C27,$DQ$3),Master_Data!$U$4:$U$145)+SUMIF(Master_Data!$AK$152:$AK$864,CONCATENATE($C27,$DQ$3),Master_Data!$U$152:$U$864)</f>
        <v>0</v>
      </c>
      <c r="DK27" s="310">
        <f>SUMIF(Master_Data!$AK$4:$AK$145,CONCATENATE($C27,$DQ$3),Master_Data!$S$4:$S$145)+SUMIF(Master_Data!$AK$152:$AK$864,CONCATENATE($C27,$DQ$3),Master_Data!$S$152:$S$864)</f>
        <v>0</v>
      </c>
      <c r="DL27" s="39">
        <f>SUMIF(Master_Data!$AK$152:$AK$915,CONCATENATE($C27,DQ$3),Master_Data!$T$152:$T$915)</f>
        <v>0</v>
      </c>
      <c r="DM27" s="230">
        <f t="shared" si="67"/>
        <v>0</v>
      </c>
      <c r="DN27" s="230">
        <f t="shared" ca="1" si="68"/>
        <v>0</v>
      </c>
      <c r="DO27" s="23"/>
      <c r="DP27" s="358" t="str">
        <f t="shared" si="9"/>
        <v>KEMENTRIAN KOORDINATOR BIDANG KEMARITIMANJUL</v>
      </c>
      <c r="DQ27" s="24"/>
      <c r="DR27" s="390"/>
      <c r="DS27" s="109">
        <f t="shared" si="36"/>
        <v>0</v>
      </c>
      <c r="DT27" s="109">
        <f t="shared" ca="1" si="37"/>
        <v>0</v>
      </c>
      <c r="DU27" s="31"/>
      <c r="DV27" s="109">
        <f>SUMIF(Bill_Out!$Q$426:$Q$472,CONCATENATE($C27,$EH$3),Bill_Out!$N$426:$N$472)</f>
        <v>0</v>
      </c>
      <c r="DW27" s="109">
        <f>SUMIF(Bill_Out!$Q$426:$Q$472,CONCATENATE($C27,$EH$3),Bill_Out!$O$426:$O$472)</f>
        <v>0</v>
      </c>
      <c r="DX27" s="50"/>
      <c r="DY27" s="310">
        <f>SUMIF(Master_Data!$AK$4:$AK$145,CONCATENATE($C27,$EH$3),Master_Data!$R$4:$R$145)+SUMIF(Master_Data!$AK$152:$AK$864,CONCATENATE($C27,$EH$3),Master_Data!$R$152:$R$864)</f>
        <v>0</v>
      </c>
      <c r="DZ27" s="310">
        <f>SUMIF(Master_Data!$AK$4:$AK$145,CONCATENATE($C27,$EH$3),Master_Data!$Q$4:$Q$145)+SUMIF(Master_Data!$AK$152:$AK$864,CONCATENATE($C27,$EH$3),Master_Data!$Q$152:$Q$864)</f>
        <v>0</v>
      </c>
      <c r="EA27" s="310">
        <f>SUMIF(Master_Data!$AK$4:$AK$145,CONCATENATE($C27,$EH$3),Master_Data!$U$4:$U$145)+SUMIF(Master_Data!$AK$152:$AK$864,CONCATENATE($C27,$EH$3),Master_Data!$U$152:$U$864)</f>
        <v>0</v>
      </c>
      <c r="EB27" s="310">
        <f>SUMIF(Master_Data!$AK$4:$AK$145,CONCATENATE($C27,$EH$3),Master_Data!$S$4:$S$145)+SUMIF(Master_Data!$AK$152:$AK$864,CONCATENATE($C27,$EH$3),Master_Data!$S$152:$S$864)</f>
        <v>0</v>
      </c>
      <c r="EC27" s="39">
        <f>SUMIF(Master_Data!$AK$152:$AK$915,CONCATENATE($C27,EH$3),Master_Data!$T$152:$T$915)</f>
        <v>0</v>
      </c>
      <c r="ED27" s="310">
        <f t="shared" si="38"/>
        <v>0</v>
      </c>
      <c r="EE27" s="230">
        <f t="shared" ca="1" si="39"/>
        <v>0</v>
      </c>
      <c r="EF27" s="23"/>
      <c r="EG27" s="358" t="str">
        <f t="shared" si="10"/>
        <v>KEMENTRIAN KOORDINATOR BIDANG KEMARITIMANAGS</v>
      </c>
      <c r="EH27" s="24"/>
      <c r="EI27" s="390"/>
      <c r="EJ27" s="109">
        <f t="shared" si="47"/>
        <v>0</v>
      </c>
      <c r="EK27" s="109">
        <f t="shared" ca="1" si="48"/>
        <v>0</v>
      </c>
      <c r="EL27" s="84"/>
      <c r="EM27" s="109">
        <f>SUMIF(Bill_Out!$Q$476:$Q$530,CONCATENATE($C27,$EY$3),Bill_Out!$N$476:$N$530)</f>
        <v>0</v>
      </c>
      <c r="EN27" s="109">
        <f>SUMIF(Bill_Out!$Q$476:$Q$530,CONCATENATE($C27,$EY$3),Bill_Out!$O$476:$O$530)</f>
        <v>0</v>
      </c>
      <c r="EO27" s="309"/>
      <c r="EP27" s="310">
        <f>SUMIF(Master_Data!$AK$4:$AK$145,CONCATENATE($C27,$EY$3),Master_Data!$R$4:$R$145)+SUMIF(Master_Data!$AK$152:$AK$864,CONCATENATE($C27,$EY$3),Master_Data!$R$152:$R$864)</f>
        <v>0</v>
      </c>
      <c r="EQ27" s="310">
        <f>SUMIF(Master_Data!$AK$4:$AK$145,CONCATENATE($C27,$EY$3),Master_Data!$Q$4:$Q$145)+SUMIF(Master_Data!$AK$152:$AK$864,CONCATENATE($C27,$EY$3),Master_Data!$Q$152:$Q$864)</f>
        <v>0</v>
      </c>
      <c r="ER27" s="310">
        <f>SUMIF(Master_Data!$AK$4:$AK$145,CONCATENATE($C27,$EY$3),Master_Data!$U$4:$U$145)+SUMIF(Master_Data!$AK$152:$AK$864,CONCATENATE($C27,$EY$3),Master_Data!$U$152:$U$864)</f>
        <v>0</v>
      </c>
      <c r="ES27" s="310">
        <f>SUMIF(Master_Data!$AK$4:$AK$145,CONCATENATE($C27,$EY$3),Master_Data!$S$4:$S$145)+SUMIF(Master_Data!$AK$152:$AK$864,CONCATENATE($C27,$EY$3),Master_Data!$S$152:$S$864)</f>
        <v>0</v>
      </c>
      <c r="ET27" s="39">
        <f>SUMIF(Master_Data!$AK$152:$AK$915,CONCATENATE($C27,EY$3),Master_Data!$T$152:$T$915)</f>
        <v>0</v>
      </c>
      <c r="EU27" s="310">
        <f t="shared" si="49"/>
        <v>0</v>
      </c>
      <c r="EV27" s="230"/>
      <c r="EW27" s="84"/>
      <c r="EX27" s="358" t="str">
        <f t="shared" si="11"/>
        <v>KEMENTRIAN KOORDINATOR BIDANG KEMARITIMANSEP</v>
      </c>
      <c r="EY27" s="24"/>
      <c r="EZ27" s="412"/>
      <c r="FA27" s="109">
        <f t="shared" si="50"/>
        <v>0</v>
      </c>
      <c r="FB27" s="109">
        <f t="shared" si="51"/>
        <v>0</v>
      </c>
      <c r="FC27" s="421"/>
      <c r="FD27" s="109">
        <f>SUMIF(Bill_Out!$Q$534:$Q$606,CONCATENATE($C27,$FP$3),Bill_Out!$N$534:$N$606)</f>
        <v>0</v>
      </c>
      <c r="FE27" s="109">
        <f>SUMIF(Bill_Out!$Q$534:$Q$606,CONCATENATE($C27,$FP$3),Bill_Out!$O$534:$O$606)</f>
        <v>0</v>
      </c>
      <c r="FF27" s="309"/>
      <c r="FG27" s="310">
        <f>SUMIF(Master_Data!$AK$4:$AK$145,CONCATENATE($C27,$FP$3),Master_Data!$R$4:$R$145)+SUMIF(Master_Data!$AK$152:$AK$864,CONCATENATE($C27,$FP$3),Master_Data!$R$152:$R$864)</f>
        <v>0</v>
      </c>
      <c r="FH27" s="310">
        <f>SUMIF(Master_Data!$AK$4:$AK$145,CONCATENATE($C27,$FP$3),Master_Data!$Q$4:$Q$145)+SUMIF(Master_Data!$AK$152:$AK$864,CONCATENATE($C27,$FP$3),Master_Data!$Q$152:$Q$864)</f>
        <v>0</v>
      </c>
      <c r="FI27" s="310">
        <f>SUMIF(Master_Data!$AK$4:$AK$145,CONCATENATE($C27,$FP$3),Master_Data!$U$4:$U$145)+SUMIF(Master_Data!$AK$152:$AK$864,CONCATENATE($C27,$FP$3),Master_Data!$U$152:$U$864)</f>
        <v>0</v>
      </c>
      <c r="FJ27" s="310">
        <f>SUMIF(Master_Data!$AK$4:$AK$145,CONCATENATE($C27,$FP$3),Master_Data!$S$4:$S$145)+SUMIF(Master_Data!$AK$152:$AK$864,CONCATENATE($C27,$FP$3),Master_Data!$S$152:$S$864)</f>
        <v>0</v>
      </c>
      <c r="FK27" s="39">
        <f>SUMIF(Master_Data!$AK$152:$AK$915,CONCATENATE($C27,FP$3),Master_Data!$T$152:$T$915)</f>
        <v>0</v>
      </c>
      <c r="FL27" s="310">
        <f t="shared" si="52"/>
        <v>0</v>
      </c>
      <c r="FM27" s="230">
        <f t="shared" si="53"/>
        <v>0</v>
      </c>
      <c r="FN27" s="23"/>
      <c r="FO27" s="358"/>
      <c r="FP27" s="24"/>
      <c r="FQ27" s="412"/>
      <c r="FR27" s="109"/>
      <c r="FS27" s="109"/>
      <c r="FT27" s="420"/>
      <c r="FU27" s="109"/>
      <c r="FV27" s="109"/>
      <c r="FW27" s="50"/>
      <c r="FX27" s="512"/>
      <c r="FY27" s="512"/>
      <c r="FZ27" s="512"/>
      <c r="GA27" s="310"/>
      <c r="GB27" s="39">
        <f>SUMIF(Master_Data!$AK$152:$AK$915,CONCATENATE($C27,GG$3),Master_Data!$T$152:$T$915)</f>
        <v>0</v>
      </c>
      <c r="GC27" s="230"/>
      <c r="GD27" s="230">
        <f t="shared" si="14"/>
        <v>0</v>
      </c>
      <c r="GE27" s="23"/>
      <c r="GF27" s="358"/>
      <c r="GG27" s="24"/>
      <c r="GH27" s="412"/>
      <c r="GI27" s="109">
        <f t="shared" si="70"/>
        <v>0</v>
      </c>
      <c r="GJ27" s="109">
        <f t="shared" si="71"/>
        <v>0</v>
      </c>
      <c r="GK27" s="423"/>
      <c r="GL27" s="109">
        <f>SUMIF(Bill_Out!$Q$679:$Q$756,CONCATENATE($C27,$GX$3),Bill_Out!$N$679:$N$756)</f>
        <v>0</v>
      </c>
      <c r="GM27" s="109">
        <f>SUMIF(Bill_Out!$Q$679:$Q$756,CONCATENATE($C27,$GX$3),Bill_Out!$O$679:$O$756)</f>
        <v>0</v>
      </c>
      <c r="GN27" s="50"/>
      <c r="GO27" s="512">
        <f>SUMIF(Master_Data!$AK$4:$AK$145,CONCATENATE($C27,$GX$3),Master_Data!$R$4:$R$145)+SUMIF(Master_Data!$AK$152:$AK$864,CONCATENATE($C27,$GX$3),Master_Data!$R$152:$R$864)</f>
        <v>0</v>
      </c>
      <c r="GP27" s="512">
        <f>SUMIF(Master_Data!$AK$4:$AK$145,CONCATENATE($C27,$GX$3),Master_Data!$Q$4:$Q$145)+SUMIF(Master_Data!$AK$152:$AK$864,CONCATENATE($C27,$GX$3),Master_Data!$Q$152:$Q$864)</f>
        <v>0</v>
      </c>
      <c r="GQ27" s="512">
        <f>SUMIF(Master_Data!$AK$4:$AK$145,CONCATENATE($C27,$GX$3),Master_Data!$U$4:$U$145)+SUMIF(Master_Data!$AK$152:$AK$864,CONCATENATE($C27,$GX$3),Master_Data!$U$152:$U$864)</f>
        <v>0</v>
      </c>
      <c r="GR27" s="310">
        <f>SUMIF(Master_Data!$AK$4:$AK$145,CONCATENATE($C27,$GX$3),Master_Data!$S$4:$S$145)+SUMIF(Master_Data!$AK$152:$AK$864,CONCATENATE($C27,$GX$3),Master_Data!$S$152:$S$864)</f>
        <v>0</v>
      </c>
      <c r="GS27" s="39">
        <f>SUMIF(Master_Data!$AK$152:$AK$864,CONCATENATE($C27,GX$3),Master_Data!$T$152:$T$864)</f>
        <v>0</v>
      </c>
      <c r="GT27" s="534">
        <f t="shared" si="44"/>
        <v>0</v>
      </c>
      <c r="GU27" s="310">
        <f t="shared" si="16"/>
        <v>0</v>
      </c>
      <c r="GV27" s="23"/>
      <c r="GW27" s="358" t="str">
        <f t="shared" si="69"/>
        <v>KEMENTRIAN KOORDINATOR BIDANG KEMARITIMANDES</v>
      </c>
      <c r="GX27" s="24"/>
    </row>
    <row r="28" spans="1:206" s="19" customFormat="1">
      <c r="A28" s="21" t="s">
        <v>116</v>
      </c>
      <c r="B28" s="236" t="str">
        <f t="shared" si="18"/>
        <v>KENCANA MANDIRI SEJAHTERA TELECOM, PTJAN</v>
      </c>
      <c r="C28" s="160" t="s">
        <v>207</v>
      </c>
      <c r="D28" s="52" t="s">
        <v>311</v>
      </c>
      <c r="E28" s="238">
        <f>SUMIF(Master_Data!$D22:$D$145,CONCATENATE(C28),Master_Data!M22:M219)</f>
        <v>0</v>
      </c>
      <c r="F28" s="109">
        <f>SUMIF(Master_Data!$D26:$D$145,CONCATENATE(C28),Master_Data!N26:N211)</f>
        <v>13640000</v>
      </c>
      <c r="G28" s="31"/>
      <c r="H28" s="109">
        <f>SUMIF(Bill_Out!$Q$3:$Q$65,CONCATENATE($C28,$S$3),Bill_Out!$N$3:$N$65)</f>
        <v>0</v>
      </c>
      <c r="I28" s="88">
        <f>SUMIF(Bill_Out!$Q$3:$Q$65,CONCATENATE($C28,$S$3),Bill_Out!$O$3:$O$65)</f>
        <v>0</v>
      </c>
      <c r="J28" s="50"/>
      <c r="K28" s="29"/>
      <c r="L28" s="44"/>
      <c r="M28" s="230">
        <f>SUMIF(Master_Data!$AK25:$AK$145,CONCATENATE(C28,$S$3),Master_Data!U25:U220)+SUMIF(Master_Data!$AK230:$AK$864,CONCATENATE(C28,$S$3),Master_Data!U230:U930)</f>
        <v>0</v>
      </c>
      <c r="N28" s="310">
        <f>SUMIF(Master_Data!$AK$4:$AK$145,CONCATENATE(C28,$S$3),Master_Data!$S$4:$S$145)+SUMIF(Master_Data!$AK$150:$AK$864,CONCATENATE(C28,$S$3),Master_Data!$S$150:$S$864)</f>
        <v>0</v>
      </c>
      <c r="O28" s="310">
        <f>SUMIF(Master_Data!$AK$4:$AK$145,CONCATENATE(C28,$S$3),Master_Data!$T$4:$T$145)+SUMIF(Master_Data!$AK$150:$AK$864,CONCATENATE(C28,$S$3),Master_Data!$T$150:$T$864)</f>
        <v>0</v>
      </c>
      <c r="P28" s="230">
        <f t="shared" si="19"/>
        <v>0</v>
      </c>
      <c r="Q28" s="230">
        <f t="shared" si="20"/>
        <v>13640000</v>
      </c>
      <c r="R28" s="23"/>
      <c r="S28" s="24"/>
      <c r="T28" s="259"/>
      <c r="U28" s="109">
        <f t="shared" si="75"/>
        <v>0</v>
      </c>
      <c r="V28" s="109">
        <f t="shared" si="76"/>
        <v>13640000</v>
      </c>
      <c r="W28" s="54"/>
      <c r="X28" s="109">
        <f>SUMIF(Bill_Out!$Q$67:$Q$132,CONCATENATE($C28,$AJ$3),Bill_Out!$N$67:$N$132)</f>
        <v>0</v>
      </c>
      <c r="Y28" s="109">
        <f>SUMIF(Bill_Out!$Q$67:$Q$132,CONCATENATE($C28,$AJ$3),Bill_Out!$O$67:$O$132)</f>
        <v>0</v>
      </c>
      <c r="Z28" s="50"/>
      <c r="AA28" s="230">
        <f>SUMIF(Master_Data!$AK$4:$AK$145,CONCATENATE(C28,$AJ$3),Master_Data!$R$4:$R$145)+SUMIF(Master_Data!$AK$152:$AK$850,CONCATENATE(C28,$AJ$3),Master_Data!$R$152:$R$850)</f>
        <v>0</v>
      </c>
      <c r="AB28" s="230">
        <f>SUMIF(Master_Data!$AK$4:$AK$145,CONCATENATE(C28,$AJ$3),Master_Data!$Q$4:$Q$145)+SUMIF(Master_Data!$AK$152:$AK$850,CONCATENATE(C28,$AJ$3),Master_Data!$Q$152:$Q$850)</f>
        <v>0</v>
      </c>
      <c r="AC28" s="230">
        <f>SUMIF(Master_Data!$AK$4:$AK$145,CONCATENATE(C28,$AJ$3),Master_Data!$U$4:$U$145)+SUMIF(Master_Data!$AK$152:$AK$850,CONCATENATE(C28,$AJ$3),Master_Data!$U$152:$U$850)</f>
        <v>0</v>
      </c>
      <c r="AD28" s="310">
        <f ca="1">SUMIF(Master_Data!$AK$4:$AK$145,CONCATENATE(C28,$AJ$3),Master_Data!$S$4:$S$145)+SUMIF(Master_Data!$AK$152:$AK$864,CONCATENATE(C28,$AJ$3),Master_Data!$S$152:$S$850)</f>
        <v>0</v>
      </c>
      <c r="AE28" s="310">
        <f>SUMIF(Master_Data!$AK$4:$AK$145,CONCATENATE(C28,$AJ$3),Master_Data!$T$4:$T$145)+SUMIF(Master_Data!$AK$152:$AK$864,CONCATENATE(C28,$AJ$3),Master_Data!$T$152:$T$864)</f>
        <v>0</v>
      </c>
      <c r="AF28" s="230">
        <f t="shared" si="63"/>
        <v>0</v>
      </c>
      <c r="AG28" s="230">
        <f t="shared" ca="1" si="64"/>
        <v>13640000</v>
      </c>
      <c r="AH28" s="23"/>
      <c r="AI28" s="235" t="str">
        <f t="shared" si="3"/>
        <v>KENCANA MANDIRI SEJAHTERA TELECOM, PTFEB</v>
      </c>
      <c r="AJ28" s="24"/>
      <c r="AK28" s="259"/>
      <c r="AL28" s="109">
        <f t="shared" si="65"/>
        <v>0</v>
      </c>
      <c r="AM28" s="109">
        <f t="shared" ca="1" si="66"/>
        <v>13640000</v>
      </c>
      <c r="AN28" s="31"/>
      <c r="AO28" s="109">
        <f>SUMIF(Bill_Out!$Q$134:$Q$188,CONCATENATE($C28,$BA$3),Bill_Out!$N$134:$N$188)</f>
        <v>0</v>
      </c>
      <c r="AP28" s="109">
        <f>SUMIF(Bill_Out!$Q$134:$Q$188,CONCATENATE($C28,$BA$3),Bill_Out!$O$134:$O$188)</f>
        <v>0</v>
      </c>
      <c r="AQ28" s="50"/>
      <c r="AR28" s="230">
        <f>SUMIF(Master_Data!$AK$4:$AK$145,CONCATENATE(C28,$BA$3),Master_Data!$R$4:$R$145)+SUMIF(Master_Data!$AK$152:$AK$864,CONCATENATE(C28,$BA$3),Master_Data!$R$152:$R$864)</f>
        <v>0</v>
      </c>
      <c r="AS28" s="230">
        <f>SUMIF(Master_Data!$AK$4:$AK$145,CONCATENATE(C28,$BA$3),Master_Data!$Q$4:$Q$145)+SUMIF(Master_Data!$AK$152:$AK$864,CONCATENATE(C28,$BA$3),Master_Data!$Q$152:$Q$864)</f>
        <v>0</v>
      </c>
      <c r="AT28" s="230">
        <f>SUMIF(Master_Data!$AK$4:$AK$145,CONCATENATE(C28,$BA$3),Master_Data!$U$4:$U$145)+SUMIF(Master_Data!$AK$152:$AK$864,CONCATENATE(C28,$BA$3),Master_Data!$U$152:$U$864)</f>
        <v>0</v>
      </c>
      <c r="AU28" s="230">
        <f ca="1">SUMIF(Master_Data!$AK$4:$AK$145,CONCATENATE(C28,$BA$3),Master_Data!$S$4:$S$145)+SUMIF(Master_Data!$AK$152:$AK$864,CONCATENATE(C28,$BA$3),Master_Data!$S$152:$S$850)</f>
        <v>0</v>
      </c>
      <c r="AV28" s="39">
        <f>SUMIF(Master_Data!$AK$152:$AK$864,CONCATENATE($C28,BA$3),Master_Data!$T$152:$T$864)</f>
        <v>0</v>
      </c>
      <c r="AW28" s="230">
        <f t="shared" si="57"/>
        <v>0</v>
      </c>
      <c r="AX28" s="230">
        <f t="shared" ca="1" si="58"/>
        <v>13640000</v>
      </c>
      <c r="AY28" s="23"/>
      <c r="AZ28" s="235" t="str">
        <f t="shared" si="21"/>
        <v>KENCANA MANDIRI SEJAHTERA TELECOM, PTMAR</v>
      </c>
      <c r="BA28" s="24"/>
      <c r="BB28" s="259"/>
      <c r="BC28" s="109">
        <f t="shared" si="22"/>
        <v>0</v>
      </c>
      <c r="BD28" s="109">
        <f t="shared" ca="1" si="23"/>
        <v>13640000</v>
      </c>
      <c r="BE28" s="31"/>
      <c r="BF28" s="109">
        <f>SUMIF(Bill_Out!$Q$192:$Q$258,CONCATENATE($C28,$BR$3),Bill_Out!$N$192:$N$258)</f>
        <v>0</v>
      </c>
      <c r="BG28" s="109">
        <f>SUMIF(Bill_Out!$Q$192:$Q$258,CONCATENATE($C28,$BR$3),Bill_Out!$O$192:$O$258)</f>
        <v>0</v>
      </c>
      <c r="BH28" s="50"/>
      <c r="BI28" s="230">
        <f>SUMIF(Master_Data!$AK$4:$AK$145,CONCATENATE(C28,$BR$3),Master_Data!$R$4:$R$145)+SUMIF(Master_Data!$AK$152:$AK$864,CONCATENATE(C28,$BR$3),Master_Data!$R$152:$R$864)</f>
        <v>0</v>
      </c>
      <c r="BJ28" s="230">
        <f>SUMIF(Master_Data!$AK$4:$AK$145,CONCATENATE(C28,$BR$3),Master_Data!$Q$4:$Q$145)+SUMIF(Master_Data!$AK$152:$AK$864,CONCATENATE(C28,$BR$3),Master_Data!$Q$152:$Q$864)</f>
        <v>0</v>
      </c>
      <c r="BK28" s="230">
        <f>SUMIF(Master_Data!$AK$4:$AK$145,CONCATENATE(C28,$BR$3),Master_Data!$U$4:$U$145)+SUMIF(Master_Data!$AK$152:$AK$864,CONCATENATE(C28,$BR$3),Master_Data!$U$152:$U$864)</f>
        <v>0</v>
      </c>
      <c r="BL28" s="230">
        <f>SUMIF(Master_Data!$AK$4:$AK$145,CONCATENATE(C28,$BR$3),Master_Data!$S$4:$S$145)+SUMIF(Master_Data!$AK$152:$AK$864,CONCATENATE(C28,$BR$3),Master_Data!$S$152:$S$864)</f>
        <v>0</v>
      </c>
      <c r="BM28" s="39">
        <f>SUMIF(Master_Data!$AK$152:$AK$864,CONCATENATE($C28,BR$3),Master_Data!$T$152:$T$864)</f>
        <v>0</v>
      </c>
      <c r="BN28" s="230">
        <f t="shared" si="24"/>
        <v>0</v>
      </c>
      <c r="BO28" s="230">
        <f t="shared" ca="1" si="25"/>
        <v>13640000</v>
      </c>
      <c r="BP28" s="23"/>
      <c r="BQ28" s="909" t="str">
        <f t="shared" si="26"/>
        <v>KENCANA MANDIRI SEJAHTERA TELECOM, PTAPR</v>
      </c>
      <c r="BR28" s="24"/>
      <c r="BS28" s="259"/>
      <c r="BT28" s="109">
        <f t="shared" si="78"/>
        <v>0</v>
      </c>
      <c r="BU28" s="109">
        <f t="shared" ca="1" si="79"/>
        <v>13640000</v>
      </c>
      <c r="BV28" s="31"/>
      <c r="BW28" s="109">
        <f>SUMIF(Bill_Out!$Q$263:$Q$314,CONCATENATE($C28,$CI$3),Bill_Out!$N$263:$N$314)</f>
        <v>0</v>
      </c>
      <c r="BX28" s="109">
        <f>SUMIF(Bill_Out!$Q$263:$Q$314,CONCATENATE($C28,$CI$3),Bill_Out!$O$263:$O$314)</f>
        <v>0</v>
      </c>
      <c r="BY28" s="50"/>
      <c r="BZ28" s="310">
        <f>SUMIF(Master_Data!$AK$4:$AK$145,CONCATENATE(C28,$CI$3),Master_Data!$R$4:$R$145)+SUMIF(Master_Data!$AK$152:$AK$864,CONCATENATE(C28,$CI$3),Master_Data!$R$152:$R$864)</f>
        <v>0</v>
      </c>
      <c r="CA28" s="310">
        <f>SUMIF(Master_Data!$AK$4:$AK$145,CONCATENATE(C28,$CI$3),Master_Data!$Q$4:$Q$145)+SUMIF(Master_Data!$AK$152:$AK$864,CONCATENATE(C28,$CI$3),Master_Data!$Q$152:$Q$864)</f>
        <v>0</v>
      </c>
      <c r="CB28" s="310">
        <f>SUMIF(Master_Data!$AK$4:$AK$145,CONCATENATE(C28,$CI$3),Master_Data!$U$4:$U$145)+SUMIF(Master_Data!$AK$152:$AK$864,CONCATENATE(C28,$CI$3),Master_Data!$U$152:$U$864)</f>
        <v>0</v>
      </c>
      <c r="CC28" s="230">
        <f>SUMIF(Master_Data!$AK$4:$AK$145,CONCATENATE(C28,$CI$3),Master_Data!$S$4:$S$145)+SUMIF(Master_Data!$AK$152:$AK$864,CONCATENATE(C28,$CI$3),Master_Data!$S$152:$S$864)</f>
        <v>0</v>
      </c>
      <c r="CD28" s="39">
        <f>SUMIF(Master_Data!$AK$152:$AK$864,CONCATENATE($C28,CI$3),Master_Data!$T$152:$T$864)</f>
        <v>0</v>
      </c>
      <c r="CE28" s="310">
        <f t="shared" si="27"/>
        <v>0</v>
      </c>
      <c r="CF28" s="230">
        <f t="shared" ca="1" si="28"/>
        <v>13640000</v>
      </c>
      <c r="CG28" s="23"/>
      <c r="CH28" s="235" t="str">
        <f t="shared" si="29"/>
        <v>KENCANA MANDIRI SEJAHTERA TELECOM, PTMEI</v>
      </c>
      <c r="CI28" s="24"/>
      <c r="CJ28" s="259"/>
      <c r="CK28" s="109">
        <f t="shared" si="30"/>
        <v>0</v>
      </c>
      <c r="CL28" s="238">
        <f t="shared" ca="1" si="31"/>
        <v>13640000</v>
      </c>
      <c r="CM28" s="31"/>
      <c r="CN28" s="238">
        <f>SUMIF(Bill_Out!$Q$318:$Q$371,CONCATENATE($C28,$CZ$3),Bill_Out!$N$318:$N$371)</f>
        <v>0</v>
      </c>
      <c r="CO28" s="238">
        <f>SUMIF(Bill_Out!$Q$318:$Q$371,CONCATENATE($C28,$CZ$3),Bill_Out!$O$318:$O$371)</f>
        <v>0</v>
      </c>
      <c r="CP28" s="50"/>
      <c r="CQ28" s="230">
        <f>SUMIF(Master_Data!$AK$4:$AK$145,CONCATENATE($C28,$CZ$3),Master_Data!$R$4:$R$145)+SUMIF(Master_Data!$AK$152:$AK$864,CONCATENATE($C28,$CZ$3),Master_Data!$R$152:$R$864)</f>
        <v>0</v>
      </c>
      <c r="CR28" s="230">
        <f>SUMIF(Master_Data!$AK$4:$AK$145,CONCATENATE($C28,$CZ$3),Master_Data!$Q$4:$Q$145)+SUMIF(Master_Data!$AK$152:$AK$864,CONCATENATE($C28,$CZ$3),Master_Data!$Q$152:$Q$864)</f>
        <v>0</v>
      </c>
      <c r="CS28" s="230">
        <f>SUMIF(Master_Data!$AK$4:$AK$145,CONCATENATE($C28,$CZ$3),Master_Data!$U$4:$U$145)+SUMIF(Master_Data!$AK$152:$AK$864,CONCATENATE($C28,$CZ$3),Master_Data!$U$152:$U$864)</f>
        <v>0</v>
      </c>
      <c r="CT28" s="230">
        <f ca="1">SUMIF(Master_Data!$AK$4:$AK$145,CONCATENATE(C28,$CZ$3),Master_Data!$S$4:$S$145)+SUMIF(Master_Data!$AK$152:$AK$915,CONCATENATE(C28,$CZ$3),Master_Data!$S$152:$S$864)</f>
        <v>0</v>
      </c>
      <c r="CU28" s="1010">
        <f>SUMIF(Master_Data!$AK$4:$AK$145,CONCATENATE(C28,$CZ$3),Master_Data!$T$4:$T$145)+SUMIF(Master_Data!$AK$152:$AK$864,CONCATENATE(C28,$CZ$3),Master_Data!$T$152:$T$864)</f>
        <v>0</v>
      </c>
      <c r="CV28" s="230">
        <f t="shared" si="32"/>
        <v>0</v>
      </c>
      <c r="CW28" s="230">
        <f t="shared" ca="1" si="33"/>
        <v>13640000</v>
      </c>
      <c r="CX28" s="23"/>
      <c r="CY28" s="1007" t="str">
        <f t="shared" si="6"/>
        <v>KENCANA MANDIRI SEJAHTERA TELECOM, PTJUN</v>
      </c>
      <c r="CZ28" s="24"/>
      <c r="DA28" s="259"/>
      <c r="DB28" s="109">
        <f t="shared" si="34"/>
        <v>0</v>
      </c>
      <c r="DC28" s="109">
        <f t="shared" ca="1" si="35"/>
        <v>13640000</v>
      </c>
      <c r="DD28" s="31"/>
      <c r="DE28" s="109">
        <f>SUMIF(Bill_Out!$Q$375:$Q$422,CONCATENATE($C28,$DQ$3),Bill_Out!$N$375:$N$422)</f>
        <v>0</v>
      </c>
      <c r="DF28" s="109">
        <f>SUMIF(Bill_Out!$Q$375:$Q$422,CONCATENATE($C28,$DQ$3),Bill_Out!$O$375:$O$422)</f>
        <v>0</v>
      </c>
      <c r="DG28" s="50"/>
      <c r="DH28" s="310">
        <f>SUMIF(Master_Data!$AK$4:$AK$145,CONCATENATE($C28,$DQ$3),Master_Data!$R$4:$R$145)+SUMIF(Master_Data!$AK$152:$AK$864,CONCATENATE($C28,$DQ$3),Master_Data!$R$152:$R$864)</f>
        <v>0</v>
      </c>
      <c r="DI28" s="310">
        <f>SUMIF(Master_Data!$AK$4:$AK$145,CONCATENATE($C28,$DQ$3),Master_Data!$Q$4:$Q$145)+SUMIF(Master_Data!$AK$152:$AK$864,CONCATENATE($C28,$DQ$3),Master_Data!$Q$152:$Q$864)</f>
        <v>0</v>
      </c>
      <c r="DJ28" s="310">
        <f>SUMIF(Master_Data!$AK$4:$AK$145,CONCATENATE($C28,$DQ$3),Master_Data!$U$4:$U$145)+SUMIF(Master_Data!$AK$152:$AK$864,CONCATENATE($C28,$DQ$3),Master_Data!$U$152:$U$864)</f>
        <v>0</v>
      </c>
      <c r="DK28" s="310">
        <f>SUMIF(Master_Data!$AK$4:$AK$145,CONCATENATE($C28,$DQ$3),Master_Data!$S$4:$S$145)+SUMIF(Master_Data!$AK$152:$AK$864,CONCATENATE($C28,$DQ$3),Master_Data!$S$152:$S$864)</f>
        <v>0</v>
      </c>
      <c r="DL28" s="39">
        <f>SUMIF(Master_Data!$AK$152:$AK$915,CONCATENATE($C28,DQ$3),Master_Data!$T$152:$T$915)</f>
        <v>0</v>
      </c>
      <c r="DM28" s="230">
        <f t="shared" si="67"/>
        <v>0</v>
      </c>
      <c r="DN28" s="230">
        <f t="shared" ca="1" si="68"/>
        <v>13640000</v>
      </c>
      <c r="DO28" s="23"/>
      <c r="DP28" s="358" t="str">
        <f t="shared" si="9"/>
        <v>KENCANA MANDIRI SEJAHTERA TELECOM, PTJUL</v>
      </c>
      <c r="DQ28" s="24"/>
      <c r="DR28" s="390"/>
      <c r="DS28" s="109">
        <f t="shared" si="36"/>
        <v>0</v>
      </c>
      <c r="DT28" s="109">
        <f t="shared" ca="1" si="37"/>
        <v>13640000</v>
      </c>
      <c r="DU28" s="31"/>
      <c r="DV28" s="109">
        <f>SUMIF(Bill_Out!$Q$426:$Q$472,CONCATENATE($C28,$EH$3),Bill_Out!$N$426:$N$472)</f>
        <v>0</v>
      </c>
      <c r="DW28" s="109">
        <f>SUMIF(Bill_Out!$Q$426:$Q$472,CONCATENATE($C28,$EH$3),Bill_Out!$O$426:$O$472)</f>
        <v>0</v>
      </c>
      <c r="DX28" s="50"/>
      <c r="DY28" s="310">
        <f>SUMIF(Master_Data!$AK$4:$AK$145,CONCATENATE($C28,$EH$3),Master_Data!$R$4:$R$145)+SUMIF(Master_Data!$AK$152:$AK$864,CONCATENATE($C28,$EH$3),Master_Data!$R$152:$R$864)</f>
        <v>0</v>
      </c>
      <c r="DZ28" s="310">
        <f>SUMIF(Master_Data!$AK$4:$AK$145,CONCATENATE($C28,$EH$3),Master_Data!$Q$4:$Q$145)+SUMIF(Master_Data!$AK$152:$AK$864,CONCATENATE($C28,$EH$3),Master_Data!$Q$152:$Q$864)</f>
        <v>0</v>
      </c>
      <c r="EA28" s="310">
        <f>SUMIF(Master_Data!$AK$4:$AK$145,CONCATENATE($C28,$EH$3),Master_Data!$U$4:$U$145)+SUMIF(Master_Data!$AK$152:$AK$864,CONCATENATE($C28,$EH$3),Master_Data!$U$152:$U$864)</f>
        <v>0</v>
      </c>
      <c r="EB28" s="310">
        <f>SUMIF(Master_Data!$AK$4:$AK$145,CONCATENATE($C28,$EH$3),Master_Data!$S$4:$S$145)+SUMIF(Master_Data!$AK$152:$AK$864,CONCATENATE($C28,$EH$3),Master_Data!$S$152:$S$864)</f>
        <v>0</v>
      </c>
      <c r="EC28" s="39">
        <f>SUMIF(Master_Data!$AK$152:$AK$915,CONCATENATE($C28,EH$3),Master_Data!$T$152:$T$915)</f>
        <v>0</v>
      </c>
      <c r="ED28" s="310">
        <f t="shared" si="38"/>
        <v>0</v>
      </c>
      <c r="EE28" s="230">
        <f t="shared" ca="1" si="39"/>
        <v>13640000</v>
      </c>
      <c r="EF28" s="23"/>
      <c r="EG28" s="358" t="str">
        <f t="shared" si="10"/>
        <v>KENCANA MANDIRI SEJAHTERA TELECOM, PTAGS</v>
      </c>
      <c r="EH28" s="24"/>
      <c r="EI28" s="390"/>
      <c r="EJ28" s="109">
        <f t="shared" si="47"/>
        <v>0</v>
      </c>
      <c r="EK28" s="109">
        <f t="shared" ca="1" si="48"/>
        <v>13640000</v>
      </c>
      <c r="EL28" s="84"/>
      <c r="EM28" s="109">
        <f>SUMIF(Bill_Out!$Q$476:$Q$530,CONCATENATE($C28,$EY$3),Bill_Out!$N$476:$N$530)</f>
        <v>0</v>
      </c>
      <c r="EN28" s="109">
        <f>SUMIF(Bill_Out!$Q$476:$Q$530,CONCATENATE($C28,$EY$3),Bill_Out!$O$476:$O$530)</f>
        <v>0</v>
      </c>
      <c r="EO28" s="309"/>
      <c r="EP28" s="310">
        <f>SUMIF(Master_Data!$AK$4:$AK$145,CONCATENATE($C28,$EY$3),Master_Data!$R$4:$R$145)+SUMIF(Master_Data!$AK$152:$AK$864,CONCATENATE($C28,$EY$3),Master_Data!$R$152:$R$864)</f>
        <v>0</v>
      </c>
      <c r="EQ28" s="310">
        <f>SUMIF(Master_Data!$AK$4:$AK$145,CONCATENATE($C28,$EY$3),Master_Data!$Q$4:$Q$145)+SUMIF(Master_Data!$AK$152:$AK$864,CONCATENATE($C28,$EY$3),Master_Data!$Q$152:$Q$864)</f>
        <v>0</v>
      </c>
      <c r="ER28" s="310">
        <f>SUMIF(Master_Data!$AK$4:$AK$145,CONCATENATE($C28,$EY$3),Master_Data!$U$4:$U$145)+SUMIF(Master_Data!$AK$152:$AK$864,CONCATENATE($C28,$EY$3),Master_Data!$U$152:$U$864)</f>
        <v>0</v>
      </c>
      <c r="ES28" s="310">
        <f>SUMIF(Master_Data!$AK$4:$AK$145,CONCATENATE($C28,$EY$3),Master_Data!$S$4:$S$145)+SUMIF(Master_Data!$AK$152:$AK$864,CONCATENATE($C28,$EY$3),Master_Data!$S$152:$S$864)</f>
        <v>0</v>
      </c>
      <c r="ET28" s="39">
        <f>SUMIF(Master_Data!$AK$152:$AK$915,CONCATENATE($C28,EY$3),Master_Data!$T$152:$T$915)</f>
        <v>0</v>
      </c>
      <c r="EU28" s="310">
        <f t="shared" si="49"/>
        <v>0</v>
      </c>
      <c r="EV28" s="230"/>
      <c r="EW28" s="84"/>
      <c r="EX28" s="358" t="str">
        <f t="shared" si="11"/>
        <v>KENCANA MANDIRI SEJAHTERA TELECOM, PTSEP</v>
      </c>
      <c r="EY28" s="24"/>
      <c r="EZ28" s="412"/>
      <c r="FA28" s="109">
        <f t="shared" si="50"/>
        <v>0</v>
      </c>
      <c r="FB28" s="109">
        <f t="shared" si="51"/>
        <v>0</v>
      </c>
      <c r="FC28" s="421"/>
      <c r="FD28" s="109">
        <f>SUMIF(Bill_Out!$Q$534:$Q$606,CONCATENATE($C28,$FP$3),Bill_Out!$N$534:$N$606)</f>
        <v>0</v>
      </c>
      <c r="FE28" s="109">
        <f>SUMIF(Bill_Out!$Q$534:$Q$606,CONCATENATE($C28,$FP$3),Bill_Out!$O$534:$O$606)</f>
        <v>0</v>
      </c>
      <c r="FF28" s="309"/>
      <c r="FG28" s="310">
        <f>SUMIF(Master_Data!$AK$4:$AK$145,CONCATENATE($C28,$FP$3),Master_Data!$R$4:$R$145)+SUMIF(Master_Data!$AK$152:$AK$864,CONCATENATE($C28,$FP$3),Master_Data!$R$152:$R$864)</f>
        <v>0</v>
      </c>
      <c r="FH28" s="310">
        <f>SUMIF(Master_Data!$AK$4:$AK$145,CONCATENATE($C28,$FP$3),Master_Data!$Q$4:$Q$145)+SUMIF(Master_Data!$AK$152:$AK$864,CONCATENATE($C28,$FP$3),Master_Data!$Q$152:$Q$864)</f>
        <v>0</v>
      </c>
      <c r="FI28" s="310">
        <f>SUMIF(Master_Data!$AK$4:$AK$145,CONCATENATE($C28,$FP$3),Master_Data!$U$4:$U$145)+SUMIF(Master_Data!$AK$152:$AK$864,CONCATENATE($C28,$FP$3),Master_Data!$U$152:$U$864)</f>
        <v>0</v>
      </c>
      <c r="FJ28" s="310">
        <f>SUMIF(Master_Data!$AK$4:$AK$145,CONCATENATE($C28,$FP$3),Master_Data!$S$4:$S$145)+SUMIF(Master_Data!$AK$152:$AK$864,CONCATENATE($C28,$FP$3),Master_Data!$S$152:$S$864)</f>
        <v>0</v>
      </c>
      <c r="FK28" s="39">
        <f>SUMIF(Master_Data!$AK$152:$AK$915,CONCATENATE($C28,FP$3),Master_Data!$T$152:$T$915)</f>
        <v>0</v>
      </c>
      <c r="FL28" s="310">
        <f t="shared" si="52"/>
        <v>0</v>
      </c>
      <c r="FM28" s="230">
        <f t="shared" si="53"/>
        <v>0</v>
      </c>
      <c r="FN28" s="23"/>
      <c r="FO28" s="358" t="str">
        <f t="shared" ref="FO28:FO60" si="80">CONCATENATE($C28,$FP$3)</f>
        <v>KENCANA MANDIRI SEJAHTERA TELECOM, PTOKT</v>
      </c>
      <c r="FP28" s="24"/>
      <c r="FQ28" s="412"/>
      <c r="FR28" s="109">
        <f t="shared" si="42"/>
        <v>0</v>
      </c>
      <c r="FS28" s="109">
        <f t="shared" si="74"/>
        <v>0</v>
      </c>
      <c r="FT28" s="420"/>
      <c r="FU28" s="109">
        <f>SUMIF(Bill_Out!$Q$610:$Q$675,CONCATENATE($C28,$GG$3),Bill_Out!$N$610:$N$675)</f>
        <v>0</v>
      </c>
      <c r="FV28" s="109">
        <f>SUMIF(Bill_Out!$Q$610:$Q$675,CONCATENATE($C28,$GG$3),Bill_Out!$O$610:$O$675)</f>
        <v>0</v>
      </c>
      <c r="FW28" s="50"/>
      <c r="FX28" s="512">
        <f>SUMIF(Master_Data!$AK$4:$AK$145,CONCATENATE($C28,$GG$3),Master_Data!$R$4:$R$145)+SUMIF(Master_Data!$AK$152:$AK$864,CONCATENATE($C28,$GG$3),Master_Data!$R$152:$R$864)</f>
        <v>0</v>
      </c>
      <c r="FY28" s="512">
        <f>SUMIF(Master_Data!$AK$4:$AK$145,CONCATENATE($C28,$GG$3),Master_Data!$Q$4:$Q$145)+SUMIF(Master_Data!$AK$152:$AK$864,CONCATENATE($C28,$GG$3),Master_Data!$Q$152:$Q$864)</f>
        <v>0</v>
      </c>
      <c r="FZ28" s="512">
        <f>SUMIF(Master_Data!$AK$4:$AK$145,CONCATENATE($C28,$GG$3),Master_Data!$U$4:$U$145)+SUMIF(Master_Data!$AK$152:$AK$864,CONCATENATE($C28,$GG$3),Master_Data!$U$152:$U$864)</f>
        <v>0</v>
      </c>
      <c r="GA28" s="310">
        <f>SUMIF(Master_Data!$AK$4:$AK$145,CONCATENATE($C28,$GG$3),Master_Data!$S$4:$S$145)+SUMIF(Master_Data!$AK$152:$AK$864,CONCATENATE($C28,$GG$3),Master_Data!$S$152:$S$864)</f>
        <v>0</v>
      </c>
      <c r="GB28" s="39">
        <f>SUMIF(Master_Data!$AK$152:$AK$915,CONCATENATE($C28,GG$3),Master_Data!$T$152:$T$915)</f>
        <v>0</v>
      </c>
      <c r="GC28" s="230">
        <f t="shared" si="77"/>
        <v>0</v>
      </c>
      <c r="GD28" s="230">
        <f t="shared" si="14"/>
        <v>0</v>
      </c>
      <c r="GE28" s="23"/>
      <c r="GF28" s="358" t="str">
        <f t="shared" ref="GF28:GF60" si="81">CONCATENATE($C28,$GG$3)</f>
        <v>KENCANA MANDIRI SEJAHTERA TELECOM, PTNOV</v>
      </c>
      <c r="GG28" s="24"/>
      <c r="GH28" s="412" t="s">
        <v>311</v>
      </c>
      <c r="GI28" s="109">
        <f t="shared" si="70"/>
        <v>0</v>
      </c>
      <c r="GJ28" s="109">
        <f t="shared" si="71"/>
        <v>0</v>
      </c>
      <c r="GK28" s="423"/>
      <c r="GL28" s="109">
        <f>SUMIF(Bill_Out!$Q$679:$Q$756,CONCATENATE($C28,$GX$3),Bill_Out!$N$679:$N$756)</f>
        <v>0</v>
      </c>
      <c r="GM28" s="109">
        <f>SUMIF(Bill_Out!$Q$679:$Q$756,CONCATENATE($C28,$GX$3),Bill_Out!$O$679:$O$756)</f>
        <v>0</v>
      </c>
      <c r="GN28" s="50"/>
      <c r="GO28" s="512">
        <f>SUMIF(Master_Data!$AK$4:$AK$145,CONCATENATE($C28,$GX$3),Master_Data!$R$4:$R$145)+SUMIF(Master_Data!$AK$152:$AK$864,CONCATENATE($C28,$GX$3),Master_Data!$R$152:$R$864)</f>
        <v>0</v>
      </c>
      <c r="GP28" s="512">
        <f>SUMIF(Master_Data!$AK$4:$AK$145,CONCATENATE($C28,$GX$3),Master_Data!$Q$4:$Q$145)+SUMIF(Master_Data!$AK$152:$AK$864,CONCATENATE($C28,$GX$3),Master_Data!$Q$152:$Q$864)</f>
        <v>0</v>
      </c>
      <c r="GQ28" s="512">
        <f>SUMIF(Master_Data!$AK$4:$AK$145,CONCATENATE($C28,$GX$3),Master_Data!$U$4:$U$145)+SUMIF(Master_Data!$AK$152:$AK$864,CONCATENATE($C28,$GX$3),Master_Data!$U$152:$U$864)</f>
        <v>0</v>
      </c>
      <c r="GR28" s="310">
        <f>SUMIF(Master_Data!$AK$4:$AK$145,CONCATENATE($C28,$GX$3),Master_Data!$S$4:$S$145)+SUMIF(Master_Data!$AK$152:$AK$864,CONCATENATE($C28,$GX$3),Master_Data!$S$152:$S$864)</f>
        <v>0</v>
      </c>
      <c r="GS28" s="39">
        <f>SUMIF(Master_Data!$AK$152:$AK$864,CONCATENATE($C28,GX$3),Master_Data!$T$152:$T$864)</f>
        <v>0</v>
      </c>
      <c r="GT28" s="534">
        <f t="shared" si="44"/>
        <v>0</v>
      </c>
      <c r="GU28" s="310">
        <f t="shared" si="16"/>
        <v>0</v>
      </c>
      <c r="GV28" s="23"/>
      <c r="GW28" s="358" t="str">
        <f t="shared" si="69"/>
        <v>KENCANA MANDIRI SEJAHTERA TELECOM, PTDES</v>
      </c>
      <c r="GX28" s="24"/>
    </row>
    <row r="29" spans="1:206" s="19" customFormat="1">
      <c r="A29" s="328" t="s">
        <v>103</v>
      </c>
      <c r="B29" s="236" t="str">
        <f t="shared" si="18"/>
        <v>KUSUMA MENTARI MAKMUR, PTJAN</v>
      </c>
      <c r="C29" s="22" t="s">
        <v>151</v>
      </c>
      <c r="D29" s="52"/>
      <c r="E29" s="238">
        <f>SUMIF(Master_Data!$D23:$D$145,CONCATENATE(C29),Master_Data!M23:M220)</f>
        <v>0</v>
      </c>
      <c r="F29" s="109">
        <f>SUMIF(Master_Data!$D27:$D$145,CONCATENATE(C29),Master_Data!N27:N212)</f>
        <v>24200000</v>
      </c>
      <c r="G29" s="31"/>
      <c r="H29" s="109">
        <f>SUMIF(Bill_Out!$Q$3:$Q$65,CONCATENATE($C29,$S$3),Bill_Out!$N$3:$N$65)</f>
        <v>0</v>
      </c>
      <c r="I29" s="88" t="e">
        <f>SUMIF(Bill_Out!$Q$3:$Q$65,CONCATENATE($C29,$S$3),Bill_Out!$O$3:$O$65)</f>
        <v>#VALUE!</v>
      </c>
      <c r="J29" s="50"/>
      <c r="K29" s="29"/>
      <c r="L29" s="44"/>
      <c r="M29" s="230">
        <f>SUMIF(Master_Data!$AK26:$AK$145,CONCATENATE(C29,$S$3),Master_Data!U26:U225)+SUMIF(Master_Data!$AK231:$AK$864,CONCATENATE(C29,$S$3),Master_Data!U231:U931)</f>
        <v>23760000</v>
      </c>
      <c r="N29" s="310">
        <f>SUMIF(Master_Data!$AK$4:$AK$145,CONCATENATE(C29,$S$3),Master_Data!$S$4:$S$145)+SUMIF(Master_Data!$AK$150:$AK$864,CONCATENATE(C29,$S$3),Master_Data!$S$150:$S$864)</f>
        <v>0</v>
      </c>
      <c r="O29" s="310">
        <f>SUMIF(Master_Data!$AK$4:$AK$145,CONCATENATE(C29,$S$3),Master_Data!$T$4:$T$145)+SUMIF(Master_Data!$AK$150:$AK$864,CONCATENATE(C29,$S$3),Master_Data!$T$150:$T$864)</f>
        <v>-440000</v>
      </c>
      <c r="P29" s="230">
        <f t="shared" si="19"/>
        <v>0</v>
      </c>
      <c r="Q29" s="230" t="e">
        <f t="shared" si="20"/>
        <v>#VALUE!</v>
      </c>
      <c r="R29" s="23"/>
      <c r="S29" s="24"/>
      <c r="T29" s="259"/>
      <c r="U29" s="109">
        <f t="shared" ref="U29:U43" si="82">P29</f>
        <v>0</v>
      </c>
      <c r="V29" s="109" t="e">
        <f t="shared" ref="V29:V43" si="83">Q29</f>
        <v>#VALUE!</v>
      </c>
      <c r="W29" s="31"/>
      <c r="X29" s="109">
        <f>SUMIF(Bill_Out!$Q$67:$Q$132,CONCATENATE($C29,$AJ$3),Bill_Out!$N$67:$N$132)</f>
        <v>0</v>
      </c>
      <c r="Y29" s="109" t="e">
        <f>SUMIF(Bill_Out!$Q$67:$Q$132,CONCATENATE($C29,$AJ$3),Bill_Out!$O$67:$O$132)</f>
        <v>#VALUE!</v>
      </c>
      <c r="Z29" s="50"/>
      <c r="AA29" s="230">
        <f>SUMIF(Master_Data!$AK$4:$AK$145,CONCATENATE(C29,$AJ$3),Master_Data!$R$4:$R$145)+SUMIF(Master_Data!$AK$152:$AK$850,CONCATENATE(C29,$AJ$3),Master_Data!$R$152:$R$850)</f>
        <v>0</v>
      </c>
      <c r="AB29" s="230">
        <f>SUMIF(Master_Data!$AK$4:$AK$145,CONCATENATE(C29,$AJ$3),Master_Data!$Q$4:$Q$145)+SUMIF(Master_Data!$AK$152:$AK$850,CONCATENATE(C29,$AJ$3),Master_Data!$Q$152:$Q$850)</f>
        <v>0</v>
      </c>
      <c r="AC29" s="230">
        <f>SUMIF(Master_Data!$AK$4:$AK$145,CONCATENATE(C29,$AJ$3),Master_Data!$U$4:$U$145)+SUMIF(Master_Data!$AK$152:$AK$850,CONCATENATE(C29,$AJ$3),Master_Data!$U$152:$U$850)</f>
        <v>23760000</v>
      </c>
      <c r="AD29" s="310">
        <f ca="1">SUMIF(Master_Data!$AK$4:$AK$145,CONCATENATE(C29,$AJ$3),Master_Data!$S$4:$S$145)+SUMIF(Master_Data!$AK$152:$AK$864,CONCATENATE(C29,$AJ$3),Master_Data!$S$152:$S$850)</f>
        <v>0</v>
      </c>
      <c r="AE29" s="310">
        <f>SUMIF(Master_Data!$AK$4:$AK$145,CONCATENATE(C29,$AJ$3),Master_Data!$T$4:$T$145)+SUMIF(Master_Data!$AK$152:$AK$864,CONCATENATE(C29,$AJ$3),Master_Data!$T$152:$T$864)</f>
        <v>-440000</v>
      </c>
      <c r="AF29" s="230">
        <f t="shared" si="63"/>
        <v>0</v>
      </c>
      <c r="AG29" s="230" t="e">
        <f ca="1">V29+Y29-AC29+AD29+AE29</f>
        <v>#VALUE!</v>
      </c>
      <c r="AH29" s="23"/>
      <c r="AI29" s="235" t="str">
        <f t="shared" si="3"/>
        <v>KUSUMA MENTARI MAKMUR, PTFEB</v>
      </c>
      <c r="AJ29" s="24"/>
      <c r="AK29" s="259"/>
      <c r="AL29" s="109">
        <f t="shared" si="65"/>
        <v>0</v>
      </c>
      <c r="AM29" s="109" t="e">
        <f t="shared" ca="1" si="66"/>
        <v>#VALUE!</v>
      </c>
      <c r="AN29" s="31"/>
      <c r="AO29" s="109">
        <f>SUMIF(Bill_Out!$Q$134:$Q$188,CONCATENATE($C29,$BA$3),Bill_Out!$N$134:$N$188)</f>
        <v>0</v>
      </c>
      <c r="AP29" s="109" t="e">
        <f>SUMIF(Bill_Out!$Q$134:$Q$188,CONCATENATE($C29,$BA$3),Bill_Out!$O$134:$O$188)</f>
        <v>#VALUE!</v>
      </c>
      <c r="AQ29" s="50"/>
      <c r="AR29" s="230">
        <f>SUMIF(Master_Data!$AK$4:$AK$145,CONCATENATE(C29,$BA$3),Master_Data!$R$4:$R$145)+SUMIF(Master_Data!$AK$152:$AK$864,CONCATENATE(C29,$BA$3),Master_Data!$R$152:$R$864)</f>
        <v>0</v>
      </c>
      <c r="AS29" s="230">
        <f>SUMIF(Master_Data!$AK$4:$AK$145,CONCATENATE(C29,$BA$3),Master_Data!$Q$4:$Q$145)+SUMIF(Master_Data!$AK$152:$AK$864,CONCATENATE(C29,$BA$3),Master_Data!$Q$152:$Q$864)</f>
        <v>0</v>
      </c>
      <c r="AT29" s="230">
        <f>SUMIF(Master_Data!$AK$4:$AK$145,CONCATENATE(C29,$BA$3),Master_Data!$U$4:$U$145)+SUMIF(Master_Data!$AK$152:$AK$864,CONCATENATE(C29,$BA$3),Master_Data!$U$152:$U$864)</f>
        <v>23760000</v>
      </c>
      <c r="AU29" s="230">
        <f ca="1">SUMIF(Master_Data!$AK$4:$AK$145,CONCATENATE(C29,$BA$3),Master_Data!$S$4:$S$145)+SUMIF(Master_Data!$AK$152:$AK$864,CONCATENATE(C29,$BA$3),Master_Data!$S$152:$S$850)</f>
        <v>0</v>
      </c>
      <c r="AV29" s="39">
        <f>SUMIF(Master_Data!$AK$152:$AK$864,CONCATENATE($C29,BA$3),Master_Data!$T$152:$T$864)</f>
        <v>-440000</v>
      </c>
      <c r="AW29" s="230">
        <f t="shared" si="57"/>
        <v>0</v>
      </c>
      <c r="AX29" s="230" t="e">
        <f t="shared" ca="1" si="58"/>
        <v>#VALUE!</v>
      </c>
      <c r="AY29" s="23"/>
      <c r="AZ29" s="235" t="str">
        <f t="shared" si="21"/>
        <v>KUSUMA MENTARI MAKMUR, PTMAR</v>
      </c>
      <c r="BA29" s="24"/>
      <c r="BB29" s="259"/>
      <c r="BC29" s="109">
        <f t="shared" si="22"/>
        <v>0</v>
      </c>
      <c r="BD29" s="109" t="e">
        <f t="shared" ca="1" si="23"/>
        <v>#VALUE!</v>
      </c>
      <c r="BE29" s="31"/>
      <c r="BF29" s="109">
        <f>SUMIF(Bill_Out!$Q$192:$Q$258,CONCATENATE($C29,$BR$3),Bill_Out!$N$192:$N$258)</f>
        <v>0</v>
      </c>
      <c r="BG29" s="109" t="e">
        <f>SUMIF(Bill_Out!$Q$192:$Q$258,CONCATENATE($C29,$BR$3),Bill_Out!$O$192:$O$258)</f>
        <v>#VALUE!</v>
      </c>
      <c r="BH29" s="50"/>
      <c r="BI29" s="230">
        <f>SUMIF(Master_Data!$AK$4:$AK$145,CONCATENATE(C29,$BR$3),Master_Data!$R$4:$R$145)+SUMIF(Master_Data!$AK$152:$AK$864,CONCATENATE(C29,$BR$3),Master_Data!$R$152:$R$864)</f>
        <v>0</v>
      </c>
      <c r="BJ29" s="230">
        <f>SUMIF(Master_Data!$AK$4:$AK$145,CONCATENATE(C29,$BR$3),Master_Data!$Q$4:$Q$145)+SUMIF(Master_Data!$AK$152:$AK$864,CONCATENATE(C29,$BR$3),Master_Data!$Q$152:$Q$864)</f>
        <v>0</v>
      </c>
      <c r="BK29" s="230">
        <f>SUMIF(Master_Data!$AK$4:$AK$145,CONCATENATE(C29,$BR$3),Master_Data!$U$4:$U$145)+SUMIF(Master_Data!$AK$152:$AK$864,CONCATENATE(C29,$BR$3),Master_Data!$U$152:$U$864)</f>
        <v>47520000</v>
      </c>
      <c r="BL29" s="230">
        <f>SUMIF(Master_Data!$AK$4:$AK$145,CONCATENATE(C29,$BR$3),Master_Data!$S$4:$S$145)+SUMIF(Master_Data!$AK$152:$AK$864,CONCATENATE(C29,$BR$3),Master_Data!$S$152:$S$864)</f>
        <v>0</v>
      </c>
      <c r="BM29" s="39">
        <f>SUMIF(Master_Data!$AK$152:$AK$864,CONCATENATE($C29,BR$3),Master_Data!$T$152:$T$864)</f>
        <v>-880000</v>
      </c>
      <c r="BN29" s="230">
        <f t="shared" si="24"/>
        <v>0</v>
      </c>
      <c r="BO29" s="230" t="e">
        <f t="shared" ca="1" si="25"/>
        <v>#VALUE!</v>
      </c>
      <c r="BP29" s="23"/>
      <c r="BQ29" s="909" t="str">
        <f t="shared" si="26"/>
        <v>KUSUMA MENTARI MAKMUR, PTAPR</v>
      </c>
      <c r="BR29" s="24"/>
      <c r="BS29" s="259"/>
      <c r="BT29" s="109">
        <f t="shared" si="78"/>
        <v>0</v>
      </c>
      <c r="BU29" s="109" t="e">
        <f t="shared" ca="1" si="79"/>
        <v>#VALUE!</v>
      </c>
      <c r="BV29" s="31"/>
      <c r="BW29" s="109">
        <f>SUMIF(Bill_Out!$Q$263:$Q$314,CONCATENATE($C29,$CI$3),Bill_Out!$N$263:$N$314)</f>
        <v>0</v>
      </c>
      <c r="BX29" s="109" t="e">
        <f>SUMIF(Bill_Out!$Q$263:$Q$314,CONCATENATE($C29,$CI$3),Bill_Out!$O$263:$O$314)</f>
        <v>#VALUE!</v>
      </c>
      <c r="BY29" s="50"/>
      <c r="BZ29" s="310">
        <f>SUMIF(Master_Data!$AK$4:$AK$145,CONCATENATE(C29,$CI$3),Master_Data!$R$4:$R$145)+SUMIF(Master_Data!$AK$152:$AK$864,CONCATENATE(C29,$CI$3),Master_Data!$R$152:$R$864)</f>
        <v>0</v>
      </c>
      <c r="CA29" s="310">
        <f>SUMIF(Master_Data!$AK$4:$AK$145,CONCATENATE(C29,$CI$3),Master_Data!$Q$4:$Q$145)+SUMIF(Master_Data!$AK$152:$AK$864,CONCATENATE(C29,$CI$3),Master_Data!$Q$152:$Q$864)</f>
        <v>0</v>
      </c>
      <c r="CB29" s="310">
        <f>SUMIF(Master_Data!$AK$4:$AK$145,CONCATENATE(C29,$CI$3),Master_Data!$U$4:$U$145)+SUMIF(Master_Data!$AK$152:$AK$864,CONCATENATE(C29,$CI$3),Master_Data!$U$152:$U$864)</f>
        <v>0</v>
      </c>
      <c r="CC29" s="230">
        <f>SUMIF(Master_Data!$AK$4:$AK$145,CONCATENATE(C29,$CI$3),Master_Data!$S$4:$S$145)+SUMIF(Master_Data!$AK$152:$AK$864,CONCATENATE(C29,$CI$3),Master_Data!$S$152:$S$864)</f>
        <v>0</v>
      </c>
      <c r="CD29" s="39">
        <f>SUMIF(Master_Data!$AK$152:$AK$864,CONCATENATE($C29,CI$3),Master_Data!$T$152:$T$864)</f>
        <v>0</v>
      </c>
      <c r="CE29" s="310">
        <f t="shared" si="27"/>
        <v>0</v>
      </c>
      <c r="CF29" s="230" t="e">
        <f t="shared" ca="1" si="28"/>
        <v>#VALUE!</v>
      </c>
      <c r="CG29" s="23"/>
      <c r="CH29" s="235" t="str">
        <f t="shared" si="29"/>
        <v>KUSUMA MENTARI MAKMUR, PTMEI</v>
      </c>
      <c r="CI29" s="24"/>
      <c r="CJ29" s="259"/>
      <c r="CK29" s="109">
        <f t="shared" si="30"/>
        <v>0</v>
      </c>
      <c r="CL29" s="238" t="e">
        <f t="shared" ca="1" si="31"/>
        <v>#VALUE!</v>
      </c>
      <c r="CM29" s="31"/>
      <c r="CN29" s="238">
        <f>SUMIF(Bill_Out!$Q$318:$Q$371,CONCATENATE($C29,$CZ$3),Bill_Out!$N$318:$N$371)</f>
        <v>0</v>
      </c>
      <c r="CO29" s="238" t="e">
        <f>SUMIF(Bill_Out!$Q$318:$Q$371,CONCATENATE($C29,$CZ$3),Bill_Out!$O$318:$O$371)</f>
        <v>#VALUE!</v>
      </c>
      <c r="CP29" s="50"/>
      <c r="CQ29" s="230">
        <f>SUMIF(Master_Data!$AK$4:$AK$145,CONCATENATE($C29,$CZ$3),Master_Data!$R$4:$R$145)+SUMIF(Master_Data!$AK$152:$AK$864,CONCATENATE($C29,$CZ$3),Master_Data!$R$152:$R$864)</f>
        <v>0</v>
      </c>
      <c r="CR29" s="230">
        <f>SUMIF(Master_Data!$AK$4:$AK$145,CONCATENATE($C29,$CZ$3),Master_Data!$Q$4:$Q$145)+SUMIF(Master_Data!$AK$152:$AK$864,CONCATENATE($C29,$CZ$3),Master_Data!$Q$152:$Q$864)</f>
        <v>0</v>
      </c>
      <c r="CS29" s="230">
        <f>SUMIF(Master_Data!$AK$4:$AK$145,CONCATENATE($C29,$CZ$3),Master_Data!$U$4:$U$145)+SUMIF(Master_Data!$AK$152:$AK$864,CONCATENATE($C29,$CZ$3),Master_Data!$U$152:$U$864)</f>
        <v>30096000</v>
      </c>
      <c r="CT29" s="230">
        <f ca="1">SUMIF(Master_Data!$AK$4:$AK$145,CONCATENATE(C29,$CZ$3),Master_Data!$S$4:$S$145)+SUMIF(Master_Data!$AK$152:$AK$915,CONCATENATE(C29,$CZ$3),Master_Data!$S$152:$S$864)</f>
        <v>0</v>
      </c>
      <c r="CU29" s="1010">
        <f>SUMIF(Master_Data!$AK$4:$AK$145,CONCATENATE(C29,$CZ$3),Master_Data!$T$4:$T$145)+SUMIF(Master_Data!$AK$152:$AK$864,CONCATENATE(C29,$CZ$3),Master_Data!$T$152:$T$864)</f>
        <v>-557333.3334</v>
      </c>
      <c r="CV29" s="230">
        <f t="shared" si="32"/>
        <v>0</v>
      </c>
      <c r="CW29" s="230" t="e">
        <f t="shared" ca="1" si="33"/>
        <v>#VALUE!</v>
      </c>
      <c r="CX29" s="23"/>
      <c r="CY29" s="1007" t="str">
        <f t="shared" si="6"/>
        <v>KUSUMA MENTARI MAKMUR, PTJUN</v>
      </c>
      <c r="CZ29" s="24"/>
      <c r="DA29" s="259"/>
      <c r="DB29" s="109">
        <f t="shared" si="34"/>
        <v>0</v>
      </c>
      <c r="DC29" s="109" t="e">
        <f t="shared" ca="1" si="35"/>
        <v>#VALUE!</v>
      </c>
      <c r="DD29" s="31"/>
      <c r="DE29" s="109">
        <f>SUMIF(Bill_Out!$Q$375:$Q$422,CONCATENATE($C29,$DQ$3),Bill_Out!$N$375:$N$422)</f>
        <v>0</v>
      </c>
      <c r="DF29" s="109" t="e">
        <f>SUMIF(Bill_Out!$Q$375:$Q$422,CONCATENATE($C29,$DQ$3),Bill_Out!$O$375:$O$422)</f>
        <v>#VALUE!</v>
      </c>
      <c r="DG29" s="50"/>
      <c r="DH29" s="310">
        <f>SUMIF(Master_Data!$AK$4:$AK$145,CONCATENATE($C29,$DQ$3),Master_Data!$R$4:$R$145)+SUMIF(Master_Data!$AK$152:$AK$864,CONCATENATE($C29,$DQ$3),Master_Data!$R$152:$R$864)</f>
        <v>0</v>
      </c>
      <c r="DI29" s="310">
        <f>SUMIF(Master_Data!$AK$4:$AK$145,CONCATENATE($C29,$DQ$3),Master_Data!$Q$4:$Q$145)+SUMIF(Master_Data!$AK$152:$AK$864,CONCATENATE($C29,$DQ$3),Master_Data!$Q$152:$Q$864)</f>
        <v>0</v>
      </c>
      <c r="DJ29" s="310">
        <f>SUMIF(Master_Data!$AK$4:$AK$145,CONCATENATE($C29,$DQ$3),Master_Data!$U$4:$U$145)+SUMIF(Master_Data!$AK$152:$AK$864,CONCATENATE($C29,$DQ$3),Master_Data!$U$152:$U$864)</f>
        <v>23760000</v>
      </c>
      <c r="DK29" s="310">
        <f>SUMIF(Master_Data!$AK$4:$AK$145,CONCATENATE($C29,$DQ$3),Master_Data!$S$4:$S$145)+SUMIF(Master_Data!$AK$152:$AK$864,CONCATENATE($C29,$DQ$3),Master_Data!$S$152:$S$864)</f>
        <v>0</v>
      </c>
      <c r="DL29" s="39">
        <f>SUMIF(Master_Data!$AK$152:$AK$915,CONCATENATE($C29,DQ$3),Master_Data!$T$152:$T$915)</f>
        <v>-440000</v>
      </c>
      <c r="DM29" s="230">
        <f t="shared" si="67"/>
        <v>0</v>
      </c>
      <c r="DN29" s="230" t="e">
        <f t="shared" ca="1" si="68"/>
        <v>#VALUE!</v>
      </c>
      <c r="DO29" s="23"/>
      <c r="DP29" s="358" t="str">
        <f t="shared" si="9"/>
        <v>KUSUMA MENTARI MAKMUR, PTJUL</v>
      </c>
      <c r="DQ29" s="24"/>
      <c r="DR29" s="390"/>
      <c r="DS29" s="109">
        <f t="shared" si="36"/>
        <v>0</v>
      </c>
      <c r="DT29" s="109" t="e">
        <f t="shared" ca="1" si="37"/>
        <v>#VALUE!</v>
      </c>
      <c r="DU29" s="31"/>
      <c r="DV29" s="109">
        <f>SUMIF(Bill_Out!$Q$426:$Q$472,CONCATENATE($C29,$EH$3),Bill_Out!$N$426:$N$472)</f>
        <v>0</v>
      </c>
      <c r="DW29" s="109" t="e">
        <f>SUMIF(Bill_Out!$Q$426:$Q$472,CONCATENATE($C29,$EH$3),Bill_Out!$O$426:$O$472)</f>
        <v>#VALUE!</v>
      </c>
      <c r="DX29" s="50"/>
      <c r="DY29" s="310">
        <f>SUMIF(Master_Data!$AK$4:$AK$145,CONCATENATE($C29,$EH$3),Master_Data!$R$4:$R$145)+SUMIF(Master_Data!$AK$152:$AK$864,CONCATENATE($C29,$EH$3),Master_Data!$R$152:$R$864)</f>
        <v>0</v>
      </c>
      <c r="DZ29" s="310">
        <f>SUMIF(Master_Data!$AK$4:$AK$145,CONCATENATE($C29,$EH$3),Master_Data!$Q$4:$Q$145)+SUMIF(Master_Data!$AK$152:$AK$864,CONCATENATE($C29,$EH$3),Master_Data!$Q$152:$Q$864)</f>
        <v>0</v>
      </c>
      <c r="EA29" s="310">
        <f>SUMIF(Master_Data!$AK$4:$AK$145,CONCATENATE($C29,$EH$3),Master_Data!$U$4:$U$145)+SUMIF(Master_Data!$AK$152:$AK$864,CONCATENATE($C29,$EH$3),Master_Data!$U$152:$U$864)</f>
        <v>23760000</v>
      </c>
      <c r="EB29" s="310">
        <f>SUMIF(Master_Data!$AK$4:$AK$145,CONCATENATE($C29,$EH$3),Master_Data!$S$4:$S$145)+SUMIF(Master_Data!$AK$152:$AK$864,CONCATENATE($C29,$EH$3),Master_Data!$S$152:$S$864)</f>
        <v>0</v>
      </c>
      <c r="EC29" s="39">
        <f>SUMIF(Master_Data!$AK$152:$AK$915,CONCATENATE($C29,EH$3),Master_Data!$T$152:$T$915)</f>
        <v>-440000</v>
      </c>
      <c r="ED29" s="310">
        <f t="shared" si="38"/>
        <v>0</v>
      </c>
      <c r="EE29" s="230" t="e">
        <f t="shared" ca="1" si="39"/>
        <v>#VALUE!</v>
      </c>
      <c r="EF29" s="23"/>
      <c r="EG29" s="358" t="str">
        <f t="shared" si="10"/>
        <v>KUSUMA MENTARI MAKMUR, PTAGS</v>
      </c>
      <c r="EH29" s="24"/>
      <c r="EI29" s="390"/>
      <c r="EJ29" s="109">
        <f t="shared" si="47"/>
        <v>0</v>
      </c>
      <c r="EK29" s="109" t="e">
        <f t="shared" ca="1" si="48"/>
        <v>#VALUE!</v>
      </c>
      <c r="EL29" s="84"/>
      <c r="EM29" s="109">
        <f>SUMIF(Bill_Out!$Q$476:$Q$530,CONCATENATE($C29,$EY$3),Bill_Out!$N$476:$N$530)</f>
        <v>0</v>
      </c>
      <c r="EN29" s="109" t="e">
        <f>SUMIF(Bill_Out!$Q$476:$Q$530,CONCATENATE($C29,$EY$3),Bill_Out!$O$476:$O$530)</f>
        <v>#VALUE!</v>
      </c>
      <c r="EO29" s="309"/>
      <c r="EP29" s="310">
        <f>SUMIF(Master_Data!$AK$4:$AK$145,CONCATENATE($C29,$EY$3),Master_Data!$R$4:$R$145)+SUMIF(Master_Data!$AK$152:$AK$864,CONCATENATE($C29,$EY$3),Master_Data!$R$152:$R$864)</f>
        <v>0</v>
      </c>
      <c r="EQ29" s="310">
        <f>SUMIF(Master_Data!$AK$4:$AK$145,CONCATENATE($C29,$EY$3),Master_Data!$Q$4:$Q$145)+SUMIF(Master_Data!$AK$152:$AK$864,CONCATENATE($C29,$EY$3),Master_Data!$Q$152:$Q$864)</f>
        <v>0</v>
      </c>
      <c r="ER29" s="310">
        <f>SUMIF(Master_Data!$AK$4:$AK$145,CONCATENATE($C29,$EY$3),Master_Data!$U$4:$U$145)+SUMIF(Master_Data!$AK$152:$AK$864,CONCATENATE($C29,$EY$3),Master_Data!$U$152:$U$864)</f>
        <v>23760000</v>
      </c>
      <c r="ES29" s="310">
        <f>SUMIF(Master_Data!$AK$4:$AK$145,CONCATENATE($C29,$EY$3),Master_Data!$S$4:$S$145)+SUMIF(Master_Data!$AK$152:$AK$864,CONCATENATE($C29,$EY$3),Master_Data!$S$152:$S$864)</f>
        <v>0</v>
      </c>
      <c r="ET29" s="39">
        <f>SUMIF(Master_Data!$AK$152:$AK$915,CONCATENATE($C29,EY$3),Master_Data!$T$152:$T$915)</f>
        <v>-440000</v>
      </c>
      <c r="EU29" s="310">
        <f t="shared" si="49"/>
        <v>0</v>
      </c>
      <c r="EV29" s="230"/>
      <c r="EW29" s="84"/>
      <c r="EX29" s="358" t="str">
        <f t="shared" si="11"/>
        <v>KUSUMA MENTARI MAKMUR, PTSEP</v>
      </c>
      <c r="EY29" s="24"/>
      <c r="EZ29" s="412"/>
      <c r="FA29" s="109">
        <f t="shared" si="50"/>
        <v>0</v>
      </c>
      <c r="FB29" s="109">
        <f t="shared" si="51"/>
        <v>0</v>
      </c>
      <c r="FC29" s="421"/>
      <c r="FD29" s="109">
        <f>SUMIF(Bill_Out!$Q$534:$Q$606,CONCATENATE($C29,$FP$3),Bill_Out!$N$534:$N$606)</f>
        <v>0</v>
      </c>
      <c r="FE29" s="109" t="e">
        <f>SUMIF(Bill_Out!$Q$534:$Q$606,CONCATENATE($C29,$FP$3),Bill_Out!$O$534:$O$606)</f>
        <v>#VALUE!</v>
      </c>
      <c r="FF29" s="309"/>
      <c r="FG29" s="310">
        <f>SUMIF(Master_Data!$AK$4:$AK$145,CONCATENATE($C29,$FP$3),Master_Data!$R$4:$R$145)+SUMIF(Master_Data!$AK$152:$AK$864,CONCATENATE($C29,$FP$3),Master_Data!$R$152:$R$864)</f>
        <v>0</v>
      </c>
      <c r="FH29" s="310">
        <f>SUMIF(Master_Data!$AK$4:$AK$145,CONCATENATE($C29,$FP$3),Master_Data!$Q$4:$Q$145)+SUMIF(Master_Data!$AK$152:$AK$864,CONCATENATE($C29,$FP$3),Master_Data!$Q$152:$Q$864)</f>
        <v>0</v>
      </c>
      <c r="FI29" s="310">
        <f>SUMIF(Master_Data!$AK$4:$AK$145,CONCATENATE($C29,$FP$3),Master_Data!$U$4:$U$145)+SUMIF(Master_Data!$AK$152:$AK$864,CONCATENATE($C29,$FP$3),Master_Data!$U$152:$U$864)</f>
        <v>23760000</v>
      </c>
      <c r="FJ29" s="310">
        <f>SUMIF(Master_Data!$AK$4:$AK$145,CONCATENATE($C29,$FP$3),Master_Data!$S$4:$S$145)+SUMIF(Master_Data!$AK$152:$AK$864,CONCATENATE($C29,$FP$3),Master_Data!$S$152:$S$864)</f>
        <v>0</v>
      </c>
      <c r="FK29" s="39">
        <f>SUMIF(Master_Data!$AK$152:$AK$915,CONCATENATE($C29,FP$3),Master_Data!$T$152:$T$915)</f>
        <v>-440000</v>
      </c>
      <c r="FL29" s="310">
        <f t="shared" si="52"/>
        <v>0</v>
      </c>
      <c r="FM29" s="230" t="e">
        <f t="shared" si="53"/>
        <v>#VALUE!</v>
      </c>
      <c r="FN29" s="23"/>
      <c r="FO29" s="358" t="str">
        <f t="shared" si="80"/>
        <v>KUSUMA MENTARI MAKMUR, PTOKT</v>
      </c>
      <c r="FP29" s="24"/>
      <c r="FQ29" s="412"/>
      <c r="FR29" s="109">
        <f t="shared" si="42"/>
        <v>0</v>
      </c>
      <c r="FS29" s="109" t="e">
        <f t="shared" si="74"/>
        <v>#VALUE!</v>
      </c>
      <c r="FT29" s="420"/>
      <c r="FU29" s="109">
        <f>SUMIF(Bill_Out!$Q$610:$Q$675,CONCATENATE($C29,$GG$3),Bill_Out!$N$610:$N$675)</f>
        <v>0</v>
      </c>
      <c r="FV29" s="109" t="e">
        <f>SUMIF(Bill_Out!$Q$610:$Q$675,CONCATENATE($C29,$GG$3),Bill_Out!$O$610:$O$675)</f>
        <v>#VALUE!</v>
      </c>
      <c r="FW29" s="50"/>
      <c r="FX29" s="512">
        <f>SUMIF(Master_Data!$AK$4:$AK$145,CONCATENATE($C29,$GG$3),Master_Data!$R$4:$R$145)+SUMIF(Master_Data!$AK$152:$AK$864,CONCATENATE($C29,$GG$3),Master_Data!$R$152:$R$864)</f>
        <v>0</v>
      </c>
      <c r="FY29" s="512">
        <f>SUMIF(Master_Data!$AK$4:$AK$145,CONCATENATE($C29,$GG$3),Master_Data!$Q$4:$Q$145)+SUMIF(Master_Data!$AK$152:$AK$864,CONCATENATE($C29,$GG$3),Master_Data!$Q$152:$Q$864)</f>
        <v>0</v>
      </c>
      <c r="FZ29" s="512">
        <f>SUMIF(Master_Data!$AK$4:$AK$145,CONCATENATE($C29,$GG$3),Master_Data!$U$4:$U$145)+SUMIF(Master_Data!$AK$152:$AK$864,CONCATENATE($C29,$GG$3),Master_Data!$U$152:$U$864)</f>
        <v>23760000</v>
      </c>
      <c r="GA29" s="310">
        <f>SUMIF(Master_Data!$AK$4:$AK$145,CONCATENATE($C29,$GG$3),Master_Data!$S$4:$S$145)+SUMIF(Master_Data!$AK$152:$AK$864,CONCATENATE($C29,$GG$3),Master_Data!$S$152:$S$864)</f>
        <v>0</v>
      </c>
      <c r="GB29" s="39">
        <f>SUMIF(Master_Data!$AK$152:$AK$915,CONCATENATE($C29,GG$3),Master_Data!$T$152:$T$915)</f>
        <v>-440000</v>
      </c>
      <c r="GC29" s="230">
        <f t="shared" si="77"/>
        <v>0</v>
      </c>
      <c r="GD29" s="230" t="e">
        <f t="shared" si="14"/>
        <v>#VALUE!</v>
      </c>
      <c r="GE29" s="23"/>
      <c r="GF29" s="358" t="str">
        <f t="shared" si="81"/>
        <v>KUSUMA MENTARI MAKMUR, PTNOV</v>
      </c>
      <c r="GG29" s="24"/>
      <c r="GH29" s="412" t="s">
        <v>561</v>
      </c>
      <c r="GI29" s="109">
        <f t="shared" si="70"/>
        <v>0</v>
      </c>
      <c r="GJ29" s="109" t="e">
        <f t="shared" si="71"/>
        <v>#VALUE!</v>
      </c>
      <c r="GK29" s="423"/>
      <c r="GL29" s="109">
        <f>SUMIF(Bill_Out!$Q$679:$Q$756,CONCATENATE($C29,$GX$3),Bill_Out!$N$679:$N$756)</f>
        <v>0</v>
      </c>
      <c r="GM29" s="109" t="e">
        <f>SUMIF(Bill_Out!$Q$679:$Q$756,CONCATENATE($C29,$GX$3),Bill_Out!$O$679:$O$756)</f>
        <v>#VALUE!</v>
      </c>
      <c r="GN29" s="50"/>
      <c r="GO29" s="512">
        <f>SUMIF(Master_Data!$AK$4:$AK$145,CONCATENATE($C29,$GX$3),Master_Data!$R$4:$R$145)+SUMIF(Master_Data!$AK$152:$AK$864,CONCATENATE($C29,$GX$3),Master_Data!$R$152:$R$864)</f>
        <v>0</v>
      </c>
      <c r="GP29" s="512">
        <f>SUMIF(Master_Data!$AK$4:$AK$145,CONCATENATE($C29,$GX$3),Master_Data!$Q$4:$Q$145)+SUMIF(Master_Data!$AK$152:$AK$864,CONCATENATE($C29,$GX$3),Master_Data!$Q$152:$Q$864)</f>
        <v>0</v>
      </c>
      <c r="GQ29" s="512">
        <f>SUMIF(Master_Data!$AK$4:$AK$145,CONCATENATE($C29,$GX$3),Master_Data!$U$4:$U$145)+SUMIF(Master_Data!$AK$152:$AK$864,CONCATENATE($C29,$GX$3),Master_Data!$U$152:$U$864)</f>
        <v>23760000</v>
      </c>
      <c r="GR29" s="310">
        <f>SUMIF(Master_Data!$AK$4:$AK$145,CONCATENATE($C29,$GX$3),Master_Data!$S$4:$S$145)+SUMIF(Master_Data!$AK$152:$AK$864,CONCATENATE($C29,$GX$3),Master_Data!$S$152:$S$864)</f>
        <v>0</v>
      </c>
      <c r="GS29" s="39">
        <f>SUMIF(Master_Data!$AK$152:$AK$864,CONCATENATE($C29,GX$3),Master_Data!$T$152:$T$864)</f>
        <v>-440000</v>
      </c>
      <c r="GT29" s="534">
        <f t="shared" si="44"/>
        <v>0</v>
      </c>
      <c r="GU29" s="310" t="e">
        <f t="shared" si="16"/>
        <v>#VALUE!</v>
      </c>
      <c r="GV29" s="23"/>
      <c r="GW29" s="358" t="str">
        <f t="shared" si="69"/>
        <v>KUSUMA MENTARI MAKMUR, PTDES</v>
      </c>
      <c r="GX29" s="24"/>
    </row>
    <row r="30" spans="1:206" s="19" customFormat="1">
      <c r="A30" s="21" t="s">
        <v>93</v>
      </c>
      <c r="B30" s="236" t="str">
        <f t="shared" si="18"/>
        <v>LANANG AGRO BERSATU, PTJAN</v>
      </c>
      <c r="C30" s="8" t="s">
        <v>117</v>
      </c>
      <c r="D30" s="52" t="s">
        <v>312</v>
      </c>
      <c r="E30" s="238">
        <f>SUMIF(Master_Data!$D24:$D$145,CONCATENATE(C30),Master_Data!M24:M225)</f>
        <v>0</v>
      </c>
      <c r="F30" s="109">
        <f>SUMIF(Master_Data!$D28:$D$145,CONCATENATE(C30),Master_Data!N28:N213)</f>
        <v>0</v>
      </c>
      <c r="G30" s="31"/>
      <c r="H30" s="109">
        <f>SUMIF(Bill_Out!$Q$3:$Q$65,CONCATENATE($C30,$S$3),Bill_Out!$N$3:$N$65)</f>
        <v>0</v>
      </c>
      <c r="I30" s="88" t="e">
        <f>SUMIF(Bill_Out!$Q$3:$Q$65,CONCATENATE($C30,$S$3),Bill_Out!$O$3:$O$65)</f>
        <v>#VALUE!</v>
      </c>
      <c r="J30" s="50"/>
      <c r="K30" s="29"/>
      <c r="L30" s="44"/>
      <c r="M30" s="230">
        <f>SUMIF(Master_Data!$AK27:$AK$145,CONCATENATE(C30,$S$3),Master_Data!U27:U226)+SUMIF(Master_Data!$AK232:$AK$864,CONCATENATE(C30,$S$3),Master_Data!U232:U932)</f>
        <v>0</v>
      </c>
      <c r="N30" s="310">
        <f>SUMIF(Master_Data!$AK$4:$AK$145,CONCATENATE(C30,$S$3),Master_Data!$S$4:$S$145)+SUMIF(Master_Data!$AK$150:$AK$864,CONCATENATE(C30,$S$3),Master_Data!$S$150:$S$864)</f>
        <v>0</v>
      </c>
      <c r="O30" s="310">
        <f>SUMIF(Master_Data!$AK$4:$AK$145,CONCATENATE(C30,$S$3),Master_Data!$T$4:$T$145)+SUMIF(Master_Data!$AK$150:$AK$864,CONCATENATE(C30,$S$3),Master_Data!$T$150:$T$864)</f>
        <v>0</v>
      </c>
      <c r="P30" s="230">
        <f t="shared" si="19"/>
        <v>0</v>
      </c>
      <c r="Q30" s="230" t="e">
        <f t="shared" si="20"/>
        <v>#VALUE!</v>
      </c>
      <c r="R30" s="23"/>
      <c r="S30" s="24"/>
      <c r="T30" s="259"/>
      <c r="U30" s="109">
        <f t="shared" si="82"/>
        <v>0</v>
      </c>
      <c r="V30" s="109" t="e">
        <f t="shared" si="83"/>
        <v>#VALUE!</v>
      </c>
      <c r="W30" s="31"/>
      <c r="X30" s="109">
        <f>SUMIF(Bill_Out!$Q$67:$Q$132,CONCATENATE($C30,$AJ$3),Bill_Out!$N$67:$N$132)</f>
        <v>0</v>
      </c>
      <c r="Y30" s="109" t="e">
        <f>SUMIF(Bill_Out!$Q$67:$Q$132,CONCATENATE($C30,$AJ$3),Bill_Out!$O$67:$O$132)</f>
        <v>#VALUE!</v>
      </c>
      <c r="Z30" s="50"/>
      <c r="AA30" s="230">
        <f>SUMIF(Master_Data!$AK$4:$AK$145,CONCATENATE(C30,$AJ$3),Master_Data!$R$4:$R$145)+SUMIF(Master_Data!$AK$152:$AK$850,CONCATENATE(C30,$AJ$3),Master_Data!$R$152:$R$850)</f>
        <v>0</v>
      </c>
      <c r="AB30" s="230">
        <f>SUMIF(Master_Data!$AK$4:$AK$145,CONCATENATE(C30,$AJ$3),Master_Data!$Q$4:$Q$145)+SUMIF(Master_Data!$AK$152:$AK$850,CONCATENATE(C30,$AJ$3),Master_Data!$Q$152:$Q$850)</f>
        <v>0</v>
      </c>
      <c r="AC30" s="230">
        <f>SUMIF(Master_Data!$AK$4:$AK$145,CONCATENATE(C30,$AJ$3),Master_Data!$U$4:$U$145)+SUMIF(Master_Data!$AK$152:$AK$850,CONCATENATE(C30,$AJ$3),Master_Data!$U$152:$U$850)</f>
        <v>47520000</v>
      </c>
      <c r="AD30" s="310">
        <f ca="1">SUMIF(Master_Data!$AK$4:$AK$145,CONCATENATE(C30,$AJ$3),Master_Data!$S$4:$S$145)+SUMIF(Master_Data!$AK$152:$AK$864,CONCATENATE(C30,$AJ$3),Master_Data!$S$152:$S$850)</f>
        <v>0</v>
      </c>
      <c r="AE30" s="310">
        <f>SUMIF(Master_Data!$AK$4:$AK$145,CONCATENATE(C30,$AJ$3),Master_Data!$T$4:$T$145)+SUMIF(Master_Data!$AK$152:$AK$864,CONCATENATE(C30,$AJ$3),Master_Data!$T$152:$T$864)</f>
        <v>-880000</v>
      </c>
      <c r="AF30" s="230">
        <f t="shared" si="63"/>
        <v>0</v>
      </c>
      <c r="AG30" s="230" t="e">
        <f t="shared" ca="1" si="64"/>
        <v>#VALUE!</v>
      </c>
      <c r="AH30" s="23"/>
      <c r="AI30" s="235" t="str">
        <f t="shared" si="3"/>
        <v>LANANG AGRO BERSATU, PTFEB</v>
      </c>
      <c r="AJ30" s="24"/>
      <c r="AK30" s="259"/>
      <c r="AL30" s="109">
        <f t="shared" si="65"/>
        <v>0</v>
      </c>
      <c r="AM30" s="109" t="e">
        <f t="shared" ca="1" si="66"/>
        <v>#VALUE!</v>
      </c>
      <c r="AN30" s="31"/>
      <c r="AO30" s="109">
        <f>SUMIF(Bill_Out!$Q$134:$Q$188,CONCATENATE($C30,$BA$3),Bill_Out!$N$134:$N$188)</f>
        <v>0</v>
      </c>
      <c r="AP30" s="109" t="e">
        <f>SUMIF(Bill_Out!$Q$134:$Q$188,CONCATENATE($C30,$BA$3),Bill_Out!$O$134:$O$188)</f>
        <v>#VALUE!</v>
      </c>
      <c r="AQ30" s="50"/>
      <c r="AR30" s="230">
        <f>SUMIF(Master_Data!$AK$4:$AK$145,CONCATENATE(C30,$BA$3),Master_Data!$R$4:$R$145)+SUMIF(Master_Data!$AK$152:$AK$864,CONCATENATE(C30,$BA$3),Master_Data!$R$152:$R$864)</f>
        <v>0</v>
      </c>
      <c r="AS30" s="230">
        <f>SUMIF(Master_Data!$AK$4:$AK$145,CONCATENATE(C30,$BA$3),Master_Data!$Q$4:$Q$145)+SUMIF(Master_Data!$AK$152:$AK$864,CONCATENATE(C30,$BA$3),Master_Data!$Q$152:$Q$864)</f>
        <v>0</v>
      </c>
      <c r="AT30" s="230">
        <f>SUMIF(Master_Data!$AK$4:$AK$145,CONCATENATE(C30,$BA$3),Master_Data!$U$4:$U$145)+SUMIF(Master_Data!$AK$152:$AK$864,CONCATENATE(C30,$BA$3),Master_Data!$U$152:$U$864)</f>
        <v>47520000</v>
      </c>
      <c r="AU30" s="230">
        <f ca="1">SUMIF(Master_Data!$AK$4:$AK$145,CONCATENATE(C30,$BA$3),Master_Data!$S$4:$S$145)+SUMIF(Master_Data!$AK$152:$AK$864,CONCATENATE(C30,$BA$3),Master_Data!$S$152:$S$850)</f>
        <v>0</v>
      </c>
      <c r="AV30" s="39">
        <f>SUMIF(Master_Data!$AK$152:$AK$864,CONCATENATE($C30,BA$3),Master_Data!$T$152:$T$864)</f>
        <v>-880000</v>
      </c>
      <c r="AW30" s="230">
        <f t="shared" si="57"/>
        <v>0</v>
      </c>
      <c r="AX30" s="230" t="e">
        <f t="shared" ca="1" si="58"/>
        <v>#VALUE!</v>
      </c>
      <c r="AY30" s="23"/>
      <c r="AZ30" s="235" t="str">
        <f t="shared" si="21"/>
        <v>LANANG AGRO BERSATU, PTMAR</v>
      </c>
      <c r="BA30" s="24"/>
      <c r="BB30" s="259"/>
      <c r="BC30" s="109">
        <f t="shared" si="22"/>
        <v>0</v>
      </c>
      <c r="BD30" s="109" t="e">
        <f t="shared" ca="1" si="23"/>
        <v>#VALUE!</v>
      </c>
      <c r="BE30" s="31"/>
      <c r="BF30" s="109">
        <f>SUMIF(Bill_Out!$Q$192:$Q$258,CONCATENATE($C30,$BR$3),Bill_Out!$N$192:$N$258)</f>
        <v>0</v>
      </c>
      <c r="BG30" s="109" t="e">
        <f>SUMIF(Bill_Out!$Q$192:$Q$258,CONCATENATE($C30,$BR$3),Bill_Out!$O$192:$O$258)</f>
        <v>#VALUE!</v>
      </c>
      <c r="BH30" s="50"/>
      <c r="BI30" s="230">
        <f>SUMIF(Master_Data!$AK$4:$AK$145,CONCATENATE(C30,$BR$3),Master_Data!$R$4:$R$145)+SUMIF(Master_Data!$AK$152:$AK$864,CONCATENATE(C30,$BR$3),Master_Data!$R$152:$R$864)</f>
        <v>0</v>
      </c>
      <c r="BJ30" s="230">
        <f>SUMIF(Master_Data!$AK$4:$AK$145,CONCATENATE(C30,$BR$3),Master_Data!$Q$4:$Q$145)+SUMIF(Master_Data!$AK$152:$AK$864,CONCATENATE(C30,$BR$3),Master_Data!$Q$152:$Q$864)</f>
        <v>0</v>
      </c>
      <c r="BK30" s="230">
        <f>SUMIF(Master_Data!$AK$4:$AK$145,CONCATENATE(C30,$BR$3),Master_Data!$U$4:$U$145)+SUMIF(Master_Data!$AK$152:$AK$864,CONCATENATE(C30,$BR$3),Master_Data!$U$152:$U$864)</f>
        <v>47520000</v>
      </c>
      <c r="BL30" s="230">
        <f>SUMIF(Master_Data!$AK$4:$AK$145,CONCATENATE(C30,$BR$3),Master_Data!$S$4:$S$145)+SUMIF(Master_Data!$AK$152:$AK$864,CONCATENATE(C30,$BR$3),Master_Data!$S$152:$S$864)</f>
        <v>0</v>
      </c>
      <c r="BM30" s="39">
        <f>SUMIF(Master_Data!$AK$152:$AK$864,CONCATENATE($C30,BR$3),Master_Data!$T$152:$T$864)</f>
        <v>-880000</v>
      </c>
      <c r="BN30" s="230">
        <f t="shared" si="24"/>
        <v>0</v>
      </c>
      <c r="BO30" s="230" t="e">
        <f t="shared" ca="1" si="25"/>
        <v>#VALUE!</v>
      </c>
      <c r="BP30" s="23"/>
      <c r="BQ30" s="909" t="str">
        <f t="shared" si="26"/>
        <v>LANANG AGRO BERSATU, PTAPR</v>
      </c>
      <c r="BR30" s="24"/>
      <c r="BS30" s="259"/>
      <c r="BT30" s="109">
        <f t="shared" si="78"/>
        <v>0</v>
      </c>
      <c r="BU30" s="109" t="e">
        <f t="shared" ca="1" si="79"/>
        <v>#VALUE!</v>
      </c>
      <c r="BV30" s="31"/>
      <c r="BW30" s="109">
        <f>SUMIF(Bill_Out!$Q$263:$Q$314,CONCATENATE($C30,$CI$3),Bill_Out!$N$263:$N$314)</f>
        <v>0</v>
      </c>
      <c r="BX30" s="109" t="e">
        <f>SUMIF(Bill_Out!$Q$263:$Q$314,CONCATENATE($C30,$CI$3),Bill_Out!$O$263:$O$314)</f>
        <v>#VALUE!</v>
      </c>
      <c r="BY30" s="50"/>
      <c r="BZ30" s="310">
        <f>SUMIF(Master_Data!$AK$4:$AK$145,CONCATENATE(C30,$CI$3),Master_Data!$R$4:$R$145)+SUMIF(Master_Data!$AK$152:$AK$864,CONCATENATE(C30,$CI$3),Master_Data!$R$152:$R$864)</f>
        <v>0</v>
      </c>
      <c r="CA30" s="310">
        <f>SUMIF(Master_Data!$AK$4:$AK$145,CONCATENATE(C30,$CI$3),Master_Data!$Q$4:$Q$145)+SUMIF(Master_Data!$AK$152:$AK$864,CONCATENATE(C30,$CI$3),Master_Data!$Q$152:$Q$864)</f>
        <v>0</v>
      </c>
      <c r="CB30" s="310">
        <f>SUMIF(Master_Data!$AK$4:$AK$145,CONCATENATE(C30,$CI$3),Master_Data!$U$4:$U$145)+SUMIF(Master_Data!$AK$152:$AK$864,CONCATENATE(C30,$CI$3),Master_Data!$U$152:$U$864)</f>
        <v>47520000</v>
      </c>
      <c r="CC30" s="230">
        <f>SUMIF(Master_Data!$AK$4:$AK$145,CONCATENATE(C30,$CI$3),Master_Data!$S$4:$S$145)+SUMIF(Master_Data!$AK$152:$AK$864,CONCATENATE(C30,$CI$3),Master_Data!$S$152:$S$864)</f>
        <v>0</v>
      </c>
      <c r="CD30" s="39">
        <f>SUMIF(Master_Data!$AK$152:$AK$864,CONCATENATE($C30,CI$3),Master_Data!$T$152:$T$864)</f>
        <v>-880000</v>
      </c>
      <c r="CE30" s="310">
        <f t="shared" si="27"/>
        <v>0</v>
      </c>
      <c r="CF30" s="230" t="e">
        <f t="shared" ca="1" si="28"/>
        <v>#VALUE!</v>
      </c>
      <c r="CG30" s="23"/>
      <c r="CH30" s="235" t="str">
        <f t="shared" si="29"/>
        <v>LANANG AGRO BERSATU, PTMEI</v>
      </c>
      <c r="CI30" s="24"/>
      <c r="CJ30" s="259"/>
      <c r="CK30" s="109">
        <f t="shared" si="30"/>
        <v>0</v>
      </c>
      <c r="CL30" s="238" t="e">
        <f t="shared" ca="1" si="31"/>
        <v>#VALUE!</v>
      </c>
      <c r="CM30" s="31"/>
      <c r="CN30" s="238">
        <f>SUMIF(Bill_Out!$Q$318:$Q$371,CONCATENATE($C30,$CZ$3),Bill_Out!$N$318:$N$371)</f>
        <v>0</v>
      </c>
      <c r="CO30" s="238" t="e">
        <f>SUMIF(Bill_Out!$Q$318:$Q$371,CONCATENATE($C30,$CZ$3),Bill_Out!$O$318:$O$371)</f>
        <v>#VALUE!</v>
      </c>
      <c r="CP30" s="50"/>
      <c r="CQ30" s="230">
        <f>SUMIF(Master_Data!$AK$4:$AK$145,CONCATENATE($C30,$CZ$3),Master_Data!$R$4:$R$145)+SUMIF(Master_Data!$AK$152:$AK$864,CONCATENATE($C30,$CZ$3),Master_Data!$R$152:$R$864)</f>
        <v>0</v>
      </c>
      <c r="CR30" s="230">
        <f>SUMIF(Master_Data!$AK$4:$AK$145,CONCATENATE($C30,$CZ$3),Master_Data!$Q$4:$Q$145)+SUMIF(Master_Data!$AK$152:$AK$864,CONCATENATE($C30,$CZ$3),Master_Data!$Q$152:$Q$864)</f>
        <v>0</v>
      </c>
      <c r="CS30" s="230">
        <f>SUMIF(Master_Data!$AK$4:$AK$145,CONCATENATE($C30,$CZ$3),Master_Data!$U$4:$U$145)+SUMIF(Master_Data!$AK$152:$AK$864,CONCATENATE($C30,$CZ$3),Master_Data!$U$152:$U$864)</f>
        <v>11880000</v>
      </c>
      <c r="CT30" s="230">
        <f ca="1">SUMIF(Master_Data!$AK$4:$AK$145,CONCATENATE(C30,$CZ$3),Master_Data!$S$4:$S$145)+SUMIF(Master_Data!$AK$152:$AK$915,CONCATENATE(C30,$CZ$3),Master_Data!$S$152:$S$864)</f>
        <v>0</v>
      </c>
      <c r="CU30" s="1010">
        <f>SUMIF(Master_Data!$AK$4:$AK$145,CONCATENATE(C30,$CZ$3),Master_Data!$T$4:$T$145)+SUMIF(Master_Data!$AK$152:$AK$864,CONCATENATE(C30,$CZ$3),Master_Data!$T$152:$T$864)</f>
        <v>-220000</v>
      </c>
      <c r="CV30" s="230">
        <f t="shared" si="32"/>
        <v>0</v>
      </c>
      <c r="CW30" s="230" t="e">
        <f t="shared" ca="1" si="33"/>
        <v>#VALUE!</v>
      </c>
      <c r="CX30" s="23"/>
      <c r="CY30" s="1007" t="str">
        <f t="shared" si="6"/>
        <v>LANANG AGRO BERSATU, PTJUN</v>
      </c>
      <c r="CZ30" s="24"/>
      <c r="DA30" s="259"/>
      <c r="DB30" s="109">
        <f t="shared" si="34"/>
        <v>0</v>
      </c>
      <c r="DC30" s="109" t="e">
        <f t="shared" ca="1" si="35"/>
        <v>#VALUE!</v>
      </c>
      <c r="DD30" s="31"/>
      <c r="DE30" s="109">
        <f>SUMIF(Bill_Out!$Q$375:$Q$422,CONCATENATE($C30,$DQ$3),Bill_Out!$N$375:$N$422)</f>
        <v>0</v>
      </c>
      <c r="DF30" s="109" t="e">
        <f>SUMIF(Bill_Out!$Q$375:$Q$422,CONCATENATE($C30,$DQ$3),Bill_Out!$O$375:$O$422)</f>
        <v>#VALUE!</v>
      </c>
      <c r="DG30" s="50"/>
      <c r="DH30" s="310">
        <f>SUMIF(Master_Data!$AK$4:$AK$145,CONCATENATE($C30,$DQ$3),Master_Data!$R$4:$R$145)+SUMIF(Master_Data!$AK$152:$AK$864,CONCATENATE($C30,$DQ$3),Master_Data!$R$152:$R$864)</f>
        <v>0</v>
      </c>
      <c r="DI30" s="310">
        <f>SUMIF(Master_Data!$AK$4:$AK$145,CONCATENATE($C30,$DQ$3),Master_Data!$Q$4:$Q$145)+SUMIF(Master_Data!$AK$152:$AK$864,CONCATENATE($C30,$DQ$3),Master_Data!$Q$152:$Q$864)</f>
        <v>0</v>
      </c>
      <c r="DJ30" s="310">
        <f>SUMIF(Master_Data!$AK$4:$AK$145,CONCATENATE($C30,$DQ$3),Master_Data!$U$4:$U$145)+SUMIF(Master_Data!$AK$152:$AK$864,CONCATENATE($C30,$DQ$3),Master_Data!$U$152:$U$864)</f>
        <v>47520000</v>
      </c>
      <c r="DK30" s="310">
        <f>SUMIF(Master_Data!$AK$4:$AK$145,CONCATENATE($C30,$DQ$3),Master_Data!$S$4:$S$145)+SUMIF(Master_Data!$AK$152:$AK$864,CONCATENATE($C30,$DQ$3),Master_Data!$S$152:$S$864)</f>
        <v>0</v>
      </c>
      <c r="DL30" s="39">
        <f>SUMIF(Master_Data!$AK$152:$AK$915,CONCATENATE($C30,DQ$3),Master_Data!$T$152:$T$915)</f>
        <v>-880000</v>
      </c>
      <c r="DM30" s="230">
        <f t="shared" si="67"/>
        <v>0</v>
      </c>
      <c r="DN30" s="230" t="e">
        <f t="shared" ca="1" si="68"/>
        <v>#VALUE!</v>
      </c>
      <c r="DO30" s="23"/>
      <c r="DP30" s="358" t="str">
        <f t="shared" si="9"/>
        <v>LANANG AGRO BERSATU, PTJUL</v>
      </c>
      <c r="DQ30" s="24"/>
      <c r="DR30" s="390"/>
      <c r="DS30" s="109">
        <f t="shared" si="36"/>
        <v>0</v>
      </c>
      <c r="DT30" s="109" t="e">
        <f t="shared" ca="1" si="37"/>
        <v>#VALUE!</v>
      </c>
      <c r="DU30" s="31"/>
      <c r="DV30" s="109">
        <f>SUMIF(Bill_Out!$Q$426:$Q$472,CONCATENATE($C30,$EH$3),Bill_Out!$N$426:$N$472)</f>
        <v>0</v>
      </c>
      <c r="DW30" s="109" t="e">
        <f>SUMIF(Bill_Out!$Q$426:$Q$472,CONCATENATE($C30,$EH$3),Bill_Out!$O$426:$O$472)</f>
        <v>#VALUE!</v>
      </c>
      <c r="DX30" s="50"/>
      <c r="DY30" s="310">
        <f>SUMIF(Master_Data!$AK$4:$AK$145,CONCATENATE($C30,$EH$3),Master_Data!$R$4:$R$145)+SUMIF(Master_Data!$AK$152:$AK$864,CONCATENATE($C30,$EH$3),Master_Data!$R$152:$R$864)</f>
        <v>0</v>
      </c>
      <c r="DZ30" s="310">
        <f>SUMIF(Master_Data!$AK$4:$AK$145,CONCATENATE($C30,$EH$3),Master_Data!$Q$4:$Q$145)+SUMIF(Master_Data!$AK$152:$AK$864,CONCATENATE($C30,$EH$3),Master_Data!$Q$152:$Q$864)</f>
        <v>0</v>
      </c>
      <c r="EA30" s="310">
        <f>SUMIF(Master_Data!$AK$4:$AK$145,CONCATENATE($C30,$EH$3),Master_Data!$U$4:$U$145)+SUMIF(Master_Data!$AK$152:$AK$864,CONCATENATE($C30,$EH$3),Master_Data!$U$152:$U$864)</f>
        <v>47520000</v>
      </c>
      <c r="EB30" s="310">
        <f>SUMIF(Master_Data!$AK$4:$AK$145,CONCATENATE($C30,$EH$3),Master_Data!$S$4:$S$145)+SUMIF(Master_Data!$AK$152:$AK$864,CONCATENATE($C30,$EH$3),Master_Data!$S$152:$S$864)</f>
        <v>0</v>
      </c>
      <c r="EC30" s="39">
        <f>SUMIF(Master_Data!$AK$152:$AK$915,CONCATENATE($C30,EH$3),Master_Data!$T$152:$T$915)</f>
        <v>-880000</v>
      </c>
      <c r="ED30" s="310">
        <f t="shared" si="38"/>
        <v>0</v>
      </c>
      <c r="EE30" s="230" t="e">
        <f t="shared" ca="1" si="39"/>
        <v>#VALUE!</v>
      </c>
      <c r="EF30" s="23"/>
      <c r="EG30" s="358" t="str">
        <f t="shared" si="10"/>
        <v>LANANG AGRO BERSATU, PTAGS</v>
      </c>
      <c r="EH30" s="24"/>
      <c r="EI30" s="390"/>
      <c r="EJ30" s="109">
        <f t="shared" si="47"/>
        <v>0</v>
      </c>
      <c r="EK30" s="109" t="e">
        <f t="shared" ca="1" si="48"/>
        <v>#VALUE!</v>
      </c>
      <c r="EL30" s="84"/>
      <c r="EM30" s="109">
        <f>SUMIF(Bill_Out!$Q$476:$Q$530,CONCATENATE($C30,$EY$3),Bill_Out!$N$476:$N$530)</f>
        <v>0</v>
      </c>
      <c r="EN30" s="109" t="e">
        <f>SUMIF(Bill_Out!$Q$476:$Q$530,CONCATENATE($C30,$EY$3),Bill_Out!$O$476:$O$530)</f>
        <v>#VALUE!</v>
      </c>
      <c r="EO30" s="309"/>
      <c r="EP30" s="310">
        <f>SUMIF(Master_Data!$AK$4:$AK$145,CONCATENATE($C30,$EY$3),Master_Data!$R$4:$R$145)+SUMIF(Master_Data!$AK$152:$AK$864,CONCATENATE($C30,$EY$3),Master_Data!$R$152:$R$864)</f>
        <v>0</v>
      </c>
      <c r="EQ30" s="310">
        <f>SUMIF(Master_Data!$AK$4:$AK$145,CONCATENATE($C30,$EY$3),Master_Data!$Q$4:$Q$145)+SUMIF(Master_Data!$AK$152:$AK$864,CONCATENATE($C30,$EY$3),Master_Data!$Q$152:$Q$864)</f>
        <v>0</v>
      </c>
      <c r="ER30" s="310">
        <f>SUMIF(Master_Data!$AK$4:$AK$145,CONCATENATE($C30,$EY$3),Master_Data!$U$4:$U$145)+SUMIF(Master_Data!$AK$152:$AK$864,CONCATENATE($C30,$EY$3),Master_Data!$U$152:$U$864)</f>
        <v>47520000</v>
      </c>
      <c r="ES30" s="310">
        <f>SUMIF(Master_Data!$AK$4:$AK$145,CONCATENATE($C30,$EY$3),Master_Data!$S$4:$S$145)+SUMIF(Master_Data!$AK$152:$AK$864,CONCATENATE($C30,$EY$3),Master_Data!$S$152:$S$864)</f>
        <v>0</v>
      </c>
      <c r="ET30" s="39">
        <f>SUMIF(Master_Data!$AK$152:$AK$915,CONCATENATE($C30,EY$3),Master_Data!$T$152:$T$915)</f>
        <v>-880000</v>
      </c>
      <c r="EU30" s="310">
        <f t="shared" si="49"/>
        <v>0</v>
      </c>
      <c r="EV30" s="230"/>
      <c r="EW30" s="84"/>
      <c r="EX30" s="358" t="str">
        <f t="shared" si="11"/>
        <v>LANANG AGRO BERSATU, PTSEP</v>
      </c>
      <c r="EY30" s="24"/>
      <c r="EZ30" s="412"/>
      <c r="FA30" s="109">
        <f t="shared" si="50"/>
        <v>0</v>
      </c>
      <c r="FB30" s="109">
        <f t="shared" si="51"/>
        <v>0</v>
      </c>
      <c r="FC30" s="421"/>
      <c r="FD30" s="109">
        <f>SUMIF(Bill_Out!$Q$534:$Q$606,CONCATENATE($C30,$FP$3),Bill_Out!$N$534:$N$606)</f>
        <v>0</v>
      </c>
      <c r="FE30" s="109" t="e">
        <f>SUMIF(Bill_Out!$Q$534:$Q$606,CONCATENATE($C30,$FP$3),Bill_Out!$O$534:$O$606)</f>
        <v>#VALUE!</v>
      </c>
      <c r="FF30" s="309"/>
      <c r="FG30" s="310">
        <f>SUMIF(Master_Data!$AK$4:$AK$145,CONCATENATE($C30,$FP$3),Master_Data!$R$4:$R$145)+SUMIF(Master_Data!$AK$152:$AK$864,CONCATENATE($C30,$FP$3),Master_Data!$R$152:$R$864)</f>
        <v>0</v>
      </c>
      <c r="FH30" s="310">
        <f>SUMIF(Master_Data!$AK$4:$AK$145,CONCATENATE($C30,$FP$3),Master_Data!$Q$4:$Q$145)+SUMIF(Master_Data!$AK$152:$AK$864,CONCATENATE($C30,$FP$3),Master_Data!$Q$152:$Q$864)</f>
        <v>0</v>
      </c>
      <c r="FI30" s="310">
        <f>SUMIF(Master_Data!$AK$4:$AK$145,CONCATENATE($C30,$FP$3),Master_Data!$U$4:$U$145)+SUMIF(Master_Data!$AK$152:$AK$864,CONCATENATE($C30,$FP$3),Master_Data!$U$152:$U$864)</f>
        <v>95040000</v>
      </c>
      <c r="FJ30" s="310">
        <f>SUMIF(Master_Data!$AK$4:$AK$145,CONCATENATE($C30,$FP$3),Master_Data!$S$4:$S$145)+SUMIF(Master_Data!$AK$152:$AK$864,CONCATENATE($C30,$FP$3),Master_Data!$S$152:$S$864)</f>
        <v>0</v>
      </c>
      <c r="FK30" s="39">
        <f>SUMIF(Master_Data!$AK$152:$AK$915,CONCATENATE($C30,FP$3),Master_Data!$T$152:$T$915)</f>
        <v>-1760000</v>
      </c>
      <c r="FL30" s="310">
        <f t="shared" si="52"/>
        <v>0</v>
      </c>
      <c r="FM30" s="230" t="e">
        <f t="shared" si="53"/>
        <v>#VALUE!</v>
      </c>
      <c r="FN30" s="23"/>
      <c r="FO30" s="358" t="str">
        <f t="shared" si="80"/>
        <v>LANANG AGRO BERSATU, PTOKT</v>
      </c>
      <c r="FP30" s="24"/>
      <c r="FQ30" s="412"/>
      <c r="FR30" s="109">
        <f t="shared" si="42"/>
        <v>0</v>
      </c>
      <c r="FS30" s="109" t="e">
        <f t="shared" si="74"/>
        <v>#VALUE!</v>
      </c>
      <c r="FT30" s="420"/>
      <c r="FU30" s="109">
        <f>SUMIF(Bill_Out!$Q$610:$Q$675,CONCATENATE($C30,$GG$3),Bill_Out!$N$610:$N$675)</f>
        <v>0</v>
      </c>
      <c r="FV30" s="109" t="e">
        <f>SUMIF(Bill_Out!$Q$610:$Q$675,CONCATENATE($C30,$GG$3),Bill_Out!$O$610:$O$675)</f>
        <v>#VALUE!</v>
      </c>
      <c r="FW30" s="50"/>
      <c r="FX30" s="512">
        <f>SUMIF(Master_Data!$AK$4:$AK$145,CONCATENATE($C30,$GG$3),Master_Data!$R$4:$R$145)+SUMIF(Master_Data!$AK$152:$AK$864,CONCATENATE($C30,$GG$3),Master_Data!$R$152:$R$864)</f>
        <v>0</v>
      </c>
      <c r="FY30" s="512">
        <f>SUMIF(Master_Data!$AK$4:$AK$145,CONCATENATE($C30,$GG$3),Master_Data!$Q$4:$Q$145)+SUMIF(Master_Data!$AK$152:$AK$864,CONCATENATE($C30,$GG$3),Master_Data!$Q$152:$Q$864)</f>
        <v>0</v>
      </c>
      <c r="FZ30" s="512">
        <f>SUMIF(Master_Data!$AK$4:$AK$145,CONCATENATE($C30,$GG$3),Master_Data!$U$4:$U$145)+SUMIF(Master_Data!$AK$152:$AK$864,CONCATENATE($C30,$GG$3),Master_Data!$U$152:$U$864)</f>
        <v>0</v>
      </c>
      <c r="GA30" s="310">
        <f>SUMIF(Master_Data!$AK$4:$AK$145,CONCATENATE($C30,$GG$3),Master_Data!$S$4:$S$145)+SUMIF(Master_Data!$AK$152:$AK$864,CONCATENATE($C30,$GG$3),Master_Data!$S$152:$S$864)</f>
        <v>0</v>
      </c>
      <c r="GB30" s="39">
        <f>SUMIF(Master_Data!$AK$152:$AK$915,CONCATENATE($C30,GG$3),Master_Data!$T$152:$T$915)</f>
        <v>0</v>
      </c>
      <c r="GC30" s="230">
        <f t="shared" si="77"/>
        <v>0</v>
      </c>
      <c r="GD30" s="230" t="e">
        <f t="shared" si="14"/>
        <v>#VALUE!</v>
      </c>
      <c r="GE30" s="23"/>
      <c r="GF30" s="358" t="str">
        <f t="shared" si="81"/>
        <v>LANANG AGRO BERSATU, PTNOV</v>
      </c>
      <c r="GG30" s="24"/>
      <c r="GH30" s="412" t="s">
        <v>510</v>
      </c>
      <c r="GI30" s="109">
        <f t="shared" si="70"/>
        <v>0</v>
      </c>
      <c r="GJ30" s="109" t="e">
        <f t="shared" si="71"/>
        <v>#VALUE!</v>
      </c>
      <c r="GK30" s="423"/>
      <c r="GL30" s="109">
        <f>SUMIF(Bill_Out!$Q$679:$Q$756,CONCATENATE($C30,$GX$3),Bill_Out!$N$679:$N$756)</f>
        <v>0</v>
      </c>
      <c r="GM30" s="109" t="e">
        <f>SUMIF(Bill_Out!$Q$679:$Q$756,CONCATENATE($C30,$GX$3),Bill_Out!$O$679:$O$756)</f>
        <v>#VALUE!</v>
      </c>
      <c r="GN30" s="50"/>
      <c r="GO30" s="512">
        <f>SUMIF(Master_Data!$AK$4:$AK$145,CONCATENATE($C30,$GX$3),Master_Data!$R$4:$R$145)+SUMIF(Master_Data!$AK$152:$AK$864,CONCATENATE($C30,$GX$3),Master_Data!$R$152:$R$864)</f>
        <v>0</v>
      </c>
      <c r="GP30" s="512">
        <f>SUMIF(Master_Data!$AK$4:$AK$145,CONCATENATE($C30,$GX$3),Master_Data!$Q$4:$Q$145)+SUMIF(Master_Data!$AK$152:$AK$864,CONCATENATE($C30,$GX$3),Master_Data!$Q$152:$Q$864)</f>
        <v>0</v>
      </c>
      <c r="GQ30" s="512">
        <f>SUMIF(Master_Data!$AK$4:$AK$145,CONCATENATE($C30,$GX$3),Master_Data!$U$4:$U$145)+SUMIF(Master_Data!$AK$152:$AK$864,CONCATENATE($C30,$GX$3),Master_Data!$U$152:$U$864)</f>
        <v>23760000</v>
      </c>
      <c r="GR30" s="310">
        <f>SUMIF(Master_Data!$AK$4:$AK$145,CONCATENATE($C30,$GX$3),Master_Data!$S$4:$S$145)+SUMIF(Master_Data!$AK$152:$AK$864,CONCATENATE($C30,$GX$3),Master_Data!$S$152:$S$864)</f>
        <v>0</v>
      </c>
      <c r="GS30" s="39">
        <f>SUMIF(Master_Data!$AK$152:$AK$864,CONCATENATE($C30,GX$3),Master_Data!$T$152:$T$864)</f>
        <v>-440000</v>
      </c>
      <c r="GT30" s="534">
        <f t="shared" si="44"/>
        <v>0</v>
      </c>
      <c r="GU30" s="310" t="e">
        <f t="shared" si="16"/>
        <v>#VALUE!</v>
      </c>
      <c r="GV30" s="23"/>
      <c r="GW30" s="358" t="str">
        <f t="shared" si="69"/>
        <v>LANANG AGRO BERSATU, PTDES</v>
      </c>
      <c r="GX30" s="24"/>
    </row>
    <row r="31" spans="1:206" s="19" customFormat="1">
      <c r="A31" s="328" t="s">
        <v>101</v>
      </c>
      <c r="B31" s="236" t="str">
        <f t="shared" si="18"/>
        <v>LINE INTER CIKARA, PTJAN</v>
      </c>
      <c r="C31" s="8" t="s">
        <v>387</v>
      </c>
      <c r="D31" s="52" t="s">
        <v>297</v>
      </c>
      <c r="E31" s="109">
        <f>SUMIF(Master_Data!$D25:$D$145,CONCATENATE(C31),Master_Data!M25:M850)</f>
        <v>0</v>
      </c>
      <c r="F31" s="109">
        <f>SUMIF(Master_Data!$D29:$D$145,CONCATENATE(C31),Master_Data!N29:N217)</f>
        <v>696000000</v>
      </c>
      <c r="G31" s="31"/>
      <c r="H31" s="109">
        <f>SUMIF(Bill_Out!$Q$3:$Q$65,CONCATENATE($C31,$S$3),Bill_Out!$N$3:$N$65)</f>
        <v>0</v>
      </c>
      <c r="I31" s="88">
        <f>SUMIF(Bill_Out!$Q$3:$Q$65,CONCATENATE($C31,$S$3),Bill_Out!$O$3:$O$65)</f>
        <v>0</v>
      </c>
      <c r="J31" s="50"/>
      <c r="K31" s="29"/>
      <c r="L31" s="44"/>
      <c r="M31" s="230">
        <f>SUMIF(Master_Data!$AK28:$AK$145,CONCATENATE(C31,$S$3),Master_Data!U28:U227)+SUMIF(Master_Data!$AK233:$AK$864,CONCATENATE(C31,$S$3),Master_Data!U233:U932)</f>
        <v>0</v>
      </c>
      <c r="N31" s="310">
        <f>SUMIF(Master_Data!$AK$4:$AK$145,CONCATENATE(C31,$S$3),Master_Data!$S$4:$S$145)+SUMIF(Master_Data!$AK$150:$AK$864,CONCATENATE(C31,$S$3),Master_Data!$S$150:$S$864)</f>
        <v>0</v>
      </c>
      <c r="O31" s="310">
        <f>SUMIF(Master_Data!$AK$4:$AK$145,CONCATENATE(C31,$S$3),Master_Data!$T$4:$T$145)+SUMIF(Master_Data!$AK$150:$AK$864,CONCATENATE(C31,$S$3),Master_Data!$T$150:$T$864)</f>
        <v>0</v>
      </c>
      <c r="P31" s="230">
        <f t="shared" si="19"/>
        <v>0</v>
      </c>
      <c r="Q31" s="230">
        <f t="shared" si="20"/>
        <v>696000000</v>
      </c>
      <c r="R31" s="23"/>
      <c r="S31" s="24"/>
      <c r="T31" s="259"/>
      <c r="U31" s="109">
        <f>P31</f>
        <v>0</v>
      </c>
      <c r="V31" s="109">
        <f>Q31</f>
        <v>696000000</v>
      </c>
      <c r="W31" s="31"/>
      <c r="X31" s="109">
        <f>SUMIF(Bill_Out!$Q$67:$Q$132,CONCATENATE($C31,$AJ$3),Bill_Out!$N$67:$N$132)</f>
        <v>0</v>
      </c>
      <c r="Y31" s="109">
        <f>SUMIF(Bill_Out!$Q$67:$Q$132,CONCATENATE($C31,$AJ$3),Bill_Out!$O$67:$O$132)</f>
        <v>0</v>
      </c>
      <c r="Z31" s="50"/>
      <c r="AA31" s="230">
        <f>SUMIF(Master_Data!$AK$4:$AK$145,CONCATENATE(C31,$AJ$3),Master_Data!$R$4:$R$145)+SUMIF(Master_Data!$AK$152:$AK$850,CONCATENATE(C31,$AJ$3),Master_Data!$R$152:$R$850)</f>
        <v>0</v>
      </c>
      <c r="AB31" s="230">
        <f>SUMIF(Master_Data!$AK$4:$AK$145,CONCATENATE(C31,$AJ$3),Master_Data!$Q$4:$Q$145)+SUMIF(Master_Data!$AK$152:$AK$850,CONCATENATE(C31,$AJ$3),Master_Data!$Q$152:$Q$850)</f>
        <v>0</v>
      </c>
      <c r="AC31" s="230">
        <f>SUMIF(Master_Data!$AK$4:$AK$145,CONCATENATE(C31,$AJ$3),Master_Data!$U$4:$U$145)+SUMIF(Master_Data!$AK$152:$AK$850,CONCATENATE(C31,$AJ$3),Master_Data!$U$152:$U$850)</f>
        <v>0</v>
      </c>
      <c r="AD31" s="310">
        <f ca="1">SUMIF(Master_Data!$AK$4:$AK$145,CONCATENATE(C31,$AJ$3),Master_Data!$S$4:$S$145)+SUMIF(Master_Data!$AK$152:$AK$864,CONCATENATE(C31,$AJ$3),Master_Data!$S$152:$S$850)</f>
        <v>0</v>
      </c>
      <c r="AE31" s="310">
        <f>SUMIF(Master_Data!$AK$4:$AK$145,CONCATENATE(C31,$AJ$3),Master_Data!$T$4:$T$145)+SUMIF(Master_Data!$AK$152:$AK$864,CONCATENATE(C31,$AJ$3),Master_Data!$T$152:$T$864)</f>
        <v>0</v>
      </c>
      <c r="AF31" s="230">
        <f t="shared" si="63"/>
        <v>0</v>
      </c>
      <c r="AG31" s="230">
        <f t="shared" ca="1" si="64"/>
        <v>696000000</v>
      </c>
      <c r="AH31" s="23"/>
      <c r="AI31" s="235" t="str">
        <f t="shared" si="3"/>
        <v>LINE INTER CIKARA, PTFEB</v>
      </c>
      <c r="AJ31" s="24"/>
      <c r="AK31" s="259"/>
      <c r="AL31" s="109">
        <f t="shared" si="65"/>
        <v>0</v>
      </c>
      <c r="AM31" s="109">
        <f t="shared" ca="1" si="66"/>
        <v>696000000</v>
      </c>
      <c r="AN31" s="31"/>
      <c r="AO31" s="109">
        <f>SUMIF(Bill_Out!$Q$134:$Q$188,CONCATENATE($C31,$BA$3),Bill_Out!$N$134:$N$188)</f>
        <v>0</v>
      </c>
      <c r="AP31" s="109">
        <f>SUMIF(Bill_Out!$Q$134:$Q$188,CONCATENATE($C31,$BA$3),Bill_Out!$O$134:$O$188)</f>
        <v>0</v>
      </c>
      <c r="AQ31" s="50"/>
      <c r="AR31" s="230">
        <f>SUMIF(Master_Data!$AK$4:$AK$145,CONCATENATE(C31,$BA$3),Master_Data!$R$4:$R$145)+SUMIF(Master_Data!$AK$152:$AK$864,CONCATENATE(C31,$BA$3),Master_Data!$R$152:$R$864)</f>
        <v>0</v>
      </c>
      <c r="AS31" s="230">
        <f>SUMIF(Master_Data!$AK$4:$AK$145,CONCATENATE(C31,$BA$3),Master_Data!$Q$4:$Q$145)+SUMIF(Master_Data!$AK$152:$AK$864,CONCATENATE(C31,$BA$3),Master_Data!$Q$152:$Q$864)</f>
        <v>0</v>
      </c>
      <c r="AT31" s="230">
        <f>SUMIF(Master_Data!$AK$4:$AK$145,CONCATENATE(C31,$BA$3),Master_Data!$U$4:$U$145)+SUMIF(Master_Data!$AK$152:$AK$864,CONCATENATE(C31,$BA$3),Master_Data!$U$152:$U$864)</f>
        <v>0</v>
      </c>
      <c r="AU31" s="230">
        <f ca="1">SUMIF(Master_Data!$AK$4:$AK$145,CONCATENATE(C31,$BA$3),Master_Data!$S$4:$S$145)+SUMIF(Master_Data!$AK$152:$AK$864,CONCATENATE(C31,$BA$3),Master_Data!$S$152:$S$850)</f>
        <v>0</v>
      </c>
      <c r="AV31" s="39">
        <f>SUMIF(Master_Data!$AK$152:$AK$864,CONCATENATE($C31,BA$3),Master_Data!$T$152:$T$864)</f>
        <v>0</v>
      </c>
      <c r="AW31" s="230">
        <f t="shared" si="57"/>
        <v>0</v>
      </c>
      <c r="AX31" s="230">
        <f t="shared" ca="1" si="58"/>
        <v>696000000</v>
      </c>
      <c r="AY31" s="23"/>
      <c r="AZ31" s="235" t="str">
        <f t="shared" si="21"/>
        <v>LINE INTER CIKARA, PTMAR</v>
      </c>
      <c r="BA31" s="24"/>
      <c r="BB31" s="259"/>
      <c r="BC31" s="109">
        <f t="shared" si="22"/>
        <v>0</v>
      </c>
      <c r="BD31" s="109">
        <f t="shared" ca="1" si="23"/>
        <v>696000000</v>
      </c>
      <c r="BE31" s="31"/>
      <c r="BF31" s="109">
        <f>SUMIF(Bill_Out!$Q$192:$Q$258,CONCATENATE($C31,$BR$3),Bill_Out!$N$192:$N$258)</f>
        <v>0</v>
      </c>
      <c r="BG31" s="109">
        <f>SUMIF(Bill_Out!$Q$192:$Q$258,CONCATENATE($C31,$BR$3),Bill_Out!$O$192:$O$258)</f>
        <v>0</v>
      </c>
      <c r="BH31" s="50"/>
      <c r="BI31" s="230">
        <f>SUMIF(Master_Data!$AK$4:$AK$145,CONCATENATE(C31,$BR$3),Master_Data!$R$4:$R$145)+SUMIF(Master_Data!$AK$152:$AK$864,CONCATENATE(C31,$BR$3),Master_Data!$R$152:$R$864)</f>
        <v>0</v>
      </c>
      <c r="BJ31" s="230">
        <f>SUMIF(Master_Data!$AK$4:$AK$145,CONCATENATE(C31,$BR$3),Master_Data!$Q$4:$Q$145)+SUMIF(Master_Data!$AK$152:$AK$864,CONCATENATE(C31,$BR$3),Master_Data!$Q$152:$Q$864)</f>
        <v>0</v>
      </c>
      <c r="BK31" s="230">
        <f>SUMIF(Master_Data!$AK$4:$AK$145,CONCATENATE(C31,$BR$3),Master_Data!$U$4:$U$145)+SUMIF(Master_Data!$AK$152:$AK$864,CONCATENATE(C31,$BR$3),Master_Data!$U$152:$U$864)</f>
        <v>0</v>
      </c>
      <c r="BL31" s="230">
        <f>SUMIF(Master_Data!$AK$4:$AK$145,CONCATENATE(C31,$BR$3),Master_Data!$S$4:$S$145)+SUMIF(Master_Data!$AK$152:$AK$864,CONCATENATE(C31,$BR$3),Master_Data!$S$152:$S$864)</f>
        <v>0</v>
      </c>
      <c r="BM31" s="39">
        <f>SUMIF(Master_Data!$AK$152:$AK$864,CONCATENATE($C31,BR$3),Master_Data!$T$152:$T$864)</f>
        <v>0</v>
      </c>
      <c r="BN31" s="230">
        <f t="shared" si="24"/>
        <v>0</v>
      </c>
      <c r="BO31" s="230">
        <f t="shared" ca="1" si="25"/>
        <v>696000000</v>
      </c>
      <c r="BP31" s="23"/>
      <c r="BQ31" s="909" t="str">
        <f t="shared" si="26"/>
        <v>LINE INTER CIKARA, PTAPR</v>
      </c>
      <c r="BR31" s="24"/>
      <c r="BS31" s="259"/>
      <c r="BT31" s="109">
        <f t="shared" si="78"/>
        <v>0</v>
      </c>
      <c r="BU31" s="109">
        <f t="shared" ca="1" si="79"/>
        <v>696000000</v>
      </c>
      <c r="BV31" s="31"/>
      <c r="BW31" s="109">
        <f>SUMIF(Bill_Out!$Q$263:$Q$314,CONCATENATE($C31,$CI$3),Bill_Out!$N$263:$N$314)</f>
        <v>0</v>
      </c>
      <c r="BX31" s="109">
        <f>SUMIF(Bill_Out!$Q$263:$Q$314,CONCATENATE($C31,$CI$3),Bill_Out!$O$263:$O$314)</f>
        <v>0</v>
      </c>
      <c r="BY31" s="50"/>
      <c r="BZ31" s="310">
        <f>SUMIF(Master_Data!$AK$4:$AK$145,CONCATENATE(C31,$CI$3),Master_Data!$R$4:$R$145)+SUMIF(Master_Data!$AK$152:$AK$864,CONCATENATE(C31,$CI$3),Master_Data!$R$152:$R$864)</f>
        <v>0</v>
      </c>
      <c r="CA31" s="310">
        <f>SUMIF(Master_Data!$AK$4:$AK$145,CONCATENATE(C31,$CI$3),Master_Data!$Q$4:$Q$145)+SUMIF(Master_Data!$AK$152:$AK$864,CONCATENATE(C31,$CI$3),Master_Data!$Q$152:$Q$864)</f>
        <v>0</v>
      </c>
      <c r="CB31" s="310">
        <f>SUMIF(Master_Data!$AK$4:$AK$145,CONCATENATE(C31,$CI$3),Master_Data!$U$4:$U$145)+SUMIF(Master_Data!$AK$152:$AK$864,CONCATENATE(C31,$CI$3),Master_Data!$U$152:$U$864)</f>
        <v>0</v>
      </c>
      <c r="CC31" s="230">
        <f>SUMIF(Master_Data!$AK$4:$AK$145,CONCATENATE(C31,$CI$3),Master_Data!$S$4:$S$145)+SUMIF(Master_Data!$AK$152:$AK$864,CONCATENATE(C31,$CI$3),Master_Data!$S$152:$S$864)</f>
        <v>0</v>
      </c>
      <c r="CD31" s="39">
        <f>SUMIF(Master_Data!$AK$152:$AK$864,CONCATENATE($C31,CI$3),Master_Data!$T$152:$T$864)</f>
        <v>0</v>
      </c>
      <c r="CE31" s="310">
        <f t="shared" si="27"/>
        <v>0</v>
      </c>
      <c r="CF31" s="230">
        <f t="shared" ca="1" si="28"/>
        <v>696000000</v>
      </c>
      <c r="CG31" s="23"/>
      <c r="CH31" s="235" t="str">
        <f t="shared" si="29"/>
        <v>LINE INTER CIKARA, PTMEI</v>
      </c>
      <c r="CI31" s="24"/>
      <c r="CJ31" s="259"/>
      <c r="CK31" s="109">
        <f t="shared" si="30"/>
        <v>0</v>
      </c>
      <c r="CL31" s="238">
        <f t="shared" ca="1" si="31"/>
        <v>696000000</v>
      </c>
      <c r="CM31" s="31"/>
      <c r="CN31" s="238">
        <f>SUMIF(Bill_Out!$Q$318:$Q$371,CONCATENATE($C31,$CZ$3),Bill_Out!$N$318:$N$371)</f>
        <v>0</v>
      </c>
      <c r="CO31" s="238">
        <f>SUMIF(Bill_Out!$Q$318:$Q$371,CONCATENATE($C31,$CZ$3),Bill_Out!$O$318:$O$371)</f>
        <v>0</v>
      </c>
      <c r="CP31" s="50"/>
      <c r="CQ31" s="230">
        <f>SUMIF(Master_Data!$AK$4:$AK$145,CONCATENATE($C31,$CZ$3),Master_Data!$R$4:$R$145)+SUMIF(Master_Data!$AK$152:$AK$864,CONCATENATE($C31,$CZ$3),Master_Data!$R$152:$R$864)</f>
        <v>0</v>
      </c>
      <c r="CR31" s="230">
        <f>SUMIF(Master_Data!$AK$4:$AK$145,CONCATENATE($C31,$CZ$3),Master_Data!$Q$4:$Q$145)+SUMIF(Master_Data!$AK$152:$AK$864,CONCATENATE($C31,$CZ$3),Master_Data!$Q$152:$Q$864)</f>
        <v>0</v>
      </c>
      <c r="CS31" s="230">
        <f>SUMIF(Master_Data!$AK$4:$AK$145,CONCATENATE($C31,$CZ$3),Master_Data!$U$4:$U$145)+SUMIF(Master_Data!$AK$152:$AK$864,CONCATENATE($C31,$CZ$3),Master_Data!$U$152:$U$864)</f>
        <v>0</v>
      </c>
      <c r="CT31" s="230">
        <f ca="1">SUMIF(Master_Data!$AK$4:$AK$145,CONCATENATE(C31,$CZ$3),Master_Data!$S$4:$S$145)+SUMIF(Master_Data!$AK$152:$AK$915,CONCATENATE(C31,$CZ$3),Master_Data!$S$152:$S$864)</f>
        <v>0</v>
      </c>
      <c r="CU31" s="1010">
        <f>SUMIF(Master_Data!$AK$4:$AK$145,CONCATENATE(C31,$CZ$3),Master_Data!$T$4:$T$145)+SUMIF(Master_Data!$AK$152:$AK$864,CONCATENATE(C31,$CZ$3),Master_Data!$T$152:$T$864)</f>
        <v>0</v>
      </c>
      <c r="CV31" s="230">
        <f t="shared" si="32"/>
        <v>0</v>
      </c>
      <c r="CW31" s="230">
        <f t="shared" ca="1" si="33"/>
        <v>696000000</v>
      </c>
      <c r="CX31" s="23"/>
      <c r="CY31" s="1007" t="str">
        <f t="shared" si="6"/>
        <v>LINE INTER CIKARA, PTJUN</v>
      </c>
      <c r="CZ31" s="24"/>
      <c r="DA31" s="259"/>
      <c r="DB31" s="109">
        <f t="shared" si="34"/>
        <v>0</v>
      </c>
      <c r="DC31" s="109">
        <f t="shared" ca="1" si="35"/>
        <v>696000000</v>
      </c>
      <c r="DD31" s="31"/>
      <c r="DE31" s="109">
        <f>SUMIF(Bill_Out!$Q$375:$Q$422,CONCATENATE($C31,$DQ$3),Bill_Out!$N$375:$N$422)</f>
        <v>0</v>
      </c>
      <c r="DF31" s="109">
        <f>SUMIF(Bill_Out!$Q$375:$Q$422,CONCATENATE($C31,$DQ$3),Bill_Out!$O$375:$O$422)</f>
        <v>0</v>
      </c>
      <c r="DG31" s="50"/>
      <c r="DH31" s="310">
        <f>SUMIF(Master_Data!$AK$4:$AK$145,CONCATENATE($C31,$DQ$3),Master_Data!$R$4:$R$145)+SUMIF(Master_Data!$AK$152:$AK$864,CONCATENATE($C31,$DQ$3),Master_Data!$R$152:$R$864)</f>
        <v>0</v>
      </c>
      <c r="DI31" s="310">
        <f>SUMIF(Master_Data!$AK$4:$AK$145,CONCATENATE($C31,$DQ$3),Master_Data!$Q$4:$Q$145)+SUMIF(Master_Data!$AK$152:$AK$864,CONCATENATE($C31,$DQ$3),Master_Data!$Q$152:$Q$864)</f>
        <v>0</v>
      </c>
      <c r="DJ31" s="310">
        <f>SUMIF(Master_Data!$AK$4:$AK$145,CONCATENATE($C31,$DQ$3),Master_Data!$U$4:$U$145)+SUMIF(Master_Data!$AK$152:$AK$864,CONCATENATE($C31,$DQ$3),Master_Data!$U$152:$U$864)</f>
        <v>0</v>
      </c>
      <c r="DK31" s="310">
        <f>SUMIF(Master_Data!$AK$4:$AK$145,CONCATENATE($C31,$DQ$3),Master_Data!$S$4:$S$145)+SUMIF(Master_Data!$AK$152:$AK$864,CONCATENATE($C31,$DQ$3),Master_Data!$S$152:$S$864)</f>
        <v>0</v>
      </c>
      <c r="DL31" s="39">
        <f>SUMIF(Master_Data!$AK$152:$AK$915,CONCATENATE($C31,DQ$3),Master_Data!$T$152:$T$915)</f>
        <v>0</v>
      </c>
      <c r="DM31" s="230">
        <f t="shared" si="67"/>
        <v>0</v>
      </c>
      <c r="DN31" s="230">
        <f t="shared" ca="1" si="68"/>
        <v>696000000</v>
      </c>
      <c r="DO31" s="23"/>
      <c r="DP31" s="358" t="str">
        <f t="shared" si="9"/>
        <v>LINE INTER CIKARA, PTJUL</v>
      </c>
      <c r="DQ31" s="24"/>
      <c r="DR31" s="390"/>
      <c r="DS31" s="109">
        <f t="shared" si="36"/>
        <v>0</v>
      </c>
      <c r="DT31" s="109">
        <f t="shared" ca="1" si="37"/>
        <v>696000000</v>
      </c>
      <c r="DU31" s="31"/>
      <c r="DV31" s="109">
        <f>SUMIF(Bill_Out!$Q$426:$Q$472,CONCATENATE($C31,$EH$3),Bill_Out!$N$426:$N$472)</f>
        <v>0</v>
      </c>
      <c r="DW31" s="109">
        <f>SUMIF(Bill_Out!$Q$426:$Q$472,CONCATENATE($C31,$EH$3),Bill_Out!$O$426:$O$472)</f>
        <v>0</v>
      </c>
      <c r="DX31" s="50"/>
      <c r="DY31" s="310">
        <f>SUMIF(Master_Data!$AK$4:$AK$145,CONCATENATE($C31,$EH$3),Master_Data!$R$4:$R$145)+SUMIF(Master_Data!$AK$152:$AK$864,CONCATENATE($C31,$EH$3),Master_Data!$R$152:$R$864)</f>
        <v>0</v>
      </c>
      <c r="DZ31" s="310">
        <f>SUMIF(Master_Data!$AK$4:$AK$145,CONCATENATE($C31,$EH$3),Master_Data!$Q$4:$Q$145)+SUMIF(Master_Data!$AK$152:$AK$864,CONCATENATE($C31,$EH$3),Master_Data!$Q$152:$Q$864)</f>
        <v>0</v>
      </c>
      <c r="EA31" s="310">
        <f>SUMIF(Master_Data!$AK$4:$AK$145,CONCATENATE($C31,$EH$3),Master_Data!$U$4:$U$145)+SUMIF(Master_Data!$AK$152:$AK$864,CONCATENATE($C31,$EH$3),Master_Data!$U$152:$U$864)</f>
        <v>0</v>
      </c>
      <c r="EB31" s="310">
        <f>SUMIF(Master_Data!$AK$4:$AK$145,CONCATENATE($C31,$EH$3),Master_Data!$S$4:$S$145)+SUMIF(Master_Data!$AK$152:$AK$864,CONCATENATE($C31,$EH$3),Master_Data!$S$152:$S$864)</f>
        <v>0</v>
      </c>
      <c r="EC31" s="39">
        <f>SUMIF(Master_Data!$AK$152:$AK$915,CONCATENATE($C31,EH$3),Master_Data!$T$152:$T$915)</f>
        <v>0</v>
      </c>
      <c r="ED31" s="310">
        <f t="shared" si="38"/>
        <v>0</v>
      </c>
      <c r="EE31" s="230">
        <f t="shared" ca="1" si="39"/>
        <v>696000000</v>
      </c>
      <c r="EF31" s="23"/>
      <c r="EG31" s="358" t="str">
        <f t="shared" si="10"/>
        <v>LINE INTER CIKARA, PTAGS</v>
      </c>
      <c r="EH31" s="24"/>
      <c r="EI31" s="390"/>
      <c r="EJ31" s="109">
        <f t="shared" si="47"/>
        <v>0</v>
      </c>
      <c r="EK31" s="109">
        <f t="shared" ca="1" si="48"/>
        <v>696000000</v>
      </c>
      <c r="EL31" s="84"/>
      <c r="EM31" s="109">
        <f>SUMIF(Bill_Out!$Q$476:$Q$530,CONCATENATE($C31,$EY$3),Bill_Out!$N$476:$N$530)</f>
        <v>0</v>
      </c>
      <c r="EN31" s="109">
        <f>SUMIF(Bill_Out!$Q$476:$Q$530,CONCATENATE($C31,$EY$3),Bill_Out!$O$476:$O$530)</f>
        <v>0</v>
      </c>
      <c r="EO31" s="309"/>
      <c r="EP31" s="310">
        <f>SUMIF(Master_Data!$AK$4:$AK$145,CONCATENATE($C31,$EY$3),Master_Data!$R$4:$R$145)+SUMIF(Master_Data!$AK$152:$AK$864,CONCATENATE($C31,$EY$3),Master_Data!$R$152:$R$864)</f>
        <v>0</v>
      </c>
      <c r="EQ31" s="310">
        <f>SUMIF(Master_Data!$AK$4:$AK$145,CONCATENATE($C31,$EY$3),Master_Data!$Q$4:$Q$145)+SUMIF(Master_Data!$AK$152:$AK$864,CONCATENATE($C31,$EY$3),Master_Data!$Q$152:$Q$864)</f>
        <v>0</v>
      </c>
      <c r="ER31" s="310">
        <f>SUMIF(Master_Data!$AK$4:$AK$145,CONCATENATE($C31,$EY$3),Master_Data!$U$4:$U$145)+SUMIF(Master_Data!$AK$152:$AK$864,CONCATENATE($C31,$EY$3),Master_Data!$U$152:$U$864)</f>
        <v>0</v>
      </c>
      <c r="ES31" s="310">
        <f>SUMIF(Master_Data!$AK$4:$AK$145,CONCATENATE($C31,$EY$3),Master_Data!$S$4:$S$145)+SUMIF(Master_Data!$AK$152:$AK$864,CONCATENATE($C31,$EY$3),Master_Data!$S$152:$S$864)</f>
        <v>0</v>
      </c>
      <c r="ET31" s="39">
        <f>SUMIF(Master_Data!$AK$152:$AK$915,CONCATENATE($C31,EY$3),Master_Data!$T$152:$T$915)</f>
        <v>0</v>
      </c>
      <c r="EU31" s="310">
        <f t="shared" si="49"/>
        <v>0</v>
      </c>
      <c r="EV31" s="230"/>
      <c r="EW31" s="84"/>
      <c r="EX31" s="358" t="str">
        <f t="shared" si="11"/>
        <v>LINE INTER CIKARA, PTSEP</v>
      </c>
      <c r="EY31" s="24"/>
      <c r="EZ31" s="412"/>
      <c r="FA31" s="109">
        <f t="shared" si="50"/>
        <v>0</v>
      </c>
      <c r="FB31" s="109">
        <f t="shared" si="51"/>
        <v>0</v>
      </c>
      <c r="FC31" s="421"/>
      <c r="FD31" s="109">
        <f>SUMIF(Bill_Out!$Q$534:$Q$606,CONCATENATE($C31,$FP$3),Bill_Out!$N$534:$N$606)</f>
        <v>0</v>
      </c>
      <c r="FE31" s="109">
        <f>SUMIF(Bill_Out!$Q$534:$Q$606,CONCATENATE($C31,$FP$3),Bill_Out!$O$534:$O$606)</f>
        <v>0</v>
      </c>
      <c r="FF31" s="309"/>
      <c r="FG31" s="310">
        <f>SUMIF(Master_Data!$AK$4:$AK$145,CONCATENATE($C31,$FP$3),Master_Data!$R$4:$R$145)+SUMIF(Master_Data!$AK$152:$AK$864,CONCATENATE($C31,$FP$3),Master_Data!$R$152:$R$864)</f>
        <v>0</v>
      </c>
      <c r="FH31" s="310">
        <f>SUMIF(Master_Data!$AK$4:$AK$145,CONCATENATE($C31,$FP$3),Master_Data!$Q$4:$Q$145)+SUMIF(Master_Data!$AK$152:$AK$864,CONCATENATE($C31,$FP$3),Master_Data!$Q$152:$Q$864)</f>
        <v>0</v>
      </c>
      <c r="FI31" s="310">
        <f>SUMIF(Master_Data!$AK$4:$AK$145,CONCATENATE($C31,$FP$3),Master_Data!$U$4:$U$145)+SUMIF(Master_Data!$AK$152:$AK$864,CONCATENATE($C31,$FP$3),Master_Data!$U$152:$U$864)</f>
        <v>0</v>
      </c>
      <c r="FJ31" s="310">
        <f>SUMIF(Master_Data!$AK$4:$AK$145,CONCATENATE($C31,$FP$3),Master_Data!$S$4:$S$145)+SUMIF(Master_Data!$AK$152:$AK$864,CONCATENATE($C31,$FP$3),Master_Data!$S$152:$S$864)</f>
        <v>0</v>
      </c>
      <c r="FK31" s="39">
        <f>SUMIF(Master_Data!$AK$152:$AK$915,CONCATENATE($C31,FP$3),Master_Data!$T$152:$T$915)</f>
        <v>0</v>
      </c>
      <c r="FL31" s="310">
        <f t="shared" si="52"/>
        <v>0</v>
      </c>
      <c r="FM31" s="230">
        <f t="shared" si="53"/>
        <v>0</v>
      </c>
      <c r="FN31" s="23"/>
      <c r="FO31" s="358" t="str">
        <f t="shared" si="80"/>
        <v>LINE INTER CIKARA, PTOKT</v>
      </c>
      <c r="FP31" s="24"/>
      <c r="FQ31" s="412"/>
      <c r="FR31" s="109">
        <f t="shared" si="42"/>
        <v>0</v>
      </c>
      <c r="FS31" s="109">
        <f t="shared" si="74"/>
        <v>0</v>
      </c>
      <c r="FT31" s="420"/>
      <c r="FU31" s="109">
        <f>SUMIF(Bill_Out!$Q$610:$Q$675,CONCATENATE($C31,$GG$3),Bill_Out!$N$610:$N$675)</f>
        <v>0</v>
      </c>
      <c r="FV31" s="109">
        <f>SUMIF(Bill_Out!$Q$610:$Q$675,CONCATENATE($C31,$GG$3),Bill_Out!$O$610:$O$675)</f>
        <v>0</v>
      </c>
      <c r="FW31" s="50"/>
      <c r="FX31" s="512">
        <f>SUMIF(Master_Data!$AK$4:$AK$145,CONCATENATE($C31,$GG$3),Master_Data!$R$4:$R$145)+SUMIF(Master_Data!$AK$152:$AK$864,CONCATENATE($C31,$GG$3),Master_Data!$R$152:$R$864)</f>
        <v>0</v>
      </c>
      <c r="FY31" s="512">
        <f>SUMIF(Master_Data!$AK$4:$AK$145,CONCATENATE($C31,$GG$3),Master_Data!$Q$4:$Q$145)+SUMIF(Master_Data!$AK$152:$AK$864,CONCATENATE($C31,$GG$3),Master_Data!$Q$152:$Q$864)</f>
        <v>0</v>
      </c>
      <c r="FZ31" s="512">
        <f>SUMIF(Master_Data!$AK$4:$AK$145,CONCATENATE($C31,$GG$3),Master_Data!$U$4:$U$145)+SUMIF(Master_Data!$AK$152:$AK$864,CONCATENATE($C31,$GG$3),Master_Data!$U$152:$U$864)</f>
        <v>0</v>
      </c>
      <c r="GA31" s="310">
        <f>SUMIF(Master_Data!$AK$4:$AK$145,CONCATENATE($C31,$GG$3),Master_Data!$S$4:$S$145)+SUMIF(Master_Data!$AK$152:$AK$864,CONCATENATE($C31,$GG$3),Master_Data!$S$152:$S$864)</f>
        <v>0</v>
      </c>
      <c r="GB31" s="39">
        <f>SUMIF(Master_Data!$AK$152:$AK$915,CONCATENATE($C31,GG$3),Master_Data!$T$152:$T$915)</f>
        <v>0</v>
      </c>
      <c r="GC31" s="230">
        <f t="shared" si="77"/>
        <v>0</v>
      </c>
      <c r="GD31" s="230">
        <f t="shared" si="14"/>
        <v>0</v>
      </c>
      <c r="GE31" s="23"/>
      <c r="GF31" s="358" t="str">
        <f t="shared" si="81"/>
        <v>LINE INTER CIKARA, PTNOV</v>
      </c>
      <c r="GG31" s="24"/>
      <c r="GH31" s="412" t="s">
        <v>297</v>
      </c>
      <c r="GI31" s="109">
        <f t="shared" si="70"/>
        <v>0</v>
      </c>
      <c r="GJ31" s="109">
        <f t="shared" si="71"/>
        <v>0</v>
      </c>
      <c r="GK31" s="423"/>
      <c r="GL31" s="109">
        <f>SUMIF(Bill_Out!$Q$679:$Q$756,CONCATENATE($C31,$GX$3),Bill_Out!$N$679:$N$756)</f>
        <v>0</v>
      </c>
      <c r="GM31" s="109">
        <f>SUMIF(Bill_Out!$Q$679:$Q$756,CONCATENATE($C31,$GX$3),Bill_Out!$O$679:$O$756)</f>
        <v>0</v>
      </c>
      <c r="GN31" s="50"/>
      <c r="GO31" s="512">
        <f>SUMIF(Master_Data!$AK$4:$AK$145,CONCATENATE($C31,$GX$3),Master_Data!$R$4:$R$145)+SUMIF(Master_Data!$AK$152:$AK$864,CONCATENATE($C31,$GX$3),Master_Data!$R$152:$R$864)</f>
        <v>0</v>
      </c>
      <c r="GP31" s="512">
        <f>SUMIF(Master_Data!$AK$4:$AK$145,CONCATENATE($C31,$GX$3),Master_Data!$Q$4:$Q$145)+SUMIF(Master_Data!$AK$152:$AK$864,CONCATENATE($C31,$GX$3),Master_Data!$Q$152:$Q$864)</f>
        <v>0</v>
      </c>
      <c r="GQ31" s="512">
        <f>SUMIF(Master_Data!$AK$4:$AK$145,CONCATENATE($C31,$GX$3),Master_Data!$U$4:$U$145)+SUMIF(Master_Data!$AK$152:$AK$864,CONCATENATE($C31,$GX$3),Master_Data!$U$152:$U$864)</f>
        <v>0</v>
      </c>
      <c r="GR31" s="310">
        <f>SUMIF(Master_Data!$AK$4:$AK$145,CONCATENATE($C31,$GX$3),Master_Data!$S$4:$S$145)+SUMIF(Master_Data!$AK$152:$AK$864,CONCATENATE($C31,$GX$3),Master_Data!$S$152:$S$864)</f>
        <v>0</v>
      </c>
      <c r="GS31" s="39">
        <f>SUMIF(Master_Data!$AK$152:$AK$864,CONCATENATE($C31,GX$3),Master_Data!$T$152:$T$864)</f>
        <v>0</v>
      </c>
      <c r="GT31" s="534">
        <f t="shared" si="44"/>
        <v>0</v>
      </c>
      <c r="GU31" s="310">
        <f t="shared" si="16"/>
        <v>0</v>
      </c>
      <c r="GV31" s="23"/>
      <c r="GW31" s="358" t="str">
        <f t="shared" si="69"/>
        <v>LINE INTER CIKARA, PTDES</v>
      </c>
      <c r="GX31" s="24"/>
    </row>
    <row r="32" spans="1:206" s="19" customFormat="1">
      <c r="A32" s="21" t="s">
        <v>18</v>
      </c>
      <c r="B32" s="236" t="str">
        <f t="shared" si="18"/>
        <v>MADHANI TALATAH NUSANTARA, PTJAN</v>
      </c>
      <c r="C32" s="8" t="s">
        <v>40</v>
      </c>
      <c r="D32" s="52"/>
      <c r="E32" s="109">
        <f>SUMIF(Master_Data!$D25:$D$145,CONCATENATE(C32),Master_Data!M25:M850)</f>
        <v>0</v>
      </c>
      <c r="F32" s="109">
        <f>SUMIF(Master_Data!$D30:$D$145,CONCATENATE(C32),Master_Data!N30:N218)</f>
        <v>294459119</v>
      </c>
      <c r="G32" s="31"/>
      <c r="H32" s="109">
        <f>SUMIF(Bill_Out!$Q$3:$Q$65,CONCATENATE($C32,$S$3),Bill_Out!$N$3:$N$65)</f>
        <v>0</v>
      </c>
      <c r="I32" s="88" t="e">
        <f>SUMIF(Bill_Out!$Q$3:$Q$65,CONCATENATE($C32,$S$3),Bill_Out!$O$3:$O$65)</f>
        <v>#VALUE!</v>
      </c>
      <c r="J32" s="50"/>
      <c r="K32" s="29"/>
      <c r="L32" s="44"/>
      <c r="M32" s="230">
        <f>SUMIF(Master_Data!$AK29:$AK$145,CONCATENATE(C32,$S$3),Master_Data!U29:U228)+SUMIF(Master_Data!$AK234:$AK$864,CONCATENATE(C32,$S$3),Master_Data!U234:U932)</f>
        <v>557925621</v>
      </c>
      <c r="N32" s="310">
        <f>SUMIF(Master_Data!$AK$4:$AK$145,CONCATENATE(C32,$S$3),Master_Data!$S$4:$S$145)+SUMIF(Master_Data!$AK$150:$AK$864,CONCATENATE(C32,$S$3),Master_Data!$S$150:$S$864)</f>
        <v>0</v>
      </c>
      <c r="O32" s="310">
        <f>SUMIF(Master_Data!$AK$4:$AK$145,CONCATENATE(C32,$S$3),Master_Data!$T$4:$T$145)+SUMIF(Master_Data!$AK$150:$AK$864,CONCATENATE(C32,$S$3),Master_Data!$T$150:$T$864)</f>
        <v>-10202068</v>
      </c>
      <c r="P32" s="230">
        <f t="shared" si="19"/>
        <v>0</v>
      </c>
      <c r="Q32" s="230" t="e">
        <f t="shared" si="20"/>
        <v>#VALUE!</v>
      </c>
      <c r="R32" s="23"/>
      <c r="S32" s="24"/>
      <c r="T32" s="259"/>
      <c r="U32" s="109">
        <f t="shared" si="82"/>
        <v>0</v>
      </c>
      <c r="V32" s="109" t="e">
        <f t="shared" si="83"/>
        <v>#VALUE!</v>
      </c>
      <c r="W32" s="31"/>
      <c r="X32" s="109">
        <f>SUMIF(Bill_Out!$Q$67:$Q$132,CONCATENATE($C32,$AJ$3),Bill_Out!$N$67:$N$132)</f>
        <v>0</v>
      </c>
      <c r="Y32" s="109" t="e">
        <f>SUMIF(Bill_Out!$Q$67:$Q$132,CONCATENATE($C32,$AJ$3),Bill_Out!$O$67:$O$132)</f>
        <v>#VALUE!</v>
      </c>
      <c r="Z32" s="50"/>
      <c r="AA32" s="230">
        <f>SUMIF(Master_Data!$AK$4:$AK$145,CONCATENATE(C32,$AJ$3),Master_Data!$R$4:$R$145)+SUMIF(Master_Data!$AK$152:$AK$850,CONCATENATE(C32,$AJ$3),Master_Data!$R$152:$R$850)</f>
        <v>0</v>
      </c>
      <c r="AB32" s="230">
        <f>SUMIF(Master_Data!$AK$4:$AK$145,CONCATENATE(C32,$AJ$3),Master_Data!$Q$4:$Q$145)+SUMIF(Master_Data!$AK$152:$AK$850,CONCATENATE(C32,$AJ$3),Master_Data!$Q$152:$Q$850)</f>
        <v>0</v>
      </c>
      <c r="AC32" s="230">
        <f>SUMIF(Master_Data!$AK$4:$AK$145,CONCATENATE(C32,$AJ$3),Master_Data!$U$4:$U$145)+SUMIF(Master_Data!$AK$152:$AK$850,CONCATENATE(C32,$AJ$3),Master_Data!$U$152:$U$850)</f>
        <v>299355836</v>
      </c>
      <c r="AD32" s="310">
        <f ca="1">SUMIF(Master_Data!$AK$4:$AK$145,CONCATENATE(C32,$AJ$3),Master_Data!$S$4:$S$145)+SUMIF(Master_Data!$AK$152:$AK$864,CONCATENATE(C32,$AJ$3),Master_Data!$S$152:$S$850)</f>
        <v>0</v>
      </c>
      <c r="AE32" s="310">
        <f>SUMIF(Master_Data!$AK$4:$AK$145,CONCATENATE(C32,$AJ$3),Master_Data!$T$4:$T$145)+SUMIF(Master_Data!$AK$152:$AK$864,CONCATENATE(C32,$AJ$3),Master_Data!$T$152:$T$864)</f>
        <v>-5126034</v>
      </c>
      <c r="AF32" s="230">
        <f t="shared" si="63"/>
        <v>0</v>
      </c>
      <c r="AG32" s="230" t="e">
        <f t="shared" ca="1" si="64"/>
        <v>#VALUE!</v>
      </c>
      <c r="AH32" s="23"/>
      <c r="AI32" s="235" t="str">
        <f t="shared" si="3"/>
        <v>MADHANI TALATAH NUSANTARA, PTFEB</v>
      </c>
      <c r="AJ32" s="24"/>
      <c r="AK32" s="259"/>
      <c r="AL32" s="109">
        <f t="shared" si="65"/>
        <v>0</v>
      </c>
      <c r="AM32" s="109" t="e">
        <f t="shared" ca="1" si="66"/>
        <v>#VALUE!</v>
      </c>
      <c r="AN32" s="31"/>
      <c r="AO32" s="109">
        <f>SUMIF(Bill_Out!$Q$134:$Q$188,CONCATENATE($C32,$BA$3),Bill_Out!$N$134:$N$188)</f>
        <v>0</v>
      </c>
      <c r="AP32" s="109">
        <f>SUMIF(Bill_Out!$Q$134:$Q$188,CONCATENATE($C32,$BA$3),Bill_Out!$O$134:$O$188)</f>
        <v>0</v>
      </c>
      <c r="AQ32" s="50"/>
      <c r="AR32" s="230">
        <f>SUMIF(Master_Data!$AK$4:$AK$145,CONCATENATE(C32,$BA$3),Master_Data!$R$4:$R$145)+SUMIF(Master_Data!$AK$152:$AK$864,CONCATENATE(C32,$BA$3),Master_Data!$R$152:$R$864)</f>
        <v>0</v>
      </c>
      <c r="AS32" s="230">
        <f>SUMIF(Master_Data!$AK$4:$AK$145,CONCATENATE(C32,$BA$3),Master_Data!$Q$4:$Q$145)+SUMIF(Master_Data!$AK$152:$AK$864,CONCATENATE(C32,$BA$3),Master_Data!$Q$152:$Q$864)</f>
        <v>0</v>
      </c>
      <c r="AT32" s="230">
        <f>SUMIF(Master_Data!$AK$4:$AK$145,CONCATENATE(C32,$BA$3),Master_Data!$U$4:$U$145)+SUMIF(Master_Data!$AK$152:$AK$864,CONCATENATE(C32,$BA$3),Master_Data!$U$152:$U$864)</f>
        <v>0</v>
      </c>
      <c r="AU32" s="230">
        <f ca="1">SUMIF(Master_Data!$AK$4:$AK$145,CONCATENATE(C32,$BA$3),Master_Data!$S$4:$S$145)+SUMIF(Master_Data!$AK$152:$AK$864,CONCATENATE(C32,$BA$3),Master_Data!$S$152:$S$850)</f>
        <v>0</v>
      </c>
      <c r="AV32" s="39">
        <f>SUMIF(Master_Data!$AK$152:$AK$864,CONCATENATE($C32,BA$3),Master_Data!$T$152:$T$864)</f>
        <v>0</v>
      </c>
      <c r="AW32" s="230">
        <f t="shared" si="57"/>
        <v>0</v>
      </c>
      <c r="AX32" s="230" t="e">
        <f t="shared" ca="1" si="58"/>
        <v>#VALUE!</v>
      </c>
      <c r="AY32" s="23"/>
      <c r="AZ32" s="235" t="str">
        <f t="shared" si="21"/>
        <v>MADHANI TALATAH NUSANTARA, PTMAR</v>
      </c>
      <c r="BA32" s="24"/>
      <c r="BB32" s="259"/>
      <c r="BC32" s="109">
        <f t="shared" si="22"/>
        <v>0</v>
      </c>
      <c r="BD32" s="109" t="e">
        <f t="shared" ca="1" si="23"/>
        <v>#VALUE!</v>
      </c>
      <c r="BE32" s="31"/>
      <c r="BF32" s="109">
        <f>SUMIF(Bill_Out!$Q$192:$Q$258,CONCATENATE($C32,$BR$3),Bill_Out!$N$192:$N$258)</f>
        <v>0</v>
      </c>
      <c r="BG32" s="109" t="e">
        <f>SUMIF(Bill_Out!$Q$192:$Q$258,CONCATENATE($C32,$BR$3),Bill_Out!$O$192:$O$258)</f>
        <v>#VALUE!</v>
      </c>
      <c r="BH32" s="50"/>
      <c r="BI32" s="230">
        <f>SUMIF(Master_Data!$AK$4:$AK$145,CONCATENATE(C32,$BR$3),Master_Data!$R$4:$R$145)+SUMIF(Master_Data!$AK$152:$AK$864,CONCATENATE(C32,$BR$3),Master_Data!$R$152:$R$864)</f>
        <v>0</v>
      </c>
      <c r="BJ32" s="230">
        <f>SUMIF(Master_Data!$AK$4:$AK$145,CONCATENATE(C32,$BR$3),Master_Data!$Q$4:$Q$145)+SUMIF(Master_Data!$AK$152:$AK$864,CONCATENATE(C32,$BR$3),Master_Data!$Q$152:$Q$864)</f>
        <v>0</v>
      </c>
      <c r="BK32" s="230">
        <f>SUMIF(Master_Data!$AK$4:$AK$145,CONCATENATE(C32,$BR$3),Master_Data!$U$4:$U$145)+SUMIF(Master_Data!$AK$152:$AK$864,CONCATENATE(C32,$BR$3),Master_Data!$U$152:$U$864)</f>
        <v>897259968</v>
      </c>
      <c r="BL32" s="230">
        <f>SUMIF(Master_Data!$AK$4:$AK$145,CONCATENATE(C32,$BR$3),Master_Data!$S$4:$S$145)+SUMIF(Master_Data!$AK$152:$AK$864,CONCATENATE(C32,$BR$3),Master_Data!$S$152:$S$864)</f>
        <v>0</v>
      </c>
      <c r="BM32" s="39">
        <f>SUMIF(Master_Data!$AK$152:$AK$864,CONCATENATE($C32,BR$3),Master_Data!$T$152:$T$864)</f>
        <v>-16522530</v>
      </c>
      <c r="BN32" s="230">
        <f t="shared" si="24"/>
        <v>0</v>
      </c>
      <c r="BO32" s="230" t="e">
        <f t="shared" ca="1" si="25"/>
        <v>#VALUE!</v>
      </c>
      <c r="BP32" s="23"/>
      <c r="BQ32" s="909" t="str">
        <f t="shared" si="26"/>
        <v>MADHANI TALATAH NUSANTARA, PTAPR</v>
      </c>
      <c r="BR32" s="24"/>
      <c r="BS32" s="259"/>
      <c r="BT32" s="109">
        <f t="shared" si="78"/>
        <v>0</v>
      </c>
      <c r="BU32" s="109" t="e">
        <f t="shared" ca="1" si="79"/>
        <v>#VALUE!</v>
      </c>
      <c r="BV32" s="31"/>
      <c r="BW32" s="109">
        <f>SUMIF(Bill_Out!$Q$263:$Q$314,CONCATENATE($C32,$CI$3),Bill_Out!$N$263:$N$314)</f>
        <v>0</v>
      </c>
      <c r="BX32" s="109" t="e">
        <f>SUMIF(Bill_Out!$Q$263:$Q$314,CONCATENATE($C32,$CI$3),Bill_Out!$O$263:$O$314)</f>
        <v>#VALUE!</v>
      </c>
      <c r="BY32" s="50"/>
      <c r="BZ32" s="310">
        <f>SUMIF(Master_Data!$AK$4:$AK$145,CONCATENATE(C32,$CI$3),Master_Data!$R$4:$R$145)+SUMIF(Master_Data!$AK$152:$AK$864,CONCATENATE(C32,$CI$3),Master_Data!$R$152:$R$864)</f>
        <v>0</v>
      </c>
      <c r="CA32" s="310">
        <f>SUMIF(Master_Data!$AK$4:$AK$145,CONCATENATE(C32,$CI$3),Master_Data!$Q$4:$Q$145)+SUMIF(Master_Data!$AK$152:$AK$864,CONCATENATE(C32,$CI$3),Master_Data!$Q$152:$Q$864)</f>
        <v>0</v>
      </c>
      <c r="CB32" s="310">
        <f>SUMIF(Master_Data!$AK$4:$AK$145,CONCATENATE(C32,$CI$3),Master_Data!$U$4:$U$145)+SUMIF(Master_Data!$AK$152:$AK$864,CONCATENATE(C32,$CI$3),Master_Data!$U$152:$U$864)</f>
        <v>44752932</v>
      </c>
      <c r="CC32" s="230">
        <f>SUMIF(Master_Data!$AK$4:$AK$145,CONCATENATE(C32,$CI$3),Master_Data!$S$4:$S$145)+SUMIF(Master_Data!$AK$152:$AK$864,CONCATENATE(C32,$CI$3),Master_Data!$S$152:$S$864)</f>
        <v>0</v>
      </c>
      <c r="CD32" s="39">
        <f>SUMIF(Master_Data!$AK$152:$AK$864,CONCATENATE($C32,CI$3),Master_Data!$T$152:$T$864)</f>
        <v>-828758</v>
      </c>
      <c r="CE32" s="310">
        <f t="shared" si="27"/>
        <v>0</v>
      </c>
      <c r="CF32" s="230" t="e">
        <f t="shared" ca="1" si="28"/>
        <v>#VALUE!</v>
      </c>
      <c r="CG32" s="23"/>
      <c r="CH32" s="235" t="str">
        <f t="shared" si="29"/>
        <v>MADHANI TALATAH NUSANTARA, PTMEI</v>
      </c>
      <c r="CI32" s="24"/>
      <c r="CJ32" s="259"/>
      <c r="CK32" s="109">
        <f t="shared" si="30"/>
        <v>0</v>
      </c>
      <c r="CL32" s="238" t="e">
        <f t="shared" ca="1" si="31"/>
        <v>#VALUE!</v>
      </c>
      <c r="CM32" s="31"/>
      <c r="CN32" s="238">
        <f>SUMIF(Bill_Out!$Q$318:$Q$371,CONCATENATE($C32,$CZ$3),Bill_Out!$N$318:$N$371)</f>
        <v>0</v>
      </c>
      <c r="CO32" s="238" t="e">
        <f>SUMIF(Bill_Out!$Q$318:$Q$371,CONCATENATE($C32,$CZ$3),Bill_Out!$O$318:$O$371)</f>
        <v>#VALUE!</v>
      </c>
      <c r="CP32" s="50"/>
      <c r="CQ32" s="230">
        <f>SUMIF(Master_Data!$AK$4:$AK$145,CONCATENATE($C32,$CZ$3),Master_Data!$R$4:$R$145)+SUMIF(Master_Data!$AK$152:$AK$864,CONCATENATE($C32,$CZ$3),Master_Data!$R$152:$R$864)</f>
        <v>0</v>
      </c>
      <c r="CR32" s="230">
        <f>SUMIF(Master_Data!$AK$4:$AK$145,CONCATENATE($C32,$CZ$3),Master_Data!$Q$4:$Q$145)+SUMIF(Master_Data!$AK$152:$AK$864,CONCATENATE($C32,$CZ$3),Master_Data!$Q$152:$Q$864)</f>
        <v>0</v>
      </c>
      <c r="CS32" s="230">
        <f>SUMIF(Master_Data!$AK$4:$AK$145,CONCATENATE($C32,$CZ$3),Master_Data!$U$4:$U$145)+SUMIF(Master_Data!$AK$152:$AK$864,CONCATENATE($C32,$CZ$3),Master_Data!$U$152:$U$864)</f>
        <v>18130600</v>
      </c>
      <c r="CT32" s="230">
        <f ca="1">SUMIF(Master_Data!$AK$4:$AK$145,CONCATENATE(C32,$CZ$3),Master_Data!$S$4:$S$145)+SUMIF(Master_Data!$AK$152:$AK$915,CONCATENATE(C32,$CZ$3),Master_Data!$S$152:$S$864)</f>
        <v>0</v>
      </c>
      <c r="CU32" s="1010">
        <f>SUMIF(Master_Data!$AK$4:$AK$145,CONCATENATE(C32,$CZ$3),Master_Data!$T$4:$T$145)+SUMIF(Master_Data!$AK$152:$AK$864,CONCATENATE(C32,$CZ$3),Master_Data!$T$152:$T$864)</f>
        <v>-270000</v>
      </c>
      <c r="CV32" s="230">
        <f t="shared" si="32"/>
        <v>0</v>
      </c>
      <c r="CW32" s="230" t="e">
        <f t="shared" ca="1" si="33"/>
        <v>#VALUE!</v>
      </c>
      <c r="CX32" s="23"/>
      <c r="CY32" s="1007" t="str">
        <f t="shared" si="6"/>
        <v>MADHANI TALATAH NUSANTARA, PTJUN</v>
      </c>
      <c r="CZ32" s="24"/>
      <c r="DA32" s="259"/>
      <c r="DB32" s="109">
        <f t="shared" si="34"/>
        <v>0</v>
      </c>
      <c r="DC32" s="109" t="e">
        <f t="shared" ca="1" si="35"/>
        <v>#VALUE!</v>
      </c>
      <c r="DD32" s="31"/>
      <c r="DE32" s="109">
        <f>SUMIF(Bill_Out!$Q$375:$Q$422,CONCATENATE($C32,$DQ$3),Bill_Out!$N$375:$N$422)</f>
        <v>0</v>
      </c>
      <c r="DF32" s="109" t="e">
        <f>SUMIF(Bill_Out!$Q$375:$Q$422,CONCATENATE($C32,$DQ$3),Bill_Out!$O$375:$O$422)</f>
        <v>#VALUE!</v>
      </c>
      <c r="DG32" s="50"/>
      <c r="DH32" s="310">
        <f>SUMIF(Master_Data!$AK$4:$AK$145,CONCATENATE($C32,$DQ$3),Master_Data!$R$4:$R$145)+SUMIF(Master_Data!$AK$152:$AK$864,CONCATENATE($C32,$DQ$3),Master_Data!$R$152:$R$864)</f>
        <v>0</v>
      </c>
      <c r="DI32" s="310">
        <f>SUMIF(Master_Data!$AK$4:$AK$145,CONCATENATE($C32,$DQ$3),Master_Data!$Q$4:$Q$145)+SUMIF(Master_Data!$AK$152:$AK$864,CONCATENATE($C32,$DQ$3),Master_Data!$Q$152:$Q$864)</f>
        <v>0</v>
      </c>
      <c r="DJ32" s="310">
        <f>SUMIF(Master_Data!$AK$4:$AK$145,CONCATENATE($C32,$DQ$3),Master_Data!$U$4:$U$145)+SUMIF(Master_Data!$AK$152:$AK$864,CONCATENATE($C32,$DQ$3),Master_Data!$U$152:$U$864)</f>
        <v>948204856</v>
      </c>
      <c r="DK32" s="310">
        <f>SUMIF(Master_Data!$AK$4:$AK$145,CONCATENATE($C32,$DQ$3),Master_Data!$S$4:$S$145)+SUMIF(Master_Data!$AK$152:$AK$864,CONCATENATE($C32,$DQ$3),Master_Data!$S$152:$S$864)</f>
        <v>0</v>
      </c>
      <c r="DL32" s="39">
        <f>SUMIF(Master_Data!$AK$152:$AK$915,CONCATENATE($C32,DQ$3),Master_Data!$T$152:$T$915)</f>
        <v>-17559349.199999999</v>
      </c>
      <c r="DM32" s="230">
        <f t="shared" si="67"/>
        <v>0</v>
      </c>
      <c r="DN32" s="230" t="e">
        <f t="shared" ca="1" si="68"/>
        <v>#VALUE!</v>
      </c>
      <c r="DO32" s="23"/>
      <c r="DP32" s="358" t="str">
        <f t="shared" si="9"/>
        <v>MADHANI TALATAH NUSANTARA, PTJUL</v>
      </c>
      <c r="DQ32" s="24"/>
      <c r="DR32" s="390"/>
      <c r="DS32" s="109">
        <f t="shared" si="36"/>
        <v>0</v>
      </c>
      <c r="DT32" s="109" t="e">
        <f t="shared" ca="1" si="37"/>
        <v>#VALUE!</v>
      </c>
      <c r="DU32" s="31"/>
      <c r="DV32" s="109">
        <f>SUMIF(Bill_Out!$Q$426:$Q$472,CONCATENATE($C32,$EH$3),Bill_Out!$N$426:$N$472)</f>
        <v>0</v>
      </c>
      <c r="DW32" s="109">
        <f>SUMIF(Bill_Out!$Q$426:$Q$472,CONCATENATE($C32,$EH$3),Bill_Out!$O$426:$O$472)</f>
        <v>0</v>
      </c>
      <c r="DX32" s="50"/>
      <c r="DY32" s="310">
        <f>SUMIF(Master_Data!$AK$4:$AK$145,CONCATENATE($C32,$EH$3),Master_Data!$R$4:$R$145)+SUMIF(Master_Data!$AK$152:$AK$864,CONCATENATE($C32,$EH$3),Master_Data!$R$152:$R$864)</f>
        <v>0</v>
      </c>
      <c r="DZ32" s="310">
        <f>SUMIF(Master_Data!$AK$4:$AK$145,CONCATENATE($C32,$EH$3),Master_Data!$Q$4:$Q$145)+SUMIF(Master_Data!$AK$152:$AK$864,CONCATENATE($C32,$EH$3),Master_Data!$Q$152:$Q$864)</f>
        <v>0</v>
      </c>
      <c r="EA32" s="310">
        <f>SUMIF(Master_Data!$AK$4:$AK$145,CONCATENATE($C32,$EH$3),Master_Data!$U$4:$U$145)+SUMIF(Master_Data!$AK$152:$AK$864,CONCATENATE($C32,$EH$3),Master_Data!$U$152:$U$864)</f>
        <v>0</v>
      </c>
      <c r="EB32" s="310">
        <f>SUMIF(Master_Data!$AK$4:$AK$145,CONCATENATE($C32,$EH$3),Master_Data!$S$4:$S$145)+SUMIF(Master_Data!$AK$152:$AK$864,CONCATENATE($C32,$EH$3),Master_Data!$S$152:$S$864)</f>
        <v>0</v>
      </c>
      <c r="EC32" s="39">
        <f>SUMIF(Master_Data!$AK$152:$AK$915,CONCATENATE($C32,EH$3),Master_Data!$T$152:$T$915)</f>
        <v>0</v>
      </c>
      <c r="ED32" s="310">
        <f t="shared" si="38"/>
        <v>0</v>
      </c>
      <c r="EE32" s="230" t="e">
        <f t="shared" ca="1" si="39"/>
        <v>#VALUE!</v>
      </c>
      <c r="EF32" s="23"/>
      <c r="EG32" s="358" t="str">
        <f t="shared" si="10"/>
        <v>MADHANI TALATAH NUSANTARA, PTAGS</v>
      </c>
      <c r="EH32" s="24"/>
      <c r="EI32" s="390"/>
      <c r="EJ32" s="109">
        <f t="shared" si="47"/>
        <v>0</v>
      </c>
      <c r="EK32" s="109" t="e">
        <f t="shared" ca="1" si="48"/>
        <v>#VALUE!</v>
      </c>
      <c r="EL32" s="84"/>
      <c r="EM32" s="109">
        <f>SUMIF(Bill_Out!$Q$476:$Q$530,CONCATENATE($C32,$EY$3),Bill_Out!$N$476:$N$530)</f>
        <v>0</v>
      </c>
      <c r="EN32" s="109" t="e">
        <f>SUMIF(Bill_Out!$Q$476:$Q$530,CONCATENATE($C32,$EY$3),Bill_Out!$O$476:$O$530)</f>
        <v>#VALUE!</v>
      </c>
      <c r="EO32" s="309"/>
      <c r="EP32" s="310">
        <f>SUMIF(Master_Data!$AK$4:$AK$145,CONCATENATE($C32,$EY$3),Master_Data!$R$4:$R$145)+SUMIF(Master_Data!$AK$152:$AK$864,CONCATENATE($C32,$EY$3),Master_Data!$R$152:$R$864)</f>
        <v>0</v>
      </c>
      <c r="EQ32" s="310">
        <f>SUMIF(Master_Data!$AK$4:$AK$145,CONCATENATE($C32,$EY$3),Master_Data!$Q$4:$Q$145)+SUMIF(Master_Data!$AK$152:$AK$864,CONCATENATE($C32,$EY$3),Master_Data!$Q$152:$Q$864)</f>
        <v>0</v>
      </c>
      <c r="ER32" s="310">
        <f>SUMIF(Master_Data!$AK$4:$AK$145,CONCATENATE($C32,$EY$3),Master_Data!$U$4:$U$145)+SUMIF(Master_Data!$AK$152:$AK$864,CONCATENATE($C32,$EY$3),Master_Data!$U$152:$U$864)</f>
        <v>0</v>
      </c>
      <c r="ES32" s="310">
        <f>SUMIF(Master_Data!$AK$4:$AK$145,CONCATENATE($C32,$EY$3),Master_Data!$S$4:$S$145)+SUMIF(Master_Data!$AK$152:$AK$864,CONCATENATE($C32,$EY$3),Master_Data!$S$152:$S$864)</f>
        <v>0</v>
      </c>
      <c r="ET32" s="39">
        <f>SUMIF(Master_Data!$AK$152:$AK$915,CONCATENATE($C32,EY$3),Master_Data!$T$152:$T$915)</f>
        <v>0</v>
      </c>
      <c r="EU32" s="310">
        <f t="shared" si="49"/>
        <v>0</v>
      </c>
      <c r="EV32" s="230"/>
      <c r="EW32" s="84"/>
      <c r="EX32" s="358" t="str">
        <f t="shared" si="11"/>
        <v>MADHANI TALATAH NUSANTARA, PTSEP</v>
      </c>
      <c r="EY32" s="24"/>
      <c r="EZ32" s="412"/>
      <c r="FA32" s="109">
        <f t="shared" si="50"/>
        <v>0</v>
      </c>
      <c r="FB32" s="109">
        <f t="shared" si="51"/>
        <v>0</v>
      </c>
      <c r="FC32" s="421"/>
      <c r="FD32" s="109">
        <f>SUMIF(Bill_Out!$Q$534:$Q$606,CONCATENATE($C32,$FP$3),Bill_Out!$N$534:$N$606)</f>
        <v>0</v>
      </c>
      <c r="FE32" s="109" t="e">
        <f>SUMIF(Bill_Out!$Q$534:$Q$606,CONCATENATE($C32,$FP$3),Bill_Out!$O$534:$O$606)</f>
        <v>#VALUE!</v>
      </c>
      <c r="FF32" s="309"/>
      <c r="FG32" s="310">
        <f>SUMIF(Master_Data!$AK$4:$AK$145,CONCATENATE($C32,$FP$3),Master_Data!$R$4:$R$145)+SUMIF(Master_Data!$AK$152:$AK$864,CONCATENATE($C32,$FP$3),Master_Data!$R$152:$R$864)</f>
        <v>0</v>
      </c>
      <c r="FH32" s="310">
        <f>SUMIF(Master_Data!$AK$4:$AK$145,CONCATENATE($C32,$FP$3),Master_Data!$Q$4:$Q$145)+SUMIF(Master_Data!$AK$152:$AK$864,CONCATENATE($C32,$FP$3),Master_Data!$Q$152:$Q$864)</f>
        <v>0</v>
      </c>
      <c r="FI32" s="310">
        <f>SUMIF(Master_Data!$AK$4:$AK$145,CONCATENATE($C32,$FP$3),Master_Data!$U$4:$U$145)+SUMIF(Master_Data!$AK$152:$AK$864,CONCATENATE($C32,$FP$3),Master_Data!$U$152:$U$864)</f>
        <v>0</v>
      </c>
      <c r="FJ32" s="310">
        <f>SUMIF(Master_Data!$AK$4:$AK$145,CONCATENATE($C32,$FP$3),Master_Data!$S$4:$S$145)+SUMIF(Master_Data!$AK$152:$AK$864,CONCATENATE($C32,$FP$3),Master_Data!$S$152:$S$864)</f>
        <v>0</v>
      </c>
      <c r="FK32" s="39">
        <f>SUMIF(Master_Data!$AK$152:$AK$915,CONCATENATE($C32,FP$3),Master_Data!$T$152:$T$915)</f>
        <v>0</v>
      </c>
      <c r="FL32" s="310">
        <f t="shared" si="52"/>
        <v>0</v>
      </c>
      <c r="FM32" s="230" t="e">
        <f t="shared" si="53"/>
        <v>#VALUE!</v>
      </c>
      <c r="FN32" s="23"/>
      <c r="FO32" s="358" t="str">
        <f t="shared" si="80"/>
        <v>MADHANI TALATAH NUSANTARA, PTOKT</v>
      </c>
      <c r="FP32" s="24"/>
      <c r="FQ32" s="412"/>
      <c r="FR32" s="109">
        <f t="shared" si="42"/>
        <v>0</v>
      </c>
      <c r="FS32" s="109" t="e">
        <f t="shared" si="74"/>
        <v>#VALUE!</v>
      </c>
      <c r="FT32" s="420"/>
      <c r="FU32" s="109">
        <f>SUMIF(Bill_Out!$Q$610:$Q$675,CONCATENATE($C32,$GG$3),Bill_Out!$N$610:$N$675)</f>
        <v>0</v>
      </c>
      <c r="FV32" s="109" t="e">
        <f>SUMIF(Bill_Out!$Q$610:$Q$675,CONCATENATE($C32,$GG$3),Bill_Out!$O$610:$O$675)</f>
        <v>#VALUE!</v>
      </c>
      <c r="FW32" s="50"/>
      <c r="FX32" s="512">
        <f>SUMIF(Master_Data!$AK$4:$AK$145,CONCATENATE($C32,$GG$3),Master_Data!$R$4:$R$145)+SUMIF(Master_Data!$AK$152:$AK$864,CONCATENATE($C32,$GG$3),Master_Data!$R$152:$R$864)</f>
        <v>0</v>
      </c>
      <c r="FY32" s="512">
        <f>SUMIF(Master_Data!$AK$4:$AK$145,CONCATENATE($C32,$GG$3),Master_Data!$Q$4:$Q$145)+SUMIF(Master_Data!$AK$152:$AK$864,CONCATENATE($C32,$GG$3),Master_Data!$Q$152:$Q$864)</f>
        <v>0</v>
      </c>
      <c r="FZ32" s="512">
        <f>SUMIF(Master_Data!$AK$4:$AK$145,CONCATENATE($C32,$GG$3),Master_Data!$U$4:$U$145)+SUMIF(Master_Data!$AK$152:$AK$864,CONCATENATE($C32,$GG$3),Master_Data!$U$152:$U$864)</f>
        <v>0</v>
      </c>
      <c r="GA32" s="310">
        <f>SUMIF(Master_Data!$AK$4:$AK$145,CONCATENATE($C32,$GG$3),Master_Data!$S$4:$S$145)+SUMIF(Master_Data!$AK$152:$AK$864,CONCATENATE($C32,$GG$3),Master_Data!$S$152:$S$864)</f>
        <v>0</v>
      </c>
      <c r="GB32" s="39">
        <f>SUMIF(Master_Data!$AK$152:$AK$915,CONCATENATE($C32,GG$3),Master_Data!$T$152:$T$915)</f>
        <v>0</v>
      </c>
      <c r="GC32" s="230">
        <f t="shared" si="77"/>
        <v>0</v>
      </c>
      <c r="GD32" s="230" t="e">
        <f t="shared" si="14"/>
        <v>#VALUE!</v>
      </c>
      <c r="GE32" s="23"/>
      <c r="GF32" s="358" t="str">
        <f t="shared" si="81"/>
        <v>MADHANI TALATAH NUSANTARA, PTNOV</v>
      </c>
      <c r="GG32" s="24"/>
      <c r="GH32" s="412" t="s">
        <v>626</v>
      </c>
      <c r="GI32" s="109">
        <f t="shared" si="70"/>
        <v>0</v>
      </c>
      <c r="GJ32" s="109" t="e">
        <f t="shared" si="71"/>
        <v>#VALUE!</v>
      </c>
      <c r="GK32" s="423"/>
      <c r="GL32" s="109">
        <f>SUMIF(Bill_Out!$Q$679:$Q$756,CONCATENATE($C32,$GX$3),Bill_Out!$N$679:$N$756)</f>
        <v>0</v>
      </c>
      <c r="GM32" s="109" t="e">
        <f>SUMIF(Bill_Out!$Q$679:$Q$756,CONCATENATE($C32,$GX$3),Bill_Out!$O$679:$O$756)</f>
        <v>#VALUE!</v>
      </c>
      <c r="GN32" s="50"/>
      <c r="GO32" s="512">
        <f>SUMIF(Master_Data!$AK$4:$AK$145,CONCATENATE($C32,$GX$3),Master_Data!$R$4:$R$145)+SUMIF(Master_Data!$AK$152:$AK$864,CONCATENATE($C32,$GX$3),Master_Data!$R$152:$R$864)</f>
        <v>0</v>
      </c>
      <c r="GP32" s="512">
        <f>SUMIF(Master_Data!$AK$4:$AK$145,CONCATENATE($C32,$GX$3),Master_Data!$Q$4:$Q$145)+SUMIF(Master_Data!$AK$152:$AK$864,CONCATENATE($C32,$GX$3),Master_Data!$Q$152:$Q$864)</f>
        <v>0</v>
      </c>
      <c r="GQ32" s="512">
        <f>SUMIF(Master_Data!$AK$4:$AK$145,CONCATENATE($C32,$GX$3),Master_Data!$U$4:$U$145)+SUMIF(Master_Data!$AK$152:$AK$864,CONCATENATE($C32,$GX$3),Master_Data!$U$152:$U$864)</f>
        <v>0</v>
      </c>
      <c r="GR32" s="310">
        <f>SUMIF(Master_Data!$AK$4:$AK$145,CONCATENATE($C32,$GX$3),Master_Data!$S$4:$S$145)+SUMIF(Master_Data!$AK$152:$AK$864,CONCATENATE($C32,$GX$3),Master_Data!$S$152:$S$864)</f>
        <v>0</v>
      </c>
      <c r="GS32" s="39">
        <f>SUMIF(Master_Data!$AK$152:$AK$864,CONCATENATE($C32,GX$3),Master_Data!$T$152:$T$864)</f>
        <v>0</v>
      </c>
      <c r="GT32" s="534">
        <f t="shared" si="44"/>
        <v>0</v>
      </c>
      <c r="GU32" s="310" t="e">
        <f t="shared" si="16"/>
        <v>#VALUE!</v>
      </c>
      <c r="GV32" s="23"/>
      <c r="GW32" s="358" t="str">
        <f t="shared" si="69"/>
        <v>MADHANI TALATAH NUSANTARA, PTDES</v>
      </c>
      <c r="GX32" s="24"/>
    </row>
    <row r="33" spans="1:206" s="19" customFormat="1">
      <c r="A33" s="328" t="s">
        <v>91</v>
      </c>
      <c r="B33" s="236" t="str">
        <f t="shared" si="18"/>
        <v>MANDALA KARYA PRIMA, PTJAN</v>
      </c>
      <c r="C33" s="8" t="s">
        <v>128</v>
      </c>
      <c r="D33" s="52"/>
      <c r="E33" s="109">
        <f>SUMIF(Master_Data!$D26:$D$145,CONCATENATE(C33),Master_Data!M26:M850)</f>
        <v>0</v>
      </c>
      <c r="F33" s="109">
        <f>SUMIF(Master_Data!$D31:$D$145,CONCATENATE(C33),Master_Data!N31:N219)</f>
        <v>0</v>
      </c>
      <c r="G33" s="31"/>
      <c r="H33" s="109">
        <f>SUMIF(Bill_Out!$Q$3:$Q$65,CONCATENATE($C33,$S$3),Bill_Out!$N$3:$N$65)</f>
        <v>0</v>
      </c>
      <c r="I33" s="88" t="e">
        <f>SUMIF(Bill_Out!$Q$3:$Q$65,CONCATENATE($C33,$S$3),Bill_Out!$O$3:$O$65)</f>
        <v>#VALUE!</v>
      </c>
      <c r="J33" s="50"/>
      <c r="K33" s="29"/>
      <c r="L33" s="44"/>
      <c r="M33" s="230">
        <f>SUMIF(Master_Data!$AK30:$AK$145,CONCATENATE(C33,$S$3),Master_Data!U30:U229)+SUMIF(Master_Data!$AK235:$AK$864,CONCATENATE(C33,$S$3),Master_Data!U235:U933)</f>
        <v>10800000</v>
      </c>
      <c r="N33" s="310">
        <f>SUMIF(Master_Data!$AK$4:$AK$145,CONCATENATE(C33,$S$3),Master_Data!$S$4:$S$145)+SUMIF(Master_Data!$AK$150:$AK$864,CONCATENATE(C33,$S$3),Master_Data!$S$150:$S$864)</f>
        <v>0</v>
      </c>
      <c r="O33" s="310">
        <f>SUMIF(Master_Data!$AK$4:$AK$145,CONCATENATE(C33,$S$3),Master_Data!$T$4:$T$145)+SUMIF(Master_Data!$AK$150:$AK$864,CONCATENATE(C33,$S$3),Master_Data!$T$150:$T$864)</f>
        <v>-200000</v>
      </c>
      <c r="P33" s="230">
        <f t="shared" si="19"/>
        <v>0</v>
      </c>
      <c r="Q33" s="230" t="e">
        <f t="shared" si="20"/>
        <v>#VALUE!</v>
      </c>
      <c r="R33" s="23"/>
      <c r="S33" s="24"/>
      <c r="T33" s="259"/>
      <c r="U33" s="109">
        <f t="shared" si="82"/>
        <v>0</v>
      </c>
      <c r="V33" s="109" t="e">
        <f t="shared" si="83"/>
        <v>#VALUE!</v>
      </c>
      <c r="W33" s="31"/>
      <c r="X33" s="109">
        <f>SUMIF(Bill_Out!$Q$67:$Q$132,CONCATENATE($C33,$AJ$3),Bill_Out!$N$67:$N$132)</f>
        <v>0</v>
      </c>
      <c r="Y33" s="109" t="e">
        <f>SUMIF(Bill_Out!$Q$67:$Q$132,CONCATENATE($C33,$AJ$3),Bill_Out!$O$67:$O$132)</f>
        <v>#VALUE!</v>
      </c>
      <c r="Z33" s="50"/>
      <c r="AA33" s="230">
        <f>SUMIF(Master_Data!$AK$4:$AK$145,CONCATENATE(C33,$AJ$3),Master_Data!$R$4:$R$145)+SUMIF(Master_Data!$AK$152:$AK$850,CONCATENATE(C33,$AJ$3),Master_Data!$R$152:$R$850)</f>
        <v>0</v>
      </c>
      <c r="AB33" s="230">
        <f>SUMIF(Master_Data!$AK$4:$AK$145,CONCATENATE(C33,$AJ$3),Master_Data!$Q$4:$Q$145)+SUMIF(Master_Data!$AK$152:$AK$850,CONCATENATE(C33,$AJ$3),Master_Data!$Q$152:$Q$850)</f>
        <v>0</v>
      </c>
      <c r="AC33" s="230">
        <f>SUMIF(Master_Data!$AK$4:$AK$145,CONCATENATE(C33,$AJ$3),Master_Data!$U$4:$U$145)+SUMIF(Master_Data!$AK$152:$AK$850,CONCATENATE(C33,$AJ$3),Master_Data!$U$152:$U$850)</f>
        <v>10800000</v>
      </c>
      <c r="AD33" s="310">
        <f ca="1">SUMIF(Master_Data!$AK$4:$AK$145,CONCATENATE(C33,$AJ$3),Master_Data!$S$4:$S$145)+SUMIF(Master_Data!$AK$152:$AK$864,CONCATENATE(C33,$AJ$3),Master_Data!$S$152:$S$850)</f>
        <v>0</v>
      </c>
      <c r="AE33" s="310">
        <f>SUMIF(Master_Data!$AK$4:$AK$145,CONCATENATE(C33,$AJ$3),Master_Data!$T$4:$T$145)+SUMIF(Master_Data!$AK$152:$AK$864,CONCATENATE(C33,$AJ$3),Master_Data!$T$152:$T$864)</f>
        <v>-200000</v>
      </c>
      <c r="AF33" s="230">
        <f t="shared" si="63"/>
        <v>0</v>
      </c>
      <c r="AG33" s="230" t="e">
        <f t="shared" ca="1" si="64"/>
        <v>#VALUE!</v>
      </c>
      <c r="AH33" s="23"/>
      <c r="AI33" s="235" t="str">
        <f t="shared" si="3"/>
        <v>MANDALA KARYA PRIMA, PTFEB</v>
      </c>
      <c r="AJ33" s="24"/>
      <c r="AK33" s="259"/>
      <c r="AL33" s="109">
        <f t="shared" si="65"/>
        <v>0</v>
      </c>
      <c r="AM33" s="109" t="e">
        <f t="shared" ca="1" si="66"/>
        <v>#VALUE!</v>
      </c>
      <c r="AN33" s="31"/>
      <c r="AO33" s="109">
        <f>SUMIF(Bill_Out!$Q$134:$Q$188,CONCATENATE($C33,$BA$3),Bill_Out!$N$134:$N$188)</f>
        <v>0</v>
      </c>
      <c r="AP33" s="109" t="e">
        <f>SUMIF(Bill_Out!$Q$134:$Q$188,CONCATENATE($C33,$BA$3),Bill_Out!$O$134:$O$188)</f>
        <v>#VALUE!</v>
      </c>
      <c r="AQ33" s="50"/>
      <c r="AR33" s="230">
        <f>SUMIF(Master_Data!$AK$4:$AK$145,CONCATENATE(C33,$BA$3),Master_Data!$R$4:$R$145)+SUMIF(Master_Data!$AK$152:$AK$864,CONCATENATE(C33,$BA$3),Master_Data!$R$152:$R$864)</f>
        <v>0</v>
      </c>
      <c r="AS33" s="230">
        <f>SUMIF(Master_Data!$AK$4:$AK$145,CONCATENATE(C33,$BA$3),Master_Data!$Q$4:$Q$145)+SUMIF(Master_Data!$AK$152:$AK$864,CONCATENATE(C33,$BA$3),Master_Data!$Q$152:$Q$864)</f>
        <v>0</v>
      </c>
      <c r="AT33" s="230">
        <f>SUMIF(Master_Data!$AK$4:$AK$145,CONCATENATE(C33,$BA$3),Master_Data!$U$4:$U$145)+SUMIF(Master_Data!$AK$152:$AK$864,CONCATENATE(C33,$BA$3),Master_Data!$U$152:$U$864)</f>
        <v>10800000</v>
      </c>
      <c r="AU33" s="230">
        <f ca="1">SUMIF(Master_Data!$AK$4:$AK$145,CONCATENATE(C33,$BA$3),Master_Data!$S$4:$S$145)+SUMIF(Master_Data!$AK$152:$AK$864,CONCATENATE(C33,$BA$3),Master_Data!$S$152:$S$850)</f>
        <v>0</v>
      </c>
      <c r="AV33" s="39">
        <f>SUMIF(Master_Data!$AK$152:$AK$864,CONCATENATE($C33,BA$3),Master_Data!$T$152:$T$864)</f>
        <v>-200000</v>
      </c>
      <c r="AW33" s="230">
        <f t="shared" si="57"/>
        <v>0</v>
      </c>
      <c r="AX33" s="230" t="e">
        <f t="shared" ca="1" si="58"/>
        <v>#VALUE!</v>
      </c>
      <c r="AY33" s="23"/>
      <c r="AZ33" s="235" t="str">
        <f t="shared" si="21"/>
        <v>MANDALA KARYA PRIMA, PTMAR</v>
      </c>
      <c r="BA33" s="24"/>
      <c r="BB33" s="259"/>
      <c r="BC33" s="109">
        <f t="shared" si="22"/>
        <v>0</v>
      </c>
      <c r="BD33" s="109" t="e">
        <f t="shared" ca="1" si="23"/>
        <v>#VALUE!</v>
      </c>
      <c r="BE33" s="31"/>
      <c r="BF33" s="109">
        <f>SUMIF(Bill_Out!$Q$192:$Q$258,CONCATENATE($C33,$BR$3),Bill_Out!$N$192:$N$258)</f>
        <v>0</v>
      </c>
      <c r="BG33" s="109" t="e">
        <f>SUMIF(Bill_Out!$Q$192:$Q$258,CONCATENATE($C33,$BR$3),Bill_Out!$O$192:$O$258)</f>
        <v>#VALUE!</v>
      </c>
      <c r="BH33" s="50"/>
      <c r="BI33" s="230">
        <f>SUMIF(Master_Data!$AK$4:$AK$145,CONCATENATE(C33,$BR$3),Master_Data!$R$4:$R$145)+SUMIF(Master_Data!$AK$152:$AK$864,CONCATENATE(C33,$BR$3),Master_Data!$R$152:$R$864)</f>
        <v>0</v>
      </c>
      <c r="BJ33" s="230">
        <f>SUMIF(Master_Data!$AK$4:$AK$145,CONCATENATE(C33,$BR$3),Master_Data!$Q$4:$Q$145)+SUMIF(Master_Data!$AK$152:$AK$864,CONCATENATE(C33,$BR$3),Master_Data!$Q$152:$Q$864)</f>
        <v>0</v>
      </c>
      <c r="BK33" s="230">
        <f>SUMIF(Master_Data!$AK$4:$AK$145,CONCATENATE(C33,$BR$3),Master_Data!$U$4:$U$145)+SUMIF(Master_Data!$AK$152:$AK$864,CONCATENATE(C33,$BR$3),Master_Data!$U$152:$U$864)</f>
        <v>0</v>
      </c>
      <c r="BL33" s="230">
        <f>SUMIF(Master_Data!$AK$4:$AK$145,CONCATENATE(C33,$BR$3),Master_Data!$S$4:$S$145)+SUMIF(Master_Data!$AK$152:$AK$864,CONCATENATE(C33,$BR$3),Master_Data!$S$152:$S$864)</f>
        <v>0</v>
      </c>
      <c r="BM33" s="39">
        <f>SUMIF(Master_Data!$AK$152:$AK$864,CONCATENATE($C33,BR$3),Master_Data!$T$152:$T$864)</f>
        <v>0</v>
      </c>
      <c r="BN33" s="230">
        <f t="shared" si="24"/>
        <v>0</v>
      </c>
      <c r="BO33" s="230" t="e">
        <f t="shared" ca="1" si="25"/>
        <v>#VALUE!</v>
      </c>
      <c r="BP33" s="23"/>
      <c r="BQ33" s="909" t="str">
        <f t="shared" si="26"/>
        <v>MANDALA KARYA PRIMA, PTAPR</v>
      </c>
      <c r="BR33" s="24"/>
      <c r="BS33" s="259"/>
      <c r="BT33" s="109">
        <f t="shared" si="78"/>
        <v>0</v>
      </c>
      <c r="BU33" s="109" t="e">
        <f t="shared" ca="1" si="79"/>
        <v>#VALUE!</v>
      </c>
      <c r="BV33" s="31"/>
      <c r="BW33" s="109">
        <f>SUMIF(Bill_Out!$Q$263:$Q$314,CONCATENATE($C33,$CI$3),Bill_Out!$N$263:$N$314)</f>
        <v>0</v>
      </c>
      <c r="BX33" s="109" t="e">
        <f>SUMIF(Bill_Out!$Q$263:$Q$314,CONCATENATE($C33,$CI$3),Bill_Out!$O$263:$O$314)</f>
        <v>#VALUE!</v>
      </c>
      <c r="BY33" s="50"/>
      <c r="BZ33" s="310">
        <f>SUMIF(Master_Data!$AK$4:$AK$145,CONCATENATE(C33,$CI$3),Master_Data!$R$4:$R$145)+SUMIF(Master_Data!$AK$152:$AK$864,CONCATENATE(C33,$CI$3),Master_Data!$R$152:$R$864)</f>
        <v>0</v>
      </c>
      <c r="CA33" s="310">
        <f>SUMIF(Master_Data!$AK$4:$AK$145,CONCATENATE(C33,$CI$3),Master_Data!$Q$4:$Q$145)+SUMIF(Master_Data!$AK$152:$AK$864,CONCATENATE(C33,$CI$3),Master_Data!$Q$152:$Q$864)</f>
        <v>0</v>
      </c>
      <c r="CB33" s="310">
        <f>SUMIF(Master_Data!$AK$4:$AK$145,CONCATENATE(C33,$CI$3),Master_Data!$U$4:$U$145)+SUMIF(Master_Data!$AK$152:$AK$864,CONCATENATE(C33,$CI$3),Master_Data!$U$152:$U$864)</f>
        <v>15480000</v>
      </c>
      <c r="CC33" s="230">
        <f>SUMIF(Master_Data!$AK$4:$AK$145,CONCATENATE(C33,$CI$3),Master_Data!$S$4:$S$145)+SUMIF(Master_Data!$AK$152:$AK$864,CONCATENATE(C33,$CI$3),Master_Data!$S$152:$S$864)</f>
        <v>0</v>
      </c>
      <c r="CD33" s="39">
        <f>SUMIF(Master_Data!$AK$152:$AK$864,CONCATENATE($C33,CI$3),Master_Data!$T$152:$T$864)</f>
        <v>-286666.6666</v>
      </c>
      <c r="CE33" s="310">
        <f t="shared" si="27"/>
        <v>0</v>
      </c>
      <c r="CF33" s="230" t="e">
        <f t="shared" ca="1" si="28"/>
        <v>#VALUE!</v>
      </c>
      <c r="CG33" s="23"/>
      <c r="CH33" s="235" t="str">
        <f t="shared" si="29"/>
        <v>MANDALA KARYA PRIMA, PTMEI</v>
      </c>
      <c r="CI33" s="24"/>
      <c r="CJ33" s="259"/>
      <c r="CK33" s="109">
        <f t="shared" si="30"/>
        <v>0</v>
      </c>
      <c r="CL33" s="238" t="e">
        <f t="shared" ca="1" si="31"/>
        <v>#VALUE!</v>
      </c>
      <c r="CM33" s="31"/>
      <c r="CN33" s="238">
        <f>SUMIF(Bill_Out!$Q$318:$Q$371,CONCATENATE($C33,$CZ$3),Bill_Out!$N$318:$N$371)</f>
        <v>0</v>
      </c>
      <c r="CO33" s="238" t="e">
        <f>SUMIF(Bill_Out!$Q$318:$Q$371,CONCATENATE($C33,$CZ$3),Bill_Out!$O$318:$O$371)</f>
        <v>#VALUE!</v>
      </c>
      <c r="CP33" s="50"/>
      <c r="CQ33" s="230">
        <f>SUMIF(Master_Data!$AK$4:$AK$145,CONCATENATE($C33,$CZ$3),Master_Data!$R$4:$R$145)+SUMIF(Master_Data!$AK$152:$AK$864,CONCATENATE($C33,$CZ$3),Master_Data!$R$152:$R$864)</f>
        <v>0</v>
      </c>
      <c r="CR33" s="230">
        <f>SUMIF(Master_Data!$AK$4:$AK$145,CONCATENATE($C33,$CZ$3),Master_Data!$Q$4:$Q$145)+SUMIF(Master_Data!$AK$152:$AK$864,CONCATENATE($C33,$CZ$3),Master_Data!$Q$152:$Q$864)</f>
        <v>0</v>
      </c>
      <c r="CS33" s="230">
        <f>SUMIF(Master_Data!$AK$4:$AK$145,CONCATENATE($C33,$CZ$3),Master_Data!$U$4:$U$145)+SUMIF(Master_Data!$AK$152:$AK$864,CONCATENATE($C33,$CZ$3),Master_Data!$U$152:$U$864)</f>
        <v>0</v>
      </c>
      <c r="CT33" s="230">
        <f ca="1">SUMIF(Master_Data!$AK$4:$AK$145,CONCATENATE(C33,$CZ$3),Master_Data!$S$4:$S$145)+SUMIF(Master_Data!$AK$152:$AK$915,CONCATENATE(C33,$CZ$3),Master_Data!$S$152:$S$864)</f>
        <v>0</v>
      </c>
      <c r="CU33" s="1010">
        <f>SUMIF(Master_Data!$AK$4:$AK$145,CONCATENATE(C33,$CZ$3),Master_Data!$T$4:$T$145)+SUMIF(Master_Data!$AK$152:$AK$864,CONCATENATE(C33,$CZ$3),Master_Data!$T$152:$T$864)</f>
        <v>0</v>
      </c>
      <c r="CV33" s="230">
        <f t="shared" si="32"/>
        <v>0</v>
      </c>
      <c r="CW33" s="230" t="e">
        <f t="shared" ca="1" si="33"/>
        <v>#VALUE!</v>
      </c>
      <c r="CX33" s="23"/>
      <c r="CY33" s="1007" t="str">
        <f t="shared" si="6"/>
        <v>MANDALA KARYA PRIMA, PTJUN</v>
      </c>
      <c r="CZ33" s="24"/>
      <c r="DA33" s="259"/>
      <c r="DB33" s="109">
        <f t="shared" si="34"/>
        <v>0</v>
      </c>
      <c r="DC33" s="109" t="e">
        <f t="shared" ca="1" si="35"/>
        <v>#VALUE!</v>
      </c>
      <c r="DD33" s="31"/>
      <c r="DE33" s="109">
        <f>SUMIF(Bill_Out!$Q$375:$Q$422,CONCATENATE($C33,$DQ$3),Bill_Out!$N$375:$N$422)</f>
        <v>0</v>
      </c>
      <c r="DF33" s="109" t="e">
        <f>SUMIF(Bill_Out!$Q$375:$Q$422,CONCATENATE($C33,$DQ$3),Bill_Out!$O$375:$O$422)</f>
        <v>#VALUE!</v>
      </c>
      <c r="DG33" s="50"/>
      <c r="DH33" s="310">
        <f>SUMIF(Master_Data!$AK$4:$AK$145,CONCATENATE($C33,$DQ$3),Master_Data!$R$4:$R$145)+SUMIF(Master_Data!$AK$152:$AK$864,CONCATENATE($C33,$DQ$3),Master_Data!$R$152:$R$864)</f>
        <v>0</v>
      </c>
      <c r="DI33" s="310">
        <f>SUMIF(Master_Data!$AK$4:$AK$145,CONCATENATE($C33,$DQ$3),Master_Data!$Q$4:$Q$145)+SUMIF(Master_Data!$AK$152:$AK$864,CONCATENATE($C33,$DQ$3),Master_Data!$Q$152:$Q$864)</f>
        <v>0</v>
      </c>
      <c r="DJ33" s="310">
        <f>SUMIF(Master_Data!$AK$4:$AK$145,CONCATENATE($C33,$DQ$3),Master_Data!$U$4:$U$145)+SUMIF(Master_Data!$AK$152:$AK$864,CONCATENATE($C33,$DQ$3),Master_Data!$U$152:$U$864)</f>
        <v>42110000</v>
      </c>
      <c r="DK33" s="310">
        <f>SUMIF(Master_Data!$AK$4:$AK$145,CONCATENATE($C33,$DQ$3),Master_Data!$S$4:$S$145)+SUMIF(Master_Data!$AK$152:$AK$864,CONCATENATE($C33,$DQ$3),Master_Data!$S$152:$S$864)</f>
        <v>0</v>
      </c>
      <c r="DL33" s="39">
        <f>SUMIF(Master_Data!$AK$152:$AK$915,CONCATENATE($C33,DQ$3),Master_Data!$T$152:$T$915)</f>
        <v>-780000</v>
      </c>
      <c r="DM33" s="230">
        <f t="shared" si="67"/>
        <v>0</v>
      </c>
      <c r="DN33" s="230" t="e">
        <f t="shared" ca="1" si="68"/>
        <v>#VALUE!</v>
      </c>
      <c r="DO33" s="23"/>
      <c r="DP33" s="358" t="str">
        <f t="shared" si="9"/>
        <v>MANDALA KARYA PRIMA, PTJUL</v>
      </c>
      <c r="DQ33" s="24"/>
      <c r="DR33" s="390"/>
      <c r="DS33" s="109">
        <f t="shared" si="36"/>
        <v>0</v>
      </c>
      <c r="DT33" s="109" t="e">
        <f t="shared" ca="1" si="37"/>
        <v>#VALUE!</v>
      </c>
      <c r="DU33" s="31"/>
      <c r="DV33" s="109">
        <f>SUMIF(Bill_Out!$Q$426:$Q$472,CONCATENATE($C33,$EH$3),Bill_Out!$N$426:$N$472)</f>
        <v>0</v>
      </c>
      <c r="DW33" s="109" t="e">
        <f>SUMIF(Bill_Out!$Q$426:$Q$472,CONCATENATE($C33,$EH$3),Bill_Out!$O$426:$O$472)</f>
        <v>#VALUE!</v>
      </c>
      <c r="DX33" s="50"/>
      <c r="DY33" s="310">
        <f>SUMIF(Master_Data!$AK$4:$AK$145,CONCATENATE($C33,$EH$3),Master_Data!$R$4:$R$145)+SUMIF(Master_Data!$AK$152:$AK$864,CONCATENATE($C33,$EH$3),Master_Data!$R$152:$R$864)</f>
        <v>0</v>
      </c>
      <c r="DZ33" s="310">
        <f>SUMIF(Master_Data!$AK$4:$AK$145,CONCATENATE($C33,$EH$3),Master_Data!$Q$4:$Q$145)+SUMIF(Master_Data!$AK$152:$AK$864,CONCATENATE($C33,$EH$3),Master_Data!$Q$152:$Q$864)</f>
        <v>0</v>
      </c>
      <c r="EA33" s="310">
        <f>SUMIF(Master_Data!$AK$4:$AK$145,CONCATENATE($C33,$EH$3),Master_Data!$U$4:$U$145)+SUMIF(Master_Data!$AK$152:$AK$864,CONCATENATE($C33,$EH$3),Master_Data!$U$152:$U$864)</f>
        <v>22680000</v>
      </c>
      <c r="EB33" s="310">
        <f>SUMIF(Master_Data!$AK$4:$AK$145,CONCATENATE($C33,$EH$3),Master_Data!$S$4:$S$145)+SUMIF(Master_Data!$AK$152:$AK$864,CONCATENATE($C33,$EH$3),Master_Data!$S$152:$S$864)</f>
        <v>0</v>
      </c>
      <c r="EC33" s="39">
        <f>SUMIF(Master_Data!$AK$152:$AK$915,CONCATENATE($C33,EH$3),Master_Data!$T$152:$T$915)</f>
        <v>-420000</v>
      </c>
      <c r="ED33" s="310">
        <f t="shared" si="38"/>
        <v>0</v>
      </c>
      <c r="EE33" s="230" t="e">
        <f t="shared" ca="1" si="39"/>
        <v>#VALUE!</v>
      </c>
      <c r="EF33" s="23"/>
      <c r="EG33" s="358" t="str">
        <f t="shared" si="10"/>
        <v>MANDALA KARYA PRIMA, PTAGS</v>
      </c>
      <c r="EH33" s="24"/>
      <c r="EI33" s="390"/>
      <c r="EJ33" s="109">
        <f t="shared" si="47"/>
        <v>0</v>
      </c>
      <c r="EK33" s="109" t="e">
        <f t="shared" ca="1" si="48"/>
        <v>#VALUE!</v>
      </c>
      <c r="EL33" s="84"/>
      <c r="EM33" s="109">
        <f>SUMIF(Bill_Out!$Q$476:$Q$530,CONCATENATE($C33,$EY$3),Bill_Out!$N$476:$N$530)</f>
        <v>0</v>
      </c>
      <c r="EN33" s="109" t="e">
        <f>SUMIF(Bill_Out!$Q$476:$Q$530,CONCATENATE($C33,$EY$3),Bill_Out!$O$476:$O$530)</f>
        <v>#VALUE!</v>
      </c>
      <c r="EO33" s="309"/>
      <c r="EP33" s="310">
        <f>SUMIF(Master_Data!$AK$4:$AK$145,CONCATENATE($C33,$EY$3),Master_Data!$R$4:$R$145)+SUMIF(Master_Data!$AK$152:$AK$864,CONCATENATE($C33,$EY$3),Master_Data!$R$152:$R$864)</f>
        <v>0</v>
      </c>
      <c r="EQ33" s="310">
        <f>SUMIF(Master_Data!$AK$4:$AK$145,CONCATENATE($C33,$EY$3),Master_Data!$Q$4:$Q$145)+SUMIF(Master_Data!$AK$152:$AK$864,CONCATENATE($C33,$EY$3),Master_Data!$Q$152:$Q$864)</f>
        <v>0</v>
      </c>
      <c r="ER33" s="310">
        <f>SUMIF(Master_Data!$AK$4:$AK$145,CONCATENATE($C33,$EY$3),Master_Data!$U$4:$U$145)+SUMIF(Master_Data!$AK$152:$AK$864,CONCATENATE($C33,$EY$3),Master_Data!$U$152:$U$864)</f>
        <v>0</v>
      </c>
      <c r="ES33" s="310">
        <f>SUMIF(Master_Data!$AK$4:$AK$145,CONCATENATE($C33,$EY$3),Master_Data!$S$4:$S$145)+SUMIF(Master_Data!$AK$152:$AK$864,CONCATENATE($C33,$EY$3),Master_Data!$S$152:$S$864)</f>
        <v>0</v>
      </c>
      <c r="ET33" s="39">
        <f>SUMIF(Master_Data!$AK$152:$AK$915,CONCATENATE($C33,EY$3),Master_Data!$T$152:$T$915)</f>
        <v>0</v>
      </c>
      <c r="EU33" s="310">
        <f t="shared" si="49"/>
        <v>0</v>
      </c>
      <c r="EV33" s="230"/>
      <c r="EW33" s="84"/>
      <c r="EX33" s="358" t="str">
        <f t="shared" si="11"/>
        <v>MANDALA KARYA PRIMA, PTSEP</v>
      </c>
      <c r="EY33" s="24"/>
      <c r="EZ33" s="412"/>
      <c r="FA33" s="109">
        <f t="shared" si="50"/>
        <v>0</v>
      </c>
      <c r="FB33" s="109">
        <f t="shared" si="51"/>
        <v>0</v>
      </c>
      <c r="FC33" s="421"/>
      <c r="FD33" s="109">
        <f>SUMIF(Bill_Out!$Q$534:$Q$606,CONCATENATE($C33,$FP$3),Bill_Out!$N$534:$N$606)</f>
        <v>0</v>
      </c>
      <c r="FE33" s="109" t="e">
        <f>SUMIF(Bill_Out!$Q$534:$Q$606,CONCATENATE($C33,$FP$3),Bill_Out!$O$534:$O$606)</f>
        <v>#VALUE!</v>
      </c>
      <c r="FF33" s="309"/>
      <c r="FG33" s="310">
        <f>SUMIF(Master_Data!$AK$4:$AK$145,CONCATENATE($C33,$FP$3),Master_Data!$R$4:$R$145)+SUMIF(Master_Data!$AK$152:$AK$864,CONCATENATE($C33,$FP$3),Master_Data!$R$152:$R$864)</f>
        <v>0</v>
      </c>
      <c r="FH33" s="310">
        <f>SUMIF(Master_Data!$AK$4:$AK$145,CONCATENATE($C33,$FP$3),Master_Data!$Q$4:$Q$145)+SUMIF(Master_Data!$AK$152:$AK$864,CONCATENATE($C33,$FP$3),Master_Data!$Q$152:$Q$864)</f>
        <v>0</v>
      </c>
      <c r="FI33" s="310">
        <f>SUMIF(Master_Data!$AK$4:$AK$145,CONCATENATE($C33,$FP$3),Master_Data!$U$4:$U$145)+SUMIF(Master_Data!$AK$152:$AK$864,CONCATENATE($C33,$FP$3),Master_Data!$U$152:$U$864)</f>
        <v>45360000</v>
      </c>
      <c r="FJ33" s="310">
        <f>SUMIF(Master_Data!$AK$4:$AK$145,CONCATENATE($C33,$FP$3),Master_Data!$S$4:$S$145)+SUMIF(Master_Data!$AK$152:$AK$864,CONCATENATE($C33,$FP$3),Master_Data!$S$152:$S$864)</f>
        <v>0</v>
      </c>
      <c r="FK33" s="39">
        <f>SUMIF(Master_Data!$AK$152:$AK$915,CONCATENATE($C33,FP$3),Master_Data!$T$152:$T$915)</f>
        <v>-840000</v>
      </c>
      <c r="FL33" s="310">
        <f t="shared" si="52"/>
        <v>0</v>
      </c>
      <c r="FM33" s="230" t="e">
        <f t="shared" si="53"/>
        <v>#VALUE!</v>
      </c>
      <c r="FN33" s="23"/>
      <c r="FO33" s="358" t="str">
        <f t="shared" si="80"/>
        <v>MANDALA KARYA PRIMA, PTOKT</v>
      </c>
      <c r="FP33" s="24"/>
      <c r="FQ33" s="412"/>
      <c r="FR33" s="109">
        <f t="shared" si="42"/>
        <v>0</v>
      </c>
      <c r="FS33" s="109" t="e">
        <f t="shared" si="74"/>
        <v>#VALUE!</v>
      </c>
      <c r="FT33" s="420"/>
      <c r="FU33" s="109">
        <f>SUMIF(Bill_Out!$Q$610:$Q$675,CONCATENATE($C33,$GG$3),Bill_Out!$N$610:$N$675)</f>
        <v>0</v>
      </c>
      <c r="FV33" s="109" t="e">
        <f>SUMIF(Bill_Out!$Q$610:$Q$675,CONCATENATE($C33,$GG$3),Bill_Out!$O$610:$O$675)</f>
        <v>#VALUE!</v>
      </c>
      <c r="FW33" s="50"/>
      <c r="FX33" s="512">
        <f>SUMIF(Master_Data!$AK$4:$AK$145,CONCATENATE($C33,$GG$3),Master_Data!$R$4:$R$145)+SUMIF(Master_Data!$AK$152:$AK$864,CONCATENATE($C33,$GG$3),Master_Data!$R$152:$R$864)</f>
        <v>0</v>
      </c>
      <c r="FY33" s="512">
        <f>SUMIF(Master_Data!$AK$4:$AK$145,CONCATENATE($C33,$GG$3),Master_Data!$Q$4:$Q$145)+SUMIF(Master_Data!$AK$152:$AK$864,CONCATENATE($C33,$GG$3),Master_Data!$Q$152:$Q$864)</f>
        <v>0</v>
      </c>
      <c r="FZ33" s="512">
        <f>SUMIF(Master_Data!$AK$4:$AK$145,CONCATENATE($C33,$GG$3),Master_Data!$U$4:$U$145)+SUMIF(Master_Data!$AK$152:$AK$864,CONCATENATE($C33,$GG$3),Master_Data!$U$152:$U$864)</f>
        <v>22680000</v>
      </c>
      <c r="GA33" s="310">
        <f>SUMIF(Master_Data!$AK$4:$AK$145,CONCATENATE($C33,$GG$3),Master_Data!$S$4:$S$145)+SUMIF(Master_Data!$AK$152:$AK$864,CONCATENATE($C33,$GG$3),Master_Data!$S$152:$S$864)</f>
        <v>0</v>
      </c>
      <c r="GB33" s="39">
        <f>SUMIF(Master_Data!$AK$152:$AK$915,CONCATENATE($C33,GG$3),Master_Data!$T$152:$T$915)</f>
        <v>-420000</v>
      </c>
      <c r="GC33" s="230">
        <f t="shared" si="77"/>
        <v>0</v>
      </c>
      <c r="GD33" s="230" t="e">
        <f t="shared" si="14"/>
        <v>#VALUE!</v>
      </c>
      <c r="GE33" s="23"/>
      <c r="GF33" s="358" t="str">
        <f t="shared" si="81"/>
        <v>MANDALA KARYA PRIMA, PTNOV</v>
      </c>
      <c r="GG33" s="24"/>
      <c r="GH33" s="412"/>
      <c r="GI33" s="109">
        <f t="shared" si="70"/>
        <v>0</v>
      </c>
      <c r="GJ33" s="109" t="e">
        <f t="shared" si="71"/>
        <v>#VALUE!</v>
      </c>
      <c r="GK33" s="423"/>
      <c r="GL33" s="109">
        <f>SUMIF(Bill_Out!$Q$679:$Q$756,CONCATENATE($C33,$GX$3),Bill_Out!$N$679:$N$756)</f>
        <v>0</v>
      </c>
      <c r="GM33" s="109" t="e">
        <f>SUMIF(Bill_Out!$Q$679:$Q$756,CONCATENATE($C33,$GX$3),Bill_Out!$O$679:$O$756)</f>
        <v>#VALUE!</v>
      </c>
      <c r="GN33" s="50"/>
      <c r="GO33" s="512">
        <f>SUMIF(Master_Data!$AK$4:$AK$145,CONCATENATE($C33,$GX$3),Master_Data!$R$4:$R$145)+SUMIF(Master_Data!$AK$152:$AK$864,CONCATENATE($C33,$GX$3),Master_Data!$R$152:$R$864)</f>
        <v>0</v>
      </c>
      <c r="GP33" s="512">
        <f>SUMIF(Master_Data!$AK$4:$AK$145,CONCATENATE($C33,$GX$3),Master_Data!$Q$4:$Q$145)+SUMIF(Master_Data!$AK$152:$AK$864,CONCATENATE($C33,$GX$3),Master_Data!$Q$152:$Q$864)</f>
        <v>0</v>
      </c>
      <c r="GQ33" s="512">
        <f>SUMIF(Master_Data!$AK$4:$AK$145,CONCATENATE($C33,$GX$3),Master_Data!$U$4:$U$145)+SUMIF(Master_Data!$AK$152:$AK$864,CONCATENATE($C33,$GX$3),Master_Data!$U$152:$U$864)</f>
        <v>22680000</v>
      </c>
      <c r="GR33" s="310">
        <f>SUMIF(Master_Data!$AK$4:$AK$145,CONCATENATE($C33,$GX$3),Master_Data!$S$4:$S$145)+SUMIF(Master_Data!$AK$152:$AK$864,CONCATENATE($C33,$GX$3),Master_Data!$S$152:$S$864)</f>
        <v>0</v>
      </c>
      <c r="GS33" s="39">
        <f>SUMIF(Master_Data!$AK$152:$AK$864,CONCATENATE($C33,GX$3),Master_Data!$T$152:$T$864)</f>
        <v>-420000</v>
      </c>
      <c r="GT33" s="534">
        <f t="shared" si="44"/>
        <v>0</v>
      </c>
      <c r="GU33" s="310" t="e">
        <f t="shared" si="16"/>
        <v>#VALUE!</v>
      </c>
      <c r="GV33" s="23"/>
      <c r="GW33" s="358" t="str">
        <f t="shared" si="69"/>
        <v>MANDALA KARYA PRIMA, PTDES</v>
      </c>
      <c r="GX33" s="24"/>
    </row>
    <row r="34" spans="1:206" s="19" customFormat="1">
      <c r="A34" s="21" t="s">
        <v>106</v>
      </c>
      <c r="B34" s="236" t="str">
        <f t="shared" si="18"/>
        <v>MANDIRI HERINDO ADIPERKASA, PTJAN</v>
      </c>
      <c r="C34" s="8" t="s">
        <v>159</v>
      </c>
      <c r="D34" s="52"/>
      <c r="E34" s="109">
        <f>SUMIF(Master_Data!$D27:$D$145,CONCATENATE(C34),Master_Data!M27:M850)</f>
        <v>0</v>
      </c>
      <c r="F34" s="109">
        <f>SUMIF(Master_Data!$D32:$D$145,CONCATENATE(C34),Master_Data!N32:N220)</f>
        <v>16280000</v>
      </c>
      <c r="G34" s="31"/>
      <c r="H34" s="109">
        <f>SUMIF(Bill_Out!$Q$3:$Q$65,CONCATENATE($C34,$S$3),Bill_Out!$N$3:$N$65)</f>
        <v>0</v>
      </c>
      <c r="I34" s="88" t="e">
        <f>SUMIF(Bill_Out!$Q$3:$Q$65,CONCATENATE($C34,$S$3),Bill_Out!$O$3:$O$65)</f>
        <v>#VALUE!</v>
      </c>
      <c r="J34" s="50"/>
      <c r="K34" s="29"/>
      <c r="L34" s="44"/>
      <c r="M34" s="230">
        <f>SUMIF(Master_Data!$AK31:$AK$145,CONCATENATE(C34,$S$3),Master_Data!U31:U230)+SUMIF(Master_Data!$AK236:$AK$864,CONCATENATE(C34,$S$3),Master_Data!U236:U934)</f>
        <v>15984000</v>
      </c>
      <c r="N34" s="310">
        <f>SUMIF(Master_Data!$AK$4:$AK$145,CONCATENATE(C34,$S$3),Master_Data!$S$4:$S$145)+SUMIF(Master_Data!$AK$150:$AK$864,CONCATENATE(C34,$S$3),Master_Data!$S$150:$S$864)</f>
        <v>0</v>
      </c>
      <c r="O34" s="310">
        <f>SUMIF(Master_Data!$AK$4:$AK$145,CONCATENATE(C34,$S$3),Master_Data!$T$4:$T$145)+SUMIF(Master_Data!$AK$150:$AK$864,CONCATENATE(C34,$S$3),Master_Data!$T$150:$T$864)</f>
        <v>-296000</v>
      </c>
      <c r="P34" s="230">
        <f t="shared" si="19"/>
        <v>0</v>
      </c>
      <c r="Q34" s="230" t="e">
        <f t="shared" si="20"/>
        <v>#VALUE!</v>
      </c>
      <c r="R34" s="23"/>
      <c r="S34" s="24"/>
      <c r="T34" s="259"/>
      <c r="U34" s="109">
        <f t="shared" si="82"/>
        <v>0</v>
      </c>
      <c r="V34" s="109" t="e">
        <f t="shared" si="83"/>
        <v>#VALUE!</v>
      </c>
      <c r="W34" s="31"/>
      <c r="X34" s="109">
        <f>SUMIF(Bill_Out!$Q$67:$Q$132,CONCATENATE($C34,$AJ$3),Bill_Out!$N$67:$N$132)</f>
        <v>0</v>
      </c>
      <c r="Y34" s="109" t="e">
        <f>SUMIF(Bill_Out!$Q$67:$Q$132,CONCATENATE($C34,$AJ$3),Bill_Out!$O$67:$O$132)</f>
        <v>#VALUE!</v>
      </c>
      <c r="Z34" s="50"/>
      <c r="AA34" s="230">
        <f>SUMIF(Master_Data!$AK$4:$AK$145,CONCATENATE(C34,$AJ$3),Master_Data!$R$4:$R$145)+SUMIF(Master_Data!$AK$152:$AK$850,CONCATENATE(C34,$AJ$3),Master_Data!$R$152:$R$850)</f>
        <v>0</v>
      </c>
      <c r="AB34" s="230">
        <f>SUMIF(Master_Data!$AK$4:$AK$145,CONCATENATE(C34,$AJ$3),Master_Data!$Q$4:$Q$145)+SUMIF(Master_Data!$AK$152:$AK$850,CONCATENATE(C34,$AJ$3),Master_Data!$Q$152:$Q$850)</f>
        <v>0</v>
      </c>
      <c r="AC34" s="230">
        <f>SUMIF(Master_Data!$AK$4:$AK$145,CONCATENATE(C34,$AJ$3),Master_Data!$U$4:$U$145)+SUMIF(Master_Data!$AK$152:$AK$850,CONCATENATE(C34,$AJ$3),Master_Data!$U$152:$U$850)</f>
        <v>0</v>
      </c>
      <c r="AD34" s="310">
        <f ca="1">SUMIF(Master_Data!$AK$4:$AK$145,CONCATENATE(C34,$AJ$3),Master_Data!$S$4:$S$145)+SUMIF(Master_Data!$AK$152:$AK$864,CONCATENATE(C34,$AJ$3),Master_Data!$S$152:$S$850)</f>
        <v>0</v>
      </c>
      <c r="AE34" s="310">
        <f>SUMIF(Master_Data!$AK$4:$AK$145,CONCATENATE(C34,$AJ$3),Master_Data!$T$4:$T$145)+SUMIF(Master_Data!$AK$152:$AK$864,CONCATENATE(C34,$AJ$3),Master_Data!$T$152:$T$864)</f>
        <v>0</v>
      </c>
      <c r="AF34" s="230">
        <f t="shared" si="63"/>
        <v>0</v>
      </c>
      <c r="AG34" s="230" t="e">
        <f t="shared" ca="1" si="64"/>
        <v>#VALUE!</v>
      </c>
      <c r="AH34" s="23"/>
      <c r="AI34" s="235" t="str">
        <f t="shared" si="3"/>
        <v>MANDIRI HERINDO ADIPERKASA, PTFEB</v>
      </c>
      <c r="AJ34" s="24"/>
      <c r="AK34" s="259"/>
      <c r="AL34" s="109">
        <f t="shared" si="65"/>
        <v>0</v>
      </c>
      <c r="AM34" s="109" t="e">
        <f t="shared" ca="1" si="66"/>
        <v>#VALUE!</v>
      </c>
      <c r="AN34" s="31"/>
      <c r="AO34" s="109">
        <f>SUMIF(Bill_Out!$Q$134:$Q$188,CONCATENATE($C34,$BA$3),Bill_Out!$N$134:$N$188)</f>
        <v>0</v>
      </c>
      <c r="AP34" s="109" t="e">
        <f>SUMIF(Bill_Out!$Q$134:$Q$188,CONCATENATE($C34,$BA$3),Bill_Out!$O$134:$O$188)</f>
        <v>#VALUE!</v>
      </c>
      <c r="AQ34" s="50"/>
      <c r="AR34" s="230">
        <f>SUMIF(Master_Data!$AK$4:$AK$145,CONCATENATE(C34,$BA$3),Master_Data!$R$4:$R$145)+SUMIF(Master_Data!$AK$152:$AK$864,CONCATENATE(C34,$BA$3),Master_Data!$R$152:$R$864)</f>
        <v>0</v>
      </c>
      <c r="AS34" s="230">
        <f>SUMIF(Master_Data!$AK$4:$AK$145,CONCATENATE(C34,$BA$3),Master_Data!$Q$4:$Q$145)+SUMIF(Master_Data!$AK$152:$AK$864,CONCATENATE(C34,$BA$3),Master_Data!$Q$152:$Q$864)</f>
        <v>0</v>
      </c>
      <c r="AT34" s="230">
        <f>SUMIF(Master_Data!$AK$4:$AK$145,CONCATENATE(C34,$BA$3),Master_Data!$U$4:$U$145)+SUMIF(Master_Data!$AK$152:$AK$864,CONCATENATE(C34,$BA$3),Master_Data!$U$152:$U$864)</f>
        <v>31968000</v>
      </c>
      <c r="AU34" s="230">
        <f ca="1">SUMIF(Master_Data!$AK$4:$AK$145,CONCATENATE(C34,$BA$3),Master_Data!$S$4:$S$145)+SUMIF(Master_Data!$AK$152:$AK$864,CONCATENATE(C34,$BA$3),Master_Data!$S$152:$S$850)</f>
        <v>0</v>
      </c>
      <c r="AV34" s="39">
        <f>SUMIF(Master_Data!$AK$152:$AK$864,CONCATENATE($C34,BA$3),Master_Data!$T$152:$T$864)</f>
        <v>-592000</v>
      </c>
      <c r="AW34" s="230">
        <f t="shared" si="57"/>
        <v>0</v>
      </c>
      <c r="AX34" s="230" t="e">
        <f t="shared" ca="1" si="58"/>
        <v>#VALUE!</v>
      </c>
      <c r="AY34" s="23"/>
      <c r="AZ34" s="235" t="str">
        <f t="shared" si="21"/>
        <v>MANDIRI HERINDO ADIPERKASA, PTMAR</v>
      </c>
      <c r="BA34" s="24"/>
      <c r="BB34" s="259"/>
      <c r="BC34" s="109">
        <f t="shared" si="22"/>
        <v>0</v>
      </c>
      <c r="BD34" s="109" t="e">
        <f t="shared" ca="1" si="23"/>
        <v>#VALUE!</v>
      </c>
      <c r="BE34" s="31"/>
      <c r="BF34" s="109">
        <f>SUMIF(Bill_Out!$Q$192:$Q$258,CONCATENATE($C34,$BR$3),Bill_Out!$N$192:$N$258)</f>
        <v>0</v>
      </c>
      <c r="BG34" s="109" t="e">
        <f>SUMIF(Bill_Out!$Q$192:$Q$258,CONCATENATE($C34,$BR$3),Bill_Out!$O$192:$O$258)</f>
        <v>#VALUE!</v>
      </c>
      <c r="BH34" s="50"/>
      <c r="BI34" s="230">
        <f>SUMIF(Master_Data!$AK$4:$AK$145,CONCATENATE(C34,$BR$3),Master_Data!$R$4:$R$145)+SUMIF(Master_Data!$AK$152:$AK$864,CONCATENATE(C34,$BR$3),Master_Data!$R$152:$R$864)</f>
        <v>0</v>
      </c>
      <c r="BJ34" s="230">
        <f>SUMIF(Master_Data!$AK$4:$AK$145,CONCATENATE(C34,$BR$3),Master_Data!$Q$4:$Q$145)+SUMIF(Master_Data!$AK$152:$AK$864,CONCATENATE(C34,$BR$3),Master_Data!$Q$152:$Q$864)</f>
        <v>0</v>
      </c>
      <c r="BK34" s="230">
        <f>SUMIF(Master_Data!$AK$4:$AK$145,CONCATENATE(C34,$BR$3),Master_Data!$U$4:$U$145)+SUMIF(Master_Data!$AK$152:$AK$864,CONCATENATE(C34,$BR$3),Master_Data!$U$152:$U$864)</f>
        <v>15984000</v>
      </c>
      <c r="BL34" s="230">
        <f>SUMIF(Master_Data!$AK$4:$AK$145,CONCATENATE(C34,$BR$3),Master_Data!$S$4:$S$145)+SUMIF(Master_Data!$AK$152:$AK$864,CONCATENATE(C34,$BR$3),Master_Data!$S$152:$S$864)</f>
        <v>0</v>
      </c>
      <c r="BM34" s="39">
        <f>SUMIF(Master_Data!$AK$152:$AK$864,CONCATENATE($C34,BR$3),Master_Data!$T$152:$T$864)</f>
        <v>-296000</v>
      </c>
      <c r="BN34" s="230">
        <f t="shared" si="24"/>
        <v>0</v>
      </c>
      <c r="BO34" s="230" t="e">
        <f t="shared" ca="1" si="25"/>
        <v>#VALUE!</v>
      </c>
      <c r="BP34" s="23"/>
      <c r="BQ34" s="909" t="str">
        <f t="shared" si="26"/>
        <v>MANDIRI HERINDO ADIPERKASA, PTAPR</v>
      </c>
      <c r="BR34" s="24"/>
      <c r="BS34" s="259"/>
      <c r="BT34" s="109">
        <f t="shared" si="78"/>
        <v>0</v>
      </c>
      <c r="BU34" s="109" t="e">
        <f t="shared" ca="1" si="79"/>
        <v>#VALUE!</v>
      </c>
      <c r="BV34" s="31"/>
      <c r="BW34" s="109">
        <f>SUMIF(Bill_Out!$Q$263:$Q$314,CONCATENATE($C34,$CI$3),Bill_Out!$N$263:$N$314)</f>
        <v>0</v>
      </c>
      <c r="BX34" s="109" t="e">
        <f>SUMIF(Bill_Out!$Q$263:$Q$314,CONCATENATE($C34,$CI$3),Bill_Out!$O$263:$O$314)</f>
        <v>#VALUE!</v>
      </c>
      <c r="BY34" s="50"/>
      <c r="BZ34" s="310">
        <f>SUMIF(Master_Data!$AK$4:$AK$145,CONCATENATE(C34,$CI$3),Master_Data!$R$4:$R$145)+SUMIF(Master_Data!$AK$152:$AK$864,CONCATENATE(C34,$CI$3),Master_Data!$R$152:$R$864)</f>
        <v>0</v>
      </c>
      <c r="CA34" s="310">
        <f>SUMIF(Master_Data!$AK$4:$AK$145,CONCATENATE(C34,$CI$3),Master_Data!$Q$4:$Q$145)+SUMIF(Master_Data!$AK$152:$AK$864,CONCATENATE(C34,$CI$3),Master_Data!$Q$152:$Q$864)</f>
        <v>0</v>
      </c>
      <c r="CB34" s="310">
        <f>SUMIF(Master_Data!$AK$4:$AK$145,CONCATENATE(C34,$CI$3),Master_Data!$U$4:$U$145)+SUMIF(Master_Data!$AK$152:$AK$864,CONCATENATE(C34,$CI$3),Master_Data!$U$152:$U$864)</f>
        <v>15984000</v>
      </c>
      <c r="CC34" s="230">
        <f>SUMIF(Master_Data!$AK$4:$AK$145,CONCATENATE(C34,$CI$3),Master_Data!$S$4:$S$145)+SUMIF(Master_Data!$AK$152:$AK$864,CONCATENATE(C34,$CI$3),Master_Data!$S$152:$S$864)</f>
        <v>0</v>
      </c>
      <c r="CD34" s="39">
        <f>SUMIF(Master_Data!$AK$152:$AK$864,CONCATENATE($C34,CI$3),Master_Data!$T$152:$T$864)</f>
        <v>-296000</v>
      </c>
      <c r="CE34" s="310">
        <f t="shared" si="27"/>
        <v>0</v>
      </c>
      <c r="CF34" s="230" t="e">
        <f t="shared" ca="1" si="28"/>
        <v>#VALUE!</v>
      </c>
      <c r="CG34" s="23"/>
      <c r="CH34" s="235" t="str">
        <f t="shared" si="29"/>
        <v>MANDIRI HERINDO ADIPERKASA, PTMEI</v>
      </c>
      <c r="CI34" s="24"/>
      <c r="CJ34" s="259"/>
      <c r="CK34" s="109">
        <f t="shared" si="30"/>
        <v>0</v>
      </c>
      <c r="CL34" s="238" t="e">
        <f t="shared" ca="1" si="31"/>
        <v>#VALUE!</v>
      </c>
      <c r="CM34" s="31"/>
      <c r="CN34" s="238">
        <f>SUMIF(Bill_Out!$Q$318:$Q$371,CONCATENATE($C34,$CZ$3),Bill_Out!$N$318:$N$371)</f>
        <v>0</v>
      </c>
      <c r="CO34" s="238">
        <f>SUMIF(Bill_Out!$Q$318:$Q$371,CONCATENATE($C34,$CZ$3),Bill_Out!$O$318:$O$371)</f>
        <v>0</v>
      </c>
      <c r="CP34" s="50"/>
      <c r="CQ34" s="230">
        <f>SUMIF(Master_Data!$AK$4:$AK$145,CONCATENATE($C34,$CZ$3),Master_Data!$R$4:$R$145)+SUMIF(Master_Data!$AK$152:$AK$864,CONCATENATE($C34,$CZ$3),Master_Data!$R$152:$R$864)</f>
        <v>0</v>
      </c>
      <c r="CR34" s="230">
        <f>SUMIF(Master_Data!$AK$4:$AK$145,CONCATENATE($C34,$CZ$3),Master_Data!$Q$4:$Q$145)+SUMIF(Master_Data!$AK$152:$AK$864,CONCATENATE($C34,$CZ$3),Master_Data!$Q$152:$Q$864)</f>
        <v>0</v>
      </c>
      <c r="CS34" s="230">
        <f>SUMIF(Master_Data!$AK$4:$AK$145,CONCATENATE($C34,$CZ$3),Master_Data!$U$4:$U$145)+SUMIF(Master_Data!$AK$152:$AK$864,CONCATENATE($C34,$CZ$3),Master_Data!$U$152:$U$864)</f>
        <v>18460800</v>
      </c>
      <c r="CT34" s="230">
        <f ca="1">SUMIF(Master_Data!$AK$4:$AK$145,CONCATENATE(C34,$CZ$3),Master_Data!$S$4:$S$145)+SUMIF(Master_Data!$AK$152:$AK$915,CONCATENATE(C34,$CZ$3),Master_Data!$S$152:$S$864)</f>
        <v>0</v>
      </c>
      <c r="CU34" s="1010">
        <f>SUMIF(Master_Data!$AK$4:$AK$145,CONCATENATE(C34,$CZ$3),Master_Data!$T$4:$T$145)+SUMIF(Master_Data!$AK$152:$AK$864,CONCATENATE(C34,$CZ$3),Master_Data!$T$152:$T$864)</f>
        <v>-341866.6666</v>
      </c>
      <c r="CV34" s="230">
        <f t="shared" si="32"/>
        <v>0</v>
      </c>
      <c r="CW34" s="230" t="e">
        <f t="shared" ca="1" si="33"/>
        <v>#VALUE!</v>
      </c>
      <c r="CX34" s="23"/>
      <c r="CY34" s="1007" t="str">
        <f t="shared" si="6"/>
        <v>MANDIRI HERINDO ADIPERKASA, PTJUN</v>
      </c>
      <c r="CZ34" s="24"/>
      <c r="DA34" s="259"/>
      <c r="DB34" s="109">
        <f t="shared" si="34"/>
        <v>0</v>
      </c>
      <c r="DC34" s="109" t="e">
        <f t="shared" ca="1" si="35"/>
        <v>#VALUE!</v>
      </c>
      <c r="DD34" s="31"/>
      <c r="DE34" s="109">
        <f>SUMIF(Bill_Out!$Q$375:$Q$422,CONCATENATE($C34,$DQ$3),Bill_Out!$N$375:$N$422)</f>
        <v>0</v>
      </c>
      <c r="DF34" s="109" t="e">
        <f>SUMIF(Bill_Out!$Q$375:$Q$422,CONCATENATE($C34,$DQ$3),Bill_Out!$O$375:$O$422)</f>
        <v>#VALUE!</v>
      </c>
      <c r="DG34" s="50"/>
      <c r="DH34" s="310">
        <f>SUMIF(Master_Data!$AK$4:$AK$145,CONCATENATE($C34,$DQ$3),Master_Data!$R$4:$R$145)+SUMIF(Master_Data!$AK$152:$AK$864,CONCATENATE($C34,$DQ$3),Master_Data!$R$152:$R$864)</f>
        <v>0</v>
      </c>
      <c r="DI34" s="310">
        <f>SUMIF(Master_Data!$AK$4:$AK$145,CONCATENATE($C34,$DQ$3),Master_Data!$Q$4:$Q$145)+SUMIF(Master_Data!$AK$152:$AK$864,CONCATENATE($C34,$DQ$3),Master_Data!$Q$152:$Q$864)</f>
        <v>0</v>
      </c>
      <c r="DJ34" s="310">
        <f>SUMIF(Master_Data!$AK$4:$AK$145,CONCATENATE($C34,$DQ$3),Master_Data!$U$4:$U$145)+SUMIF(Master_Data!$AK$152:$AK$864,CONCATENATE($C34,$DQ$3),Master_Data!$U$152:$U$864)</f>
        <v>15984000</v>
      </c>
      <c r="DK34" s="310">
        <f>SUMIF(Master_Data!$AK$4:$AK$145,CONCATENATE($C34,$DQ$3),Master_Data!$S$4:$S$145)+SUMIF(Master_Data!$AK$152:$AK$864,CONCATENATE($C34,$DQ$3),Master_Data!$S$152:$S$864)</f>
        <v>0</v>
      </c>
      <c r="DL34" s="39">
        <f>SUMIF(Master_Data!$AK$152:$AK$915,CONCATENATE($C34,DQ$3),Master_Data!$T$152:$T$915)</f>
        <v>-296000</v>
      </c>
      <c r="DM34" s="230">
        <f t="shared" si="67"/>
        <v>0</v>
      </c>
      <c r="DN34" s="230" t="e">
        <f t="shared" ca="1" si="68"/>
        <v>#VALUE!</v>
      </c>
      <c r="DO34" s="23"/>
      <c r="DP34" s="358" t="str">
        <f t="shared" si="9"/>
        <v>MANDIRI HERINDO ADIPERKASA, PTJUL</v>
      </c>
      <c r="DQ34" s="24"/>
      <c r="DR34" s="390"/>
      <c r="DS34" s="109">
        <f t="shared" si="36"/>
        <v>0</v>
      </c>
      <c r="DT34" s="109" t="e">
        <f t="shared" ca="1" si="37"/>
        <v>#VALUE!</v>
      </c>
      <c r="DU34" s="31"/>
      <c r="DV34" s="109">
        <f>SUMIF(Bill_Out!$Q$426:$Q$472,CONCATENATE($C34,$EH$3),Bill_Out!$N$426:$N$472)</f>
        <v>0</v>
      </c>
      <c r="DW34" s="109" t="e">
        <f>SUMIF(Bill_Out!$Q$426:$Q$472,CONCATENATE($C34,$EH$3),Bill_Out!$O$426:$O$472)</f>
        <v>#VALUE!</v>
      </c>
      <c r="DX34" s="50"/>
      <c r="DY34" s="310">
        <f>SUMIF(Master_Data!$AK$4:$AK$145,CONCATENATE($C34,$EH$3),Master_Data!$R$4:$R$145)+SUMIF(Master_Data!$AK$152:$AK$864,CONCATENATE($C34,$EH$3),Master_Data!$R$152:$R$864)</f>
        <v>0</v>
      </c>
      <c r="DZ34" s="310">
        <f>SUMIF(Master_Data!$AK$4:$AK$145,CONCATENATE($C34,$EH$3),Master_Data!$Q$4:$Q$145)+SUMIF(Master_Data!$AK$152:$AK$864,CONCATENATE($C34,$EH$3),Master_Data!$Q$152:$Q$864)</f>
        <v>0</v>
      </c>
      <c r="EA34" s="310">
        <f>SUMIF(Master_Data!$AK$4:$AK$145,CONCATENATE($C34,$EH$3),Master_Data!$U$4:$U$145)+SUMIF(Master_Data!$AK$152:$AK$864,CONCATENATE($C34,$EH$3),Master_Data!$U$152:$U$864)</f>
        <v>0</v>
      </c>
      <c r="EB34" s="310">
        <f>SUMIF(Master_Data!$AK$4:$AK$145,CONCATENATE($C34,$EH$3),Master_Data!$S$4:$S$145)+SUMIF(Master_Data!$AK$152:$AK$864,CONCATENATE($C34,$EH$3),Master_Data!$S$152:$S$864)</f>
        <v>0</v>
      </c>
      <c r="EC34" s="39">
        <f>SUMIF(Master_Data!$AK$152:$AK$915,CONCATENATE($C34,EH$3),Master_Data!$T$152:$T$915)</f>
        <v>0</v>
      </c>
      <c r="ED34" s="310">
        <f t="shared" si="38"/>
        <v>0</v>
      </c>
      <c r="EE34" s="230" t="e">
        <f t="shared" ca="1" si="39"/>
        <v>#VALUE!</v>
      </c>
      <c r="EF34" s="23"/>
      <c r="EG34" s="358" t="str">
        <f t="shared" si="10"/>
        <v>MANDIRI HERINDO ADIPERKASA, PTAGS</v>
      </c>
      <c r="EH34" s="24"/>
      <c r="EI34" s="390"/>
      <c r="EJ34" s="109">
        <f t="shared" si="47"/>
        <v>0</v>
      </c>
      <c r="EK34" s="109" t="e">
        <f t="shared" ca="1" si="48"/>
        <v>#VALUE!</v>
      </c>
      <c r="EL34" s="84"/>
      <c r="EM34" s="109">
        <f>SUMIF(Bill_Out!$Q$476:$Q$530,CONCATENATE($C34,$EY$3),Bill_Out!$N$476:$N$530)</f>
        <v>0</v>
      </c>
      <c r="EN34" s="109" t="e">
        <f>SUMIF(Bill_Out!$Q$476:$Q$530,CONCATENATE($C34,$EY$3),Bill_Out!$O$476:$O$530)</f>
        <v>#VALUE!</v>
      </c>
      <c r="EO34" s="309"/>
      <c r="EP34" s="310">
        <f>SUMIF(Master_Data!$AK$4:$AK$145,CONCATENATE($C34,$EY$3),Master_Data!$R$4:$R$145)+SUMIF(Master_Data!$AK$152:$AK$864,CONCATENATE($C34,$EY$3),Master_Data!$R$152:$R$864)</f>
        <v>0</v>
      </c>
      <c r="EQ34" s="310">
        <f>SUMIF(Master_Data!$AK$4:$AK$145,CONCATENATE($C34,$EY$3),Master_Data!$Q$4:$Q$145)+SUMIF(Master_Data!$AK$152:$AK$864,CONCATENATE($C34,$EY$3),Master_Data!$Q$152:$Q$864)</f>
        <v>0</v>
      </c>
      <c r="ER34" s="310">
        <f>SUMIF(Master_Data!$AK$4:$AK$145,CONCATENATE($C34,$EY$3),Master_Data!$U$4:$U$145)+SUMIF(Master_Data!$AK$152:$AK$864,CONCATENATE($C34,$EY$3),Master_Data!$U$152:$U$864)</f>
        <v>0</v>
      </c>
      <c r="ES34" s="310">
        <f>SUMIF(Master_Data!$AK$4:$AK$145,CONCATENATE($C34,$EY$3),Master_Data!$S$4:$S$145)+SUMIF(Master_Data!$AK$152:$AK$864,CONCATENATE($C34,$EY$3),Master_Data!$S$152:$S$864)</f>
        <v>0</v>
      </c>
      <c r="ET34" s="39">
        <f>SUMIF(Master_Data!$AK$152:$AK$915,CONCATENATE($C34,EY$3),Master_Data!$T$152:$T$915)</f>
        <v>0</v>
      </c>
      <c r="EU34" s="310">
        <f t="shared" si="49"/>
        <v>0</v>
      </c>
      <c r="EV34" s="230"/>
      <c r="EW34" s="84"/>
      <c r="EX34" s="358" t="str">
        <f t="shared" si="11"/>
        <v>MANDIRI HERINDO ADIPERKASA, PTSEP</v>
      </c>
      <c r="EY34" s="24"/>
      <c r="EZ34" s="412"/>
      <c r="FA34" s="109">
        <f t="shared" si="50"/>
        <v>0</v>
      </c>
      <c r="FB34" s="109">
        <f t="shared" si="51"/>
        <v>0</v>
      </c>
      <c r="FC34" s="421"/>
      <c r="FD34" s="109">
        <f>SUMIF(Bill_Out!$Q$534:$Q$606,CONCATENATE($C34,$FP$3),Bill_Out!$N$534:$N$606)</f>
        <v>0</v>
      </c>
      <c r="FE34" s="109" t="e">
        <f>SUMIF(Bill_Out!$Q$534:$Q$606,CONCATENATE($C34,$FP$3),Bill_Out!$O$534:$O$606)</f>
        <v>#VALUE!</v>
      </c>
      <c r="FF34" s="309"/>
      <c r="FG34" s="310">
        <f>SUMIF(Master_Data!$AK$4:$AK$145,CONCATENATE($C34,$FP$3),Master_Data!$R$4:$R$145)+SUMIF(Master_Data!$AK$152:$AK$864,CONCATENATE($C34,$FP$3),Master_Data!$R$152:$R$864)</f>
        <v>0</v>
      </c>
      <c r="FH34" s="310">
        <f>SUMIF(Master_Data!$AK$4:$AK$145,CONCATENATE($C34,$FP$3),Master_Data!$Q$4:$Q$145)+SUMIF(Master_Data!$AK$152:$AK$864,CONCATENATE($C34,$FP$3),Master_Data!$Q$152:$Q$864)</f>
        <v>0</v>
      </c>
      <c r="FI34" s="310">
        <f>SUMIF(Master_Data!$AK$4:$AK$145,CONCATENATE($C34,$FP$3),Master_Data!$U$4:$U$145)+SUMIF(Master_Data!$AK$152:$AK$864,CONCATENATE($C34,$FP$3),Master_Data!$U$152:$U$864)</f>
        <v>14364000</v>
      </c>
      <c r="FJ34" s="310">
        <f>SUMIF(Master_Data!$AK$4:$AK$145,CONCATENATE($C34,$FP$3),Master_Data!$S$4:$S$145)+SUMIF(Master_Data!$AK$152:$AK$864,CONCATENATE($C34,$FP$3),Master_Data!$S$152:$S$864)</f>
        <v>0</v>
      </c>
      <c r="FK34" s="39">
        <f>SUMIF(Master_Data!$AK$152:$AK$915,CONCATENATE($C34,FP$3),Master_Data!$T$152:$T$915)</f>
        <v>-266000</v>
      </c>
      <c r="FL34" s="310">
        <f t="shared" si="52"/>
        <v>0</v>
      </c>
      <c r="FM34" s="230" t="e">
        <f t="shared" si="53"/>
        <v>#VALUE!</v>
      </c>
      <c r="FN34" s="23"/>
      <c r="FO34" s="358" t="str">
        <f t="shared" si="80"/>
        <v>MANDIRI HERINDO ADIPERKASA, PTOKT</v>
      </c>
      <c r="FP34" s="24"/>
      <c r="FQ34" s="412"/>
      <c r="FR34" s="109">
        <f t="shared" si="42"/>
        <v>0</v>
      </c>
      <c r="FS34" s="109" t="e">
        <f t="shared" si="74"/>
        <v>#VALUE!</v>
      </c>
      <c r="FT34" s="420"/>
      <c r="FU34" s="109">
        <f>SUMIF(Bill_Out!$Q$610:$Q$675,CONCATENATE($C34,$GG$3),Bill_Out!$N$610:$N$675)</f>
        <v>0</v>
      </c>
      <c r="FV34" s="109" t="e">
        <f>SUMIF(Bill_Out!$Q$610:$Q$675,CONCATENATE($C34,$GG$3),Bill_Out!$O$610:$O$675)</f>
        <v>#VALUE!</v>
      </c>
      <c r="FW34" s="50"/>
      <c r="FX34" s="512">
        <f>SUMIF(Master_Data!$AK$4:$AK$145,CONCATENATE($C34,$GG$3),Master_Data!$R$4:$R$145)+SUMIF(Master_Data!$AK$152:$AK$864,CONCATENATE($C34,$GG$3),Master_Data!$R$152:$R$864)</f>
        <v>0</v>
      </c>
      <c r="FY34" s="512">
        <f>SUMIF(Master_Data!$AK$4:$AK$145,CONCATENATE($C34,$GG$3),Master_Data!$Q$4:$Q$145)+SUMIF(Master_Data!$AK$152:$AK$864,CONCATENATE($C34,$GG$3),Master_Data!$Q$152:$Q$864)</f>
        <v>0</v>
      </c>
      <c r="FZ34" s="512">
        <f>SUMIF(Master_Data!$AK$4:$AK$145,CONCATENATE($C34,$GG$3),Master_Data!$U$4:$U$145)+SUMIF(Master_Data!$AK$152:$AK$864,CONCATENATE($C34,$GG$3),Master_Data!$U$152:$U$864)</f>
        <v>0</v>
      </c>
      <c r="GA34" s="310">
        <f>SUMIF(Master_Data!$AK$4:$AK$145,CONCATENATE($C34,$GG$3),Master_Data!$S$4:$S$145)+SUMIF(Master_Data!$AK$152:$AK$864,CONCATENATE($C34,$GG$3),Master_Data!$S$152:$S$864)</f>
        <v>0</v>
      </c>
      <c r="GB34" s="39">
        <f>SUMIF(Master_Data!$AK$152:$AK$915,CONCATENATE($C34,GG$3),Master_Data!$T$152:$T$915)</f>
        <v>0</v>
      </c>
      <c r="GC34" s="230">
        <f t="shared" si="77"/>
        <v>0</v>
      </c>
      <c r="GD34" s="230" t="e">
        <f t="shared" si="14"/>
        <v>#VALUE!</v>
      </c>
      <c r="GE34" s="23"/>
      <c r="GF34" s="358" t="str">
        <f t="shared" si="81"/>
        <v>MANDIRI HERINDO ADIPERKASA, PTNOV</v>
      </c>
      <c r="GG34" s="24"/>
      <c r="GH34" s="412" t="s">
        <v>627</v>
      </c>
      <c r="GI34" s="109">
        <f t="shared" si="70"/>
        <v>0</v>
      </c>
      <c r="GJ34" s="109" t="e">
        <f t="shared" si="71"/>
        <v>#VALUE!</v>
      </c>
      <c r="GK34" s="423"/>
      <c r="GL34" s="109">
        <f>SUMIF(Bill_Out!$Q$679:$Q$756,CONCATENATE($C34,$GX$3),Bill_Out!$N$679:$N$756)</f>
        <v>0</v>
      </c>
      <c r="GM34" s="109" t="e">
        <f>SUMIF(Bill_Out!$Q$679:$Q$756,CONCATENATE($C34,$GX$3),Bill_Out!$O$679:$O$756)</f>
        <v>#VALUE!</v>
      </c>
      <c r="GN34" s="50"/>
      <c r="GO34" s="512">
        <f>SUMIF(Master_Data!$AK$4:$AK$145,CONCATENATE($C34,$GX$3),Master_Data!$R$4:$R$145)+SUMIF(Master_Data!$AK$152:$AK$864,CONCATENATE($C34,$GX$3),Master_Data!$R$152:$R$864)</f>
        <v>0</v>
      </c>
      <c r="GP34" s="512">
        <f>SUMIF(Master_Data!$AK$4:$AK$145,CONCATENATE($C34,$GX$3),Master_Data!$Q$4:$Q$145)+SUMIF(Master_Data!$AK$152:$AK$864,CONCATENATE($C34,$GX$3),Master_Data!$Q$152:$Q$864)</f>
        <v>0</v>
      </c>
      <c r="GQ34" s="512">
        <f>SUMIF(Master_Data!$AK$4:$AK$145,CONCATENATE($C34,$GX$3),Master_Data!$U$4:$U$145)+SUMIF(Master_Data!$AK$152:$AK$864,CONCATENATE($C34,$GX$3),Master_Data!$U$152:$U$864)</f>
        <v>0</v>
      </c>
      <c r="GR34" s="310">
        <f>SUMIF(Master_Data!$AK$4:$AK$145,CONCATENATE($C34,$GX$3),Master_Data!$S$4:$S$145)+SUMIF(Master_Data!$AK$152:$AK$864,CONCATENATE($C34,$GX$3),Master_Data!$S$152:$S$864)</f>
        <v>0</v>
      </c>
      <c r="GS34" s="39">
        <f>SUMIF(Master_Data!$AK$152:$AK$864,CONCATENATE($C34,GX$3),Master_Data!$T$152:$T$864)</f>
        <v>0</v>
      </c>
      <c r="GT34" s="534">
        <f t="shared" si="44"/>
        <v>0</v>
      </c>
      <c r="GU34" s="310" t="e">
        <f t="shared" si="16"/>
        <v>#VALUE!</v>
      </c>
      <c r="GV34" s="23"/>
      <c r="GW34" s="358" t="str">
        <f t="shared" si="69"/>
        <v>MANDIRI HERINDO ADIPERKASA, PTDES</v>
      </c>
      <c r="GX34" s="24"/>
    </row>
    <row r="35" spans="1:206" s="19" customFormat="1">
      <c r="A35" s="328" t="s">
        <v>39</v>
      </c>
      <c r="B35" s="236" t="str">
        <f t="shared" si="18"/>
        <v>MANDIRI INTI PERKASA, PTJAN</v>
      </c>
      <c r="C35" s="8" t="s">
        <v>164</v>
      </c>
      <c r="D35" s="52"/>
      <c r="E35" s="109">
        <f>SUMIF(Master_Data!$D28:$D$145,CONCATENATE(C35),Master_Data!M28:M850)</f>
        <v>0</v>
      </c>
      <c r="F35" s="109">
        <f>SUMIF(Master_Data!$D33:$D$145,CONCATENATE(C35),Master_Data!N33:N221)</f>
        <v>0</v>
      </c>
      <c r="G35" s="31"/>
      <c r="H35" s="109">
        <f>SUMIF(Bill_Out!$Q$3:$Q$65,CONCATENATE($C35,$S$3),Bill_Out!$N$3:$N$65)</f>
        <v>0</v>
      </c>
      <c r="I35" s="88" t="e">
        <f>SUMIF(Bill_Out!$Q$3:$Q$65,CONCATENATE($C35,$S$3),Bill_Out!$O$3:$O$65)</f>
        <v>#VALUE!</v>
      </c>
      <c r="J35" s="50"/>
      <c r="K35" s="29"/>
      <c r="L35" s="44"/>
      <c r="M35" s="230">
        <f>SUMIF(Master_Data!$AK32:$AK$145,CONCATENATE(C35,$S$3),Master_Data!U32:U231)+SUMIF(Master_Data!$AK237:$AK$864,CONCATENATE(C35,$S$3),Master_Data!U237:U935)</f>
        <v>0</v>
      </c>
      <c r="N35" s="310">
        <f>SUMIF(Master_Data!$AK$4:$AK$145,CONCATENATE(C35,$S$3),Master_Data!$S$4:$S$145)+SUMIF(Master_Data!$AK$150:$AK$864,CONCATENATE(C35,$S$3),Master_Data!$S$150:$S$864)</f>
        <v>0</v>
      </c>
      <c r="O35" s="310">
        <f>SUMIF(Master_Data!$AK$4:$AK$145,CONCATENATE(C35,$S$3),Master_Data!$T$4:$T$145)+SUMIF(Master_Data!$AK$150:$AK$864,CONCATENATE(C35,$S$3),Master_Data!$T$150:$T$864)</f>
        <v>0</v>
      </c>
      <c r="P35" s="230">
        <f t="shared" si="19"/>
        <v>0</v>
      </c>
      <c r="Q35" s="230" t="e">
        <f t="shared" si="20"/>
        <v>#VALUE!</v>
      </c>
      <c r="R35" s="23"/>
      <c r="S35" s="24"/>
      <c r="T35" s="259"/>
      <c r="U35" s="109">
        <f t="shared" si="82"/>
        <v>0</v>
      </c>
      <c r="V35" s="109" t="e">
        <f t="shared" si="83"/>
        <v>#VALUE!</v>
      </c>
      <c r="W35" s="31"/>
      <c r="X35" s="109">
        <f>SUMIF(Bill_Out!$Q$67:$Q$132,CONCATENATE($C35,$AJ$3),Bill_Out!$N$67:$N$132)</f>
        <v>0</v>
      </c>
      <c r="Y35" s="109" t="e">
        <f>SUMIF(Bill_Out!$Q$67:$Q$132,CONCATENATE($C35,$AJ$3),Bill_Out!$O$67:$O$132)</f>
        <v>#VALUE!</v>
      </c>
      <c r="Z35" s="50"/>
      <c r="AA35" s="230">
        <f>SUMIF(Master_Data!$AK$4:$AK$145,CONCATENATE(C35,$AJ$3),Master_Data!$R$4:$R$145)+SUMIF(Master_Data!$AK$152:$AK$850,CONCATENATE(C35,$AJ$3),Master_Data!$R$152:$R$850)</f>
        <v>0</v>
      </c>
      <c r="AB35" s="230">
        <f>SUMIF(Master_Data!$AK$4:$AK$145,CONCATENATE(C35,$AJ$3),Master_Data!$Q$4:$Q$145)+SUMIF(Master_Data!$AK$152:$AK$850,CONCATENATE(C35,$AJ$3),Master_Data!$Q$152:$Q$850)</f>
        <v>0</v>
      </c>
      <c r="AC35" s="230">
        <f>SUMIF(Master_Data!$AK$4:$AK$145,CONCATENATE(C35,$AJ$3),Master_Data!$U$4:$U$145)+SUMIF(Master_Data!$AK$152:$AK$850,CONCATENATE(C35,$AJ$3),Master_Data!$U$152:$U$850)</f>
        <v>28080000</v>
      </c>
      <c r="AD35" s="310">
        <f ca="1">SUMIF(Master_Data!$AK$4:$AK$145,CONCATENATE(C35,$AJ$3),Master_Data!$S$4:$S$145)+SUMIF(Master_Data!$AK$152:$AK$864,CONCATENATE(C35,$AJ$3),Master_Data!$S$152:$S$850)</f>
        <v>0</v>
      </c>
      <c r="AE35" s="310">
        <f>SUMIF(Master_Data!$AK$4:$AK$145,CONCATENATE(C35,$AJ$3),Master_Data!$T$4:$T$145)+SUMIF(Master_Data!$AK$152:$AK$864,CONCATENATE(C35,$AJ$3),Master_Data!$T$152:$T$864)</f>
        <v>-520000</v>
      </c>
      <c r="AF35" s="230">
        <f t="shared" si="63"/>
        <v>0</v>
      </c>
      <c r="AG35" s="230" t="e">
        <f t="shared" ca="1" si="64"/>
        <v>#VALUE!</v>
      </c>
      <c r="AH35" s="23"/>
      <c r="AI35" s="235" t="str">
        <f t="shared" si="3"/>
        <v>MANDIRI INTI PERKASA, PTFEB</v>
      </c>
      <c r="AJ35" s="24"/>
      <c r="AK35" s="259"/>
      <c r="AL35" s="109">
        <f t="shared" si="65"/>
        <v>0</v>
      </c>
      <c r="AM35" s="109" t="e">
        <f t="shared" ca="1" si="66"/>
        <v>#VALUE!</v>
      </c>
      <c r="AN35" s="31"/>
      <c r="AO35" s="109">
        <f>SUMIF(Bill_Out!$Q$134:$Q$188,CONCATENATE($C35,$BA$3),Bill_Out!$N$134:$N$188)</f>
        <v>0</v>
      </c>
      <c r="AP35" s="109" t="e">
        <f>SUMIF(Bill_Out!$Q$134:$Q$188,CONCATENATE($C35,$BA$3),Bill_Out!$O$134:$O$188)</f>
        <v>#VALUE!</v>
      </c>
      <c r="AQ35" s="50"/>
      <c r="AR35" s="230">
        <f>SUMIF(Master_Data!$AK$4:$AK$145,CONCATENATE(C35,$BA$3),Master_Data!$R$4:$R$145)+SUMIF(Master_Data!$AK$152:$AK$864,CONCATENATE(C35,$BA$3),Master_Data!$R$152:$R$864)</f>
        <v>0</v>
      </c>
      <c r="AS35" s="230">
        <f>SUMIF(Master_Data!$AK$4:$AK$145,CONCATENATE(C35,$BA$3),Master_Data!$Q$4:$Q$145)+SUMIF(Master_Data!$AK$152:$AK$864,CONCATENATE(C35,$BA$3),Master_Data!$Q$152:$Q$864)</f>
        <v>0</v>
      </c>
      <c r="AT35" s="230">
        <f>SUMIF(Master_Data!$AK$4:$AK$145,CONCATENATE(C35,$BA$3),Master_Data!$U$4:$U$145)+SUMIF(Master_Data!$AK$152:$AK$864,CONCATENATE(C35,$BA$3),Master_Data!$U$152:$U$864)</f>
        <v>56160000</v>
      </c>
      <c r="AU35" s="230">
        <f ca="1">SUMIF(Master_Data!$AK$4:$AK$145,CONCATENATE(C35,$BA$3),Master_Data!$S$4:$S$145)+SUMIF(Master_Data!$AK$152:$AK$864,CONCATENATE(C35,$BA$3),Master_Data!$S$152:$S$850)</f>
        <v>0</v>
      </c>
      <c r="AV35" s="39">
        <f>SUMIF(Master_Data!$AK$152:$AK$864,CONCATENATE($C35,BA$3),Master_Data!$T$152:$T$864)</f>
        <v>-1040000</v>
      </c>
      <c r="AW35" s="230">
        <f t="shared" si="57"/>
        <v>0</v>
      </c>
      <c r="AX35" s="230" t="e">
        <f t="shared" ca="1" si="58"/>
        <v>#VALUE!</v>
      </c>
      <c r="AY35" s="23"/>
      <c r="AZ35" s="235" t="str">
        <f t="shared" si="21"/>
        <v>MANDIRI INTI PERKASA, PTMAR</v>
      </c>
      <c r="BA35" s="24"/>
      <c r="BB35" s="259"/>
      <c r="BC35" s="109">
        <f t="shared" si="22"/>
        <v>0</v>
      </c>
      <c r="BD35" s="109" t="e">
        <f t="shared" ca="1" si="23"/>
        <v>#VALUE!</v>
      </c>
      <c r="BE35" s="31"/>
      <c r="BF35" s="109">
        <f>SUMIF(Bill_Out!$Q$192:$Q$258,CONCATENATE($C35,$BR$3),Bill_Out!$N$192:$N$258)</f>
        <v>0</v>
      </c>
      <c r="BG35" s="109" t="e">
        <f>SUMIF(Bill_Out!$Q$192:$Q$258,CONCATENATE($C35,$BR$3),Bill_Out!$O$192:$O$258)</f>
        <v>#VALUE!</v>
      </c>
      <c r="BH35" s="50"/>
      <c r="BI35" s="230">
        <f>SUMIF(Master_Data!$AK$4:$AK$145,CONCATENATE(C35,$BR$3),Master_Data!$R$4:$R$145)+SUMIF(Master_Data!$AK$152:$AK$864,CONCATENATE(C35,$BR$3),Master_Data!$R$152:$R$864)</f>
        <v>0</v>
      </c>
      <c r="BJ35" s="230">
        <f>SUMIF(Master_Data!$AK$4:$AK$145,CONCATENATE(C35,$BR$3),Master_Data!$Q$4:$Q$145)+SUMIF(Master_Data!$AK$152:$AK$864,CONCATENATE(C35,$BR$3),Master_Data!$Q$152:$Q$864)</f>
        <v>0</v>
      </c>
      <c r="BK35" s="230">
        <f>SUMIF(Master_Data!$AK$4:$AK$145,CONCATENATE(C35,$BR$3),Master_Data!$U$4:$U$145)+SUMIF(Master_Data!$AK$152:$AK$864,CONCATENATE(C35,$BR$3),Master_Data!$U$152:$U$864)</f>
        <v>0</v>
      </c>
      <c r="BL35" s="230">
        <f>SUMIF(Master_Data!$AK$4:$AK$145,CONCATENATE(C35,$BR$3),Master_Data!$S$4:$S$145)+SUMIF(Master_Data!$AK$152:$AK$864,CONCATENATE(C35,$BR$3),Master_Data!$S$152:$S$864)</f>
        <v>0</v>
      </c>
      <c r="BM35" s="39">
        <f>SUMIF(Master_Data!$AK$152:$AK$864,CONCATENATE($C35,BR$3),Master_Data!$T$152:$T$864)</f>
        <v>0</v>
      </c>
      <c r="BN35" s="230">
        <f t="shared" si="24"/>
        <v>0</v>
      </c>
      <c r="BO35" s="230" t="e">
        <f t="shared" ca="1" si="25"/>
        <v>#VALUE!</v>
      </c>
      <c r="BP35" s="23"/>
      <c r="BQ35" s="909" t="str">
        <f t="shared" si="26"/>
        <v>MANDIRI INTI PERKASA, PTAPR</v>
      </c>
      <c r="BR35" s="24"/>
      <c r="BS35" s="259"/>
      <c r="BT35" s="109">
        <f t="shared" si="78"/>
        <v>0</v>
      </c>
      <c r="BU35" s="109" t="e">
        <f t="shared" ca="1" si="79"/>
        <v>#VALUE!</v>
      </c>
      <c r="BV35" s="31"/>
      <c r="BW35" s="109">
        <f>SUMIF(Bill_Out!$Q$263:$Q$314,CONCATENATE($C35,$CI$3),Bill_Out!$N$263:$N$314)</f>
        <v>0</v>
      </c>
      <c r="BX35" s="109" t="e">
        <f>SUMIF(Bill_Out!$Q$263:$Q$314,CONCATENATE($C35,$CI$3),Bill_Out!$O$263:$O$314)</f>
        <v>#VALUE!</v>
      </c>
      <c r="BY35" s="50"/>
      <c r="BZ35" s="310">
        <f>SUMIF(Master_Data!$AK$4:$AK$145,CONCATENATE(C35,$CI$3),Master_Data!$R$4:$R$145)+SUMIF(Master_Data!$AK$152:$AK$864,CONCATENATE(C35,$CI$3),Master_Data!$R$152:$R$864)</f>
        <v>0</v>
      </c>
      <c r="CA35" s="310">
        <f>SUMIF(Master_Data!$AK$4:$AK$145,CONCATENATE(C35,$CI$3),Master_Data!$Q$4:$Q$145)+SUMIF(Master_Data!$AK$152:$AK$864,CONCATENATE(C35,$CI$3),Master_Data!$Q$152:$Q$864)</f>
        <v>0</v>
      </c>
      <c r="CB35" s="310">
        <f>SUMIF(Master_Data!$AK$4:$AK$145,CONCATENATE(C35,$CI$3),Master_Data!$U$4:$U$145)+SUMIF(Master_Data!$AK$152:$AK$864,CONCATENATE(C35,$CI$3),Master_Data!$U$152:$U$864)</f>
        <v>28080000</v>
      </c>
      <c r="CC35" s="230">
        <f>SUMIF(Master_Data!$AK$4:$AK$145,CONCATENATE(C35,$CI$3),Master_Data!$S$4:$S$145)+SUMIF(Master_Data!$AK$152:$AK$864,CONCATENATE(C35,$CI$3),Master_Data!$S$152:$S$864)</f>
        <v>0</v>
      </c>
      <c r="CD35" s="39">
        <f>SUMIF(Master_Data!$AK$152:$AK$864,CONCATENATE($C35,CI$3),Master_Data!$T$152:$T$864)</f>
        <v>-520000</v>
      </c>
      <c r="CE35" s="310">
        <f t="shared" si="27"/>
        <v>0</v>
      </c>
      <c r="CF35" s="230" t="e">
        <f t="shared" ca="1" si="28"/>
        <v>#VALUE!</v>
      </c>
      <c r="CG35" s="23"/>
      <c r="CH35" s="235" t="str">
        <f t="shared" si="29"/>
        <v>MANDIRI INTI PERKASA, PTMEI</v>
      </c>
      <c r="CI35" s="24"/>
      <c r="CJ35" s="259"/>
      <c r="CK35" s="109">
        <f t="shared" si="30"/>
        <v>0</v>
      </c>
      <c r="CL35" s="238" t="e">
        <f t="shared" ca="1" si="31"/>
        <v>#VALUE!</v>
      </c>
      <c r="CM35" s="31"/>
      <c r="CN35" s="238">
        <f>SUMIF(Bill_Out!$Q$318:$Q$371,CONCATENATE($C35,$CZ$3),Bill_Out!$N$318:$N$371)</f>
        <v>0</v>
      </c>
      <c r="CO35" s="238" t="e">
        <f>SUMIF(Bill_Out!$Q$318:$Q$371,CONCATENATE($C35,$CZ$3),Bill_Out!$O$318:$O$371)</f>
        <v>#VALUE!</v>
      </c>
      <c r="CP35" s="50"/>
      <c r="CQ35" s="230">
        <f>SUMIF(Master_Data!$AK$4:$AK$145,CONCATENATE($C35,$CZ$3),Master_Data!$R$4:$R$145)+SUMIF(Master_Data!$AK$152:$AK$864,CONCATENATE($C35,$CZ$3),Master_Data!$R$152:$R$864)</f>
        <v>0</v>
      </c>
      <c r="CR35" s="230">
        <f>SUMIF(Master_Data!$AK$4:$AK$145,CONCATENATE($C35,$CZ$3),Master_Data!$Q$4:$Q$145)+SUMIF(Master_Data!$AK$152:$AK$864,CONCATENATE($C35,$CZ$3),Master_Data!$Q$152:$Q$864)</f>
        <v>0</v>
      </c>
      <c r="CS35" s="230">
        <f>SUMIF(Master_Data!$AK$4:$AK$145,CONCATENATE($C35,$CZ$3),Master_Data!$U$4:$U$145)+SUMIF(Master_Data!$AK$152:$AK$864,CONCATENATE($C35,$CZ$3),Master_Data!$U$152:$U$864)</f>
        <v>40536000</v>
      </c>
      <c r="CT35" s="230">
        <f ca="1">SUMIF(Master_Data!$AK$4:$AK$145,CONCATENATE(C35,$CZ$3),Master_Data!$S$4:$S$145)+SUMIF(Master_Data!$AK$152:$AK$915,CONCATENATE(C35,$CZ$3),Master_Data!$S$152:$S$864)</f>
        <v>0</v>
      </c>
      <c r="CU35" s="1010">
        <f>SUMIF(Master_Data!$AK$4:$AK$145,CONCATENATE(C35,$CZ$3),Master_Data!$T$4:$T$145)+SUMIF(Master_Data!$AK$152:$AK$864,CONCATENATE(C35,$CZ$3),Master_Data!$T$152:$T$864)</f>
        <v>-750666.6666</v>
      </c>
      <c r="CV35" s="230">
        <f t="shared" si="32"/>
        <v>0</v>
      </c>
      <c r="CW35" s="230" t="e">
        <f t="shared" ca="1" si="33"/>
        <v>#VALUE!</v>
      </c>
      <c r="CX35" s="23"/>
      <c r="CY35" s="1007" t="str">
        <f t="shared" si="6"/>
        <v>MANDIRI INTI PERKASA, PTJUN</v>
      </c>
      <c r="CZ35" s="24"/>
      <c r="DA35" s="259"/>
      <c r="DB35" s="109">
        <f t="shared" si="34"/>
        <v>0</v>
      </c>
      <c r="DC35" s="109" t="e">
        <f t="shared" ca="1" si="35"/>
        <v>#VALUE!</v>
      </c>
      <c r="DD35" s="31"/>
      <c r="DE35" s="109">
        <f>SUMIF(Bill_Out!$Q$375:$Q$422,CONCATENATE($C35,$DQ$3),Bill_Out!$N$375:$N$422)</f>
        <v>0</v>
      </c>
      <c r="DF35" s="109" t="e">
        <f>SUMIF(Bill_Out!$Q$375:$Q$422,CONCATENATE($C35,$DQ$3),Bill_Out!$O$375:$O$422)</f>
        <v>#VALUE!</v>
      </c>
      <c r="DG35" s="50"/>
      <c r="DH35" s="310">
        <f>SUMIF(Master_Data!$AK$4:$AK$145,CONCATENATE($C35,$DQ$3),Master_Data!$R$4:$R$145)+SUMIF(Master_Data!$AK$152:$AK$864,CONCATENATE($C35,$DQ$3),Master_Data!$R$152:$R$864)</f>
        <v>0</v>
      </c>
      <c r="DI35" s="310">
        <f>SUMIF(Master_Data!$AK$4:$AK$145,CONCATENATE($C35,$DQ$3),Master_Data!$Q$4:$Q$145)+SUMIF(Master_Data!$AK$152:$AK$864,CONCATENATE($C35,$DQ$3),Master_Data!$Q$152:$Q$864)</f>
        <v>0</v>
      </c>
      <c r="DJ35" s="310">
        <f>SUMIF(Master_Data!$AK$4:$AK$145,CONCATENATE($C35,$DQ$3),Master_Data!$U$4:$U$145)+SUMIF(Master_Data!$AK$152:$AK$864,CONCATENATE($C35,$DQ$3),Master_Data!$U$152:$U$864)</f>
        <v>28080000</v>
      </c>
      <c r="DK35" s="310">
        <f>SUMIF(Master_Data!$AK$4:$AK$145,CONCATENATE($C35,$DQ$3),Master_Data!$S$4:$S$145)+SUMIF(Master_Data!$AK$152:$AK$864,CONCATENATE($C35,$DQ$3),Master_Data!$S$152:$S$864)</f>
        <v>0</v>
      </c>
      <c r="DL35" s="39">
        <f>SUMIF(Master_Data!$AK$152:$AK$915,CONCATENATE($C35,DQ$3),Master_Data!$T$152:$T$915)</f>
        <v>-520000</v>
      </c>
      <c r="DM35" s="230">
        <f t="shared" si="67"/>
        <v>0</v>
      </c>
      <c r="DN35" s="230" t="e">
        <f t="shared" ca="1" si="68"/>
        <v>#VALUE!</v>
      </c>
      <c r="DO35" s="23"/>
      <c r="DP35" s="358" t="str">
        <f t="shared" si="9"/>
        <v>MANDIRI INTI PERKASA, PTJUL</v>
      </c>
      <c r="DQ35" s="24"/>
      <c r="DR35" s="390"/>
      <c r="DS35" s="109">
        <f t="shared" si="36"/>
        <v>0</v>
      </c>
      <c r="DT35" s="109" t="e">
        <f t="shared" ca="1" si="37"/>
        <v>#VALUE!</v>
      </c>
      <c r="DU35" s="31"/>
      <c r="DV35" s="109">
        <f>SUMIF(Bill_Out!$Q$426:$Q$472,CONCATENATE($C35,$EH$3),Bill_Out!$N$426:$N$472)</f>
        <v>0</v>
      </c>
      <c r="DW35" s="109" t="e">
        <f>SUMIF(Bill_Out!$Q$426:$Q$472,CONCATENATE($C35,$EH$3),Bill_Out!$O$426:$O$472)</f>
        <v>#VALUE!</v>
      </c>
      <c r="DX35" s="50"/>
      <c r="DY35" s="310">
        <f>SUMIF(Master_Data!$AK$4:$AK$145,CONCATENATE($C35,$EH$3),Master_Data!$R$4:$R$145)+SUMIF(Master_Data!$AK$152:$AK$864,CONCATENATE($C35,$EH$3),Master_Data!$R$152:$R$864)</f>
        <v>0</v>
      </c>
      <c r="DZ35" s="310">
        <f>SUMIF(Master_Data!$AK$4:$AK$145,CONCATENATE($C35,$EH$3),Master_Data!$Q$4:$Q$145)+SUMIF(Master_Data!$AK$152:$AK$864,CONCATENATE($C35,$EH$3),Master_Data!$Q$152:$Q$864)</f>
        <v>0</v>
      </c>
      <c r="EA35" s="310">
        <f>SUMIF(Master_Data!$AK$4:$AK$145,CONCATENATE($C35,$EH$3),Master_Data!$U$4:$U$145)+SUMIF(Master_Data!$AK$152:$AK$864,CONCATENATE($C35,$EH$3),Master_Data!$U$152:$U$864)</f>
        <v>28080000</v>
      </c>
      <c r="EB35" s="310">
        <f>SUMIF(Master_Data!$AK$4:$AK$145,CONCATENATE($C35,$EH$3),Master_Data!$S$4:$S$145)+SUMIF(Master_Data!$AK$152:$AK$864,CONCATENATE($C35,$EH$3),Master_Data!$S$152:$S$864)</f>
        <v>0</v>
      </c>
      <c r="EC35" s="39">
        <f>SUMIF(Master_Data!$AK$152:$AK$915,CONCATENATE($C35,EH$3),Master_Data!$T$152:$T$915)</f>
        <v>-520000</v>
      </c>
      <c r="ED35" s="310">
        <f t="shared" si="38"/>
        <v>0</v>
      </c>
      <c r="EE35" s="230" t="e">
        <f t="shared" ca="1" si="39"/>
        <v>#VALUE!</v>
      </c>
      <c r="EF35" s="23"/>
      <c r="EG35" s="358" t="str">
        <f t="shared" si="10"/>
        <v>MANDIRI INTI PERKASA, PTAGS</v>
      </c>
      <c r="EH35" s="24"/>
      <c r="EI35" s="390"/>
      <c r="EJ35" s="109">
        <f t="shared" si="47"/>
        <v>0</v>
      </c>
      <c r="EK35" s="109" t="e">
        <f t="shared" ca="1" si="48"/>
        <v>#VALUE!</v>
      </c>
      <c r="EL35" s="84"/>
      <c r="EM35" s="109">
        <f>SUMIF(Bill_Out!$Q$476:$Q$530,CONCATENATE($C35,$EY$3),Bill_Out!$N$476:$N$530)</f>
        <v>0</v>
      </c>
      <c r="EN35" s="109" t="e">
        <f>SUMIF(Bill_Out!$Q$476:$Q$530,CONCATENATE($C35,$EY$3),Bill_Out!$O$476:$O$530)</f>
        <v>#VALUE!</v>
      </c>
      <c r="EO35" s="309"/>
      <c r="EP35" s="310">
        <f>SUMIF(Master_Data!$AK$4:$AK$145,CONCATENATE($C35,$EY$3),Master_Data!$R$4:$R$145)+SUMIF(Master_Data!$AK$152:$AK$864,CONCATENATE($C35,$EY$3),Master_Data!$R$152:$R$864)</f>
        <v>0</v>
      </c>
      <c r="EQ35" s="310">
        <f>SUMIF(Master_Data!$AK$4:$AK$145,CONCATENATE($C35,$EY$3),Master_Data!$Q$4:$Q$145)+SUMIF(Master_Data!$AK$152:$AK$864,CONCATENATE($C35,$EY$3),Master_Data!$Q$152:$Q$864)</f>
        <v>0</v>
      </c>
      <c r="ER35" s="310">
        <f>SUMIF(Master_Data!$AK$4:$AK$145,CONCATENATE($C35,$EY$3),Master_Data!$U$4:$U$145)+SUMIF(Master_Data!$AK$152:$AK$864,CONCATENATE($C35,$EY$3),Master_Data!$U$152:$U$864)</f>
        <v>0</v>
      </c>
      <c r="ES35" s="310">
        <f>SUMIF(Master_Data!$AK$4:$AK$145,CONCATENATE($C35,$EY$3),Master_Data!$S$4:$S$145)+SUMIF(Master_Data!$AK$152:$AK$864,CONCATENATE($C35,$EY$3),Master_Data!$S$152:$S$864)</f>
        <v>0</v>
      </c>
      <c r="ET35" s="39">
        <f>SUMIF(Master_Data!$AK$152:$AK$915,CONCATENATE($C35,EY$3),Master_Data!$T$152:$T$915)</f>
        <v>0</v>
      </c>
      <c r="EU35" s="310">
        <f t="shared" si="49"/>
        <v>0</v>
      </c>
      <c r="EV35" s="230"/>
      <c r="EW35" s="84"/>
      <c r="EX35" s="358" t="str">
        <f t="shared" si="11"/>
        <v>MANDIRI INTI PERKASA, PTSEP</v>
      </c>
      <c r="EY35" s="24"/>
      <c r="EZ35" s="412"/>
      <c r="FA35" s="109">
        <f t="shared" si="41"/>
        <v>0</v>
      </c>
      <c r="FB35" s="109">
        <f t="shared" ref="FB35:FB43" si="84">EV35</f>
        <v>0</v>
      </c>
      <c r="FC35" s="420"/>
      <c r="FD35" s="109">
        <f>SUMIF(Bill_Out!$Q$534:$Q$606,CONCATENATE($C35,$FP$3),Bill_Out!$N$534:$N$606)</f>
        <v>0</v>
      </c>
      <c r="FE35" s="109" t="e">
        <f>SUMIF(Bill_Out!$Q$534:$Q$606,CONCATENATE($C35,$FP$3),Bill_Out!$O$534:$O$606)</f>
        <v>#VALUE!</v>
      </c>
      <c r="FF35" s="50"/>
      <c r="FG35" s="310">
        <f>SUMIF(Master_Data!$AK$4:$AK$145,CONCATENATE($C35,$FP$3),Master_Data!$R$4:$R$145)+SUMIF(Master_Data!$AK$152:$AK$864,CONCATENATE($C35,$FP$3),Master_Data!$R$152:$R$864)</f>
        <v>0</v>
      </c>
      <c r="FH35" s="310">
        <f>SUMIF(Master_Data!$AK$4:$AK$145,CONCATENATE($C35,$FP$3),Master_Data!$Q$4:$Q$145)+SUMIF(Master_Data!$AK$152:$AK$864,CONCATENATE($C35,$FP$3),Master_Data!$Q$152:$Q$864)</f>
        <v>0</v>
      </c>
      <c r="FI35" s="310">
        <f>SUMIF(Master_Data!$AK$4:$AK$145,CONCATENATE($C35,$FP$3),Master_Data!$U$4:$U$145)+SUMIF(Master_Data!$AK$152:$AK$864,CONCATENATE($C35,$FP$3),Master_Data!$U$152:$U$864)</f>
        <v>29700000</v>
      </c>
      <c r="FJ35" s="310">
        <f>SUMIF(Master_Data!$AK$4:$AK$145,CONCATENATE($C35,$FP$3),Master_Data!$S$4:$S$145)+SUMIF(Master_Data!$AK$152:$AK$864,CONCATENATE($C35,$FP$3),Master_Data!$S$152:$S$864)</f>
        <v>0</v>
      </c>
      <c r="FK35" s="39">
        <f>SUMIF(Master_Data!$AK$152:$AK$915,CONCATENATE($C35,FP$3),Master_Data!$T$152:$T$915)</f>
        <v>-550000</v>
      </c>
      <c r="FL35" s="230">
        <f t="shared" ref="FL35:FL43" si="85">FA35+FD35-FG35+FH35</f>
        <v>0</v>
      </c>
      <c r="FM35" s="230" t="e">
        <f t="shared" si="12"/>
        <v>#VALUE!</v>
      </c>
      <c r="FN35" s="23"/>
      <c r="FO35" s="358" t="str">
        <f t="shared" si="80"/>
        <v>MANDIRI INTI PERKASA, PTOKT</v>
      </c>
      <c r="FP35" s="24"/>
      <c r="FQ35" s="412"/>
      <c r="FR35" s="109">
        <f t="shared" si="42"/>
        <v>0</v>
      </c>
      <c r="FS35" s="109" t="e">
        <f t="shared" si="74"/>
        <v>#VALUE!</v>
      </c>
      <c r="FT35" s="420"/>
      <c r="FU35" s="109">
        <f>SUMIF(Bill_Out!$Q$610:$Q$675,CONCATENATE($C35,$GG$3),Bill_Out!$N$610:$N$675)</f>
        <v>0</v>
      </c>
      <c r="FV35" s="109" t="e">
        <f>SUMIF(Bill_Out!$Q$610:$Q$675,CONCATENATE($C35,$GG$3),Bill_Out!$O$610:$O$675)</f>
        <v>#VALUE!</v>
      </c>
      <c r="FW35" s="50"/>
      <c r="FX35" s="512">
        <f>SUMIF(Master_Data!$AK$4:$AK$145,CONCATENATE($C35,$GG$3),Master_Data!$R$4:$R$145)+SUMIF(Master_Data!$AK$152:$AK$864,CONCATENATE($C35,$GG$3),Master_Data!$R$152:$R$864)</f>
        <v>0</v>
      </c>
      <c r="FY35" s="512">
        <f>SUMIF(Master_Data!$AK$4:$AK$145,CONCATENATE($C35,$GG$3),Master_Data!$Q$4:$Q$145)+SUMIF(Master_Data!$AK$152:$AK$864,CONCATENATE($C35,$GG$3),Master_Data!$Q$152:$Q$864)</f>
        <v>0</v>
      </c>
      <c r="FZ35" s="512">
        <f>SUMIF(Master_Data!$AK$4:$AK$145,CONCATENATE($C35,$GG$3),Master_Data!$U$4:$U$145)+SUMIF(Master_Data!$AK$152:$AK$864,CONCATENATE($C35,$GG$3),Master_Data!$U$152:$U$864)</f>
        <v>0</v>
      </c>
      <c r="GA35" s="310">
        <f>SUMIF(Master_Data!$AK$4:$AK$145,CONCATENATE($C35,$GG$3),Master_Data!$S$4:$S$145)+SUMIF(Master_Data!$AK$152:$AK$864,CONCATENATE($C35,$GG$3),Master_Data!$S$152:$S$864)</f>
        <v>0</v>
      </c>
      <c r="GB35" s="39">
        <f>SUMIF(Master_Data!$AK$152:$AK$915,CONCATENATE($C35,GG$3),Master_Data!$T$152:$T$915)</f>
        <v>0</v>
      </c>
      <c r="GC35" s="230">
        <f t="shared" si="77"/>
        <v>0</v>
      </c>
      <c r="GD35" s="230" t="e">
        <f t="shared" si="14"/>
        <v>#VALUE!</v>
      </c>
      <c r="GE35" s="23"/>
      <c r="GF35" s="358" t="str">
        <f t="shared" si="81"/>
        <v>MANDIRI INTI PERKASA, PTNOV</v>
      </c>
      <c r="GG35" s="24"/>
      <c r="GH35" s="412" t="s">
        <v>628</v>
      </c>
      <c r="GI35" s="109">
        <f t="shared" si="70"/>
        <v>0</v>
      </c>
      <c r="GJ35" s="109" t="e">
        <f t="shared" si="71"/>
        <v>#VALUE!</v>
      </c>
      <c r="GK35" s="423"/>
      <c r="GL35" s="109">
        <f>SUMIF(Bill_Out!$Q$679:$Q$756,CONCATENATE($C35,$GX$3),Bill_Out!$N$679:$N$756)</f>
        <v>0</v>
      </c>
      <c r="GM35" s="109" t="e">
        <f>SUMIF(Bill_Out!$Q$679:$Q$756,CONCATENATE($C35,$GX$3),Bill_Out!$O$679:$O$756)</f>
        <v>#VALUE!</v>
      </c>
      <c r="GN35" s="50"/>
      <c r="GO35" s="512">
        <f>SUMIF(Master_Data!$AK$4:$AK$145,CONCATENATE($C35,$GX$3),Master_Data!$R$4:$R$145)+SUMIF(Master_Data!$AK$152:$AK$864,CONCATENATE($C35,$GX$3),Master_Data!$R$152:$R$864)</f>
        <v>0</v>
      </c>
      <c r="GP35" s="512">
        <f>SUMIF(Master_Data!$AK$4:$AK$145,CONCATENATE($C35,$GX$3),Master_Data!$Q$4:$Q$145)+SUMIF(Master_Data!$AK$152:$AK$864,CONCATENATE($C35,$GX$3),Master_Data!$Q$152:$Q$864)</f>
        <v>0</v>
      </c>
      <c r="GQ35" s="512">
        <f>SUMIF(Master_Data!$AK$4:$AK$145,CONCATENATE($C35,$GX$3),Master_Data!$U$4:$U$145)+SUMIF(Master_Data!$AK$152:$AK$864,CONCATENATE($C35,$GX$3),Master_Data!$U$152:$U$864)</f>
        <v>0</v>
      </c>
      <c r="GR35" s="310">
        <f>SUMIF(Master_Data!$AK$4:$AK$145,CONCATENATE($C35,$GX$3),Master_Data!$S$4:$S$145)+SUMIF(Master_Data!$AK$152:$AK$864,CONCATENATE($C35,$GX$3),Master_Data!$S$152:$S$864)</f>
        <v>0</v>
      </c>
      <c r="GS35" s="39">
        <f>SUMIF(Master_Data!$AK$152:$AK$864,CONCATENATE($C35,GX$3),Master_Data!$T$152:$T$864)</f>
        <v>0</v>
      </c>
      <c r="GT35" s="534">
        <f t="shared" si="44"/>
        <v>0</v>
      </c>
      <c r="GU35" s="310" t="e">
        <f t="shared" si="16"/>
        <v>#VALUE!</v>
      </c>
      <c r="GV35" s="23"/>
      <c r="GW35" s="358" t="str">
        <f t="shared" si="69"/>
        <v>MANDIRI INTI PERKASA, PTDES</v>
      </c>
      <c r="GX35" s="24"/>
    </row>
    <row r="36" spans="1:206" s="19" customFormat="1">
      <c r="A36" s="21" t="s">
        <v>66</v>
      </c>
      <c r="B36" s="236" t="str">
        <f t="shared" si="18"/>
        <v>MEDCO PAPUA HIJAU SELARAS, PTJAN</v>
      </c>
      <c r="C36" s="22" t="s">
        <v>44</v>
      </c>
      <c r="D36" s="52" t="s">
        <v>312</v>
      </c>
      <c r="E36" s="109">
        <f>SUMIF(Master_Data!$D29:$D$145,CONCATENATE(C36),Master_Data!M29:M850)</f>
        <v>0</v>
      </c>
      <c r="F36" s="109">
        <f>SUMIF(Master_Data!$D34:$D$145,CONCATENATE(C36),Master_Data!N34:N222)</f>
        <v>0</v>
      </c>
      <c r="G36" s="31"/>
      <c r="H36" s="109">
        <f>SUMIF(Bill_Out!$Q$3:$Q$65,CONCATENATE($C36,$S$3),Bill_Out!$N$3:$N$65)</f>
        <v>0</v>
      </c>
      <c r="I36" s="88">
        <f>SUMIF(Bill_Out!$Q$3:$Q$65,CONCATENATE($C36,$S$3),Bill_Out!$O$3:$O$65)</f>
        <v>0</v>
      </c>
      <c r="J36" s="50"/>
      <c r="K36" s="29"/>
      <c r="L36" s="44"/>
      <c r="M36" s="230">
        <f>SUMIF(Master_Data!$AK33:$AK$145,CONCATENATE(C36,$S$3),Master_Data!U33:U232)+SUMIF(Master_Data!$AK238:$AK$864,CONCATENATE(C36,$S$3),Master_Data!U238:U936)</f>
        <v>0</v>
      </c>
      <c r="N36" s="310">
        <f>SUMIF(Master_Data!$AK$4:$AK$145,CONCATENATE(C36,$S$3),Master_Data!$S$4:$S$145)+SUMIF(Master_Data!$AK$150:$AK$864,CONCATENATE(C36,$S$3),Master_Data!$S$150:$S$864)</f>
        <v>0</v>
      </c>
      <c r="O36" s="310">
        <f>SUMIF(Master_Data!$AK$4:$AK$145,CONCATENATE(C36,$S$3),Master_Data!$T$4:$T$145)+SUMIF(Master_Data!$AK$150:$AK$864,CONCATENATE(C36,$S$3),Master_Data!$T$150:$T$864)</f>
        <v>0</v>
      </c>
      <c r="P36" s="230">
        <f t="shared" si="19"/>
        <v>0</v>
      </c>
      <c r="Q36" s="230">
        <f t="shared" si="20"/>
        <v>0</v>
      </c>
      <c r="R36" s="23"/>
      <c r="S36" s="24"/>
      <c r="T36" s="259"/>
      <c r="U36" s="109">
        <f t="shared" si="82"/>
        <v>0</v>
      </c>
      <c r="V36" s="109">
        <f t="shared" si="83"/>
        <v>0</v>
      </c>
      <c r="W36" s="31"/>
      <c r="X36" s="109">
        <f>SUMIF(Bill_Out!$Q$67:$Q$132,CONCATENATE($C36,$AJ$3),Bill_Out!$N$67:$N$132)</f>
        <v>0</v>
      </c>
      <c r="Y36" s="109">
        <f>SUMIF(Bill_Out!$Q$67:$Q$132,CONCATENATE($C36,$AJ$3),Bill_Out!$O$67:$O$132)</f>
        <v>0</v>
      </c>
      <c r="Z36" s="50"/>
      <c r="AA36" s="230">
        <f>SUMIF(Master_Data!$AK$4:$AK$145,CONCATENATE(C36,$AJ$3),Master_Data!$R$4:$R$145)+SUMIF(Master_Data!$AK$152:$AK$850,CONCATENATE(C36,$AJ$3),Master_Data!$R$152:$R$850)</f>
        <v>0</v>
      </c>
      <c r="AB36" s="230">
        <f>SUMIF(Master_Data!$AK$4:$AK$145,CONCATENATE(C36,$AJ$3),Master_Data!$Q$4:$Q$145)+SUMIF(Master_Data!$AK$152:$AK$850,CONCATENATE(C36,$AJ$3),Master_Data!$Q$152:$Q$850)</f>
        <v>0</v>
      </c>
      <c r="AC36" s="230">
        <f>SUMIF(Master_Data!$AK$4:$AK$145,CONCATENATE(C36,$AJ$3),Master_Data!$U$4:$U$145)+SUMIF(Master_Data!$AK$152:$AK$850,CONCATENATE(C36,$AJ$3),Master_Data!$U$152:$U$850)</f>
        <v>0</v>
      </c>
      <c r="AD36" s="310">
        <f ca="1">SUMIF(Master_Data!$AK$4:$AK$145,CONCATENATE(C36,$AJ$3),Master_Data!$S$4:$S$145)+SUMIF(Master_Data!$AK$152:$AK$864,CONCATENATE(C36,$AJ$3),Master_Data!$S$152:$S$850)</f>
        <v>0</v>
      </c>
      <c r="AE36" s="310">
        <f>SUMIF(Master_Data!$AK$4:$AK$145,CONCATENATE(C36,$AJ$3),Master_Data!$T$4:$T$145)+SUMIF(Master_Data!$AK$152:$AK$864,CONCATENATE(C36,$AJ$3),Master_Data!$T$152:$T$864)</f>
        <v>0</v>
      </c>
      <c r="AF36" s="230">
        <f t="shared" si="63"/>
        <v>0</v>
      </c>
      <c r="AG36" s="230">
        <f t="shared" ca="1" si="64"/>
        <v>0</v>
      </c>
      <c r="AH36" s="23"/>
      <c r="AI36" s="235" t="str">
        <f t="shared" ref="AI36:AI72" si="86">CONCATENATE(C36,$AJ$3)</f>
        <v>MEDCO PAPUA HIJAU SELARAS, PTFEB</v>
      </c>
      <c r="AJ36" s="24"/>
      <c r="AK36" s="259"/>
      <c r="AL36" s="109">
        <f t="shared" si="65"/>
        <v>0</v>
      </c>
      <c r="AM36" s="109">
        <f t="shared" ca="1" si="66"/>
        <v>0</v>
      </c>
      <c r="AN36" s="31"/>
      <c r="AO36" s="109">
        <f>SUMIF(Bill_Out!$Q$134:$Q$188,CONCATENATE($C36,$BA$3),Bill_Out!$N$134:$N$188)</f>
        <v>0</v>
      </c>
      <c r="AP36" s="109">
        <f>SUMIF(Bill_Out!$Q$134:$Q$188,CONCATENATE($C36,$BA$3),Bill_Out!$O$134:$O$188)</f>
        <v>0</v>
      </c>
      <c r="AQ36" s="50"/>
      <c r="AR36" s="230">
        <f>SUMIF(Master_Data!$AK$4:$AK$145,CONCATENATE(C36,$BA$3),Master_Data!$R$4:$R$145)+SUMIF(Master_Data!$AK$152:$AK$864,CONCATENATE(C36,$BA$3),Master_Data!$R$152:$R$864)</f>
        <v>0</v>
      </c>
      <c r="AS36" s="230">
        <f>SUMIF(Master_Data!$AK$4:$AK$145,CONCATENATE(C36,$BA$3),Master_Data!$Q$4:$Q$145)+SUMIF(Master_Data!$AK$152:$AK$864,CONCATENATE(C36,$BA$3),Master_Data!$Q$152:$Q$864)</f>
        <v>0</v>
      </c>
      <c r="AT36" s="230">
        <f>SUMIF(Master_Data!$AK$4:$AK$145,CONCATENATE(C36,$BA$3),Master_Data!$U$4:$U$145)+SUMIF(Master_Data!$AK$152:$AK$864,CONCATENATE(C36,$BA$3),Master_Data!$U$152:$U$864)</f>
        <v>0</v>
      </c>
      <c r="AU36" s="230">
        <f ca="1">SUMIF(Master_Data!$AK$4:$AK$145,CONCATENATE(C36,$BA$3),Master_Data!$S$4:$S$145)+SUMIF(Master_Data!$AK$152:$AK$864,CONCATENATE(C36,$BA$3),Master_Data!$S$152:$S$850)</f>
        <v>0</v>
      </c>
      <c r="AV36" s="39">
        <f>SUMIF(Master_Data!$AK$152:$AK$864,CONCATENATE($C36,BA$3),Master_Data!$T$152:$T$864)</f>
        <v>0</v>
      </c>
      <c r="AW36" s="230">
        <f t="shared" si="57"/>
        <v>0</v>
      </c>
      <c r="AX36" s="230">
        <f t="shared" ca="1" si="58"/>
        <v>0</v>
      </c>
      <c r="AY36" s="23"/>
      <c r="AZ36" s="235" t="str">
        <f t="shared" si="21"/>
        <v>MEDCO PAPUA HIJAU SELARAS, PTMAR</v>
      </c>
      <c r="BA36" s="24"/>
      <c r="BB36" s="259"/>
      <c r="BC36" s="109">
        <f t="shared" si="22"/>
        <v>0</v>
      </c>
      <c r="BD36" s="109">
        <f t="shared" ca="1" si="23"/>
        <v>0</v>
      </c>
      <c r="BE36" s="31"/>
      <c r="BF36" s="109">
        <f>SUMIF(Bill_Out!$Q$192:$Q$258,CONCATENATE($C36,$BR$3),Bill_Out!$N$192:$N$258)</f>
        <v>0</v>
      </c>
      <c r="BG36" s="109">
        <f>SUMIF(Bill_Out!$Q$192:$Q$258,CONCATENATE($C36,$BR$3),Bill_Out!$O$192:$O$258)</f>
        <v>0</v>
      </c>
      <c r="BH36" s="50"/>
      <c r="BI36" s="230">
        <f>SUMIF(Master_Data!$AK$4:$AK$145,CONCATENATE(C36,$BR$3),Master_Data!$R$4:$R$145)+SUMIF(Master_Data!$AK$152:$AK$864,CONCATENATE(C36,$BR$3),Master_Data!$R$152:$R$864)</f>
        <v>0</v>
      </c>
      <c r="BJ36" s="230">
        <f>SUMIF(Master_Data!$AK$4:$AK$145,CONCATENATE(C36,$BR$3),Master_Data!$Q$4:$Q$145)+SUMIF(Master_Data!$AK$152:$AK$864,CONCATENATE(C36,$BR$3),Master_Data!$Q$152:$Q$864)</f>
        <v>0</v>
      </c>
      <c r="BK36" s="230">
        <f>SUMIF(Master_Data!$AK$4:$AK$145,CONCATENATE(C36,$BR$3),Master_Data!$U$4:$U$145)+SUMIF(Master_Data!$AK$152:$AK$864,CONCATENATE(C36,$BR$3),Master_Data!$U$152:$U$864)</f>
        <v>0</v>
      </c>
      <c r="BL36" s="230">
        <f>SUMIF(Master_Data!$AK$4:$AK$145,CONCATENATE(C36,$BR$3),Master_Data!$S$4:$S$145)+SUMIF(Master_Data!$AK$152:$AK$864,CONCATENATE(C36,$BR$3),Master_Data!$S$152:$S$864)</f>
        <v>0</v>
      </c>
      <c r="BM36" s="39">
        <f>SUMIF(Master_Data!$AK$152:$AK$864,CONCATENATE($C36,BR$3),Master_Data!$T$152:$T$864)</f>
        <v>0</v>
      </c>
      <c r="BN36" s="230">
        <f t="shared" si="24"/>
        <v>0</v>
      </c>
      <c r="BO36" s="230">
        <f t="shared" ca="1" si="25"/>
        <v>0</v>
      </c>
      <c r="BP36" s="23"/>
      <c r="BQ36" s="909" t="str">
        <f t="shared" si="26"/>
        <v>MEDCO PAPUA HIJAU SELARAS, PTAPR</v>
      </c>
      <c r="BR36" s="24"/>
      <c r="BS36" s="259"/>
      <c r="BT36" s="109">
        <f t="shared" si="78"/>
        <v>0</v>
      </c>
      <c r="BU36" s="109">
        <f t="shared" ca="1" si="79"/>
        <v>0</v>
      </c>
      <c r="BV36" s="31"/>
      <c r="BW36" s="109">
        <f>SUMIF(Bill_Out!$Q$263:$Q$314,CONCATENATE($C36,$CI$3),Bill_Out!$N$263:$N$314)</f>
        <v>0</v>
      </c>
      <c r="BX36" s="109">
        <f>SUMIF(Bill_Out!$Q$263:$Q$314,CONCATENATE($C36,$CI$3),Bill_Out!$O$263:$O$314)</f>
        <v>0</v>
      </c>
      <c r="BY36" s="50"/>
      <c r="BZ36" s="310">
        <f>SUMIF(Master_Data!$AK$4:$AK$145,CONCATENATE(C36,$CI$3),Master_Data!$R$4:$R$145)+SUMIF(Master_Data!$AK$152:$AK$864,CONCATENATE(C36,$CI$3),Master_Data!$R$152:$R$864)</f>
        <v>0</v>
      </c>
      <c r="CA36" s="310">
        <f>SUMIF(Master_Data!$AK$4:$AK$145,CONCATENATE(C36,$CI$3),Master_Data!$Q$4:$Q$145)+SUMIF(Master_Data!$AK$152:$AK$864,CONCATENATE(C36,$CI$3),Master_Data!$Q$152:$Q$864)</f>
        <v>0</v>
      </c>
      <c r="CB36" s="310">
        <f>SUMIF(Master_Data!$AK$4:$AK$145,CONCATENATE(C36,$CI$3),Master_Data!$U$4:$U$145)+SUMIF(Master_Data!$AK$152:$AK$864,CONCATENATE(C36,$CI$3),Master_Data!$U$152:$U$864)</f>
        <v>0</v>
      </c>
      <c r="CC36" s="230">
        <f>SUMIF(Master_Data!$AK$4:$AK$145,CONCATENATE(C36,$CI$3),Master_Data!$S$4:$S$145)+SUMIF(Master_Data!$AK$152:$AK$864,CONCATENATE(C36,$CI$3),Master_Data!$S$152:$S$864)</f>
        <v>0</v>
      </c>
      <c r="CD36" s="39">
        <f>SUMIF(Master_Data!$AK$152:$AK$864,CONCATENATE($C36,CI$3),Master_Data!$T$152:$T$864)</f>
        <v>0</v>
      </c>
      <c r="CE36" s="310">
        <f t="shared" si="27"/>
        <v>0</v>
      </c>
      <c r="CF36" s="230">
        <f t="shared" ca="1" si="28"/>
        <v>0</v>
      </c>
      <c r="CG36" s="23"/>
      <c r="CH36" s="235" t="str">
        <f t="shared" si="29"/>
        <v>MEDCO PAPUA HIJAU SELARAS, PTMEI</v>
      </c>
      <c r="CI36" s="24"/>
      <c r="CJ36" s="259"/>
      <c r="CK36" s="109">
        <f t="shared" si="30"/>
        <v>0</v>
      </c>
      <c r="CL36" s="238">
        <f t="shared" ca="1" si="31"/>
        <v>0</v>
      </c>
      <c r="CM36" s="31"/>
      <c r="CN36" s="238">
        <f>SUMIF(Bill_Out!$Q$318:$Q$371,CONCATENATE($C36,$CZ$3),Bill_Out!$N$318:$N$371)</f>
        <v>0</v>
      </c>
      <c r="CO36" s="238">
        <f>SUMIF(Bill_Out!$Q$318:$Q$371,CONCATENATE($C36,$CZ$3),Bill_Out!$O$318:$O$371)</f>
        <v>0</v>
      </c>
      <c r="CP36" s="50"/>
      <c r="CQ36" s="230">
        <f>SUMIF(Master_Data!$AK$4:$AK$145,CONCATENATE($C36,$CZ$3),Master_Data!$R$4:$R$145)+SUMIF(Master_Data!$AK$152:$AK$864,CONCATENATE($C36,$CZ$3),Master_Data!$R$152:$R$864)</f>
        <v>0</v>
      </c>
      <c r="CR36" s="230">
        <f>SUMIF(Master_Data!$AK$4:$AK$145,CONCATENATE($C36,$CZ$3),Master_Data!$Q$4:$Q$145)+SUMIF(Master_Data!$AK$152:$AK$864,CONCATENATE($C36,$CZ$3),Master_Data!$Q$152:$Q$864)</f>
        <v>0</v>
      </c>
      <c r="CS36" s="230">
        <f>SUMIF(Master_Data!$AK$4:$AK$145,CONCATENATE($C36,$CZ$3),Master_Data!$U$4:$U$145)+SUMIF(Master_Data!$AK$152:$AK$864,CONCATENATE($C36,$CZ$3),Master_Data!$U$152:$U$864)</f>
        <v>0</v>
      </c>
      <c r="CT36" s="230">
        <f ca="1">SUMIF(Master_Data!$AK$4:$AK$145,CONCATENATE(C36,$CZ$3),Master_Data!$S$4:$S$145)+SUMIF(Master_Data!$AK$152:$AK$915,CONCATENATE(C36,$CZ$3),Master_Data!$S$152:$S$864)</f>
        <v>0</v>
      </c>
      <c r="CU36" s="1010">
        <f>SUMIF(Master_Data!$AK$4:$AK$145,CONCATENATE(C36,$CZ$3),Master_Data!$T$4:$T$145)+SUMIF(Master_Data!$AK$152:$AK$864,CONCATENATE(C36,$CZ$3),Master_Data!$T$152:$T$864)</f>
        <v>0</v>
      </c>
      <c r="CV36" s="230">
        <f t="shared" si="32"/>
        <v>0</v>
      </c>
      <c r="CW36" s="230">
        <f t="shared" ca="1" si="33"/>
        <v>0</v>
      </c>
      <c r="CX36" s="23"/>
      <c r="CY36" s="1007" t="str">
        <f t="shared" si="6"/>
        <v>MEDCO PAPUA HIJAU SELARAS, PTJUN</v>
      </c>
      <c r="CZ36" s="24"/>
      <c r="DA36" s="259"/>
      <c r="DB36" s="109">
        <f t="shared" si="34"/>
        <v>0</v>
      </c>
      <c r="DC36" s="109">
        <f t="shared" ca="1" si="35"/>
        <v>0</v>
      </c>
      <c r="DD36" s="31"/>
      <c r="DE36" s="109">
        <f>SUMIF(Bill_Out!$Q$375:$Q$422,CONCATENATE($C36,$DQ$3),Bill_Out!$N$375:$N$422)</f>
        <v>0</v>
      </c>
      <c r="DF36" s="109">
        <f>SUMIF(Bill_Out!$Q$375:$Q$422,CONCATENATE($C36,$DQ$3),Bill_Out!$O$375:$O$422)</f>
        <v>0</v>
      </c>
      <c r="DG36" s="50"/>
      <c r="DH36" s="310">
        <f>SUMIF(Master_Data!$AK$4:$AK$145,CONCATENATE($C36,$DQ$3),Master_Data!$R$4:$R$145)+SUMIF(Master_Data!$AK$152:$AK$864,CONCATENATE($C36,$DQ$3),Master_Data!$R$152:$R$864)</f>
        <v>0</v>
      </c>
      <c r="DI36" s="310">
        <f>SUMIF(Master_Data!$AK$4:$AK$145,CONCATENATE($C36,$DQ$3),Master_Data!$Q$4:$Q$145)+SUMIF(Master_Data!$AK$152:$AK$864,CONCATENATE($C36,$DQ$3),Master_Data!$Q$152:$Q$864)</f>
        <v>0</v>
      </c>
      <c r="DJ36" s="310">
        <f>SUMIF(Master_Data!$AK$4:$AK$145,CONCATENATE($C36,$DQ$3),Master_Data!$U$4:$U$145)+SUMIF(Master_Data!$AK$152:$AK$864,CONCATENATE($C36,$DQ$3),Master_Data!$U$152:$U$864)</f>
        <v>0</v>
      </c>
      <c r="DK36" s="310">
        <f>SUMIF(Master_Data!$AK$4:$AK$145,CONCATENATE($C36,$DQ$3),Master_Data!$S$4:$S$145)+SUMIF(Master_Data!$AK$152:$AK$864,CONCATENATE($C36,$DQ$3),Master_Data!$S$152:$S$864)</f>
        <v>0</v>
      </c>
      <c r="DL36" s="39">
        <f>SUMIF(Master_Data!$AK$152:$AK$915,CONCATENATE($C36,DQ$3),Master_Data!$T$152:$T$915)</f>
        <v>0</v>
      </c>
      <c r="DM36" s="230">
        <f t="shared" si="67"/>
        <v>0</v>
      </c>
      <c r="DN36" s="230">
        <f t="shared" ca="1" si="68"/>
        <v>0</v>
      </c>
      <c r="DO36" s="23"/>
      <c r="DP36" s="358" t="str">
        <f t="shared" si="9"/>
        <v>MEDCO PAPUA HIJAU SELARAS, PTJUL</v>
      </c>
      <c r="DQ36" s="24"/>
      <c r="DR36" s="390"/>
      <c r="DS36" s="109">
        <f t="shared" si="36"/>
        <v>0</v>
      </c>
      <c r="DT36" s="109">
        <f t="shared" ca="1" si="37"/>
        <v>0</v>
      </c>
      <c r="DU36" s="31"/>
      <c r="DV36" s="109">
        <f>SUMIF(Bill_Out!$Q$426:$Q$472,CONCATENATE($C36,$EH$3),Bill_Out!$N$426:$N$472)</f>
        <v>0</v>
      </c>
      <c r="DW36" s="109">
        <f>SUMIF(Bill_Out!$Q$426:$Q$472,CONCATENATE($C36,$EH$3),Bill_Out!$O$426:$O$472)</f>
        <v>0</v>
      </c>
      <c r="DX36" s="50"/>
      <c r="DY36" s="310">
        <f>SUMIF(Master_Data!$AK$4:$AK$145,CONCATENATE($C36,$EH$3),Master_Data!$R$4:$R$145)+SUMIF(Master_Data!$AK$152:$AK$864,CONCATENATE($C36,$EH$3),Master_Data!$R$152:$R$864)</f>
        <v>0</v>
      </c>
      <c r="DZ36" s="310">
        <f>SUMIF(Master_Data!$AK$4:$AK$145,CONCATENATE($C36,$EH$3),Master_Data!$Q$4:$Q$145)+SUMIF(Master_Data!$AK$152:$AK$864,CONCATENATE($C36,$EH$3),Master_Data!$Q$152:$Q$864)</f>
        <v>0</v>
      </c>
      <c r="EA36" s="310">
        <f>SUMIF(Master_Data!$AK$4:$AK$145,CONCATENATE($C36,$EH$3),Master_Data!$U$4:$U$145)+SUMIF(Master_Data!$AK$152:$AK$864,CONCATENATE($C36,$EH$3),Master_Data!$U$152:$U$864)</f>
        <v>0</v>
      </c>
      <c r="EB36" s="310">
        <f>SUMIF(Master_Data!$AK$4:$AK$145,CONCATENATE($C36,$EH$3),Master_Data!$S$4:$S$145)+SUMIF(Master_Data!$AK$152:$AK$864,CONCATENATE($C36,$EH$3),Master_Data!$S$152:$S$864)</f>
        <v>0</v>
      </c>
      <c r="EC36" s="39">
        <f>SUMIF(Master_Data!$AK$152:$AK$915,CONCATENATE($C36,EH$3),Master_Data!$T$152:$T$915)</f>
        <v>0</v>
      </c>
      <c r="ED36" s="310">
        <f t="shared" si="38"/>
        <v>0</v>
      </c>
      <c r="EE36" s="230">
        <f t="shared" ca="1" si="39"/>
        <v>0</v>
      </c>
      <c r="EF36" s="23"/>
      <c r="EG36" s="358" t="str">
        <f t="shared" si="10"/>
        <v>MEDCO PAPUA HIJAU SELARAS, PTAGS</v>
      </c>
      <c r="EH36" s="24"/>
      <c r="EI36" s="390"/>
      <c r="EJ36" s="109">
        <f t="shared" si="47"/>
        <v>0</v>
      </c>
      <c r="EK36" s="109">
        <f t="shared" ca="1" si="48"/>
        <v>0</v>
      </c>
      <c r="EL36" s="84"/>
      <c r="EM36" s="109">
        <f>SUMIF(Bill_Out!$Q$476:$Q$530,CONCATENATE($C36,$EY$3),Bill_Out!$N$476:$N$530)</f>
        <v>0</v>
      </c>
      <c r="EN36" s="109">
        <f>SUMIF(Bill_Out!$Q$476:$Q$530,CONCATENATE($C36,$EY$3),Bill_Out!$O$476:$O$530)</f>
        <v>0</v>
      </c>
      <c r="EO36" s="309"/>
      <c r="EP36" s="310">
        <f>SUMIF(Master_Data!$AK$4:$AK$145,CONCATENATE($C36,$EY$3),Master_Data!$R$4:$R$145)+SUMIF(Master_Data!$AK$152:$AK$864,CONCATENATE($C36,$EY$3),Master_Data!$R$152:$R$864)</f>
        <v>0</v>
      </c>
      <c r="EQ36" s="310">
        <f>SUMIF(Master_Data!$AK$4:$AK$145,CONCATENATE($C36,$EY$3),Master_Data!$Q$4:$Q$145)+SUMIF(Master_Data!$AK$152:$AK$864,CONCATENATE($C36,$EY$3),Master_Data!$Q$152:$Q$864)</f>
        <v>0</v>
      </c>
      <c r="ER36" s="310">
        <f>SUMIF(Master_Data!$AK$4:$AK$145,CONCATENATE($C36,$EY$3),Master_Data!$U$4:$U$145)+SUMIF(Master_Data!$AK$152:$AK$864,CONCATENATE($C36,$EY$3),Master_Data!$U$152:$U$864)</f>
        <v>0</v>
      </c>
      <c r="ES36" s="310">
        <f>SUMIF(Master_Data!$AK$4:$AK$145,CONCATENATE($C36,$EY$3),Master_Data!$S$4:$S$145)+SUMIF(Master_Data!$AK$152:$AK$864,CONCATENATE($C36,$EY$3),Master_Data!$S$152:$S$864)</f>
        <v>0</v>
      </c>
      <c r="ET36" s="39">
        <f>SUMIF(Master_Data!$AK$152:$AK$915,CONCATENATE($C36,EY$3),Master_Data!$T$152:$T$915)</f>
        <v>0</v>
      </c>
      <c r="EU36" s="310">
        <f t="shared" si="49"/>
        <v>0</v>
      </c>
      <c r="EV36" s="230"/>
      <c r="EW36" s="84"/>
      <c r="EX36" s="358" t="str">
        <f t="shared" si="11"/>
        <v>MEDCO PAPUA HIJAU SELARAS, PTSEP</v>
      </c>
      <c r="EY36" s="24"/>
      <c r="EZ36" s="412"/>
      <c r="FA36" s="109">
        <f t="shared" si="41"/>
        <v>0</v>
      </c>
      <c r="FB36" s="109">
        <f t="shared" si="84"/>
        <v>0</v>
      </c>
      <c r="FC36" s="420"/>
      <c r="FD36" s="109">
        <f>SUMIF(Bill_Out!$Q$534:$Q$606,CONCATENATE($C36,$FP$3),Bill_Out!$N$534:$N$606)</f>
        <v>0</v>
      </c>
      <c r="FE36" s="109">
        <f>SUMIF(Bill_Out!$Q$534:$Q$606,CONCATENATE($C36,$FP$3),Bill_Out!$O$534:$O$606)</f>
        <v>0</v>
      </c>
      <c r="FF36" s="50"/>
      <c r="FG36" s="310">
        <f>SUMIF(Master_Data!$AK$4:$AK$145,CONCATENATE($C36,$FP$3),Master_Data!$R$4:$R$145)+SUMIF(Master_Data!$AK$152:$AK$864,CONCATENATE($C36,$FP$3),Master_Data!$R$152:$R$864)</f>
        <v>0</v>
      </c>
      <c r="FH36" s="310">
        <f>SUMIF(Master_Data!$AK$4:$AK$145,CONCATENATE($C36,$FP$3),Master_Data!$Q$4:$Q$145)+SUMIF(Master_Data!$AK$152:$AK$864,CONCATENATE($C36,$FP$3),Master_Data!$Q$152:$Q$864)</f>
        <v>0</v>
      </c>
      <c r="FI36" s="310">
        <f>SUMIF(Master_Data!$AK$4:$AK$145,CONCATENATE($C36,$FP$3),Master_Data!$U$4:$U$145)+SUMIF(Master_Data!$AK$152:$AK$864,CONCATENATE($C36,$FP$3),Master_Data!$U$152:$U$864)</f>
        <v>0</v>
      </c>
      <c r="FJ36" s="310">
        <f>SUMIF(Master_Data!$AK$4:$AK$145,CONCATENATE($C36,$FP$3),Master_Data!$S$4:$S$145)+SUMIF(Master_Data!$AK$152:$AK$864,CONCATENATE($C36,$FP$3),Master_Data!$S$152:$S$864)</f>
        <v>0</v>
      </c>
      <c r="FK36" s="39">
        <f>SUMIF(Master_Data!$AK$152:$AK$915,CONCATENATE($C36,FP$3),Master_Data!$T$152:$T$915)</f>
        <v>0</v>
      </c>
      <c r="FL36" s="230">
        <f t="shared" si="85"/>
        <v>0</v>
      </c>
      <c r="FM36" s="230">
        <f t="shared" si="12"/>
        <v>0</v>
      </c>
      <c r="FN36" s="23"/>
      <c r="FO36" s="358" t="str">
        <f t="shared" si="80"/>
        <v>MEDCO PAPUA HIJAU SELARAS, PTOKT</v>
      </c>
      <c r="FP36" s="24"/>
      <c r="FQ36" s="412"/>
      <c r="FR36" s="109">
        <f t="shared" si="42"/>
        <v>0</v>
      </c>
      <c r="FS36" s="109">
        <f t="shared" si="74"/>
        <v>0</v>
      </c>
      <c r="FT36" s="420"/>
      <c r="FU36" s="109">
        <f>SUMIF(Bill_Out!$Q$610:$Q$675,CONCATENATE($C36,$GG$3),Bill_Out!$N$610:$N$675)</f>
        <v>0</v>
      </c>
      <c r="FV36" s="109">
        <f>SUMIF(Bill_Out!$Q$610:$Q$675,CONCATENATE($C36,$GG$3),Bill_Out!$O$610:$O$675)</f>
        <v>0</v>
      </c>
      <c r="FW36" s="50"/>
      <c r="FX36" s="512">
        <f>SUMIF(Master_Data!$AK$4:$AK$145,CONCATENATE($C36,$GG$3),Master_Data!$R$4:$R$145)+SUMIF(Master_Data!$AK$152:$AK$864,CONCATENATE($C36,$GG$3),Master_Data!$R$152:$R$864)</f>
        <v>0</v>
      </c>
      <c r="FY36" s="512">
        <f>SUMIF(Master_Data!$AK$4:$AK$145,CONCATENATE($C36,$GG$3),Master_Data!$Q$4:$Q$145)+SUMIF(Master_Data!$AK$152:$AK$864,CONCATENATE($C36,$GG$3),Master_Data!$Q$152:$Q$864)</f>
        <v>0</v>
      </c>
      <c r="FZ36" s="512">
        <f>SUMIF(Master_Data!$AK$4:$AK$145,CONCATENATE($C36,$GG$3),Master_Data!$U$4:$U$145)+SUMIF(Master_Data!$AK$152:$AK$864,CONCATENATE($C36,$GG$3),Master_Data!$U$152:$U$864)</f>
        <v>0</v>
      </c>
      <c r="GA36" s="310">
        <f>SUMIF(Master_Data!$AK$4:$AK$145,CONCATENATE($C36,$GG$3),Master_Data!$S$4:$S$145)+SUMIF(Master_Data!$AK$152:$AK$864,CONCATENATE($C36,$GG$3),Master_Data!$S$152:$S$864)</f>
        <v>0</v>
      </c>
      <c r="GB36" s="39">
        <f>SUMIF(Master_Data!$AK$152:$AK$915,CONCATENATE($C36,GG$3),Master_Data!$T$152:$T$915)</f>
        <v>0</v>
      </c>
      <c r="GC36" s="230">
        <f t="shared" si="77"/>
        <v>0</v>
      </c>
      <c r="GD36" s="230">
        <f t="shared" si="14"/>
        <v>0</v>
      </c>
      <c r="GE36" s="23"/>
      <c r="GF36" s="358" t="str">
        <f t="shared" si="81"/>
        <v>MEDCO PAPUA HIJAU SELARAS, PTNOV</v>
      </c>
      <c r="GG36" s="24"/>
      <c r="GH36" s="412" t="s">
        <v>509</v>
      </c>
      <c r="GI36" s="109">
        <f t="shared" si="70"/>
        <v>0</v>
      </c>
      <c r="GJ36" s="109">
        <f t="shared" si="71"/>
        <v>0</v>
      </c>
      <c r="GK36" s="423"/>
      <c r="GL36" s="109">
        <f>SUMIF(Bill_Out!$Q$679:$Q$756,CONCATENATE($C36,$GX$3),Bill_Out!$N$679:$N$756)</f>
        <v>0</v>
      </c>
      <c r="GM36" s="109">
        <f>SUMIF(Bill_Out!$Q$679:$Q$756,CONCATENATE($C36,$GX$3),Bill_Out!$O$679:$O$756)</f>
        <v>0</v>
      </c>
      <c r="GN36" s="50"/>
      <c r="GO36" s="512">
        <f>SUMIF(Master_Data!$AK$4:$AK$145,CONCATENATE($C36,$GX$3),Master_Data!$R$4:$R$145)+SUMIF(Master_Data!$AK$152:$AK$864,CONCATENATE($C36,$GX$3),Master_Data!$R$152:$R$864)</f>
        <v>0</v>
      </c>
      <c r="GP36" s="512">
        <f>SUMIF(Master_Data!$AK$4:$AK$145,CONCATENATE($C36,$GX$3),Master_Data!$Q$4:$Q$145)+SUMIF(Master_Data!$AK$152:$AK$864,CONCATENATE($C36,$GX$3),Master_Data!$Q$152:$Q$864)</f>
        <v>0</v>
      </c>
      <c r="GQ36" s="512">
        <f>SUMIF(Master_Data!$AK$4:$AK$145,CONCATENATE($C36,$GX$3),Master_Data!$U$4:$U$145)+SUMIF(Master_Data!$AK$152:$AK$864,CONCATENATE($C36,$GX$3),Master_Data!$U$152:$U$864)</f>
        <v>0</v>
      </c>
      <c r="GR36" s="310">
        <f>SUMIF(Master_Data!$AK$4:$AK$145,CONCATENATE($C36,$GX$3),Master_Data!$S$4:$S$145)+SUMIF(Master_Data!$AK$152:$AK$864,CONCATENATE($C36,$GX$3),Master_Data!$S$152:$S$864)</f>
        <v>0</v>
      </c>
      <c r="GS36" s="39">
        <f>SUMIF(Master_Data!$AK$152:$AK$864,CONCATENATE($C36,GX$3),Master_Data!$T$152:$T$864)</f>
        <v>0</v>
      </c>
      <c r="GT36" s="534">
        <f t="shared" si="44"/>
        <v>0</v>
      </c>
      <c r="GU36" s="310">
        <f t="shared" si="16"/>
        <v>0</v>
      </c>
      <c r="GV36" s="23"/>
      <c r="GW36" s="358" t="str">
        <f t="shared" si="69"/>
        <v>MEDCO PAPUA HIJAU SELARAS, PTDES</v>
      </c>
      <c r="GX36" s="24"/>
    </row>
    <row r="37" spans="1:206" s="19" customFormat="1">
      <c r="A37" s="328" t="s">
        <v>113</v>
      </c>
      <c r="B37" s="236" t="str">
        <f t="shared" si="18"/>
        <v>MEDCO PAPUA INDUSTRI LESTARI, PTJAN</v>
      </c>
      <c r="C37" s="22" t="s">
        <v>45</v>
      </c>
      <c r="D37" s="52" t="s">
        <v>313</v>
      </c>
      <c r="E37" s="109">
        <f>SUMIF(Master_Data!$D30:$D$145,CONCATENATE(C37),Master_Data!M30:M850)</f>
        <v>0</v>
      </c>
      <c r="F37" s="109">
        <f>SUMIF(Master_Data!$D35:$D$145,CONCATENATE(C37),Master_Data!N35:N225)</f>
        <v>26400000</v>
      </c>
      <c r="G37" s="31"/>
      <c r="H37" s="109">
        <f>SUMIF(Bill_Out!$Q$3:$Q$65,CONCATENATE($C37,$S$3),Bill_Out!$N$3:$N$65)</f>
        <v>0</v>
      </c>
      <c r="I37" s="88" t="e">
        <f>SUMIF(Bill_Out!$Q$3:$Q$65,CONCATENATE($C37,$S$3),Bill_Out!$O$3:$O$65)</f>
        <v>#VALUE!</v>
      </c>
      <c r="J37" s="50"/>
      <c r="K37" s="29"/>
      <c r="L37" s="44"/>
      <c r="M37" s="230">
        <f>SUMIF(Master_Data!$AK34:$AK$145,CONCATENATE(C37,$S$3),Master_Data!U34:U233)+SUMIF(Master_Data!$AK239:$AK$864,CONCATENATE(C37,$S$3),Master_Data!U239:U937)</f>
        <v>12960000</v>
      </c>
      <c r="N37" s="310">
        <f>SUMIF(Master_Data!$AK$4:$AK$145,CONCATENATE(C37,$S$3),Master_Data!$S$4:$S$145)+SUMIF(Master_Data!$AK$150:$AK$864,CONCATENATE(C37,$S$3),Master_Data!$S$150:$S$864)</f>
        <v>0</v>
      </c>
      <c r="O37" s="310">
        <f>SUMIF(Master_Data!$AK$4:$AK$145,CONCATENATE(C37,$S$3),Master_Data!$T$4:$T$145)+SUMIF(Master_Data!$AK$150:$AK$864,CONCATENATE(C37,$S$3),Master_Data!$T$150:$T$864)</f>
        <v>-240000</v>
      </c>
      <c r="P37" s="230">
        <f t="shared" si="19"/>
        <v>0</v>
      </c>
      <c r="Q37" s="230" t="e">
        <f t="shared" si="20"/>
        <v>#VALUE!</v>
      </c>
      <c r="R37" s="23"/>
      <c r="S37" s="24"/>
      <c r="T37" s="259"/>
      <c r="U37" s="109">
        <f t="shared" si="82"/>
        <v>0</v>
      </c>
      <c r="V37" s="109" t="e">
        <f t="shared" si="83"/>
        <v>#VALUE!</v>
      </c>
      <c r="W37" s="31"/>
      <c r="X37" s="109">
        <f>SUMIF(Bill_Out!$Q$67:$Q$132,CONCATENATE($C37,$AJ$3),Bill_Out!$N$67:$N$132)</f>
        <v>0</v>
      </c>
      <c r="Y37" s="109" t="e">
        <f>SUMIF(Bill_Out!$Q$67:$Q$132,CONCATENATE($C37,$AJ$3),Bill_Out!$O$67:$O$132)</f>
        <v>#VALUE!</v>
      </c>
      <c r="Z37" s="50"/>
      <c r="AA37" s="230">
        <f>SUMIF(Master_Data!$AK$4:$AK$145,CONCATENATE(C37,$AJ$3),Master_Data!$R$4:$R$145)+SUMIF(Master_Data!$AK$152:$AK$850,CONCATENATE(C37,$AJ$3),Master_Data!$R$152:$R$850)</f>
        <v>0</v>
      </c>
      <c r="AB37" s="230">
        <f>SUMIF(Master_Data!$AK$4:$AK$145,CONCATENATE(C37,$AJ$3),Master_Data!$Q$4:$Q$145)+SUMIF(Master_Data!$AK$152:$AK$850,CONCATENATE(C37,$AJ$3),Master_Data!$Q$152:$Q$850)</f>
        <v>0</v>
      </c>
      <c r="AC37" s="230">
        <f>SUMIF(Master_Data!$AK$4:$AK$145,CONCATENATE(C37,$AJ$3),Master_Data!$U$4:$U$145)+SUMIF(Master_Data!$AK$152:$AK$850,CONCATENATE(C37,$AJ$3),Master_Data!$U$152:$U$850)</f>
        <v>25920000</v>
      </c>
      <c r="AD37" s="310">
        <f ca="1">SUMIF(Master_Data!$AK$4:$AK$145,CONCATENATE(C37,$AJ$3),Master_Data!$S$4:$S$145)+SUMIF(Master_Data!$AK$152:$AK$864,CONCATENATE(C37,$AJ$3),Master_Data!$S$152:$S$850)</f>
        <v>0</v>
      </c>
      <c r="AE37" s="310">
        <f>SUMIF(Master_Data!$AK$4:$AK$145,CONCATENATE(C37,$AJ$3),Master_Data!$T$4:$T$145)+SUMIF(Master_Data!$AK$152:$AK$864,CONCATENATE(C37,$AJ$3),Master_Data!$T$152:$T$864)</f>
        <v>-480000</v>
      </c>
      <c r="AF37" s="230">
        <f t="shared" si="63"/>
        <v>0</v>
      </c>
      <c r="AG37" s="230" t="e">
        <f t="shared" ca="1" si="64"/>
        <v>#VALUE!</v>
      </c>
      <c r="AH37" s="23"/>
      <c r="AI37" s="235" t="str">
        <f t="shared" si="86"/>
        <v>MEDCO PAPUA INDUSTRI LESTARI, PTFEB</v>
      </c>
      <c r="AJ37" s="24"/>
      <c r="AK37" s="259"/>
      <c r="AL37" s="109">
        <f t="shared" si="65"/>
        <v>0</v>
      </c>
      <c r="AM37" s="109" t="e">
        <f t="shared" ca="1" si="66"/>
        <v>#VALUE!</v>
      </c>
      <c r="AN37" s="31"/>
      <c r="AO37" s="109">
        <f>SUMIF(Bill_Out!$Q$134:$Q$188,CONCATENATE($C37,$BA$3),Bill_Out!$N$134:$N$188)</f>
        <v>0</v>
      </c>
      <c r="AP37" s="109" t="e">
        <f>SUMIF(Bill_Out!$Q$134:$Q$188,CONCATENATE($C37,$BA$3),Bill_Out!$O$134:$O$188)</f>
        <v>#VALUE!</v>
      </c>
      <c r="AQ37" s="50"/>
      <c r="AR37" s="230">
        <f>SUMIF(Master_Data!$AK$4:$AK$145,CONCATENATE(C37,$BA$3),Master_Data!$R$4:$R$145)+SUMIF(Master_Data!$AK$152:$AK$864,CONCATENATE(C37,$BA$3),Master_Data!$R$152:$R$864)</f>
        <v>0</v>
      </c>
      <c r="AS37" s="230">
        <f>SUMIF(Master_Data!$AK$4:$AK$145,CONCATENATE(C37,$BA$3),Master_Data!$Q$4:$Q$145)+SUMIF(Master_Data!$AK$152:$AK$864,CONCATENATE(C37,$BA$3),Master_Data!$Q$152:$Q$864)</f>
        <v>0</v>
      </c>
      <c r="AT37" s="230">
        <f>SUMIF(Master_Data!$AK$4:$AK$145,CONCATENATE(C37,$BA$3),Master_Data!$U$4:$U$145)+SUMIF(Master_Data!$AK$152:$AK$864,CONCATENATE(C37,$BA$3),Master_Data!$U$152:$U$864)</f>
        <v>12960000</v>
      </c>
      <c r="AU37" s="230">
        <f ca="1">SUMIF(Master_Data!$AK$4:$AK$145,CONCATENATE(C37,$BA$3),Master_Data!$S$4:$S$145)+SUMIF(Master_Data!$AK$152:$AK$864,CONCATENATE(C37,$BA$3),Master_Data!$S$152:$S$850)</f>
        <v>0</v>
      </c>
      <c r="AV37" s="39">
        <f>SUMIF(Master_Data!$AK$152:$AK$864,CONCATENATE($C37,BA$3),Master_Data!$T$152:$T$864)</f>
        <v>-240000</v>
      </c>
      <c r="AW37" s="230">
        <f t="shared" si="57"/>
        <v>0</v>
      </c>
      <c r="AX37" s="230" t="e">
        <f t="shared" ca="1" si="58"/>
        <v>#VALUE!</v>
      </c>
      <c r="AY37" s="23"/>
      <c r="AZ37" s="235" t="str">
        <f t="shared" si="21"/>
        <v>MEDCO PAPUA INDUSTRI LESTARI, PTMAR</v>
      </c>
      <c r="BA37" s="24"/>
      <c r="BB37" s="259"/>
      <c r="BC37" s="109">
        <f t="shared" si="22"/>
        <v>0</v>
      </c>
      <c r="BD37" s="109" t="e">
        <f t="shared" ca="1" si="23"/>
        <v>#VALUE!</v>
      </c>
      <c r="BE37" s="31"/>
      <c r="BF37" s="109">
        <f>SUMIF(Bill_Out!$Q$192:$Q$258,CONCATENATE($C37,$BR$3),Bill_Out!$N$192:$N$258)</f>
        <v>0</v>
      </c>
      <c r="BG37" s="109" t="e">
        <f>SUMIF(Bill_Out!$Q$192:$Q$258,CONCATENATE($C37,$BR$3),Bill_Out!$O$192:$O$258)</f>
        <v>#VALUE!</v>
      </c>
      <c r="BH37" s="50"/>
      <c r="BI37" s="230">
        <f>SUMIF(Master_Data!$AK$4:$AK$145,CONCATENATE(C37,$BR$3),Master_Data!$R$4:$R$145)+SUMIF(Master_Data!$AK$152:$AK$864,CONCATENATE(C37,$BR$3),Master_Data!$R$152:$R$864)</f>
        <v>0</v>
      </c>
      <c r="BJ37" s="230">
        <f>SUMIF(Master_Data!$AK$4:$AK$145,CONCATENATE(C37,$BR$3),Master_Data!$Q$4:$Q$145)+SUMIF(Master_Data!$AK$152:$AK$864,CONCATENATE(C37,$BR$3),Master_Data!$Q$152:$Q$864)</f>
        <v>0</v>
      </c>
      <c r="BK37" s="230">
        <f>SUMIF(Master_Data!$AK$4:$AK$145,CONCATENATE(C37,$BR$3),Master_Data!$U$4:$U$145)+SUMIF(Master_Data!$AK$152:$AK$864,CONCATENATE(C37,$BR$3),Master_Data!$U$152:$U$864)</f>
        <v>12960000</v>
      </c>
      <c r="BL37" s="230">
        <f>SUMIF(Master_Data!$AK$4:$AK$145,CONCATENATE(C37,$BR$3),Master_Data!$S$4:$S$145)+SUMIF(Master_Data!$AK$152:$AK$864,CONCATENATE(C37,$BR$3),Master_Data!$S$152:$S$864)</f>
        <v>0</v>
      </c>
      <c r="BM37" s="39">
        <f>SUMIF(Master_Data!$AK$152:$AK$864,CONCATENATE($C37,BR$3),Master_Data!$T$152:$T$864)</f>
        <v>-240000</v>
      </c>
      <c r="BN37" s="230">
        <f t="shared" si="24"/>
        <v>0</v>
      </c>
      <c r="BO37" s="230" t="e">
        <f t="shared" ca="1" si="25"/>
        <v>#VALUE!</v>
      </c>
      <c r="BP37" s="23"/>
      <c r="BQ37" s="909" t="str">
        <f t="shared" si="26"/>
        <v>MEDCO PAPUA INDUSTRI LESTARI, PTAPR</v>
      </c>
      <c r="BR37" s="24"/>
      <c r="BS37" s="259"/>
      <c r="BT37" s="109">
        <f t="shared" si="78"/>
        <v>0</v>
      </c>
      <c r="BU37" s="109" t="e">
        <f t="shared" ca="1" si="79"/>
        <v>#VALUE!</v>
      </c>
      <c r="BV37" s="31"/>
      <c r="BW37" s="109">
        <f>SUMIF(Bill_Out!$Q$263:$Q$314,CONCATENATE($C37,$CI$3),Bill_Out!$N$263:$N$314)</f>
        <v>0</v>
      </c>
      <c r="BX37" s="109" t="e">
        <f>SUMIF(Bill_Out!$Q$263:$Q$314,CONCATENATE($C37,$CI$3),Bill_Out!$O$263:$O$314)</f>
        <v>#VALUE!</v>
      </c>
      <c r="BY37" s="50"/>
      <c r="BZ37" s="310">
        <f>SUMIF(Master_Data!$AK$4:$AK$145,CONCATENATE(C37,$CI$3),Master_Data!$R$4:$R$145)+SUMIF(Master_Data!$AK$152:$AK$864,CONCATENATE(C37,$CI$3),Master_Data!$R$152:$R$864)</f>
        <v>0</v>
      </c>
      <c r="CA37" s="310">
        <f>SUMIF(Master_Data!$AK$4:$AK$145,CONCATENATE(C37,$CI$3),Master_Data!$Q$4:$Q$145)+SUMIF(Master_Data!$AK$152:$AK$864,CONCATENATE(C37,$CI$3),Master_Data!$Q$152:$Q$864)</f>
        <v>0</v>
      </c>
      <c r="CB37" s="310">
        <f>SUMIF(Master_Data!$AK$4:$AK$145,CONCATENATE(C37,$CI$3),Master_Data!$U$4:$U$145)+SUMIF(Master_Data!$AK$152:$AK$864,CONCATENATE(C37,$CI$3),Master_Data!$U$152:$U$864)</f>
        <v>12960000</v>
      </c>
      <c r="CC37" s="230">
        <f>SUMIF(Master_Data!$AK$4:$AK$145,CONCATENATE(C37,$CI$3),Master_Data!$S$4:$S$145)+SUMIF(Master_Data!$AK$152:$AK$864,CONCATENATE(C37,$CI$3),Master_Data!$S$152:$S$864)</f>
        <v>0</v>
      </c>
      <c r="CD37" s="39">
        <f>SUMIF(Master_Data!$AK$152:$AK$864,CONCATENATE($C37,CI$3),Master_Data!$T$152:$T$864)</f>
        <v>-240000</v>
      </c>
      <c r="CE37" s="310">
        <f t="shared" si="27"/>
        <v>0</v>
      </c>
      <c r="CF37" s="230" t="e">
        <f t="shared" ca="1" si="28"/>
        <v>#VALUE!</v>
      </c>
      <c r="CG37" s="23"/>
      <c r="CH37" s="235" t="str">
        <f t="shared" si="29"/>
        <v>MEDCO PAPUA INDUSTRI LESTARI, PTMEI</v>
      </c>
      <c r="CI37" s="24"/>
      <c r="CJ37" s="259"/>
      <c r="CK37" s="109">
        <f t="shared" si="30"/>
        <v>0</v>
      </c>
      <c r="CL37" s="238" t="e">
        <f t="shared" ca="1" si="31"/>
        <v>#VALUE!</v>
      </c>
      <c r="CM37" s="31"/>
      <c r="CN37" s="238">
        <f>SUMIF(Bill_Out!$Q$318:$Q$371,CONCATENATE($C37,$CZ$3),Bill_Out!$N$318:$N$371)</f>
        <v>0</v>
      </c>
      <c r="CO37" s="238" t="e">
        <f>SUMIF(Bill_Out!$Q$318:$Q$371,CONCATENATE($C37,$CZ$3),Bill_Out!$O$318:$O$371)</f>
        <v>#VALUE!</v>
      </c>
      <c r="CP37" s="50"/>
      <c r="CQ37" s="230">
        <f>SUMIF(Master_Data!$AK$4:$AK$145,CONCATENATE($C37,$CZ$3),Master_Data!$R$4:$R$145)+SUMIF(Master_Data!$AK$152:$AK$864,CONCATENATE($C37,$CZ$3),Master_Data!$R$152:$R$864)</f>
        <v>0</v>
      </c>
      <c r="CR37" s="230">
        <f>SUMIF(Master_Data!$AK$4:$AK$145,CONCATENATE($C37,$CZ$3),Master_Data!$Q$4:$Q$145)+SUMIF(Master_Data!$AK$152:$AK$864,CONCATENATE($C37,$CZ$3),Master_Data!$Q$152:$Q$864)</f>
        <v>0</v>
      </c>
      <c r="CS37" s="230">
        <f>SUMIF(Master_Data!$AK$4:$AK$145,CONCATENATE($C37,$CZ$3),Master_Data!$U$4:$U$145)+SUMIF(Master_Data!$AK$152:$AK$864,CONCATENATE($C37,$CZ$3),Master_Data!$U$152:$U$864)</f>
        <v>25920000</v>
      </c>
      <c r="CT37" s="230">
        <f ca="1">SUMIF(Master_Data!$AK$4:$AK$145,CONCATENATE(C37,$CZ$3),Master_Data!$S$4:$S$145)+SUMIF(Master_Data!$AK$152:$AK$915,CONCATENATE(C37,$CZ$3),Master_Data!$S$152:$S$864)</f>
        <v>0</v>
      </c>
      <c r="CU37" s="1010">
        <f>SUMIF(Master_Data!$AK$4:$AK$145,CONCATENATE(C37,$CZ$3),Master_Data!$T$4:$T$145)+SUMIF(Master_Data!$AK$152:$AK$864,CONCATENATE(C37,$CZ$3),Master_Data!$T$152:$T$864)</f>
        <v>-480000</v>
      </c>
      <c r="CV37" s="230">
        <f t="shared" si="32"/>
        <v>0</v>
      </c>
      <c r="CW37" s="230" t="e">
        <f t="shared" ca="1" si="33"/>
        <v>#VALUE!</v>
      </c>
      <c r="CX37" s="23"/>
      <c r="CY37" s="1007" t="str">
        <f t="shared" si="6"/>
        <v>MEDCO PAPUA INDUSTRI LESTARI, PTJUN</v>
      </c>
      <c r="CZ37" s="24"/>
      <c r="DA37" s="259"/>
      <c r="DB37" s="109">
        <f t="shared" si="34"/>
        <v>0</v>
      </c>
      <c r="DC37" s="109" t="e">
        <f t="shared" ca="1" si="35"/>
        <v>#VALUE!</v>
      </c>
      <c r="DD37" s="31"/>
      <c r="DE37" s="109">
        <f>SUMIF(Bill_Out!$Q$375:$Q$422,CONCATENATE($C37,$DQ$3),Bill_Out!$N$375:$N$422)</f>
        <v>0</v>
      </c>
      <c r="DF37" s="109" t="e">
        <f>SUMIF(Bill_Out!$Q$375:$Q$422,CONCATENATE($C37,$DQ$3),Bill_Out!$O$375:$O$422)</f>
        <v>#VALUE!</v>
      </c>
      <c r="DG37" s="50"/>
      <c r="DH37" s="310">
        <f>SUMIF(Master_Data!$AK$4:$AK$145,CONCATENATE($C37,$DQ$3),Master_Data!$R$4:$R$145)+SUMIF(Master_Data!$AK$152:$AK$864,CONCATENATE($C37,$DQ$3),Master_Data!$R$152:$R$864)</f>
        <v>0</v>
      </c>
      <c r="DI37" s="310">
        <f>SUMIF(Master_Data!$AK$4:$AK$145,CONCATENATE($C37,$DQ$3),Master_Data!$Q$4:$Q$145)+SUMIF(Master_Data!$AK$152:$AK$864,CONCATENATE($C37,$DQ$3),Master_Data!$Q$152:$Q$864)</f>
        <v>0</v>
      </c>
      <c r="DJ37" s="310">
        <f>SUMIF(Master_Data!$AK$4:$AK$145,CONCATENATE($C37,$DQ$3),Master_Data!$U$4:$U$145)+SUMIF(Master_Data!$AK$152:$AK$864,CONCATENATE($C37,$DQ$3),Master_Data!$U$152:$U$864)</f>
        <v>12960000</v>
      </c>
      <c r="DK37" s="310">
        <f>SUMIF(Master_Data!$AK$4:$AK$145,CONCATENATE($C37,$DQ$3),Master_Data!$S$4:$S$145)+SUMIF(Master_Data!$AK$152:$AK$864,CONCATENATE($C37,$DQ$3),Master_Data!$S$152:$S$864)</f>
        <v>0</v>
      </c>
      <c r="DL37" s="39">
        <f>SUMIF(Master_Data!$AK$152:$AK$915,CONCATENATE($C37,DQ$3),Master_Data!$T$152:$T$915)</f>
        <v>-240000</v>
      </c>
      <c r="DM37" s="230">
        <f t="shared" si="67"/>
        <v>0</v>
      </c>
      <c r="DN37" s="230" t="e">
        <f t="shared" ca="1" si="68"/>
        <v>#VALUE!</v>
      </c>
      <c r="DO37" s="23"/>
      <c r="DP37" s="358" t="str">
        <f t="shared" si="9"/>
        <v>MEDCO PAPUA INDUSTRI LESTARI, PTJUL</v>
      </c>
      <c r="DQ37" s="24"/>
      <c r="DR37" s="390"/>
      <c r="DS37" s="109">
        <f t="shared" si="36"/>
        <v>0</v>
      </c>
      <c r="DT37" s="109" t="e">
        <f t="shared" ca="1" si="37"/>
        <v>#VALUE!</v>
      </c>
      <c r="DU37" s="31"/>
      <c r="DV37" s="109">
        <f>SUMIF(Bill_Out!$Q$426:$Q$472,CONCATENATE($C37,$EH$3),Bill_Out!$N$426:$N$472)</f>
        <v>0</v>
      </c>
      <c r="DW37" s="109" t="e">
        <f>SUMIF(Bill_Out!$Q$426:$Q$472,CONCATENATE($C37,$EH$3),Bill_Out!$O$426:$O$472)</f>
        <v>#VALUE!</v>
      </c>
      <c r="DX37" s="50"/>
      <c r="DY37" s="310">
        <f>SUMIF(Master_Data!$AK$4:$AK$145,CONCATENATE($C37,$EH$3),Master_Data!$R$4:$R$145)+SUMIF(Master_Data!$AK$152:$AK$864,CONCATENATE($C37,$EH$3),Master_Data!$R$152:$R$864)</f>
        <v>0</v>
      </c>
      <c r="DZ37" s="310">
        <f>SUMIF(Master_Data!$AK$4:$AK$145,CONCATENATE($C37,$EH$3),Master_Data!$Q$4:$Q$145)+SUMIF(Master_Data!$AK$152:$AK$864,CONCATENATE($C37,$EH$3),Master_Data!$Q$152:$Q$864)</f>
        <v>0</v>
      </c>
      <c r="EA37" s="310">
        <f>SUMIF(Master_Data!$AK$4:$AK$145,CONCATENATE($C37,$EH$3),Master_Data!$U$4:$U$145)+SUMIF(Master_Data!$AK$152:$AK$864,CONCATENATE($C37,$EH$3),Master_Data!$U$152:$U$864)</f>
        <v>0</v>
      </c>
      <c r="EB37" s="310">
        <f>SUMIF(Master_Data!$AK$4:$AK$145,CONCATENATE($C37,$EH$3),Master_Data!$S$4:$S$145)+SUMIF(Master_Data!$AK$152:$AK$864,CONCATENATE($C37,$EH$3),Master_Data!$S$152:$S$864)</f>
        <v>0</v>
      </c>
      <c r="EC37" s="39">
        <f>SUMIF(Master_Data!$AK$152:$AK$915,CONCATENATE($C37,EH$3),Master_Data!$T$152:$T$915)</f>
        <v>0</v>
      </c>
      <c r="ED37" s="310">
        <f t="shared" si="38"/>
        <v>0</v>
      </c>
      <c r="EE37" s="230" t="e">
        <f t="shared" ca="1" si="39"/>
        <v>#VALUE!</v>
      </c>
      <c r="EF37" s="23"/>
      <c r="EG37" s="358" t="str">
        <f t="shared" si="10"/>
        <v>MEDCO PAPUA INDUSTRI LESTARI, PTAGS</v>
      </c>
      <c r="EH37" s="24"/>
      <c r="EI37" s="390"/>
      <c r="EJ37" s="109">
        <f t="shared" si="47"/>
        <v>0</v>
      </c>
      <c r="EK37" s="109" t="e">
        <f t="shared" ca="1" si="48"/>
        <v>#VALUE!</v>
      </c>
      <c r="EL37" s="84"/>
      <c r="EM37" s="109">
        <f>SUMIF(Bill_Out!$Q$476:$Q$530,CONCATENATE($C37,$EY$3),Bill_Out!$N$476:$N$530)</f>
        <v>0</v>
      </c>
      <c r="EN37" s="109">
        <f>SUMIF(Bill_Out!$Q$476:$Q$530,CONCATENATE($C37,$EY$3),Bill_Out!$O$476:$O$530)</f>
        <v>0</v>
      </c>
      <c r="EO37" s="309"/>
      <c r="EP37" s="310">
        <f>SUMIF(Master_Data!$AK$4:$AK$145,CONCATENATE($C37,$EY$3),Master_Data!$R$4:$R$145)+SUMIF(Master_Data!$AK$152:$AK$864,CONCATENATE($C37,$EY$3),Master_Data!$R$152:$R$864)</f>
        <v>0</v>
      </c>
      <c r="EQ37" s="310">
        <f>SUMIF(Master_Data!$AK$4:$AK$145,CONCATENATE($C37,$EY$3),Master_Data!$Q$4:$Q$145)+SUMIF(Master_Data!$AK$152:$AK$864,CONCATENATE($C37,$EY$3),Master_Data!$Q$152:$Q$864)</f>
        <v>0</v>
      </c>
      <c r="ER37" s="310">
        <f>SUMIF(Master_Data!$AK$4:$AK$145,CONCATENATE($C37,$EY$3),Master_Data!$U$4:$U$145)+SUMIF(Master_Data!$AK$152:$AK$864,CONCATENATE($C37,$EY$3),Master_Data!$U$152:$U$864)</f>
        <v>0</v>
      </c>
      <c r="ES37" s="310">
        <f>SUMIF(Master_Data!$AK$4:$AK$145,CONCATENATE($C37,$EY$3),Master_Data!$S$4:$S$145)+SUMIF(Master_Data!$AK$152:$AK$864,CONCATENATE($C37,$EY$3),Master_Data!$S$152:$S$864)</f>
        <v>0</v>
      </c>
      <c r="ET37" s="39">
        <f>SUMIF(Master_Data!$AK$152:$AK$915,CONCATENATE($C37,EY$3),Master_Data!$T$152:$T$915)</f>
        <v>0</v>
      </c>
      <c r="EU37" s="310">
        <f t="shared" si="49"/>
        <v>0</v>
      </c>
      <c r="EV37" s="230"/>
      <c r="EW37" s="84"/>
      <c r="EX37" s="358" t="str">
        <f t="shared" si="11"/>
        <v>MEDCO PAPUA INDUSTRI LESTARI, PTSEP</v>
      </c>
      <c r="EY37" s="24"/>
      <c r="EZ37" s="412"/>
      <c r="FA37" s="109">
        <f t="shared" si="41"/>
        <v>0</v>
      </c>
      <c r="FB37" s="109">
        <f t="shared" si="84"/>
        <v>0</v>
      </c>
      <c r="FC37" s="420"/>
      <c r="FD37" s="109">
        <f>SUMIF(Bill_Out!$Q$534:$Q$606,CONCATENATE($C37,$FP$3),Bill_Out!$N$534:$N$606)</f>
        <v>0</v>
      </c>
      <c r="FE37" s="109" t="e">
        <f>SUMIF(Bill_Out!$Q$534:$Q$606,CONCATENATE($C37,$FP$3),Bill_Out!$O$534:$O$606)</f>
        <v>#VALUE!</v>
      </c>
      <c r="FF37" s="50"/>
      <c r="FG37" s="310">
        <f>SUMIF(Master_Data!$AK$4:$AK$145,CONCATENATE($C37,$FP$3),Master_Data!$R$4:$R$145)+SUMIF(Master_Data!$AK$152:$AK$864,CONCATENATE($C37,$FP$3),Master_Data!$R$152:$R$864)</f>
        <v>0</v>
      </c>
      <c r="FH37" s="310">
        <f>SUMIF(Master_Data!$AK$4:$AK$145,CONCATENATE($C37,$FP$3),Master_Data!$Q$4:$Q$145)+SUMIF(Master_Data!$AK$152:$AK$864,CONCATENATE($C37,$FP$3),Master_Data!$Q$152:$Q$864)</f>
        <v>0</v>
      </c>
      <c r="FI37" s="310">
        <f>SUMIF(Master_Data!$AK$4:$AK$145,CONCATENATE($C37,$FP$3),Master_Data!$U$4:$U$145)+SUMIF(Master_Data!$AK$152:$AK$864,CONCATENATE($C37,$FP$3),Master_Data!$U$152:$U$864)</f>
        <v>25920000</v>
      </c>
      <c r="FJ37" s="310">
        <f>SUMIF(Master_Data!$AK$4:$AK$145,CONCATENATE($C37,$FP$3),Master_Data!$S$4:$S$145)+SUMIF(Master_Data!$AK$152:$AK$864,CONCATENATE($C37,$FP$3),Master_Data!$S$152:$S$864)</f>
        <v>0</v>
      </c>
      <c r="FK37" s="39">
        <f>SUMIF(Master_Data!$AK$152:$AK$915,CONCATENATE($C37,FP$3),Master_Data!$T$152:$T$915)</f>
        <v>-480000</v>
      </c>
      <c r="FL37" s="230">
        <f t="shared" si="85"/>
        <v>0</v>
      </c>
      <c r="FM37" s="230" t="e">
        <f t="shared" si="12"/>
        <v>#VALUE!</v>
      </c>
      <c r="FN37" s="23"/>
      <c r="FO37" s="358" t="str">
        <f t="shared" si="80"/>
        <v>MEDCO PAPUA INDUSTRI LESTARI, PTOKT</v>
      </c>
      <c r="FP37" s="24"/>
      <c r="FQ37" s="412"/>
      <c r="FR37" s="109">
        <f t="shared" si="42"/>
        <v>0</v>
      </c>
      <c r="FS37" s="109" t="e">
        <f t="shared" si="74"/>
        <v>#VALUE!</v>
      </c>
      <c r="FT37" s="420"/>
      <c r="FU37" s="109">
        <f>SUMIF(Bill_Out!$Q$610:$Q$675,CONCATENATE($C37,$GG$3),Bill_Out!$N$610:$N$675)</f>
        <v>0</v>
      </c>
      <c r="FV37" s="109" t="e">
        <f>SUMIF(Bill_Out!$Q$610:$Q$675,CONCATENATE($C37,$GG$3),Bill_Out!$O$610:$O$675)</f>
        <v>#VALUE!</v>
      </c>
      <c r="FW37" s="50"/>
      <c r="FX37" s="512">
        <f>SUMIF(Master_Data!$AK$4:$AK$145,CONCATENATE($C37,$GG$3),Master_Data!$R$4:$R$145)+SUMIF(Master_Data!$AK$152:$AK$864,CONCATENATE($C37,$GG$3),Master_Data!$R$152:$R$864)</f>
        <v>0</v>
      </c>
      <c r="FY37" s="512">
        <f>SUMIF(Master_Data!$AK$4:$AK$145,CONCATENATE($C37,$GG$3),Master_Data!$Q$4:$Q$145)+SUMIF(Master_Data!$AK$152:$AK$864,CONCATENATE($C37,$GG$3),Master_Data!$Q$152:$Q$864)</f>
        <v>0</v>
      </c>
      <c r="FZ37" s="512">
        <f>SUMIF(Master_Data!$AK$4:$AK$145,CONCATENATE($C37,$GG$3),Master_Data!$U$4:$U$145)+SUMIF(Master_Data!$AK$152:$AK$864,CONCATENATE($C37,$GG$3),Master_Data!$U$152:$U$864)</f>
        <v>0</v>
      </c>
      <c r="GA37" s="310">
        <f>SUMIF(Master_Data!$AK$4:$AK$145,CONCATENATE($C37,$GG$3),Master_Data!$S$4:$S$145)+SUMIF(Master_Data!$AK$152:$AK$864,CONCATENATE($C37,$GG$3),Master_Data!$S$152:$S$864)</f>
        <v>0</v>
      </c>
      <c r="GB37" s="39">
        <f>SUMIF(Master_Data!$AK$152:$AK$915,CONCATENATE($C37,GG$3),Master_Data!$T$152:$T$915)</f>
        <v>0</v>
      </c>
      <c r="GC37" s="230">
        <f t="shared" si="77"/>
        <v>0</v>
      </c>
      <c r="GD37" s="230" t="e">
        <f t="shared" si="14"/>
        <v>#VALUE!</v>
      </c>
      <c r="GE37" s="23"/>
      <c r="GF37" s="358" t="str">
        <f t="shared" si="81"/>
        <v>MEDCO PAPUA INDUSTRI LESTARI, PTNOV</v>
      </c>
      <c r="GG37" s="24"/>
      <c r="GH37" s="412" t="s">
        <v>404</v>
      </c>
      <c r="GI37" s="109">
        <f t="shared" si="70"/>
        <v>0</v>
      </c>
      <c r="GJ37" s="109" t="e">
        <f t="shared" si="71"/>
        <v>#VALUE!</v>
      </c>
      <c r="GK37" s="423"/>
      <c r="GL37" s="109">
        <f>SUMIF(Bill_Out!$Q$679:$Q$756,CONCATENATE($C37,$GX$3),Bill_Out!$N$679:$N$756)</f>
        <v>0</v>
      </c>
      <c r="GM37" s="109" t="e">
        <f>SUMIF(Bill_Out!$Q$679:$Q$756,CONCATENATE($C37,$GX$3),Bill_Out!$O$679:$O$756)</f>
        <v>#VALUE!</v>
      </c>
      <c r="GN37" s="50"/>
      <c r="GO37" s="512">
        <f>SUMIF(Master_Data!$AK$4:$AK$145,CONCATENATE($C37,$GX$3),Master_Data!$R$4:$R$145)+SUMIF(Master_Data!$AK$152:$AK$864,CONCATENATE($C37,$GX$3),Master_Data!$R$152:$R$864)</f>
        <v>0</v>
      </c>
      <c r="GP37" s="512">
        <f>SUMIF(Master_Data!$AK$4:$AK$145,CONCATENATE($C37,$GX$3),Master_Data!$Q$4:$Q$145)+SUMIF(Master_Data!$AK$152:$AK$864,CONCATENATE($C37,$GX$3),Master_Data!$Q$152:$Q$864)</f>
        <v>0</v>
      </c>
      <c r="GQ37" s="512">
        <f>SUMIF(Master_Data!$AK$4:$AK$145,CONCATENATE($C37,$GX$3),Master_Data!$U$4:$U$145)+SUMIF(Master_Data!$AK$152:$AK$864,CONCATENATE($C37,$GX$3),Master_Data!$U$152:$U$864)</f>
        <v>0</v>
      </c>
      <c r="GR37" s="310">
        <f>SUMIF(Master_Data!$AK$4:$AK$145,CONCATENATE($C37,$GX$3),Master_Data!$S$4:$S$145)+SUMIF(Master_Data!$AK$152:$AK$864,CONCATENATE($C37,$GX$3),Master_Data!$S$152:$S$864)</f>
        <v>0</v>
      </c>
      <c r="GS37" s="39">
        <f>SUMIF(Master_Data!$AK$152:$AK$864,CONCATENATE($C37,GX$3),Master_Data!$T$152:$T$864)</f>
        <v>0</v>
      </c>
      <c r="GT37" s="534">
        <f t="shared" si="44"/>
        <v>0</v>
      </c>
      <c r="GU37" s="310" t="e">
        <f t="shared" si="16"/>
        <v>#VALUE!</v>
      </c>
      <c r="GV37" s="23"/>
      <c r="GW37" s="358" t="str">
        <f t="shared" si="69"/>
        <v>MEDCO PAPUA INDUSTRI LESTARI, PTDES</v>
      </c>
      <c r="GX37" s="24"/>
    </row>
    <row r="38" spans="1:206" s="19" customFormat="1">
      <c r="A38" s="21" t="s">
        <v>220</v>
      </c>
      <c r="B38" s="236" t="str">
        <f t="shared" si="18"/>
        <v>MEDITERANIAN MEGA TRAVEL, PTJAN</v>
      </c>
      <c r="C38" s="22" t="s">
        <v>208</v>
      </c>
      <c r="D38" s="228" t="s">
        <v>90</v>
      </c>
      <c r="E38" s="109">
        <f>SUMIF(Master_Data!$D31:$D$145,CONCATENATE(C38),Master_Data!M31:M850)</f>
        <v>0</v>
      </c>
      <c r="F38" s="109">
        <f>SUMIF(Master_Data!$D36:$D$145,CONCATENATE(C38),Master_Data!N36:N226)</f>
        <v>1400000</v>
      </c>
      <c r="G38" s="31"/>
      <c r="H38" s="109">
        <f>SUMIF(Bill_Out!$Q$3:$Q$65,CONCATENATE($C38,$S$3),Bill_Out!$N$3:$N$65)</f>
        <v>0</v>
      </c>
      <c r="I38" s="88">
        <f>SUMIF(Bill_Out!$Q$3:$Q$65,CONCATENATE($C38,$S$3),Bill_Out!$O$3:$O$65)</f>
        <v>0</v>
      </c>
      <c r="J38" s="50"/>
      <c r="K38" s="29"/>
      <c r="L38" s="44"/>
      <c r="M38" s="230">
        <f>SUMIF(Master_Data!$AK35:$AK$145,CONCATENATE(C38,$S$3),Master_Data!U35:U234)+SUMIF(Master_Data!$AK318:$AK$864,CONCATENATE(C38,$S$3),Master_Data!U318:U938)</f>
        <v>0</v>
      </c>
      <c r="N38" s="310">
        <f>SUMIF(Master_Data!$AK$4:$AK$145,CONCATENATE(C38,$S$3),Master_Data!$S$4:$S$145)+SUMIF(Master_Data!$AK$150:$AK$864,CONCATENATE(C38,$S$3),Master_Data!$S$150:$S$864)</f>
        <v>0</v>
      </c>
      <c r="O38" s="310">
        <f>SUMIF(Master_Data!$AK$4:$AK$145,CONCATENATE(C38,$S$3),Master_Data!$T$4:$T$145)+SUMIF(Master_Data!$AK$150:$AK$864,CONCATENATE(C38,$S$3),Master_Data!$T$150:$T$864)</f>
        <v>0</v>
      </c>
      <c r="P38" s="230">
        <f t="shared" si="19"/>
        <v>0</v>
      </c>
      <c r="Q38" s="230">
        <f t="shared" si="20"/>
        <v>1400000</v>
      </c>
      <c r="R38" s="23"/>
      <c r="S38" s="24"/>
      <c r="T38" s="261"/>
      <c r="U38" s="109">
        <f t="shared" si="82"/>
        <v>0</v>
      </c>
      <c r="V38" s="109">
        <f t="shared" si="83"/>
        <v>1400000</v>
      </c>
      <c r="W38" s="31"/>
      <c r="X38" s="109">
        <f>SUMIF(Bill_Out!$Q$67:$Q$132,CONCATENATE($C38,$AJ$3),Bill_Out!$N$67:$N$132)</f>
        <v>0</v>
      </c>
      <c r="Y38" s="109">
        <f>SUMIF(Bill_Out!$Q$67:$Q$132,CONCATENATE($C38,$AJ$3),Bill_Out!$O$67:$O$132)</f>
        <v>0</v>
      </c>
      <c r="Z38" s="50"/>
      <c r="AA38" s="230">
        <f>SUMIF(Master_Data!$AK$4:$AK$145,CONCATENATE(C38,$AJ$3),Master_Data!$R$4:$R$145)+SUMIF(Master_Data!$AK$152:$AK$850,CONCATENATE(C38,$AJ$3),Master_Data!$R$152:$R$850)</f>
        <v>0</v>
      </c>
      <c r="AB38" s="230">
        <f>SUMIF(Master_Data!$AK$4:$AK$145,CONCATENATE(C38,$AJ$3),Master_Data!$Q$4:$Q$145)+SUMIF(Master_Data!$AK$152:$AK$850,CONCATENATE(C38,$AJ$3),Master_Data!$Q$152:$Q$850)</f>
        <v>0</v>
      </c>
      <c r="AC38" s="230">
        <f>SUMIF(Master_Data!$AK$4:$AK$145,CONCATENATE(C38,$AJ$3),Master_Data!$U$4:$U$145)+SUMIF(Master_Data!$AK$152:$AK$850,CONCATENATE(C38,$AJ$3),Master_Data!$U$152:$U$850)</f>
        <v>0</v>
      </c>
      <c r="AD38" s="310">
        <f ca="1">SUMIF(Master_Data!$AK$4:$AK$145,CONCATENATE(C38,$AJ$3),Master_Data!$S$4:$S$145)+SUMIF(Master_Data!$AK$152:$AK$864,CONCATENATE(C38,$AJ$3),Master_Data!$S$152:$S$850)</f>
        <v>0</v>
      </c>
      <c r="AE38" s="310">
        <f>SUMIF(Master_Data!$AK$4:$AK$145,CONCATENATE(C38,$AJ$3),Master_Data!$T$4:$T$145)+SUMIF(Master_Data!$AK$152:$AK$864,CONCATENATE(C38,$AJ$3),Master_Data!$T$152:$T$864)</f>
        <v>0</v>
      </c>
      <c r="AF38" s="230">
        <f t="shared" si="63"/>
        <v>0</v>
      </c>
      <c r="AG38" s="230">
        <f t="shared" ca="1" si="64"/>
        <v>1400000</v>
      </c>
      <c r="AH38" s="23"/>
      <c r="AI38" s="235" t="str">
        <f t="shared" si="86"/>
        <v>MEDITERANIAN MEGA TRAVEL, PTFEB</v>
      </c>
      <c r="AJ38" s="24"/>
      <c r="AK38" s="261"/>
      <c r="AL38" s="109">
        <f t="shared" si="65"/>
        <v>0</v>
      </c>
      <c r="AM38" s="109">
        <f t="shared" ca="1" si="66"/>
        <v>1400000</v>
      </c>
      <c r="AN38" s="31"/>
      <c r="AO38" s="109">
        <f>SUMIF(Bill_Out!$Q$134:$Q$188,CONCATENATE($C38,$BA$3),Bill_Out!$N$134:$N$188)</f>
        <v>0</v>
      </c>
      <c r="AP38" s="109">
        <f>SUMIF(Bill_Out!$Q$134:$Q$188,CONCATENATE($C38,$BA$3),Bill_Out!$O$134:$O$188)</f>
        <v>0</v>
      </c>
      <c r="AQ38" s="50"/>
      <c r="AR38" s="230">
        <f>SUMIF(Master_Data!$AK$4:$AK$145,CONCATENATE(C38,$BA$3),Master_Data!$R$4:$R$145)+SUMIF(Master_Data!$AK$152:$AK$864,CONCATENATE(C38,$BA$3),Master_Data!$R$152:$R$864)</f>
        <v>0</v>
      </c>
      <c r="AS38" s="230">
        <f>SUMIF(Master_Data!$AK$4:$AK$145,CONCATENATE(C38,$BA$3),Master_Data!$Q$4:$Q$145)+SUMIF(Master_Data!$AK$152:$AK$864,CONCATENATE(C38,$BA$3),Master_Data!$Q$152:$Q$864)</f>
        <v>0</v>
      </c>
      <c r="AT38" s="230">
        <f>SUMIF(Master_Data!$AK$4:$AK$145,CONCATENATE(C38,$BA$3),Master_Data!$U$4:$U$145)+SUMIF(Master_Data!$AK$152:$AK$864,CONCATENATE(C38,$BA$3),Master_Data!$U$152:$U$864)</f>
        <v>0</v>
      </c>
      <c r="AU38" s="230">
        <f ca="1">SUMIF(Master_Data!$AK$4:$AK$145,CONCATENATE(C38,$BA$3),Master_Data!$S$4:$S$145)+SUMIF(Master_Data!$AK$152:$AK$864,CONCATENATE(C38,$BA$3),Master_Data!$S$152:$S$850)</f>
        <v>0</v>
      </c>
      <c r="AV38" s="39">
        <f>SUMIF(Master_Data!$AK$152:$AK$864,CONCATENATE($C38,BA$3),Master_Data!$T$152:$T$864)</f>
        <v>0</v>
      </c>
      <c r="AW38" s="230">
        <f t="shared" si="57"/>
        <v>0</v>
      </c>
      <c r="AX38" s="230">
        <f t="shared" ca="1" si="58"/>
        <v>1400000</v>
      </c>
      <c r="AY38" s="23"/>
      <c r="AZ38" s="235" t="str">
        <f t="shared" si="21"/>
        <v>MEDITERANIAN MEGA TRAVEL, PTMAR</v>
      </c>
      <c r="BA38" s="24"/>
      <c r="BB38" s="261"/>
      <c r="BC38" s="109">
        <f t="shared" si="22"/>
        <v>0</v>
      </c>
      <c r="BD38" s="109">
        <f t="shared" ca="1" si="23"/>
        <v>1400000</v>
      </c>
      <c r="BE38" s="31"/>
      <c r="BF38" s="109">
        <f>SUMIF(Bill_Out!$Q$192:$Q$258,CONCATENATE($C38,$BR$3),Bill_Out!$N$192:$N$258)</f>
        <v>0</v>
      </c>
      <c r="BG38" s="109">
        <f>SUMIF(Bill_Out!$Q$192:$Q$258,CONCATENATE($C38,$BR$3),Bill_Out!$O$192:$O$258)</f>
        <v>0</v>
      </c>
      <c r="BH38" s="50"/>
      <c r="BI38" s="230">
        <f>SUMIF(Master_Data!$AK$4:$AK$145,CONCATENATE(C38,$BR$3),Master_Data!$R$4:$R$145)+SUMIF(Master_Data!$AK$152:$AK$864,CONCATENATE(C38,$BR$3),Master_Data!$R$152:$R$864)</f>
        <v>0</v>
      </c>
      <c r="BJ38" s="230">
        <f>SUMIF(Master_Data!$AK$4:$AK$145,CONCATENATE(C38,$BR$3),Master_Data!$Q$4:$Q$145)+SUMIF(Master_Data!$AK$152:$AK$864,CONCATENATE(C38,$BR$3),Master_Data!$Q$152:$Q$864)</f>
        <v>0</v>
      </c>
      <c r="BK38" s="230">
        <f>SUMIF(Master_Data!$AK$4:$AK$145,CONCATENATE(C38,$BR$3),Master_Data!$U$4:$U$145)+SUMIF(Master_Data!$AK$152:$AK$864,CONCATENATE(C38,$BR$3),Master_Data!$U$152:$U$864)</f>
        <v>0</v>
      </c>
      <c r="BL38" s="230">
        <f>SUMIF(Master_Data!$AK$4:$AK$145,CONCATENATE(C38,$BR$3),Master_Data!$S$4:$S$145)+SUMIF(Master_Data!$AK$152:$AK$864,CONCATENATE(C38,$BR$3),Master_Data!$S$152:$S$864)</f>
        <v>0</v>
      </c>
      <c r="BM38" s="39">
        <f>SUMIF(Master_Data!$AK$152:$AK$864,CONCATENATE($C38,BR$3),Master_Data!$T$152:$T$864)</f>
        <v>0</v>
      </c>
      <c r="BN38" s="230">
        <f t="shared" si="24"/>
        <v>0</v>
      </c>
      <c r="BO38" s="230">
        <f t="shared" ca="1" si="25"/>
        <v>1400000</v>
      </c>
      <c r="BP38" s="23"/>
      <c r="BQ38" s="909" t="str">
        <f t="shared" si="26"/>
        <v>MEDITERANIAN MEGA TRAVEL, PTAPR</v>
      </c>
      <c r="BR38" s="24"/>
      <c r="BS38" s="261"/>
      <c r="BT38" s="109">
        <f t="shared" si="78"/>
        <v>0</v>
      </c>
      <c r="BU38" s="109">
        <f t="shared" ca="1" si="79"/>
        <v>1400000</v>
      </c>
      <c r="BV38" s="31"/>
      <c r="BW38" s="109">
        <f>SUMIF(Bill_Out!$Q$263:$Q$314,CONCATENATE($C38,$CI$3),Bill_Out!$N$263:$N$314)</f>
        <v>0</v>
      </c>
      <c r="BX38" s="109">
        <f>SUMIF(Bill_Out!$Q$263:$Q$314,CONCATENATE($C38,$CI$3),Bill_Out!$O$263:$O$314)</f>
        <v>0</v>
      </c>
      <c r="BY38" s="50"/>
      <c r="BZ38" s="310">
        <f>SUMIF(Master_Data!$AK$4:$AK$145,CONCATENATE(C38,$CI$3),Master_Data!$R$4:$R$145)+SUMIF(Master_Data!$AK$152:$AK$864,CONCATENATE(C38,$CI$3),Master_Data!$R$152:$R$864)</f>
        <v>0</v>
      </c>
      <c r="CA38" s="310">
        <f>SUMIF(Master_Data!$AK$4:$AK$145,CONCATENATE(C38,$CI$3),Master_Data!$Q$4:$Q$145)+SUMIF(Master_Data!$AK$152:$AK$864,CONCATENATE(C38,$CI$3),Master_Data!$Q$152:$Q$864)</f>
        <v>0</v>
      </c>
      <c r="CB38" s="310">
        <f>SUMIF(Master_Data!$AK$4:$AK$145,CONCATENATE(C38,$CI$3),Master_Data!$U$4:$U$145)+SUMIF(Master_Data!$AK$152:$AK$864,CONCATENATE(C38,$CI$3),Master_Data!$U$152:$U$864)</f>
        <v>0</v>
      </c>
      <c r="CC38" s="230">
        <f>SUMIF(Master_Data!$AK$4:$AK$145,CONCATENATE(C38,$CI$3),Master_Data!$S$4:$S$145)+SUMIF(Master_Data!$AK$152:$AK$864,CONCATENATE(C38,$CI$3),Master_Data!$S$152:$S$864)</f>
        <v>0</v>
      </c>
      <c r="CD38" s="39">
        <f>SUMIF(Master_Data!$AK$152:$AK$864,CONCATENATE($C38,CI$3),Master_Data!$T$152:$T$864)</f>
        <v>0</v>
      </c>
      <c r="CE38" s="310">
        <f t="shared" si="27"/>
        <v>0</v>
      </c>
      <c r="CF38" s="230">
        <f t="shared" ca="1" si="28"/>
        <v>1400000</v>
      </c>
      <c r="CG38" s="23"/>
      <c r="CH38" s="235" t="str">
        <f t="shared" si="29"/>
        <v>MEDITERANIAN MEGA TRAVEL, PTMEI</v>
      </c>
      <c r="CI38" s="24"/>
      <c r="CJ38" s="261"/>
      <c r="CK38" s="109">
        <f t="shared" si="30"/>
        <v>0</v>
      </c>
      <c r="CL38" s="238">
        <f t="shared" ca="1" si="31"/>
        <v>1400000</v>
      </c>
      <c r="CM38" s="31"/>
      <c r="CN38" s="238">
        <f>SUMIF(Bill_Out!$Q$318:$Q$371,CONCATENATE($C38,$CZ$3),Bill_Out!$N$318:$N$371)</f>
        <v>0</v>
      </c>
      <c r="CO38" s="238">
        <f>SUMIF(Bill_Out!$Q$318:$Q$371,CONCATENATE($C38,$CZ$3),Bill_Out!$O$318:$O$371)</f>
        <v>0</v>
      </c>
      <c r="CP38" s="50"/>
      <c r="CQ38" s="230">
        <f>SUMIF(Master_Data!$AK$4:$AK$145,CONCATENATE($C38,$CZ$3),Master_Data!$R$4:$R$145)+SUMIF(Master_Data!$AK$152:$AK$864,CONCATENATE($C38,$CZ$3),Master_Data!$R$152:$R$864)</f>
        <v>0</v>
      </c>
      <c r="CR38" s="230">
        <f>SUMIF(Master_Data!$AK$4:$AK$145,CONCATENATE($C38,$CZ$3),Master_Data!$Q$4:$Q$145)+SUMIF(Master_Data!$AK$152:$AK$864,CONCATENATE($C38,$CZ$3),Master_Data!$Q$152:$Q$864)</f>
        <v>0</v>
      </c>
      <c r="CS38" s="230">
        <f>SUMIF(Master_Data!$AK$4:$AK$145,CONCATENATE($C38,$CZ$3),Master_Data!$U$4:$U$145)+SUMIF(Master_Data!$AK$152:$AK$864,CONCATENATE($C38,$CZ$3),Master_Data!$U$152:$U$864)</f>
        <v>0</v>
      </c>
      <c r="CT38" s="230">
        <f ca="1">SUMIF(Master_Data!$AK$4:$AK$145,CONCATENATE(C38,$CZ$3),Master_Data!$S$4:$S$145)+SUMIF(Master_Data!$AK$152:$AK$915,CONCATENATE(C38,$CZ$3),Master_Data!$S$152:$S$864)</f>
        <v>0</v>
      </c>
      <c r="CU38" s="1010">
        <f>SUMIF(Master_Data!$AK$4:$AK$145,CONCATENATE(C38,$CZ$3),Master_Data!$T$4:$T$145)+SUMIF(Master_Data!$AK$152:$AK$864,CONCATENATE(C38,$CZ$3),Master_Data!$T$152:$T$864)</f>
        <v>0</v>
      </c>
      <c r="CV38" s="230">
        <f t="shared" si="32"/>
        <v>0</v>
      </c>
      <c r="CW38" s="230">
        <f t="shared" ca="1" si="33"/>
        <v>1400000</v>
      </c>
      <c r="CX38" s="23"/>
      <c r="CY38" s="1007" t="str">
        <f t="shared" si="6"/>
        <v>MEDITERANIAN MEGA TRAVEL, PTJUN</v>
      </c>
      <c r="CZ38" s="24"/>
      <c r="DA38" s="261"/>
      <c r="DB38" s="109">
        <f t="shared" si="34"/>
        <v>0</v>
      </c>
      <c r="DC38" s="109">
        <f t="shared" ca="1" si="35"/>
        <v>1400000</v>
      </c>
      <c r="DD38" s="31"/>
      <c r="DE38" s="109">
        <f>SUMIF(Bill_Out!$Q$375:$Q$422,CONCATENATE($C38,$DQ$3),Bill_Out!$N$375:$N$422)</f>
        <v>0</v>
      </c>
      <c r="DF38" s="109">
        <f>SUMIF(Bill_Out!$Q$375:$Q$422,CONCATENATE($C38,$DQ$3),Bill_Out!$O$375:$O$422)</f>
        <v>0</v>
      </c>
      <c r="DG38" s="50"/>
      <c r="DH38" s="310">
        <f>SUMIF(Master_Data!$AK$4:$AK$145,CONCATENATE($C38,$DQ$3),Master_Data!$R$4:$R$145)+SUMIF(Master_Data!$AK$152:$AK$864,CONCATENATE($C38,$DQ$3),Master_Data!$R$152:$R$864)</f>
        <v>0</v>
      </c>
      <c r="DI38" s="310">
        <f>SUMIF(Master_Data!$AK$4:$AK$145,CONCATENATE($C38,$DQ$3),Master_Data!$Q$4:$Q$145)+SUMIF(Master_Data!$AK$152:$AK$864,CONCATENATE($C38,$DQ$3),Master_Data!$Q$152:$Q$864)</f>
        <v>0</v>
      </c>
      <c r="DJ38" s="310">
        <f>SUMIF(Master_Data!$AK$4:$AK$145,CONCATENATE($C38,$DQ$3),Master_Data!$U$4:$U$145)+SUMIF(Master_Data!$AK$152:$AK$864,CONCATENATE($C38,$DQ$3),Master_Data!$U$152:$U$864)</f>
        <v>0</v>
      </c>
      <c r="DK38" s="310">
        <f>SUMIF(Master_Data!$AK$4:$AK$145,CONCATENATE($C38,$DQ$3),Master_Data!$S$4:$S$145)+SUMIF(Master_Data!$AK$152:$AK$864,CONCATENATE($C38,$DQ$3),Master_Data!$S$152:$S$864)</f>
        <v>0</v>
      </c>
      <c r="DL38" s="39">
        <f>SUMIF(Master_Data!$AK$152:$AK$915,CONCATENATE($C38,DQ$3),Master_Data!$T$152:$T$915)</f>
        <v>0</v>
      </c>
      <c r="DM38" s="230">
        <f t="shared" si="67"/>
        <v>0</v>
      </c>
      <c r="DN38" s="230">
        <f t="shared" ca="1" si="68"/>
        <v>1400000</v>
      </c>
      <c r="DO38" s="23"/>
      <c r="DP38" s="358" t="str">
        <f t="shared" si="9"/>
        <v>MEDITERANIAN MEGA TRAVEL, PTJUL</v>
      </c>
      <c r="DQ38" s="24"/>
      <c r="DR38" s="395"/>
      <c r="DS38" s="109">
        <f t="shared" si="36"/>
        <v>0</v>
      </c>
      <c r="DT38" s="109">
        <f t="shared" ca="1" si="37"/>
        <v>1400000</v>
      </c>
      <c r="DU38" s="31"/>
      <c r="DV38" s="109">
        <f>SUMIF(Bill_Out!$Q$426:$Q$472,CONCATENATE($C38,$EH$3),Bill_Out!$N$426:$N$472)</f>
        <v>0</v>
      </c>
      <c r="DW38" s="109">
        <f>SUMIF(Bill_Out!$Q$426:$Q$472,CONCATENATE($C38,$EH$3),Bill_Out!$O$426:$O$472)</f>
        <v>0</v>
      </c>
      <c r="DX38" s="50"/>
      <c r="DY38" s="310">
        <f>SUMIF(Master_Data!$AK$4:$AK$145,CONCATENATE($C38,$EH$3),Master_Data!$R$4:$R$145)+SUMIF(Master_Data!$AK$152:$AK$864,CONCATENATE($C38,$EH$3),Master_Data!$R$152:$R$864)</f>
        <v>0</v>
      </c>
      <c r="DZ38" s="310">
        <f>SUMIF(Master_Data!$AK$4:$AK$145,CONCATENATE($C38,$EH$3),Master_Data!$Q$4:$Q$145)+SUMIF(Master_Data!$AK$152:$AK$864,CONCATENATE($C38,$EH$3),Master_Data!$Q$152:$Q$864)</f>
        <v>0</v>
      </c>
      <c r="EA38" s="310">
        <f>SUMIF(Master_Data!$AK$4:$AK$145,CONCATENATE($C38,$EH$3),Master_Data!$U$4:$U$145)+SUMIF(Master_Data!$AK$152:$AK$864,CONCATENATE($C38,$EH$3),Master_Data!$U$152:$U$864)</f>
        <v>0</v>
      </c>
      <c r="EB38" s="310">
        <f>SUMIF(Master_Data!$AK$4:$AK$145,CONCATENATE($C38,$EH$3),Master_Data!$S$4:$S$145)+SUMIF(Master_Data!$AK$152:$AK$864,CONCATENATE($C38,$EH$3),Master_Data!$S$152:$S$864)</f>
        <v>0</v>
      </c>
      <c r="EC38" s="39">
        <f>SUMIF(Master_Data!$AK$152:$AK$915,CONCATENATE($C38,EH$3),Master_Data!$T$152:$T$915)</f>
        <v>0</v>
      </c>
      <c r="ED38" s="310">
        <f t="shared" si="38"/>
        <v>0</v>
      </c>
      <c r="EE38" s="230">
        <f t="shared" ca="1" si="39"/>
        <v>1400000</v>
      </c>
      <c r="EF38" s="23"/>
      <c r="EG38" s="358" t="str">
        <f t="shared" si="10"/>
        <v>MEDITERANIAN MEGA TRAVEL, PTAGS</v>
      </c>
      <c r="EH38" s="24"/>
      <c r="EI38" s="395"/>
      <c r="EJ38" s="109">
        <f t="shared" si="47"/>
        <v>0</v>
      </c>
      <c r="EK38" s="109">
        <f t="shared" ca="1" si="48"/>
        <v>1400000</v>
      </c>
      <c r="EL38" s="84"/>
      <c r="EM38" s="109">
        <f>SUMIF(Bill_Out!$Q$476:$Q$530,CONCATENATE($C38,$EY$3),Bill_Out!$N$476:$N$530)</f>
        <v>0</v>
      </c>
      <c r="EN38" s="109">
        <f>SUMIF(Bill_Out!$Q$476:$Q$530,CONCATENATE($C38,$EY$3),Bill_Out!$O$476:$O$530)</f>
        <v>0</v>
      </c>
      <c r="EO38" s="309"/>
      <c r="EP38" s="310">
        <f>SUMIF(Master_Data!$AK$4:$AK$145,CONCATENATE($C38,$EY$3),Master_Data!$R$4:$R$145)+SUMIF(Master_Data!$AK$152:$AK$864,CONCATENATE($C38,$EY$3),Master_Data!$R$152:$R$864)</f>
        <v>0</v>
      </c>
      <c r="EQ38" s="310">
        <f>SUMIF(Master_Data!$AK$4:$AK$145,CONCATENATE($C38,$EY$3),Master_Data!$Q$4:$Q$145)+SUMIF(Master_Data!$AK$152:$AK$864,CONCATENATE($C38,$EY$3),Master_Data!$Q$152:$Q$864)</f>
        <v>0</v>
      </c>
      <c r="ER38" s="310">
        <f>SUMIF(Master_Data!$AK$4:$AK$145,CONCATENATE($C38,$EY$3),Master_Data!$U$4:$U$145)+SUMIF(Master_Data!$AK$152:$AK$864,CONCATENATE($C38,$EY$3),Master_Data!$U$152:$U$864)</f>
        <v>0</v>
      </c>
      <c r="ES38" s="310">
        <f>SUMIF(Master_Data!$AK$4:$AK$145,CONCATENATE($C38,$EY$3),Master_Data!$S$4:$S$145)+SUMIF(Master_Data!$AK$152:$AK$864,CONCATENATE($C38,$EY$3),Master_Data!$S$152:$S$864)</f>
        <v>0</v>
      </c>
      <c r="ET38" s="39">
        <f>SUMIF(Master_Data!$AK$152:$AK$915,CONCATENATE($C38,EY$3),Master_Data!$T$152:$T$915)</f>
        <v>0</v>
      </c>
      <c r="EU38" s="310">
        <f t="shared" si="49"/>
        <v>0</v>
      </c>
      <c r="EV38" s="230"/>
      <c r="EW38" s="84"/>
      <c r="EX38" s="358" t="str">
        <f t="shared" si="11"/>
        <v>MEDITERANIAN MEGA TRAVEL, PTSEP</v>
      </c>
      <c r="EY38" s="24"/>
      <c r="EZ38" s="414"/>
      <c r="FA38" s="109">
        <f t="shared" si="41"/>
        <v>0</v>
      </c>
      <c r="FB38" s="109">
        <f t="shared" si="84"/>
        <v>0</v>
      </c>
      <c r="FC38" s="420"/>
      <c r="FD38" s="109">
        <f>SUMIF(Bill_Out!$Q$534:$Q$606,CONCATENATE($C38,$FP$3),Bill_Out!$N$534:$N$606)</f>
        <v>0</v>
      </c>
      <c r="FE38" s="109">
        <f>SUMIF(Bill_Out!$Q$534:$Q$606,CONCATENATE($C38,$FP$3),Bill_Out!$O$534:$O$606)</f>
        <v>0</v>
      </c>
      <c r="FF38" s="50"/>
      <c r="FG38" s="310">
        <f>SUMIF(Master_Data!$AK$4:$AK$145,CONCATENATE($C38,$FP$3),Master_Data!$R$4:$R$145)+SUMIF(Master_Data!$AK$152:$AK$864,CONCATENATE($C38,$FP$3),Master_Data!$R$152:$R$864)</f>
        <v>0</v>
      </c>
      <c r="FH38" s="310">
        <f>SUMIF(Master_Data!$AK$4:$AK$145,CONCATENATE($C38,$FP$3),Master_Data!$Q$4:$Q$145)+SUMIF(Master_Data!$AK$152:$AK$864,CONCATENATE($C38,$FP$3),Master_Data!$Q$152:$Q$864)</f>
        <v>0</v>
      </c>
      <c r="FI38" s="310">
        <f>SUMIF(Master_Data!$AK$4:$AK$145,CONCATENATE($C38,$FP$3),Master_Data!$U$4:$U$145)+SUMIF(Master_Data!$AK$152:$AK$864,CONCATENATE($C38,$FP$3),Master_Data!$U$152:$U$864)</f>
        <v>0</v>
      </c>
      <c r="FJ38" s="310">
        <f>SUMIF(Master_Data!$AK$4:$AK$145,CONCATENATE($C38,$FP$3),Master_Data!$S$4:$S$145)+SUMIF(Master_Data!$AK$152:$AK$864,CONCATENATE($C38,$FP$3),Master_Data!$S$152:$S$864)</f>
        <v>0</v>
      </c>
      <c r="FK38" s="39">
        <f>SUMIF(Master_Data!$AK$152:$AK$915,CONCATENATE($C38,FP$3),Master_Data!$T$152:$T$915)</f>
        <v>0</v>
      </c>
      <c r="FL38" s="230">
        <f t="shared" si="85"/>
        <v>0</v>
      </c>
      <c r="FM38" s="230">
        <f t="shared" si="12"/>
        <v>0</v>
      </c>
      <c r="FN38" s="23"/>
      <c r="FO38" s="358" t="str">
        <f t="shared" si="80"/>
        <v>MEDITERANIAN MEGA TRAVEL, PTOKT</v>
      </c>
      <c r="FP38" s="24"/>
      <c r="FQ38" s="414"/>
      <c r="FR38" s="109">
        <f t="shared" si="42"/>
        <v>0</v>
      </c>
      <c r="FS38" s="109">
        <f t="shared" si="74"/>
        <v>0</v>
      </c>
      <c r="FT38" s="420"/>
      <c r="FU38" s="109">
        <f>SUMIF(Bill_Out!$Q$610:$Q$675,CONCATENATE($C38,$GG$3),Bill_Out!$N$610:$N$675)</f>
        <v>0</v>
      </c>
      <c r="FV38" s="109">
        <f>SUMIF(Bill_Out!$Q$610:$Q$675,CONCATENATE($C38,$GG$3),Bill_Out!$O$610:$O$675)</f>
        <v>0</v>
      </c>
      <c r="FW38" s="50"/>
      <c r="FX38" s="512">
        <f>SUMIF(Master_Data!$AK$4:$AK$145,CONCATENATE($C38,$GG$3),Master_Data!$R$4:$R$145)+SUMIF(Master_Data!$AK$152:$AK$864,CONCATENATE($C38,$GG$3),Master_Data!$R$152:$R$864)</f>
        <v>0</v>
      </c>
      <c r="FY38" s="512">
        <f>SUMIF(Master_Data!$AK$4:$AK$145,CONCATENATE($C38,$GG$3),Master_Data!$Q$4:$Q$145)+SUMIF(Master_Data!$AK$152:$AK$864,CONCATENATE($C38,$GG$3),Master_Data!$Q$152:$Q$864)</f>
        <v>0</v>
      </c>
      <c r="FZ38" s="512">
        <f>SUMIF(Master_Data!$AK$4:$AK$145,CONCATENATE($C38,$GG$3),Master_Data!$U$4:$U$145)+SUMIF(Master_Data!$AK$152:$AK$864,CONCATENATE($C38,$GG$3),Master_Data!$U$152:$U$864)</f>
        <v>0</v>
      </c>
      <c r="GA38" s="310">
        <f>SUMIF(Master_Data!$AK$4:$AK$145,CONCATENATE($C38,$GG$3),Master_Data!$S$4:$S$145)+SUMIF(Master_Data!$AK$152:$AK$864,CONCATENATE($C38,$GG$3),Master_Data!$S$152:$S$864)</f>
        <v>0</v>
      </c>
      <c r="GB38" s="39">
        <f>SUMIF(Master_Data!$AK$152:$AK$915,CONCATENATE($C38,GG$3),Master_Data!$T$152:$T$915)</f>
        <v>0</v>
      </c>
      <c r="GC38" s="230">
        <f t="shared" si="77"/>
        <v>0</v>
      </c>
      <c r="GD38" s="230">
        <f t="shared" si="14"/>
        <v>0</v>
      </c>
      <c r="GE38" s="23"/>
      <c r="GF38" s="358" t="str">
        <f t="shared" si="81"/>
        <v>MEDITERANIAN MEGA TRAVEL, PTNOV</v>
      </c>
      <c r="GG38" s="24"/>
      <c r="GH38" s="414" t="s">
        <v>90</v>
      </c>
      <c r="GI38" s="109">
        <f t="shared" si="70"/>
        <v>0</v>
      </c>
      <c r="GJ38" s="109">
        <f t="shared" si="71"/>
        <v>0</v>
      </c>
      <c r="GK38" s="423"/>
      <c r="GL38" s="109">
        <f>SUMIF(Bill_Out!$Q$679:$Q$756,CONCATENATE($C38,$GX$3),Bill_Out!$N$679:$N$756)</f>
        <v>0</v>
      </c>
      <c r="GM38" s="109">
        <f>SUMIF(Bill_Out!$Q$679:$Q$756,CONCATENATE($C38,$GX$3),Bill_Out!$O$679:$O$756)</f>
        <v>0</v>
      </c>
      <c r="GN38" s="50"/>
      <c r="GO38" s="512">
        <f>SUMIF(Master_Data!$AK$4:$AK$145,CONCATENATE($C38,$GX$3),Master_Data!$R$4:$R$145)+SUMIF(Master_Data!$AK$152:$AK$864,CONCATENATE($C38,$GX$3),Master_Data!$R$152:$R$864)</f>
        <v>0</v>
      </c>
      <c r="GP38" s="512">
        <f>SUMIF(Master_Data!$AK$4:$AK$145,CONCATENATE($C38,$GX$3),Master_Data!$Q$4:$Q$145)+SUMIF(Master_Data!$AK$152:$AK$864,CONCATENATE($C38,$GX$3),Master_Data!$Q$152:$Q$864)</f>
        <v>0</v>
      </c>
      <c r="GQ38" s="512">
        <f>SUMIF(Master_Data!$AK$4:$AK$145,CONCATENATE($C38,$GX$3),Master_Data!$U$4:$U$145)+SUMIF(Master_Data!$AK$152:$AK$864,CONCATENATE($C38,$GX$3),Master_Data!$U$152:$U$864)</f>
        <v>0</v>
      </c>
      <c r="GR38" s="310">
        <f>SUMIF(Master_Data!$AK$4:$AK$145,CONCATENATE($C38,$GX$3),Master_Data!$S$4:$S$145)+SUMIF(Master_Data!$AK$152:$AK$864,CONCATENATE($C38,$GX$3),Master_Data!$S$152:$S$864)</f>
        <v>0</v>
      </c>
      <c r="GS38" s="39">
        <f>SUMIF(Master_Data!$AK$152:$AK$864,CONCATENATE($C38,GX$3),Master_Data!$T$152:$T$864)</f>
        <v>0</v>
      </c>
      <c r="GT38" s="534">
        <f t="shared" si="44"/>
        <v>0</v>
      </c>
      <c r="GU38" s="310">
        <f t="shared" si="16"/>
        <v>0</v>
      </c>
      <c r="GV38" s="23"/>
      <c r="GW38" s="358" t="str">
        <f t="shared" si="69"/>
        <v>MEDITERANIAN MEGA TRAVEL, PTDES</v>
      </c>
      <c r="GX38" s="24"/>
    </row>
    <row r="39" spans="1:206" s="19" customFormat="1">
      <c r="A39" s="328" t="s">
        <v>221</v>
      </c>
      <c r="B39" s="236" t="str">
        <f t="shared" si="18"/>
        <v>METALINDO BUMI RAYA, PTJAN</v>
      </c>
      <c r="C39" s="22" t="s">
        <v>133</v>
      </c>
      <c r="D39" s="52"/>
      <c r="E39" s="109">
        <f>SUMIF(Master_Data!$D31:$D$145,CONCATENATE(C39),Master_Data!M31:M850)</f>
        <v>0</v>
      </c>
      <c r="F39" s="109">
        <f>SUMIF(Master_Data!$D37:$D$145,CONCATENATE(C39),Master_Data!N37:N227)</f>
        <v>31891188.175000001</v>
      </c>
      <c r="G39" s="31"/>
      <c r="H39" s="109">
        <f>SUMIF(Bill_Out!$Q$3:$Q$65,CONCATENATE($C39,$S$3),Bill_Out!$N$3:$N$65)</f>
        <v>0</v>
      </c>
      <c r="I39" s="88" t="e">
        <f>SUMIF(Bill_Out!$Q$3:$Q$65,CONCATENATE($C39,$S$3),Bill_Out!$O$3:$O$65)</f>
        <v>#VALUE!</v>
      </c>
      <c r="J39" s="50"/>
      <c r="K39" s="29"/>
      <c r="L39" s="44"/>
      <c r="M39" s="230">
        <f>SUMIF(Master_Data!$AK36:$AK$145,CONCATENATE(C39,$S$3),Master_Data!U36:U235)+SUMIF(Master_Data!$AK319:$AK$864,CONCATENATE(C39,$S$3),Master_Data!U319:U947)</f>
        <v>31311348</v>
      </c>
      <c r="N39" s="310">
        <f>SUMIF(Master_Data!$AK$4:$AK$145,CONCATENATE(C39,$S$3),Master_Data!$S$4:$S$145)+SUMIF(Master_Data!$AK$150:$AK$864,CONCATENATE(C39,$S$3),Master_Data!$S$150:$S$864)</f>
        <v>0</v>
      </c>
      <c r="O39" s="310">
        <f>SUMIF(Master_Data!$AK$4:$AK$145,CONCATENATE(C39,$S$3),Master_Data!$T$4:$T$145)+SUMIF(Master_Data!$AK$150:$AK$864,CONCATENATE(C39,$S$3),Master_Data!$T$150:$T$864)</f>
        <v>-579839.78500000003</v>
      </c>
      <c r="P39" s="230">
        <f t="shared" si="19"/>
        <v>0</v>
      </c>
      <c r="Q39" s="230" t="e">
        <f t="shared" si="20"/>
        <v>#VALUE!</v>
      </c>
      <c r="R39" s="23"/>
      <c r="S39" s="24"/>
      <c r="T39" s="259"/>
      <c r="U39" s="109">
        <f t="shared" si="82"/>
        <v>0</v>
      </c>
      <c r="V39" s="109" t="e">
        <f t="shared" si="83"/>
        <v>#VALUE!</v>
      </c>
      <c r="W39" s="31"/>
      <c r="X39" s="109">
        <f>SUMIF(Bill_Out!$Q$67:$Q$132,CONCATENATE($C39,$AJ$3),Bill_Out!$N$67:$N$132)</f>
        <v>0</v>
      </c>
      <c r="Y39" s="109" t="e">
        <f>SUMIF(Bill_Out!$Q$67:$Q$132,CONCATENATE($C39,$AJ$3),Bill_Out!$O$67:$O$132)</f>
        <v>#VALUE!</v>
      </c>
      <c r="Z39" s="50"/>
      <c r="AA39" s="230">
        <f>SUMIF(Master_Data!$AK$4:$AK$145,CONCATENATE(C39,$AJ$3),Master_Data!$R$4:$R$145)+SUMIF(Master_Data!$AK$152:$AK$850,CONCATENATE(C39,$AJ$3),Master_Data!$R$152:$R$850)</f>
        <v>0</v>
      </c>
      <c r="AB39" s="230">
        <f>SUMIF(Master_Data!$AK$4:$AK$145,CONCATENATE(C39,$AJ$3),Master_Data!$Q$4:$Q$145)+SUMIF(Master_Data!$AK$152:$AK$850,CONCATENATE(C39,$AJ$3),Master_Data!$Q$152:$Q$850)</f>
        <v>0</v>
      </c>
      <c r="AC39" s="230">
        <f>SUMIF(Master_Data!$AK$4:$AK$145,CONCATENATE(C39,$AJ$3),Master_Data!$U$4:$U$145)+SUMIF(Master_Data!$AK$152:$AK$850,CONCATENATE(C39,$AJ$3),Master_Data!$U$152:$U$850)</f>
        <v>32400000</v>
      </c>
      <c r="AD39" s="310">
        <f ca="1">SUMIF(Master_Data!$AK$4:$AK$145,CONCATENATE(C39,$AJ$3),Master_Data!$S$4:$S$145)+SUMIF(Master_Data!$AK$152:$AK$864,CONCATENATE(C39,$AJ$3),Master_Data!$S$152:$S$850)</f>
        <v>0</v>
      </c>
      <c r="AE39" s="310">
        <f>SUMIF(Master_Data!$AK$4:$AK$145,CONCATENATE(C39,$AJ$3),Master_Data!$T$4:$T$145)+SUMIF(Master_Data!$AK$152:$AK$864,CONCATENATE(C39,$AJ$3),Master_Data!$T$152:$T$864)</f>
        <v>-600000</v>
      </c>
      <c r="AF39" s="230">
        <f t="shared" si="63"/>
        <v>0</v>
      </c>
      <c r="AG39" s="230" t="e">
        <f t="shared" ca="1" si="64"/>
        <v>#VALUE!</v>
      </c>
      <c r="AH39" s="23"/>
      <c r="AI39" s="235" t="str">
        <f t="shared" si="86"/>
        <v>METALINDO BUMI RAYA, PTFEB</v>
      </c>
      <c r="AJ39" s="24"/>
      <c r="AK39" s="259"/>
      <c r="AL39" s="109">
        <f t="shared" si="65"/>
        <v>0</v>
      </c>
      <c r="AM39" s="109" t="e">
        <f t="shared" ca="1" si="66"/>
        <v>#VALUE!</v>
      </c>
      <c r="AN39" s="31"/>
      <c r="AO39" s="109">
        <f>SUMIF(Bill_Out!$Q$134:$Q$188,CONCATENATE($C39,$BA$3),Bill_Out!$N$134:$N$188)</f>
        <v>0</v>
      </c>
      <c r="AP39" s="109" t="e">
        <f>SUMIF(Bill_Out!$Q$134:$Q$188,CONCATENATE($C39,$BA$3),Bill_Out!$O$134:$O$188)</f>
        <v>#VALUE!</v>
      </c>
      <c r="AQ39" s="50"/>
      <c r="AR39" s="230">
        <f>SUMIF(Master_Data!$AK$4:$AK$145,CONCATENATE(C39,$BA$3),Master_Data!$R$4:$R$145)+SUMIF(Master_Data!$AK$152:$AK$864,CONCATENATE(C39,$BA$3),Master_Data!$R$152:$R$864)</f>
        <v>0</v>
      </c>
      <c r="AS39" s="230">
        <f>SUMIF(Master_Data!$AK$4:$AK$145,CONCATENATE(C39,$BA$3),Master_Data!$Q$4:$Q$145)+SUMIF(Master_Data!$AK$152:$AK$864,CONCATENATE(C39,$BA$3),Master_Data!$Q$152:$Q$864)</f>
        <v>0</v>
      </c>
      <c r="AT39" s="230">
        <f>SUMIF(Master_Data!$AK$4:$AK$145,CONCATENATE(C39,$BA$3),Master_Data!$U$4:$U$145)+SUMIF(Master_Data!$AK$152:$AK$864,CONCATENATE(C39,$BA$3),Master_Data!$U$152:$U$864)</f>
        <v>32400000</v>
      </c>
      <c r="AU39" s="230">
        <f ca="1">SUMIF(Master_Data!$AK$4:$AK$145,CONCATENATE(C39,$BA$3),Master_Data!$S$4:$S$145)+SUMIF(Master_Data!$AK$152:$AK$864,CONCATENATE(C39,$BA$3),Master_Data!$S$152:$S$850)</f>
        <v>0</v>
      </c>
      <c r="AV39" s="39">
        <f>SUMIF(Master_Data!$AK$152:$AK$864,CONCATENATE($C39,BA$3),Master_Data!$T$152:$T$864)</f>
        <v>-600000</v>
      </c>
      <c r="AW39" s="230">
        <f t="shared" si="57"/>
        <v>0</v>
      </c>
      <c r="AX39" s="230" t="e">
        <f t="shared" ca="1" si="58"/>
        <v>#VALUE!</v>
      </c>
      <c r="AY39" s="23"/>
      <c r="AZ39" s="235" t="str">
        <f t="shared" si="21"/>
        <v>METALINDO BUMI RAYA, PTMAR</v>
      </c>
      <c r="BA39" s="24"/>
      <c r="BB39" s="259"/>
      <c r="BC39" s="109">
        <f t="shared" si="22"/>
        <v>0</v>
      </c>
      <c r="BD39" s="109" t="e">
        <f t="shared" ca="1" si="23"/>
        <v>#VALUE!</v>
      </c>
      <c r="BE39" s="31"/>
      <c r="BF39" s="109">
        <f>SUMIF(Bill_Out!$Q$192:$Q$258,CONCATENATE($C39,$BR$3),Bill_Out!$N$192:$N$258)</f>
        <v>0</v>
      </c>
      <c r="BG39" s="109" t="e">
        <f>SUMIF(Bill_Out!$Q$192:$Q$258,CONCATENATE($C39,$BR$3),Bill_Out!$O$192:$O$258)</f>
        <v>#VALUE!</v>
      </c>
      <c r="BH39" s="50"/>
      <c r="BI39" s="230">
        <f>SUMIF(Master_Data!$AK$4:$AK$145,CONCATENATE(C39,$BR$3),Master_Data!$R$4:$R$145)+SUMIF(Master_Data!$AK$152:$AK$864,CONCATENATE(C39,$BR$3),Master_Data!$R$152:$R$864)</f>
        <v>0</v>
      </c>
      <c r="BJ39" s="230">
        <f>SUMIF(Master_Data!$AK$4:$AK$145,CONCATENATE(C39,$BR$3),Master_Data!$Q$4:$Q$145)+SUMIF(Master_Data!$AK$152:$AK$864,CONCATENATE(C39,$BR$3),Master_Data!$Q$152:$Q$864)</f>
        <v>0</v>
      </c>
      <c r="BK39" s="230">
        <f>SUMIF(Master_Data!$AK$4:$AK$145,CONCATENATE(C39,$BR$3),Master_Data!$U$4:$U$145)+SUMIF(Master_Data!$AK$152:$AK$864,CONCATENATE(C39,$BR$3),Master_Data!$U$152:$U$864)</f>
        <v>32400000</v>
      </c>
      <c r="BL39" s="230">
        <f>SUMIF(Master_Data!$AK$4:$AK$145,CONCATENATE(C39,$BR$3),Master_Data!$S$4:$S$145)+SUMIF(Master_Data!$AK$152:$AK$864,CONCATENATE(C39,$BR$3),Master_Data!$S$152:$S$864)</f>
        <v>0</v>
      </c>
      <c r="BM39" s="39">
        <f>SUMIF(Master_Data!$AK$152:$AK$864,CONCATENATE($C39,BR$3),Master_Data!$T$152:$T$864)</f>
        <v>-600000</v>
      </c>
      <c r="BN39" s="230">
        <f t="shared" si="24"/>
        <v>0</v>
      </c>
      <c r="BO39" s="230" t="e">
        <f t="shared" ca="1" si="25"/>
        <v>#VALUE!</v>
      </c>
      <c r="BP39" s="23"/>
      <c r="BQ39" s="909" t="str">
        <f t="shared" si="26"/>
        <v>METALINDO BUMI RAYA, PTAPR</v>
      </c>
      <c r="BR39" s="24"/>
      <c r="BS39" s="259"/>
      <c r="BT39" s="109">
        <f t="shared" si="78"/>
        <v>0</v>
      </c>
      <c r="BU39" s="109" t="e">
        <f t="shared" ca="1" si="79"/>
        <v>#VALUE!</v>
      </c>
      <c r="BV39" s="31"/>
      <c r="BW39" s="109">
        <f>SUMIF(Bill_Out!$Q$263:$Q$314,CONCATENATE($C39,$CI$3),Bill_Out!$N$263:$N$314)</f>
        <v>0</v>
      </c>
      <c r="BX39" s="109" t="e">
        <f>SUMIF(Bill_Out!$Q$263:$Q$314,CONCATENATE($C39,$CI$3),Bill_Out!$O$263:$O$314)</f>
        <v>#VALUE!</v>
      </c>
      <c r="BY39" s="50"/>
      <c r="BZ39" s="310">
        <f>SUMIF(Master_Data!$AK$4:$AK$145,CONCATENATE(C39,$CI$3),Master_Data!$R$4:$R$145)+SUMIF(Master_Data!$AK$152:$AK$864,CONCATENATE(C39,$CI$3),Master_Data!$R$152:$R$864)</f>
        <v>0</v>
      </c>
      <c r="CA39" s="310">
        <f>SUMIF(Master_Data!$AK$4:$AK$145,CONCATENATE(C39,$CI$3),Master_Data!$Q$4:$Q$145)+SUMIF(Master_Data!$AK$152:$AK$864,CONCATENATE(C39,$CI$3),Master_Data!$Q$152:$Q$864)</f>
        <v>0</v>
      </c>
      <c r="CB39" s="310">
        <f>SUMIF(Master_Data!$AK$4:$AK$145,CONCATENATE(C39,$CI$3),Master_Data!$U$4:$U$145)+SUMIF(Master_Data!$AK$152:$AK$864,CONCATENATE(C39,$CI$3),Master_Data!$U$152:$U$864)</f>
        <v>32400000</v>
      </c>
      <c r="CC39" s="230">
        <f>SUMIF(Master_Data!$AK$4:$AK$145,CONCATENATE(C39,$CI$3),Master_Data!$S$4:$S$145)+SUMIF(Master_Data!$AK$152:$AK$864,CONCATENATE(C39,$CI$3),Master_Data!$S$152:$S$864)</f>
        <v>0</v>
      </c>
      <c r="CD39" s="39">
        <f>SUMIF(Master_Data!$AK$152:$AK$864,CONCATENATE($C39,CI$3),Master_Data!$T$152:$T$864)</f>
        <v>-600000</v>
      </c>
      <c r="CE39" s="310">
        <f t="shared" si="27"/>
        <v>0</v>
      </c>
      <c r="CF39" s="230" t="e">
        <f t="shared" ca="1" si="28"/>
        <v>#VALUE!</v>
      </c>
      <c r="CG39" s="23"/>
      <c r="CH39" s="235" t="str">
        <f t="shared" si="29"/>
        <v>METALINDO BUMI RAYA, PTMEI</v>
      </c>
      <c r="CI39" s="24"/>
      <c r="CJ39" s="259"/>
      <c r="CK39" s="109">
        <f t="shared" si="30"/>
        <v>0</v>
      </c>
      <c r="CL39" s="238" t="e">
        <f t="shared" ca="1" si="31"/>
        <v>#VALUE!</v>
      </c>
      <c r="CM39" s="31"/>
      <c r="CN39" s="238">
        <f>SUMIF(Bill_Out!$Q$318:$Q$371,CONCATENATE($C39,$CZ$3),Bill_Out!$N$318:$N$371)</f>
        <v>0</v>
      </c>
      <c r="CO39" s="238" t="e">
        <f>SUMIF(Bill_Out!$Q$318:$Q$371,CONCATENATE($C39,$CZ$3),Bill_Out!$O$318:$O$371)</f>
        <v>#VALUE!</v>
      </c>
      <c r="CP39" s="50"/>
      <c r="CQ39" s="230">
        <f>SUMIF(Master_Data!$AK$4:$AK$145,CONCATENATE($C39,$CZ$3),Master_Data!$R$4:$R$145)+SUMIF(Master_Data!$AK$152:$AK$864,CONCATENATE($C39,$CZ$3),Master_Data!$R$152:$R$864)</f>
        <v>0</v>
      </c>
      <c r="CR39" s="230">
        <f>SUMIF(Master_Data!$AK$4:$AK$145,CONCATENATE($C39,$CZ$3),Master_Data!$Q$4:$Q$145)+SUMIF(Master_Data!$AK$152:$AK$864,CONCATENATE($C39,$CZ$3),Master_Data!$Q$152:$Q$864)</f>
        <v>0</v>
      </c>
      <c r="CS39" s="230">
        <f>SUMIF(Master_Data!$AK$4:$AK$145,CONCATENATE($C39,$CZ$3),Master_Data!$U$4:$U$145)+SUMIF(Master_Data!$AK$152:$AK$864,CONCATENATE($C39,$CZ$3),Master_Data!$U$152:$U$864)</f>
        <v>32400000</v>
      </c>
      <c r="CT39" s="230">
        <f ca="1">SUMIF(Master_Data!$AK$4:$AK$145,CONCATENATE(C39,$CZ$3),Master_Data!$S$4:$S$145)+SUMIF(Master_Data!$AK$152:$AK$915,CONCATENATE(C39,$CZ$3),Master_Data!$S$152:$S$864)</f>
        <v>0</v>
      </c>
      <c r="CU39" s="1010">
        <f>SUMIF(Master_Data!$AK$4:$AK$145,CONCATENATE(C39,$CZ$3),Master_Data!$T$4:$T$145)+SUMIF(Master_Data!$AK$152:$AK$864,CONCATENATE(C39,$CZ$3),Master_Data!$T$152:$T$864)</f>
        <v>-600000</v>
      </c>
      <c r="CV39" s="230">
        <f t="shared" si="32"/>
        <v>0</v>
      </c>
      <c r="CW39" s="230" t="e">
        <f t="shared" ca="1" si="33"/>
        <v>#VALUE!</v>
      </c>
      <c r="CX39" s="23"/>
      <c r="CY39" s="1007" t="str">
        <f t="shared" si="6"/>
        <v>METALINDO BUMI RAYA, PTJUN</v>
      </c>
      <c r="CZ39" s="24"/>
      <c r="DA39" s="259"/>
      <c r="DB39" s="109">
        <f t="shared" si="34"/>
        <v>0</v>
      </c>
      <c r="DC39" s="109" t="e">
        <f t="shared" ca="1" si="35"/>
        <v>#VALUE!</v>
      </c>
      <c r="DD39" s="31"/>
      <c r="DE39" s="109">
        <f>SUMIF(Bill_Out!$Q$375:$Q$422,CONCATENATE($C39,$DQ$3),Bill_Out!$N$375:$N$422)</f>
        <v>0</v>
      </c>
      <c r="DF39" s="109" t="e">
        <f>SUMIF(Bill_Out!$Q$375:$Q$422,CONCATENATE($C39,$DQ$3),Bill_Out!$O$375:$O$422)</f>
        <v>#VALUE!</v>
      </c>
      <c r="DG39" s="50"/>
      <c r="DH39" s="310">
        <f>SUMIF(Master_Data!$AK$4:$AK$145,CONCATENATE($C39,$DQ$3),Master_Data!$R$4:$R$145)+SUMIF(Master_Data!$AK$152:$AK$864,CONCATENATE($C39,$DQ$3),Master_Data!$R$152:$R$864)</f>
        <v>0</v>
      </c>
      <c r="DI39" s="310">
        <f>SUMIF(Master_Data!$AK$4:$AK$145,CONCATENATE($C39,$DQ$3),Master_Data!$Q$4:$Q$145)+SUMIF(Master_Data!$AK$152:$AK$864,CONCATENATE($C39,$DQ$3),Master_Data!$Q$152:$Q$864)</f>
        <v>0</v>
      </c>
      <c r="DJ39" s="310">
        <f>SUMIF(Master_Data!$AK$4:$AK$145,CONCATENATE($C39,$DQ$3),Master_Data!$U$4:$U$145)+SUMIF(Master_Data!$AK$152:$AK$864,CONCATENATE($C39,$DQ$3),Master_Data!$U$152:$U$864)</f>
        <v>32400000</v>
      </c>
      <c r="DK39" s="310">
        <f>SUMIF(Master_Data!$AK$4:$AK$145,CONCATENATE($C39,$DQ$3),Master_Data!$S$4:$S$145)+SUMIF(Master_Data!$AK$152:$AK$864,CONCATENATE($C39,$DQ$3),Master_Data!$S$152:$S$864)</f>
        <v>0</v>
      </c>
      <c r="DL39" s="39">
        <f>SUMIF(Master_Data!$AK$152:$AK$915,CONCATENATE($C39,DQ$3),Master_Data!$T$152:$T$915)</f>
        <v>-600000</v>
      </c>
      <c r="DM39" s="230">
        <f t="shared" si="67"/>
        <v>0</v>
      </c>
      <c r="DN39" s="230" t="e">
        <f t="shared" ca="1" si="68"/>
        <v>#VALUE!</v>
      </c>
      <c r="DO39" s="23"/>
      <c r="DP39" s="358" t="str">
        <f t="shared" si="9"/>
        <v>METALINDO BUMI RAYA, PTJUL</v>
      </c>
      <c r="DQ39" s="24"/>
      <c r="DR39" s="390"/>
      <c r="DS39" s="109">
        <f t="shared" si="36"/>
        <v>0</v>
      </c>
      <c r="DT39" s="109" t="e">
        <f t="shared" ca="1" si="37"/>
        <v>#VALUE!</v>
      </c>
      <c r="DU39" s="31"/>
      <c r="DV39" s="109">
        <f>SUMIF(Bill_Out!$Q$426:$Q$472,CONCATENATE($C39,$EH$3),Bill_Out!$N$426:$N$472)</f>
        <v>0</v>
      </c>
      <c r="DW39" s="109" t="e">
        <f>SUMIF(Bill_Out!$Q$426:$Q$472,CONCATENATE($C39,$EH$3),Bill_Out!$O$426:$O$472)</f>
        <v>#VALUE!</v>
      </c>
      <c r="DX39" s="50"/>
      <c r="DY39" s="310">
        <f>SUMIF(Master_Data!$AK$4:$AK$145,CONCATENATE($C39,$EH$3),Master_Data!$R$4:$R$145)+SUMIF(Master_Data!$AK$152:$AK$864,CONCATENATE($C39,$EH$3),Master_Data!$R$152:$R$864)</f>
        <v>0</v>
      </c>
      <c r="DZ39" s="310">
        <f>SUMIF(Master_Data!$AK$4:$AK$145,CONCATENATE($C39,$EH$3),Master_Data!$Q$4:$Q$145)+SUMIF(Master_Data!$AK$152:$AK$864,CONCATENATE($C39,$EH$3),Master_Data!$Q$152:$Q$864)</f>
        <v>0</v>
      </c>
      <c r="EA39" s="310">
        <f>SUMIF(Master_Data!$AK$4:$AK$145,CONCATENATE($C39,$EH$3),Master_Data!$U$4:$U$145)+SUMIF(Master_Data!$AK$152:$AK$864,CONCATENATE($C39,$EH$3),Master_Data!$U$152:$U$864)</f>
        <v>0</v>
      </c>
      <c r="EB39" s="310">
        <f>SUMIF(Master_Data!$AK$4:$AK$145,CONCATENATE($C39,$EH$3),Master_Data!$S$4:$S$145)+SUMIF(Master_Data!$AK$152:$AK$864,CONCATENATE($C39,$EH$3),Master_Data!$S$152:$S$864)</f>
        <v>0</v>
      </c>
      <c r="EC39" s="39">
        <f>SUMIF(Master_Data!$AK$152:$AK$915,CONCATENATE($C39,EH$3),Master_Data!$T$152:$T$915)</f>
        <v>0</v>
      </c>
      <c r="ED39" s="310">
        <f t="shared" si="38"/>
        <v>0</v>
      </c>
      <c r="EE39" s="230" t="e">
        <f t="shared" ca="1" si="39"/>
        <v>#VALUE!</v>
      </c>
      <c r="EF39" s="23"/>
      <c r="EG39" s="358" t="str">
        <f t="shared" si="10"/>
        <v>METALINDO BUMI RAYA, PTAGS</v>
      </c>
      <c r="EH39" s="24"/>
      <c r="EI39" s="390"/>
      <c r="EJ39" s="109">
        <f t="shared" si="47"/>
        <v>0</v>
      </c>
      <c r="EK39" s="109" t="e">
        <f t="shared" ca="1" si="48"/>
        <v>#VALUE!</v>
      </c>
      <c r="EL39" s="84"/>
      <c r="EM39" s="109">
        <f>SUMIF(Bill_Out!$Q$476:$Q$530,CONCATENATE($C39,$EY$3),Bill_Out!$N$476:$N$530)</f>
        <v>0</v>
      </c>
      <c r="EN39" s="109">
        <f>SUMIF(Bill_Out!$Q$476:$Q$530,CONCATENATE($C39,$EY$3),Bill_Out!$O$476:$O$530)</f>
        <v>0</v>
      </c>
      <c r="EO39" s="309"/>
      <c r="EP39" s="310">
        <f>SUMIF(Master_Data!$AK$4:$AK$145,CONCATENATE($C39,$EY$3),Master_Data!$R$4:$R$145)+SUMIF(Master_Data!$AK$152:$AK$864,CONCATENATE($C39,$EY$3),Master_Data!$R$152:$R$864)</f>
        <v>0</v>
      </c>
      <c r="EQ39" s="310">
        <f>SUMIF(Master_Data!$AK$4:$AK$145,CONCATENATE($C39,$EY$3),Master_Data!$Q$4:$Q$145)+SUMIF(Master_Data!$AK$152:$AK$864,CONCATENATE($C39,$EY$3),Master_Data!$Q$152:$Q$864)</f>
        <v>0</v>
      </c>
      <c r="ER39" s="310">
        <f>SUMIF(Master_Data!$AK$4:$AK$145,CONCATENATE($C39,$EY$3),Master_Data!$U$4:$U$145)+SUMIF(Master_Data!$AK$152:$AK$864,CONCATENATE($C39,$EY$3),Master_Data!$U$152:$U$864)</f>
        <v>32400000</v>
      </c>
      <c r="ES39" s="310">
        <f>SUMIF(Master_Data!$AK$4:$AK$145,CONCATENATE($C39,$EY$3),Master_Data!$S$4:$S$145)+SUMIF(Master_Data!$AK$152:$AK$864,CONCATENATE($C39,$EY$3),Master_Data!$S$152:$S$864)</f>
        <v>0</v>
      </c>
      <c r="ET39" s="39">
        <f>SUMIF(Master_Data!$AK$152:$AK$915,CONCATENATE($C39,EY$3),Master_Data!$T$152:$T$915)</f>
        <v>-600000</v>
      </c>
      <c r="EU39" s="310">
        <f t="shared" si="49"/>
        <v>0</v>
      </c>
      <c r="EV39" s="230"/>
      <c r="EW39" s="84"/>
      <c r="EX39" s="358" t="str">
        <f t="shared" si="11"/>
        <v>METALINDO BUMI RAYA, PTSEP</v>
      </c>
      <c r="EY39" s="24"/>
      <c r="EZ39" s="412"/>
      <c r="FA39" s="109">
        <f t="shared" si="41"/>
        <v>0</v>
      </c>
      <c r="FB39" s="109">
        <f t="shared" si="84"/>
        <v>0</v>
      </c>
      <c r="FC39" s="420"/>
      <c r="FD39" s="109">
        <f>SUMIF(Bill_Out!$Q$534:$Q$606,CONCATENATE($C39,$FP$3),Bill_Out!$N$534:$N$606)</f>
        <v>0</v>
      </c>
      <c r="FE39" s="109" t="e">
        <f>SUMIF(Bill_Out!$Q$534:$Q$606,CONCATENATE($C39,$FP$3),Bill_Out!$O$534:$O$606)</f>
        <v>#VALUE!</v>
      </c>
      <c r="FF39" s="50"/>
      <c r="FG39" s="310">
        <f>SUMIF(Master_Data!$AK$4:$AK$145,CONCATENATE($C39,$FP$3),Master_Data!$R$4:$R$145)+SUMIF(Master_Data!$AK$152:$AK$864,CONCATENATE($C39,$FP$3),Master_Data!$R$152:$R$864)</f>
        <v>0</v>
      </c>
      <c r="FH39" s="310">
        <f>SUMIF(Master_Data!$AK$4:$AK$145,CONCATENATE($C39,$FP$3),Master_Data!$Q$4:$Q$145)+SUMIF(Master_Data!$AK$152:$AK$864,CONCATENATE($C39,$FP$3),Master_Data!$Q$152:$Q$864)</f>
        <v>0</v>
      </c>
      <c r="FI39" s="310">
        <f>SUMIF(Master_Data!$AK$4:$AK$145,CONCATENATE($C39,$FP$3),Master_Data!$U$4:$U$145)+SUMIF(Master_Data!$AK$152:$AK$864,CONCATENATE($C39,$FP$3),Master_Data!$U$152:$U$864)</f>
        <v>0</v>
      </c>
      <c r="FJ39" s="310">
        <f>SUMIF(Master_Data!$AK$4:$AK$145,CONCATENATE($C39,$FP$3),Master_Data!$S$4:$S$145)+SUMIF(Master_Data!$AK$152:$AK$864,CONCATENATE($C39,$FP$3),Master_Data!$S$152:$S$864)</f>
        <v>0</v>
      </c>
      <c r="FK39" s="39">
        <f>SUMIF(Master_Data!$AK$152:$AK$915,CONCATENATE($C39,FP$3),Master_Data!$T$152:$T$915)</f>
        <v>0</v>
      </c>
      <c r="FL39" s="230">
        <f t="shared" si="85"/>
        <v>0</v>
      </c>
      <c r="FM39" s="230" t="e">
        <f t="shared" si="12"/>
        <v>#VALUE!</v>
      </c>
      <c r="FN39" s="23"/>
      <c r="FO39" s="358" t="str">
        <f t="shared" si="80"/>
        <v>METALINDO BUMI RAYA, PTOKT</v>
      </c>
      <c r="FP39" s="24"/>
      <c r="FQ39" s="412"/>
      <c r="FR39" s="109">
        <f t="shared" si="42"/>
        <v>0</v>
      </c>
      <c r="FS39" s="109" t="e">
        <f t="shared" si="74"/>
        <v>#VALUE!</v>
      </c>
      <c r="FT39" s="420"/>
      <c r="FU39" s="109">
        <f>SUMIF(Bill_Out!$Q$610:$Q$675,CONCATENATE($C39,$GG$3),Bill_Out!$N$610:$N$675)</f>
        <v>0</v>
      </c>
      <c r="FV39" s="109" t="e">
        <f>SUMIF(Bill_Out!$Q$610:$Q$675,CONCATENATE($C39,$GG$3),Bill_Out!$O$610:$O$675)</f>
        <v>#VALUE!</v>
      </c>
      <c r="FW39" s="50"/>
      <c r="FX39" s="512">
        <f>SUMIF(Master_Data!$AK$4:$AK$145,CONCATENATE($C39,$GG$3),Master_Data!$R$4:$R$145)+SUMIF(Master_Data!$AK$152:$AK$864,CONCATENATE($C39,$GG$3),Master_Data!$R$152:$R$864)</f>
        <v>0</v>
      </c>
      <c r="FY39" s="512">
        <f>SUMIF(Master_Data!$AK$4:$AK$145,CONCATENATE($C39,$GG$3),Master_Data!$Q$4:$Q$145)+SUMIF(Master_Data!$AK$152:$AK$864,CONCATENATE($C39,$GG$3),Master_Data!$Q$152:$Q$864)</f>
        <v>0</v>
      </c>
      <c r="FZ39" s="512">
        <f>SUMIF(Master_Data!$AK$4:$AK$145,CONCATENATE($C39,$GG$3),Master_Data!$U$4:$U$145)+SUMIF(Master_Data!$AK$152:$AK$864,CONCATENATE($C39,$GG$3),Master_Data!$U$152:$U$864)</f>
        <v>0</v>
      </c>
      <c r="GA39" s="310">
        <f>SUMIF(Master_Data!$AK$4:$AK$145,CONCATENATE($C39,$GG$3),Master_Data!$S$4:$S$145)+SUMIF(Master_Data!$AK$152:$AK$864,CONCATENATE($C39,$GG$3),Master_Data!$S$152:$S$864)</f>
        <v>0</v>
      </c>
      <c r="GB39" s="39">
        <f>SUMIF(Master_Data!$AK$152:$AK$915,CONCATENATE($C39,GG$3),Master_Data!$T$152:$T$915)</f>
        <v>0</v>
      </c>
      <c r="GC39" s="230">
        <f t="shared" si="77"/>
        <v>0</v>
      </c>
      <c r="GD39" s="230" t="e">
        <f t="shared" si="14"/>
        <v>#VALUE!</v>
      </c>
      <c r="GE39" s="23"/>
      <c r="GF39" s="358" t="str">
        <f t="shared" si="81"/>
        <v>METALINDO BUMI RAYA, PTNOV</v>
      </c>
      <c r="GG39" s="24"/>
      <c r="GH39" s="412" t="s">
        <v>561</v>
      </c>
      <c r="GI39" s="109">
        <f t="shared" si="70"/>
        <v>0</v>
      </c>
      <c r="GJ39" s="109" t="e">
        <f t="shared" si="71"/>
        <v>#VALUE!</v>
      </c>
      <c r="GK39" s="423"/>
      <c r="GL39" s="109">
        <f>SUMIF(Bill_Out!$Q$679:$Q$756,CONCATENATE($C39,$GX$3),Bill_Out!$N$679:$N$756)</f>
        <v>0</v>
      </c>
      <c r="GM39" s="109" t="e">
        <f>SUMIF(Bill_Out!$Q$679:$Q$756,CONCATENATE($C39,$GX$3),Bill_Out!$O$679:$O$756)</f>
        <v>#VALUE!</v>
      </c>
      <c r="GN39" s="50"/>
      <c r="GO39" s="512">
        <f>SUMIF(Master_Data!$AK$4:$AK$145,CONCATENATE($C39,$GX$3),Master_Data!$R$4:$R$145)+SUMIF(Master_Data!$AK$152:$AK$864,CONCATENATE($C39,$GX$3),Master_Data!$R$152:$R$864)</f>
        <v>0</v>
      </c>
      <c r="GP39" s="512">
        <f>SUMIF(Master_Data!$AK$4:$AK$145,CONCATENATE($C39,$GX$3),Master_Data!$Q$4:$Q$145)+SUMIF(Master_Data!$AK$152:$AK$864,CONCATENATE($C39,$GX$3),Master_Data!$Q$152:$Q$864)</f>
        <v>0</v>
      </c>
      <c r="GQ39" s="512">
        <f>SUMIF(Master_Data!$AK$4:$AK$145,CONCATENATE($C39,$GX$3),Master_Data!$U$4:$U$145)+SUMIF(Master_Data!$AK$152:$AK$864,CONCATENATE($C39,$GX$3),Master_Data!$U$152:$U$864)</f>
        <v>0</v>
      </c>
      <c r="GR39" s="310">
        <f>SUMIF(Master_Data!$AK$4:$AK$145,CONCATENATE($C39,$GX$3),Master_Data!$S$4:$S$145)+SUMIF(Master_Data!$AK$152:$AK$864,CONCATENATE($C39,$GX$3),Master_Data!$S$152:$S$864)</f>
        <v>0</v>
      </c>
      <c r="GS39" s="39">
        <f>SUMIF(Master_Data!$AK$152:$AK$864,CONCATENATE($C39,GX$3),Master_Data!$T$152:$T$864)</f>
        <v>0</v>
      </c>
      <c r="GT39" s="534">
        <f t="shared" si="44"/>
        <v>0</v>
      </c>
      <c r="GU39" s="310" t="e">
        <f t="shared" si="16"/>
        <v>#VALUE!</v>
      </c>
      <c r="GV39" s="23"/>
      <c r="GW39" s="358" t="str">
        <f t="shared" si="69"/>
        <v>METALINDO BUMI RAYA, PTDES</v>
      </c>
      <c r="GX39" s="24"/>
    </row>
    <row r="40" spans="1:206" s="19" customFormat="1">
      <c r="A40" s="21" t="s">
        <v>222</v>
      </c>
      <c r="B40" s="236" t="str">
        <f t="shared" si="18"/>
        <v>MOBITEL ANDALAN KOMUNIKASI, PTJAN</v>
      </c>
      <c r="C40" s="22" t="s">
        <v>209</v>
      </c>
      <c r="D40" s="52" t="s">
        <v>314</v>
      </c>
      <c r="E40" s="109">
        <f>SUMIF(Master_Data!$D31:$D$145,CONCATENATE(C40),Master_Data!M31:M850)</f>
        <v>0</v>
      </c>
      <c r="F40" s="109">
        <f>SUMIF(Master_Data!$D38:$D$145,CONCATENATE(C40),Master_Data!N38:N228)</f>
        <v>75500000</v>
      </c>
      <c r="G40" s="31"/>
      <c r="H40" s="109">
        <f>SUMIF(Bill_Out!$Q$3:$Q$65,CONCATENATE($C40,$S$3),Bill_Out!$N$3:$N$65)</f>
        <v>0</v>
      </c>
      <c r="I40" s="88">
        <f>SUMIF(Bill_Out!$Q$3:$Q$65,CONCATENATE($C40,$S$3),Bill_Out!$O$3:$O$65)</f>
        <v>0</v>
      </c>
      <c r="J40" s="50"/>
      <c r="K40" s="29"/>
      <c r="L40" s="44"/>
      <c r="M40" s="230">
        <f>SUMIF(Master_Data!$AK37:$AK$145,CONCATENATE(C40,$S$3),Master_Data!U37:U236)+SUMIF(Master_Data!$AK320:$AK$864,CONCATENATE(C40,$S$3),Master_Data!U320:U948)</f>
        <v>0</v>
      </c>
      <c r="N40" s="310">
        <f>SUMIF(Master_Data!$AK$4:$AK$145,CONCATENATE(C40,$S$3),Master_Data!$S$4:$S$145)+SUMIF(Master_Data!$AK$150:$AK$864,CONCATENATE(C40,$S$3),Master_Data!$S$150:$S$864)</f>
        <v>0</v>
      </c>
      <c r="O40" s="310">
        <f>SUMIF(Master_Data!$AK$4:$AK$145,CONCATENATE(C40,$S$3),Master_Data!$T$4:$T$145)+SUMIF(Master_Data!$AK$150:$AK$864,CONCATENATE(C40,$S$3),Master_Data!$T$150:$T$864)</f>
        <v>0</v>
      </c>
      <c r="P40" s="230">
        <f t="shared" si="19"/>
        <v>0</v>
      </c>
      <c r="Q40" s="230">
        <f t="shared" si="20"/>
        <v>75500000</v>
      </c>
      <c r="R40" s="23"/>
      <c r="S40" s="24"/>
      <c r="T40" s="259"/>
      <c r="U40" s="109">
        <f t="shared" si="82"/>
        <v>0</v>
      </c>
      <c r="V40" s="109">
        <f t="shared" si="83"/>
        <v>75500000</v>
      </c>
      <c r="W40" s="31"/>
      <c r="X40" s="109">
        <f>SUMIF(Bill_Out!$Q$67:$Q$132,CONCATENATE($C40,$AJ$3),Bill_Out!$N$67:$N$132)</f>
        <v>0</v>
      </c>
      <c r="Y40" s="109">
        <f>SUMIF(Bill_Out!$Q$67:$Q$132,CONCATENATE($C40,$AJ$3),Bill_Out!$O$67:$O$132)</f>
        <v>0</v>
      </c>
      <c r="Z40" s="50"/>
      <c r="AA40" s="230">
        <f>SUMIF(Master_Data!$AK$4:$AK$145,CONCATENATE(C40,$AJ$3),Master_Data!$R$4:$R$145)+SUMIF(Master_Data!$AK$152:$AK$850,CONCATENATE(C40,$AJ$3),Master_Data!$R$152:$R$850)</f>
        <v>0</v>
      </c>
      <c r="AB40" s="230">
        <f>SUMIF(Master_Data!$AK$4:$AK$145,CONCATENATE(C40,$AJ$3),Master_Data!$Q$4:$Q$145)+SUMIF(Master_Data!$AK$152:$AK$850,CONCATENATE(C40,$AJ$3),Master_Data!$Q$152:$Q$850)</f>
        <v>0</v>
      </c>
      <c r="AC40" s="230">
        <f>SUMIF(Master_Data!$AK$4:$AK$145,CONCATENATE(C40,$AJ$3),Master_Data!$U$4:$U$145)+SUMIF(Master_Data!$AK$152:$AK$850,CONCATENATE(C40,$AJ$3),Master_Data!$U$152:$U$850)</f>
        <v>0</v>
      </c>
      <c r="AD40" s="310">
        <f ca="1">SUMIF(Master_Data!$AK$4:$AK$145,CONCATENATE(C40,$AJ$3),Master_Data!$S$4:$S$145)+SUMIF(Master_Data!$AK$152:$AK$864,CONCATENATE(C40,$AJ$3),Master_Data!$S$152:$S$850)</f>
        <v>0</v>
      </c>
      <c r="AE40" s="310">
        <f>SUMIF(Master_Data!$AK$4:$AK$145,CONCATENATE(C40,$AJ$3),Master_Data!$T$4:$T$145)+SUMIF(Master_Data!$AK$152:$AK$864,CONCATENATE(C40,$AJ$3),Master_Data!$T$152:$T$864)</f>
        <v>0</v>
      </c>
      <c r="AF40" s="230">
        <f t="shared" si="63"/>
        <v>0</v>
      </c>
      <c r="AG40" s="230">
        <f t="shared" ca="1" si="64"/>
        <v>75500000</v>
      </c>
      <c r="AH40" s="23"/>
      <c r="AI40" s="235" t="str">
        <f t="shared" si="86"/>
        <v>MOBITEL ANDALAN KOMUNIKASI, PTFEB</v>
      </c>
      <c r="AJ40" s="24"/>
      <c r="AK40" s="259"/>
      <c r="AL40" s="109">
        <f t="shared" si="65"/>
        <v>0</v>
      </c>
      <c r="AM40" s="109">
        <f t="shared" ca="1" si="66"/>
        <v>75500000</v>
      </c>
      <c r="AN40" s="31"/>
      <c r="AO40" s="109">
        <f>SUMIF(Bill_Out!$Q$134:$Q$188,CONCATENATE($C40,$BA$3),Bill_Out!$N$134:$N$188)</f>
        <v>0</v>
      </c>
      <c r="AP40" s="109">
        <f>SUMIF(Bill_Out!$Q$134:$Q$188,CONCATENATE($C40,$BA$3),Bill_Out!$O$134:$O$188)</f>
        <v>0</v>
      </c>
      <c r="AQ40" s="50"/>
      <c r="AR40" s="230">
        <f>SUMIF(Master_Data!$AK$4:$AK$145,CONCATENATE(C40,$BA$3),Master_Data!$R$4:$R$145)+SUMIF(Master_Data!$AK$152:$AK$864,CONCATENATE(C40,$BA$3),Master_Data!$R$152:$R$864)</f>
        <v>0</v>
      </c>
      <c r="AS40" s="230">
        <f>SUMIF(Master_Data!$AK$4:$AK$145,CONCATENATE(C40,$BA$3),Master_Data!$Q$4:$Q$145)+SUMIF(Master_Data!$AK$152:$AK$864,CONCATENATE(C40,$BA$3),Master_Data!$Q$152:$Q$864)</f>
        <v>0</v>
      </c>
      <c r="AT40" s="230">
        <f>SUMIF(Master_Data!$AK$4:$AK$145,CONCATENATE(C40,$BA$3),Master_Data!$U$4:$U$145)+SUMIF(Master_Data!$AK$152:$AK$864,CONCATENATE(C40,$BA$3),Master_Data!$U$152:$U$864)</f>
        <v>0</v>
      </c>
      <c r="AU40" s="230">
        <f ca="1">SUMIF(Master_Data!$AK$4:$AK$145,CONCATENATE(C40,$BA$3),Master_Data!$S$4:$S$145)+SUMIF(Master_Data!$AK$152:$AK$864,CONCATENATE(C40,$BA$3),Master_Data!$S$152:$S$850)</f>
        <v>0</v>
      </c>
      <c r="AV40" s="39">
        <f>SUMIF(Master_Data!$AK$152:$AK$864,CONCATENATE($C40,BA$3),Master_Data!$T$152:$T$864)</f>
        <v>0</v>
      </c>
      <c r="AW40" s="230">
        <f t="shared" si="57"/>
        <v>0</v>
      </c>
      <c r="AX40" s="230">
        <f t="shared" ca="1" si="58"/>
        <v>75500000</v>
      </c>
      <c r="AY40" s="23"/>
      <c r="AZ40" s="235" t="str">
        <f t="shared" si="21"/>
        <v>MOBITEL ANDALAN KOMUNIKASI, PTMAR</v>
      </c>
      <c r="BA40" s="24"/>
      <c r="BB40" s="259"/>
      <c r="BC40" s="109">
        <f t="shared" si="22"/>
        <v>0</v>
      </c>
      <c r="BD40" s="109">
        <f t="shared" ca="1" si="23"/>
        <v>75500000</v>
      </c>
      <c r="BE40" s="31"/>
      <c r="BF40" s="109">
        <f>SUMIF(Bill_Out!$Q$192:$Q$258,CONCATENATE($C40,$BR$3),Bill_Out!$N$192:$N$258)</f>
        <v>0</v>
      </c>
      <c r="BG40" s="109">
        <f>SUMIF(Bill_Out!$Q$192:$Q$258,CONCATENATE($C40,$BR$3),Bill_Out!$O$192:$O$258)</f>
        <v>0</v>
      </c>
      <c r="BH40" s="50"/>
      <c r="BI40" s="230">
        <f>SUMIF(Master_Data!$AK$4:$AK$145,CONCATENATE(C40,$BR$3),Master_Data!$R$4:$R$145)+SUMIF(Master_Data!$AK$152:$AK$864,CONCATENATE(C40,$BR$3),Master_Data!$R$152:$R$864)</f>
        <v>0</v>
      </c>
      <c r="BJ40" s="230">
        <f>SUMIF(Master_Data!$AK$4:$AK$145,CONCATENATE(C40,$BR$3),Master_Data!$Q$4:$Q$145)+SUMIF(Master_Data!$AK$152:$AK$864,CONCATENATE(C40,$BR$3),Master_Data!$Q$152:$Q$864)</f>
        <v>0</v>
      </c>
      <c r="BK40" s="230">
        <f>SUMIF(Master_Data!$AK$4:$AK$145,CONCATENATE(C40,$BR$3),Master_Data!$U$4:$U$145)+SUMIF(Master_Data!$AK$152:$AK$864,CONCATENATE(C40,$BR$3),Master_Data!$U$152:$U$864)</f>
        <v>0</v>
      </c>
      <c r="BL40" s="230">
        <f>SUMIF(Master_Data!$AK$4:$AK$145,CONCATENATE(C40,$BR$3),Master_Data!$S$4:$S$145)+SUMIF(Master_Data!$AK$152:$AK$864,CONCATENATE(C40,$BR$3),Master_Data!$S$152:$S$864)</f>
        <v>0</v>
      </c>
      <c r="BM40" s="39">
        <f>SUMIF(Master_Data!$AK$152:$AK$864,CONCATENATE($C40,BR$3),Master_Data!$T$152:$T$864)</f>
        <v>0</v>
      </c>
      <c r="BN40" s="230">
        <f t="shared" si="24"/>
        <v>0</v>
      </c>
      <c r="BO40" s="230">
        <f t="shared" ca="1" si="25"/>
        <v>75500000</v>
      </c>
      <c r="BP40" s="23"/>
      <c r="BQ40" s="909" t="str">
        <f t="shared" si="26"/>
        <v>MOBITEL ANDALAN KOMUNIKASI, PTAPR</v>
      </c>
      <c r="BR40" s="24"/>
      <c r="BS40" s="259"/>
      <c r="BT40" s="109">
        <f t="shared" si="78"/>
        <v>0</v>
      </c>
      <c r="BU40" s="109">
        <f t="shared" ca="1" si="79"/>
        <v>75500000</v>
      </c>
      <c r="BV40" s="31"/>
      <c r="BW40" s="109">
        <f>SUMIF(Bill_Out!$Q$263:$Q$314,CONCATENATE($C40,$CI$3),Bill_Out!$N$263:$N$314)</f>
        <v>0</v>
      </c>
      <c r="BX40" s="109">
        <f>SUMIF(Bill_Out!$Q$263:$Q$314,CONCATENATE($C40,$CI$3),Bill_Out!$O$263:$O$314)</f>
        <v>0</v>
      </c>
      <c r="BY40" s="50"/>
      <c r="BZ40" s="310">
        <f>SUMIF(Master_Data!$AK$4:$AK$145,CONCATENATE(C40,$CI$3),Master_Data!$R$4:$R$145)+SUMIF(Master_Data!$AK$152:$AK$864,CONCATENATE(C40,$CI$3),Master_Data!$R$152:$R$864)</f>
        <v>0</v>
      </c>
      <c r="CA40" s="310">
        <f>SUMIF(Master_Data!$AK$4:$AK$145,CONCATENATE(C40,$CI$3),Master_Data!$Q$4:$Q$145)+SUMIF(Master_Data!$AK$152:$AK$864,CONCATENATE(C40,$CI$3),Master_Data!$Q$152:$Q$864)</f>
        <v>0</v>
      </c>
      <c r="CB40" s="310">
        <f>SUMIF(Master_Data!$AK$4:$AK$145,CONCATENATE(C40,$CI$3),Master_Data!$U$4:$U$145)+SUMIF(Master_Data!$AK$152:$AK$864,CONCATENATE(C40,$CI$3),Master_Data!$U$152:$U$864)</f>
        <v>0</v>
      </c>
      <c r="CC40" s="230">
        <f>SUMIF(Master_Data!$AK$4:$AK$145,CONCATENATE(C40,$CI$3),Master_Data!$S$4:$S$145)+SUMIF(Master_Data!$AK$152:$AK$864,CONCATENATE(C40,$CI$3),Master_Data!$S$152:$S$864)</f>
        <v>0</v>
      </c>
      <c r="CD40" s="39">
        <f>SUMIF(Master_Data!$AK$152:$AK$864,CONCATENATE($C40,CI$3),Master_Data!$T$152:$T$864)</f>
        <v>0</v>
      </c>
      <c r="CE40" s="310">
        <f t="shared" si="27"/>
        <v>0</v>
      </c>
      <c r="CF40" s="230">
        <f t="shared" ca="1" si="28"/>
        <v>75500000</v>
      </c>
      <c r="CG40" s="23"/>
      <c r="CH40" s="235" t="str">
        <f t="shared" si="29"/>
        <v>MOBITEL ANDALAN KOMUNIKASI, PTMEI</v>
      </c>
      <c r="CI40" s="24"/>
      <c r="CJ40" s="259"/>
      <c r="CK40" s="109">
        <f t="shared" si="30"/>
        <v>0</v>
      </c>
      <c r="CL40" s="238">
        <f t="shared" ca="1" si="31"/>
        <v>75500000</v>
      </c>
      <c r="CM40" s="31"/>
      <c r="CN40" s="238">
        <f>SUMIF(Bill_Out!$Q$318:$Q$371,CONCATENATE($C40,$CZ$3),Bill_Out!$N$318:$N$371)</f>
        <v>0</v>
      </c>
      <c r="CO40" s="238">
        <f>SUMIF(Bill_Out!$Q$318:$Q$371,CONCATENATE($C40,$CZ$3),Bill_Out!$O$318:$O$371)</f>
        <v>0</v>
      </c>
      <c r="CP40" s="50"/>
      <c r="CQ40" s="230">
        <f>SUMIF(Master_Data!$AK$4:$AK$145,CONCATENATE($C40,$CZ$3),Master_Data!$R$4:$R$145)+SUMIF(Master_Data!$AK$152:$AK$864,CONCATENATE($C40,$CZ$3),Master_Data!$R$152:$R$864)</f>
        <v>0</v>
      </c>
      <c r="CR40" s="230">
        <f>SUMIF(Master_Data!$AK$4:$AK$145,CONCATENATE($C40,$CZ$3),Master_Data!$Q$4:$Q$145)+SUMIF(Master_Data!$AK$152:$AK$864,CONCATENATE($C40,$CZ$3),Master_Data!$Q$152:$Q$864)</f>
        <v>0</v>
      </c>
      <c r="CS40" s="230">
        <f>SUMIF(Master_Data!$AK$4:$AK$145,CONCATENATE($C40,$CZ$3),Master_Data!$U$4:$U$145)+SUMIF(Master_Data!$AK$152:$AK$864,CONCATENATE($C40,$CZ$3),Master_Data!$U$152:$U$864)</f>
        <v>0</v>
      </c>
      <c r="CT40" s="230">
        <f ca="1">SUMIF(Master_Data!$AK$4:$AK$145,CONCATENATE(C40,$CZ$3),Master_Data!$S$4:$S$145)+SUMIF(Master_Data!$AK$152:$AK$915,CONCATENATE(C40,$CZ$3),Master_Data!$S$152:$S$864)</f>
        <v>0</v>
      </c>
      <c r="CU40" s="1010">
        <f>SUMIF(Master_Data!$AK$4:$AK$145,CONCATENATE(C40,$CZ$3),Master_Data!$T$4:$T$145)+SUMIF(Master_Data!$AK$152:$AK$864,CONCATENATE(C40,$CZ$3),Master_Data!$T$152:$T$864)</f>
        <v>0</v>
      </c>
      <c r="CV40" s="230">
        <f t="shared" si="32"/>
        <v>0</v>
      </c>
      <c r="CW40" s="230">
        <f t="shared" ca="1" si="33"/>
        <v>75500000</v>
      </c>
      <c r="CX40" s="23"/>
      <c r="CY40" s="1007" t="str">
        <f t="shared" si="6"/>
        <v>MOBITEL ANDALAN KOMUNIKASI, PTJUN</v>
      </c>
      <c r="CZ40" s="24"/>
      <c r="DA40" s="259"/>
      <c r="DB40" s="109">
        <f t="shared" si="34"/>
        <v>0</v>
      </c>
      <c r="DC40" s="109">
        <f t="shared" ca="1" si="35"/>
        <v>75500000</v>
      </c>
      <c r="DD40" s="31"/>
      <c r="DE40" s="109">
        <f>SUMIF(Bill_Out!$Q$375:$Q$422,CONCATENATE($C40,$DQ$3),Bill_Out!$N$375:$N$422)</f>
        <v>0</v>
      </c>
      <c r="DF40" s="109">
        <f>SUMIF(Bill_Out!$Q$375:$Q$422,CONCATENATE($C40,$DQ$3),Bill_Out!$O$375:$O$422)</f>
        <v>0</v>
      </c>
      <c r="DG40" s="50"/>
      <c r="DH40" s="310">
        <f>SUMIF(Master_Data!$AK$4:$AK$145,CONCATENATE($C40,$DQ$3),Master_Data!$R$4:$R$145)+SUMIF(Master_Data!$AK$152:$AK$864,CONCATENATE($C40,$DQ$3),Master_Data!$R$152:$R$864)</f>
        <v>0</v>
      </c>
      <c r="DI40" s="310">
        <f>SUMIF(Master_Data!$AK$4:$AK$145,CONCATENATE($C40,$DQ$3),Master_Data!$Q$4:$Q$145)+SUMIF(Master_Data!$AK$152:$AK$864,CONCATENATE($C40,$DQ$3),Master_Data!$Q$152:$Q$864)</f>
        <v>0</v>
      </c>
      <c r="DJ40" s="310">
        <f>SUMIF(Master_Data!$AK$4:$AK$145,CONCATENATE($C40,$DQ$3),Master_Data!$U$4:$U$145)+SUMIF(Master_Data!$AK$152:$AK$864,CONCATENATE($C40,$DQ$3),Master_Data!$U$152:$U$864)</f>
        <v>0</v>
      </c>
      <c r="DK40" s="310">
        <f>SUMIF(Master_Data!$AK$4:$AK$145,CONCATENATE($C40,$DQ$3),Master_Data!$S$4:$S$145)+SUMIF(Master_Data!$AK$152:$AK$864,CONCATENATE($C40,$DQ$3),Master_Data!$S$152:$S$864)</f>
        <v>0</v>
      </c>
      <c r="DL40" s="39">
        <f>SUMIF(Master_Data!$AK$152:$AK$915,CONCATENATE($C40,DQ$3),Master_Data!$T$152:$T$915)</f>
        <v>0</v>
      </c>
      <c r="DM40" s="230">
        <f t="shared" si="67"/>
        <v>0</v>
      </c>
      <c r="DN40" s="230">
        <f t="shared" ca="1" si="68"/>
        <v>75500000</v>
      </c>
      <c r="DO40" s="23"/>
      <c r="DP40" s="358" t="str">
        <f t="shared" si="9"/>
        <v>MOBITEL ANDALAN KOMUNIKASI, PTJUL</v>
      </c>
      <c r="DQ40" s="24"/>
      <c r="DR40" s="390"/>
      <c r="DS40" s="109">
        <f t="shared" si="36"/>
        <v>0</v>
      </c>
      <c r="DT40" s="109">
        <f t="shared" ca="1" si="37"/>
        <v>75500000</v>
      </c>
      <c r="DU40" s="31"/>
      <c r="DV40" s="109">
        <f>SUMIF(Bill_Out!$Q$426:$Q$472,CONCATENATE($C40,$EH$3),Bill_Out!$N$426:$N$472)</f>
        <v>0</v>
      </c>
      <c r="DW40" s="109">
        <f>SUMIF(Bill_Out!$Q$426:$Q$472,CONCATENATE($C40,$EH$3),Bill_Out!$O$426:$O$472)</f>
        <v>0</v>
      </c>
      <c r="DX40" s="50"/>
      <c r="DY40" s="310">
        <f>SUMIF(Master_Data!$AK$4:$AK$145,CONCATENATE($C40,$EH$3),Master_Data!$R$4:$R$145)+SUMIF(Master_Data!$AK$152:$AK$864,CONCATENATE($C40,$EH$3),Master_Data!$R$152:$R$864)</f>
        <v>0</v>
      </c>
      <c r="DZ40" s="310">
        <f>SUMIF(Master_Data!$AK$4:$AK$145,CONCATENATE($C40,$EH$3),Master_Data!$Q$4:$Q$145)+SUMIF(Master_Data!$AK$152:$AK$864,CONCATENATE($C40,$EH$3),Master_Data!$Q$152:$Q$864)</f>
        <v>0</v>
      </c>
      <c r="EA40" s="310">
        <f>SUMIF(Master_Data!$AK$4:$AK$145,CONCATENATE($C40,$EH$3),Master_Data!$U$4:$U$145)+SUMIF(Master_Data!$AK$152:$AK$864,CONCATENATE($C40,$EH$3),Master_Data!$U$152:$U$864)</f>
        <v>0</v>
      </c>
      <c r="EB40" s="310">
        <f>SUMIF(Master_Data!$AK$4:$AK$145,CONCATENATE($C40,$EH$3),Master_Data!$S$4:$S$145)+SUMIF(Master_Data!$AK$152:$AK$864,CONCATENATE($C40,$EH$3),Master_Data!$S$152:$S$864)</f>
        <v>0</v>
      </c>
      <c r="EC40" s="39">
        <f>SUMIF(Master_Data!$AK$152:$AK$915,CONCATENATE($C40,EH$3),Master_Data!$T$152:$T$915)</f>
        <v>0</v>
      </c>
      <c r="ED40" s="310">
        <f t="shared" si="38"/>
        <v>0</v>
      </c>
      <c r="EE40" s="230">
        <f t="shared" ca="1" si="39"/>
        <v>75500000</v>
      </c>
      <c r="EF40" s="23"/>
      <c r="EG40" s="358" t="str">
        <f t="shared" si="10"/>
        <v>MOBITEL ANDALAN KOMUNIKASI, PTAGS</v>
      </c>
      <c r="EH40" s="24"/>
      <c r="EI40" s="390"/>
      <c r="EJ40" s="109">
        <f t="shared" si="47"/>
        <v>0</v>
      </c>
      <c r="EK40" s="109">
        <f t="shared" ca="1" si="48"/>
        <v>75500000</v>
      </c>
      <c r="EL40" s="84"/>
      <c r="EM40" s="109">
        <f>SUMIF(Bill_Out!$Q$476:$Q$530,CONCATENATE($C40,$EY$3),Bill_Out!$N$476:$N$530)</f>
        <v>0</v>
      </c>
      <c r="EN40" s="109">
        <f>SUMIF(Bill_Out!$Q$476:$Q$530,CONCATENATE($C40,$EY$3),Bill_Out!$O$476:$O$530)</f>
        <v>0</v>
      </c>
      <c r="EO40" s="309"/>
      <c r="EP40" s="310">
        <f>SUMIF(Master_Data!$AK$4:$AK$145,CONCATENATE($C40,$EY$3),Master_Data!$R$4:$R$145)+SUMIF(Master_Data!$AK$152:$AK$864,CONCATENATE($C40,$EY$3),Master_Data!$R$152:$R$864)</f>
        <v>0</v>
      </c>
      <c r="EQ40" s="310">
        <f>SUMIF(Master_Data!$AK$4:$AK$145,CONCATENATE($C40,$EY$3),Master_Data!$Q$4:$Q$145)+SUMIF(Master_Data!$AK$152:$AK$864,CONCATENATE($C40,$EY$3),Master_Data!$Q$152:$Q$864)</f>
        <v>0</v>
      </c>
      <c r="ER40" s="310">
        <f>SUMIF(Master_Data!$AK$4:$AK$145,CONCATENATE($C40,$EY$3),Master_Data!$U$4:$U$145)+SUMIF(Master_Data!$AK$152:$AK$864,CONCATENATE($C40,$EY$3),Master_Data!$U$152:$U$864)</f>
        <v>0</v>
      </c>
      <c r="ES40" s="310">
        <f>SUMIF(Master_Data!$AK$4:$AK$145,CONCATENATE($C40,$EY$3),Master_Data!$S$4:$S$145)+SUMIF(Master_Data!$AK$152:$AK$864,CONCATENATE($C40,$EY$3),Master_Data!$S$152:$S$864)</f>
        <v>0</v>
      </c>
      <c r="ET40" s="39">
        <f>SUMIF(Master_Data!$AK$152:$AK$915,CONCATENATE($C40,EY$3),Master_Data!$T$152:$T$915)</f>
        <v>0</v>
      </c>
      <c r="EU40" s="310">
        <f t="shared" si="49"/>
        <v>0</v>
      </c>
      <c r="EV40" s="230"/>
      <c r="EW40" s="84"/>
      <c r="EX40" s="358" t="str">
        <f t="shared" si="11"/>
        <v>MOBITEL ANDALAN KOMUNIKASI, PTSEP</v>
      </c>
      <c r="EY40" s="24"/>
      <c r="EZ40" s="412"/>
      <c r="FA40" s="109">
        <f t="shared" si="41"/>
        <v>0</v>
      </c>
      <c r="FB40" s="109">
        <f t="shared" si="84"/>
        <v>0</v>
      </c>
      <c r="FC40" s="420"/>
      <c r="FD40" s="109">
        <f>SUMIF(Bill_Out!$Q$534:$Q$606,CONCATENATE($C40,$FP$3),Bill_Out!$N$534:$N$606)</f>
        <v>0</v>
      </c>
      <c r="FE40" s="109">
        <f>SUMIF(Bill_Out!$Q$534:$Q$606,CONCATENATE($C40,$FP$3),Bill_Out!$O$534:$O$606)</f>
        <v>0</v>
      </c>
      <c r="FF40" s="50"/>
      <c r="FG40" s="310">
        <f>SUMIF(Master_Data!$AK$4:$AK$145,CONCATENATE($C40,$FP$3),Master_Data!$R$4:$R$145)+SUMIF(Master_Data!$AK$152:$AK$864,CONCATENATE($C40,$FP$3),Master_Data!$R$152:$R$864)</f>
        <v>0</v>
      </c>
      <c r="FH40" s="310">
        <f>SUMIF(Master_Data!$AK$4:$AK$145,CONCATENATE($C40,$FP$3),Master_Data!$Q$4:$Q$145)+SUMIF(Master_Data!$AK$152:$AK$864,CONCATENATE($C40,$FP$3),Master_Data!$Q$152:$Q$864)</f>
        <v>0</v>
      </c>
      <c r="FI40" s="310">
        <f>SUMIF(Master_Data!$AK$4:$AK$145,CONCATENATE($C40,$FP$3),Master_Data!$U$4:$U$145)+SUMIF(Master_Data!$AK$152:$AK$864,CONCATENATE($C40,$FP$3),Master_Data!$U$152:$U$864)</f>
        <v>0</v>
      </c>
      <c r="FJ40" s="310">
        <f>SUMIF(Master_Data!$AK$4:$AK$145,CONCATENATE($C40,$FP$3),Master_Data!$S$4:$S$145)+SUMIF(Master_Data!$AK$152:$AK$864,CONCATENATE($C40,$FP$3),Master_Data!$S$152:$S$864)</f>
        <v>0</v>
      </c>
      <c r="FK40" s="39">
        <f>SUMIF(Master_Data!$AK$152:$AK$915,CONCATENATE($C40,FP$3),Master_Data!$T$152:$T$915)</f>
        <v>0</v>
      </c>
      <c r="FL40" s="230">
        <f t="shared" si="85"/>
        <v>0</v>
      </c>
      <c r="FM40" s="230">
        <f t="shared" si="12"/>
        <v>0</v>
      </c>
      <c r="FN40" s="23"/>
      <c r="FO40" s="358" t="str">
        <f t="shared" si="80"/>
        <v>MOBITEL ANDALAN KOMUNIKASI, PTOKT</v>
      </c>
      <c r="FP40" s="24"/>
      <c r="FQ40" s="412"/>
      <c r="FR40" s="109">
        <f t="shared" si="42"/>
        <v>0</v>
      </c>
      <c r="FS40" s="109">
        <f t="shared" si="74"/>
        <v>0</v>
      </c>
      <c r="FT40" s="420"/>
      <c r="FU40" s="109">
        <f>SUMIF(Bill_Out!$Q$610:$Q$675,CONCATENATE($C40,$GG$3),Bill_Out!$N$610:$N$675)</f>
        <v>0</v>
      </c>
      <c r="FV40" s="109">
        <f>SUMIF(Bill_Out!$Q$610:$Q$675,CONCATENATE($C40,$GG$3),Bill_Out!$O$610:$O$675)</f>
        <v>0</v>
      </c>
      <c r="FW40" s="50"/>
      <c r="FX40" s="512">
        <f>SUMIF(Master_Data!$AK$4:$AK$145,CONCATENATE($C40,$GG$3),Master_Data!$R$4:$R$145)+SUMIF(Master_Data!$AK$152:$AK$864,CONCATENATE($C40,$GG$3),Master_Data!$R$152:$R$864)</f>
        <v>0</v>
      </c>
      <c r="FY40" s="512">
        <f>SUMIF(Master_Data!$AK$4:$AK$145,CONCATENATE($C40,$GG$3),Master_Data!$Q$4:$Q$145)+SUMIF(Master_Data!$AK$152:$AK$864,CONCATENATE($C40,$GG$3),Master_Data!$Q$152:$Q$864)</f>
        <v>0</v>
      </c>
      <c r="FZ40" s="512">
        <f>SUMIF(Master_Data!$AK$4:$AK$145,CONCATENATE($C40,$GG$3),Master_Data!$U$4:$U$145)+SUMIF(Master_Data!$AK$152:$AK$864,CONCATENATE($C40,$GG$3),Master_Data!$U$152:$U$864)</f>
        <v>0</v>
      </c>
      <c r="GA40" s="310">
        <f>SUMIF(Master_Data!$AK$4:$AK$145,CONCATENATE($C40,$GG$3),Master_Data!$S$4:$S$145)+SUMIF(Master_Data!$AK$152:$AK$864,CONCATENATE($C40,$GG$3),Master_Data!$S$152:$S$864)</f>
        <v>0</v>
      </c>
      <c r="GB40" s="39">
        <f>SUMIF(Master_Data!$AK$152:$AK$915,CONCATENATE($C40,GG$3),Master_Data!$T$152:$T$915)</f>
        <v>0</v>
      </c>
      <c r="GC40" s="230">
        <f t="shared" si="77"/>
        <v>0</v>
      </c>
      <c r="GD40" s="230">
        <f t="shared" si="14"/>
        <v>0</v>
      </c>
      <c r="GE40" s="23"/>
      <c r="GF40" s="358" t="str">
        <f t="shared" si="81"/>
        <v>MOBITEL ANDALAN KOMUNIKASI, PTNOV</v>
      </c>
      <c r="GG40" s="24"/>
      <c r="GH40" s="412" t="s">
        <v>314</v>
      </c>
      <c r="GI40" s="109">
        <f t="shared" si="70"/>
        <v>0</v>
      </c>
      <c r="GJ40" s="109">
        <f t="shared" si="71"/>
        <v>0</v>
      </c>
      <c r="GK40" s="423"/>
      <c r="GL40" s="109">
        <f>SUMIF(Bill_Out!$Q$679:$Q$756,CONCATENATE($C40,$GX$3),Bill_Out!$N$679:$N$756)</f>
        <v>0</v>
      </c>
      <c r="GM40" s="109">
        <f>SUMIF(Bill_Out!$Q$679:$Q$756,CONCATENATE($C40,$GX$3),Bill_Out!$O$679:$O$756)</f>
        <v>0</v>
      </c>
      <c r="GN40" s="50"/>
      <c r="GO40" s="512">
        <f>SUMIF(Master_Data!$AK$4:$AK$145,CONCATENATE($C40,$GX$3),Master_Data!$R$4:$R$145)+SUMIF(Master_Data!$AK$152:$AK$864,CONCATENATE($C40,$GX$3),Master_Data!$R$152:$R$864)</f>
        <v>0</v>
      </c>
      <c r="GP40" s="512">
        <f>SUMIF(Master_Data!$AK$4:$AK$145,CONCATENATE($C40,$GX$3),Master_Data!$Q$4:$Q$145)+SUMIF(Master_Data!$AK$152:$AK$864,CONCATENATE($C40,$GX$3),Master_Data!$Q$152:$Q$864)</f>
        <v>0</v>
      </c>
      <c r="GQ40" s="512">
        <f>SUMIF(Master_Data!$AK$4:$AK$145,CONCATENATE($C40,$GX$3),Master_Data!$U$4:$U$145)+SUMIF(Master_Data!$AK$152:$AK$864,CONCATENATE($C40,$GX$3),Master_Data!$U$152:$U$864)</f>
        <v>0</v>
      </c>
      <c r="GR40" s="310">
        <f>SUMIF(Master_Data!$AK$4:$AK$145,CONCATENATE($C40,$GX$3),Master_Data!$S$4:$S$145)+SUMIF(Master_Data!$AK$152:$AK$864,CONCATENATE($C40,$GX$3),Master_Data!$S$152:$S$864)</f>
        <v>0</v>
      </c>
      <c r="GS40" s="39">
        <f>SUMIF(Master_Data!$AK$152:$AK$864,CONCATENATE($C40,GX$3),Master_Data!$T$152:$T$864)</f>
        <v>0</v>
      </c>
      <c r="GT40" s="534">
        <f t="shared" si="44"/>
        <v>0</v>
      </c>
      <c r="GU40" s="310">
        <f t="shared" si="16"/>
        <v>0</v>
      </c>
      <c r="GV40" s="23"/>
      <c r="GW40" s="358" t="str">
        <f t="shared" si="69"/>
        <v>MOBITEL ANDALAN KOMUNIKASI, PTDES</v>
      </c>
      <c r="GX40" s="24"/>
    </row>
    <row r="41" spans="1:206" s="19" customFormat="1">
      <c r="A41" s="328" t="s">
        <v>223</v>
      </c>
      <c r="B41" s="236" t="str">
        <f t="shared" si="18"/>
        <v>NEXWAVE, PTJAN</v>
      </c>
      <c r="C41" s="8" t="s">
        <v>210</v>
      </c>
      <c r="D41" s="23" t="s">
        <v>315</v>
      </c>
      <c r="E41" s="109">
        <f>SUMIF(Master_Data!$D33:$D$145,CONCATENATE(C41),Master_Data!M33:M850)</f>
        <v>0</v>
      </c>
      <c r="F41" s="109">
        <f>SUMIF(Master_Data!$D40:$D$145,CONCATENATE(C41),Master_Data!N40:N230)</f>
        <v>8800000</v>
      </c>
      <c r="G41" s="31"/>
      <c r="H41" s="109">
        <f>SUMIF(Bill_Out!$Q$3:$Q$65,CONCATENATE($C41,$S$3),Bill_Out!$N$3:$N$65)</f>
        <v>0</v>
      </c>
      <c r="I41" s="88">
        <f>SUMIF(Bill_Out!$Q$3:$Q$65,CONCATENATE($C41,$S$3),Bill_Out!$O$3:$O$65)</f>
        <v>0</v>
      </c>
      <c r="J41" s="157"/>
      <c r="K41" s="29"/>
      <c r="L41" s="44"/>
      <c r="M41" s="230">
        <f>SUMIF(Master_Data!$AK39:$AK$145,CONCATENATE(C41,$S$3),Master_Data!U39:U238)+SUMIF(Master_Data!$AK322:$AK$864,CONCATENATE(C41,$S$3),Master_Data!U322:U950)</f>
        <v>0</v>
      </c>
      <c r="N41" s="310">
        <f>SUMIF(Master_Data!$AK$4:$AK$145,CONCATENATE(C41,$S$3),Master_Data!$S$4:$S$145)+SUMIF(Master_Data!$AK$150:$AK$864,CONCATENATE(C41,$S$3),Master_Data!$S$150:$S$864)</f>
        <v>0</v>
      </c>
      <c r="O41" s="310">
        <f>SUMIF(Master_Data!$AK$4:$AK$145,CONCATENATE(C41,$S$3),Master_Data!$T$4:$T$145)+SUMIF(Master_Data!$AK$150:$AK$864,CONCATENATE(C41,$S$3),Master_Data!$T$150:$T$864)</f>
        <v>0</v>
      </c>
      <c r="P41" s="230">
        <f t="shared" si="19"/>
        <v>0</v>
      </c>
      <c r="Q41" s="230">
        <f t="shared" si="20"/>
        <v>8800000</v>
      </c>
      <c r="R41" s="23"/>
      <c r="S41" s="24"/>
      <c r="T41" s="31"/>
      <c r="U41" s="109">
        <f t="shared" si="82"/>
        <v>0</v>
      </c>
      <c r="V41" s="109">
        <f t="shared" si="83"/>
        <v>8800000</v>
      </c>
      <c r="W41" s="31"/>
      <c r="X41" s="109">
        <f>SUMIF(Bill_Out!$Q$67:$Q$132,CONCATENATE($C41,$AJ$3),Bill_Out!$N$67:$N$132)</f>
        <v>0</v>
      </c>
      <c r="Y41" s="109">
        <f>SUMIF(Bill_Out!$Q$67:$Q$132,CONCATENATE($C41,$AJ$3),Bill_Out!$O$67:$O$132)</f>
        <v>0</v>
      </c>
      <c r="Z41" s="157"/>
      <c r="AA41" s="230">
        <f>SUMIF(Master_Data!$AK$4:$AK$145,CONCATENATE(C41,$AJ$3),Master_Data!$R$4:$R$145)+SUMIF(Master_Data!$AK$152:$AK$850,CONCATENATE(C41,$AJ$3),Master_Data!$R$152:$R$850)</f>
        <v>0</v>
      </c>
      <c r="AB41" s="230">
        <f>SUMIF(Master_Data!$AK$4:$AK$145,CONCATENATE(C41,$AJ$3),Master_Data!$Q$4:$Q$145)+SUMIF(Master_Data!$AK$152:$AK$850,CONCATENATE(C41,$AJ$3),Master_Data!$Q$152:$Q$850)</f>
        <v>0</v>
      </c>
      <c r="AC41" s="230">
        <f>SUMIF(Master_Data!$AK$4:$AK$145,CONCATENATE(C41,$AJ$3),Master_Data!$U$4:$U$145)+SUMIF(Master_Data!$AK$152:$AK$850,CONCATENATE(C41,$AJ$3),Master_Data!$U$152:$U$850)</f>
        <v>0</v>
      </c>
      <c r="AD41" s="310">
        <f ca="1">SUMIF(Master_Data!$AK$4:$AK$145,CONCATENATE(C41,$AJ$3),Master_Data!$S$4:$S$145)+SUMIF(Master_Data!$AK$152:$AK$864,CONCATENATE(C41,$AJ$3),Master_Data!$S$152:$S$850)</f>
        <v>0</v>
      </c>
      <c r="AE41" s="310">
        <f>SUMIF(Master_Data!$AK$4:$AK$145,CONCATENATE(C41,$AJ$3),Master_Data!$T$4:$T$145)+SUMIF(Master_Data!$AK$152:$AK$864,CONCATENATE(C41,$AJ$3),Master_Data!$T$152:$T$864)</f>
        <v>0</v>
      </c>
      <c r="AF41" s="230">
        <f t="shared" si="63"/>
        <v>0</v>
      </c>
      <c r="AG41" s="230">
        <f t="shared" ca="1" si="64"/>
        <v>8800000</v>
      </c>
      <c r="AH41" s="23"/>
      <c r="AI41" s="235" t="str">
        <f t="shared" si="86"/>
        <v>NEXWAVE, PTFEB</v>
      </c>
      <c r="AJ41" s="24"/>
      <c r="AK41" s="31"/>
      <c r="AL41" s="109">
        <f t="shared" si="65"/>
        <v>0</v>
      </c>
      <c r="AM41" s="109">
        <f t="shared" ca="1" si="66"/>
        <v>8800000</v>
      </c>
      <c r="AN41" s="31"/>
      <c r="AO41" s="109">
        <f>SUMIF(Bill_Out!$Q$134:$Q$188,CONCATENATE($C41,$BA$3),Bill_Out!$N$134:$N$188)</f>
        <v>0</v>
      </c>
      <c r="AP41" s="109">
        <f>SUMIF(Bill_Out!$Q$134:$Q$188,CONCATENATE($C41,$BA$3),Bill_Out!$O$134:$O$188)</f>
        <v>0</v>
      </c>
      <c r="AQ41" s="157"/>
      <c r="AR41" s="230">
        <f>SUMIF(Master_Data!$AK$4:$AK$145,CONCATENATE(C41,$BA$3),Master_Data!$R$4:$R$145)+SUMIF(Master_Data!$AK$152:$AK$864,CONCATENATE(C41,$BA$3),Master_Data!$R$152:$R$864)</f>
        <v>0</v>
      </c>
      <c r="AS41" s="230">
        <f>SUMIF(Master_Data!$AK$4:$AK$145,CONCATENATE(C41,$BA$3),Master_Data!$Q$4:$Q$145)+SUMIF(Master_Data!$AK$152:$AK$864,CONCATENATE(C41,$BA$3),Master_Data!$Q$152:$Q$864)</f>
        <v>0</v>
      </c>
      <c r="AT41" s="230">
        <f>SUMIF(Master_Data!$AK$4:$AK$145,CONCATENATE(C41,$BA$3),Master_Data!$U$4:$U$145)+SUMIF(Master_Data!$AK$152:$AK$864,CONCATENATE(C41,$BA$3),Master_Data!$U$152:$U$864)</f>
        <v>0</v>
      </c>
      <c r="AU41" s="230">
        <f ca="1">SUMIF(Master_Data!$AK$4:$AK$145,CONCATENATE(C41,$BA$3),Master_Data!$S$4:$S$145)+SUMIF(Master_Data!$AK$152:$AK$864,CONCATENATE(C41,$BA$3),Master_Data!$S$152:$S$850)</f>
        <v>0</v>
      </c>
      <c r="AV41" s="39">
        <f>SUMIF(Master_Data!$AK$152:$AK$864,CONCATENATE($C41,BA$3),Master_Data!$T$152:$T$864)</f>
        <v>0</v>
      </c>
      <c r="AW41" s="230">
        <f t="shared" si="57"/>
        <v>0</v>
      </c>
      <c r="AX41" s="230">
        <f t="shared" ca="1" si="58"/>
        <v>8800000</v>
      </c>
      <c r="AY41" s="23"/>
      <c r="AZ41" s="235" t="str">
        <f t="shared" si="21"/>
        <v>NEXWAVE, PTMAR</v>
      </c>
      <c r="BA41" s="24"/>
      <c r="BB41" s="31"/>
      <c r="BC41" s="109">
        <f t="shared" si="22"/>
        <v>0</v>
      </c>
      <c r="BD41" s="109">
        <f t="shared" ca="1" si="23"/>
        <v>8800000</v>
      </c>
      <c r="BE41" s="31"/>
      <c r="BF41" s="109">
        <f>SUMIF(Bill_Out!$Q$192:$Q$258,CONCATENATE($C41,$BR$3),Bill_Out!$N$192:$N$258)</f>
        <v>0</v>
      </c>
      <c r="BG41" s="109">
        <f>SUMIF(Bill_Out!$Q$192:$Q$258,CONCATENATE($C41,$BR$3),Bill_Out!$O$192:$O$258)</f>
        <v>0</v>
      </c>
      <c r="BH41" s="157"/>
      <c r="BI41" s="230">
        <f>SUMIF(Master_Data!$AK$4:$AK$145,CONCATENATE(C41,$BR$3),Master_Data!$R$4:$R$145)+SUMIF(Master_Data!$AK$152:$AK$864,CONCATENATE(C41,$BR$3),Master_Data!$R$152:$R$864)</f>
        <v>0</v>
      </c>
      <c r="BJ41" s="230">
        <f>SUMIF(Master_Data!$AK$4:$AK$145,CONCATENATE(C41,$BR$3),Master_Data!$Q$4:$Q$145)+SUMIF(Master_Data!$AK$152:$AK$864,CONCATENATE(C41,$BR$3),Master_Data!$Q$152:$Q$864)</f>
        <v>0</v>
      </c>
      <c r="BK41" s="230">
        <f>SUMIF(Master_Data!$AK$4:$AK$145,CONCATENATE(C41,$BR$3),Master_Data!$U$4:$U$145)+SUMIF(Master_Data!$AK$152:$AK$864,CONCATENATE(C41,$BR$3),Master_Data!$U$152:$U$864)</f>
        <v>0</v>
      </c>
      <c r="BL41" s="230">
        <f>SUMIF(Master_Data!$AK$4:$AK$145,CONCATENATE(C41,$BR$3),Master_Data!$S$4:$S$145)+SUMIF(Master_Data!$AK$152:$AK$864,CONCATENATE(C41,$BR$3),Master_Data!$S$152:$S$864)</f>
        <v>0</v>
      </c>
      <c r="BM41" s="39">
        <f>SUMIF(Master_Data!$AK$152:$AK$864,CONCATENATE($C41,BR$3),Master_Data!$T$152:$T$864)</f>
        <v>0</v>
      </c>
      <c r="BN41" s="230">
        <f t="shared" si="24"/>
        <v>0</v>
      </c>
      <c r="BO41" s="230">
        <f t="shared" ca="1" si="25"/>
        <v>8800000</v>
      </c>
      <c r="BP41" s="23"/>
      <c r="BQ41" s="909" t="str">
        <f t="shared" si="26"/>
        <v>NEXWAVE, PTAPR</v>
      </c>
      <c r="BR41" s="24"/>
      <c r="BS41" s="31"/>
      <c r="BT41" s="109">
        <f t="shared" si="78"/>
        <v>0</v>
      </c>
      <c r="BU41" s="109">
        <f t="shared" ca="1" si="79"/>
        <v>8800000</v>
      </c>
      <c r="BV41" s="31"/>
      <c r="BW41" s="109">
        <f>SUMIF(Bill_Out!$Q$263:$Q$314,CONCATENATE($C41,$CI$3),Bill_Out!$N$263:$N$314)</f>
        <v>0</v>
      </c>
      <c r="BX41" s="109">
        <f>SUMIF(Bill_Out!$Q$263:$Q$314,CONCATENATE($C41,$CI$3),Bill_Out!$O$263:$O$314)</f>
        <v>0</v>
      </c>
      <c r="BY41" s="157"/>
      <c r="BZ41" s="310">
        <f>SUMIF(Master_Data!$AK$4:$AK$145,CONCATENATE(C41,$CI$3),Master_Data!$R$4:$R$145)+SUMIF(Master_Data!$AK$152:$AK$864,CONCATENATE(C41,$CI$3),Master_Data!$R$152:$R$864)</f>
        <v>0</v>
      </c>
      <c r="CA41" s="310">
        <f>SUMIF(Master_Data!$AK$4:$AK$145,CONCATENATE(C41,$CI$3),Master_Data!$Q$4:$Q$145)+SUMIF(Master_Data!$AK$152:$AK$864,CONCATENATE(C41,$CI$3),Master_Data!$Q$152:$Q$864)</f>
        <v>0</v>
      </c>
      <c r="CB41" s="310">
        <f>SUMIF(Master_Data!$AK$4:$AK$145,CONCATENATE(C41,$CI$3),Master_Data!$U$4:$U$145)+SUMIF(Master_Data!$AK$152:$AK$864,CONCATENATE(C41,$CI$3),Master_Data!$U$152:$U$864)</f>
        <v>0</v>
      </c>
      <c r="CC41" s="230">
        <f>SUMIF(Master_Data!$AK$4:$AK$145,CONCATENATE(C41,$CI$3),Master_Data!$S$4:$S$145)+SUMIF(Master_Data!$AK$152:$AK$864,CONCATENATE(C41,$CI$3),Master_Data!$S$152:$S$864)</f>
        <v>0</v>
      </c>
      <c r="CD41" s="39">
        <f>SUMIF(Master_Data!$AK$152:$AK$864,CONCATENATE($C41,CI$3),Master_Data!$T$152:$T$864)</f>
        <v>0</v>
      </c>
      <c r="CE41" s="310">
        <f t="shared" si="27"/>
        <v>0</v>
      </c>
      <c r="CF41" s="230">
        <f t="shared" ca="1" si="28"/>
        <v>8800000</v>
      </c>
      <c r="CG41" s="23"/>
      <c r="CH41" s="235" t="str">
        <f t="shared" si="29"/>
        <v>NEXWAVE, PTMEI</v>
      </c>
      <c r="CI41" s="24"/>
      <c r="CJ41" s="31"/>
      <c r="CK41" s="109">
        <f t="shared" si="30"/>
        <v>0</v>
      </c>
      <c r="CL41" s="238">
        <f t="shared" ca="1" si="31"/>
        <v>8800000</v>
      </c>
      <c r="CM41" s="31"/>
      <c r="CN41" s="238">
        <f>SUMIF(Bill_Out!$Q$318:$Q$371,CONCATENATE($C41,$CZ$3),Bill_Out!$N$318:$N$371)</f>
        <v>0</v>
      </c>
      <c r="CO41" s="238">
        <f>SUMIF(Bill_Out!$Q$318:$Q$371,CONCATENATE($C41,$CZ$3),Bill_Out!$O$318:$O$371)</f>
        <v>0</v>
      </c>
      <c r="CP41" s="157"/>
      <c r="CQ41" s="230">
        <f>SUMIF(Master_Data!$AK$4:$AK$145,CONCATENATE($C41,$CZ$3),Master_Data!$R$4:$R$145)+SUMIF(Master_Data!$AK$152:$AK$864,CONCATENATE($C41,$CZ$3),Master_Data!$R$152:$R$864)</f>
        <v>0</v>
      </c>
      <c r="CR41" s="230">
        <f>SUMIF(Master_Data!$AK$4:$AK$145,CONCATENATE($C41,$CZ$3),Master_Data!$Q$4:$Q$145)+SUMIF(Master_Data!$AK$152:$AK$864,CONCATENATE($C41,$CZ$3),Master_Data!$Q$152:$Q$864)</f>
        <v>0</v>
      </c>
      <c r="CS41" s="230">
        <f>SUMIF(Master_Data!$AK$4:$AK$145,CONCATENATE($C41,$CZ$3),Master_Data!$U$4:$U$145)+SUMIF(Master_Data!$AK$152:$AK$864,CONCATENATE($C41,$CZ$3),Master_Data!$U$152:$U$864)</f>
        <v>0</v>
      </c>
      <c r="CT41" s="230">
        <f ca="1">SUMIF(Master_Data!$AK$4:$AK$145,CONCATENATE(C41,$CZ$3),Master_Data!$S$4:$S$145)+SUMIF(Master_Data!$AK$152:$AK$915,CONCATENATE(C41,$CZ$3),Master_Data!$S$152:$S$864)</f>
        <v>0</v>
      </c>
      <c r="CU41" s="1010">
        <f>SUMIF(Master_Data!$AK$4:$AK$145,CONCATENATE(C41,$CZ$3),Master_Data!$T$4:$T$145)+SUMIF(Master_Data!$AK$152:$AK$864,CONCATENATE(C41,$CZ$3),Master_Data!$T$152:$T$864)</f>
        <v>0</v>
      </c>
      <c r="CV41" s="230">
        <f t="shared" si="32"/>
        <v>0</v>
      </c>
      <c r="CW41" s="230">
        <f t="shared" ca="1" si="33"/>
        <v>8800000</v>
      </c>
      <c r="CX41" s="23"/>
      <c r="CY41" s="1007" t="str">
        <f t="shared" si="6"/>
        <v>NEXWAVE, PTJUN</v>
      </c>
      <c r="CZ41" s="24"/>
      <c r="DA41" s="31"/>
      <c r="DB41" s="109">
        <f t="shared" si="34"/>
        <v>0</v>
      </c>
      <c r="DC41" s="109">
        <f t="shared" ca="1" si="35"/>
        <v>8800000</v>
      </c>
      <c r="DD41" s="31"/>
      <c r="DE41" s="109">
        <f>SUMIF(Bill_Out!$Q$375:$Q$422,CONCATENATE($C41,$DQ$3),Bill_Out!$N$375:$N$422)</f>
        <v>0</v>
      </c>
      <c r="DF41" s="109">
        <f>SUMIF(Bill_Out!$Q$375:$Q$422,CONCATENATE($C41,$DQ$3),Bill_Out!$O$375:$O$422)</f>
        <v>0</v>
      </c>
      <c r="DG41" s="157"/>
      <c r="DH41" s="310">
        <f>SUMIF(Master_Data!$AK$4:$AK$145,CONCATENATE($C41,$DQ$3),Master_Data!$R$4:$R$145)+SUMIF(Master_Data!$AK$152:$AK$864,CONCATENATE($C41,$DQ$3),Master_Data!$R$152:$R$864)</f>
        <v>0</v>
      </c>
      <c r="DI41" s="310">
        <f>SUMIF(Master_Data!$AK$4:$AK$145,CONCATENATE($C41,$DQ$3),Master_Data!$Q$4:$Q$145)+SUMIF(Master_Data!$AK$152:$AK$864,CONCATENATE($C41,$DQ$3),Master_Data!$Q$152:$Q$864)</f>
        <v>0</v>
      </c>
      <c r="DJ41" s="310">
        <f>SUMIF(Master_Data!$AK$4:$AK$145,CONCATENATE($C41,$DQ$3),Master_Data!$U$4:$U$145)+SUMIF(Master_Data!$AK$152:$AK$864,CONCATENATE($C41,$DQ$3),Master_Data!$U$152:$U$864)</f>
        <v>0</v>
      </c>
      <c r="DK41" s="310">
        <f>SUMIF(Master_Data!$AK$4:$AK$145,CONCATENATE($C41,$DQ$3),Master_Data!$S$4:$S$145)+SUMIF(Master_Data!$AK$152:$AK$864,CONCATENATE($C41,$DQ$3),Master_Data!$S$152:$S$864)</f>
        <v>0</v>
      </c>
      <c r="DL41" s="39">
        <f>SUMIF(Master_Data!$AK$152:$AK$915,CONCATENATE($C41,DQ$3),Master_Data!$T$152:$T$915)</f>
        <v>0</v>
      </c>
      <c r="DM41" s="230">
        <f t="shared" si="67"/>
        <v>0</v>
      </c>
      <c r="DN41" s="230">
        <f t="shared" ca="1" si="68"/>
        <v>8800000</v>
      </c>
      <c r="DO41" s="23"/>
      <c r="DP41" s="358" t="str">
        <f t="shared" si="9"/>
        <v>NEXWAVE, PTJUL</v>
      </c>
      <c r="DQ41" s="24"/>
      <c r="DR41" s="392"/>
      <c r="DS41" s="109">
        <f t="shared" si="36"/>
        <v>0</v>
      </c>
      <c r="DT41" s="109">
        <f t="shared" ca="1" si="37"/>
        <v>8800000</v>
      </c>
      <c r="DU41" s="31"/>
      <c r="DV41" s="109">
        <f>SUMIF(Bill_Out!$Q$426:$Q$472,CONCATENATE($C41,$EH$3),Bill_Out!$N$426:$N$472)</f>
        <v>0</v>
      </c>
      <c r="DW41" s="109">
        <f>SUMIF(Bill_Out!$Q$426:$Q$472,CONCATENATE($C41,$EH$3),Bill_Out!$O$426:$O$472)</f>
        <v>0</v>
      </c>
      <c r="DX41" s="157"/>
      <c r="DY41" s="310">
        <f>SUMIF(Master_Data!$AK$4:$AK$145,CONCATENATE($C41,$EH$3),Master_Data!$R$4:$R$145)+SUMIF(Master_Data!$AK$152:$AK$864,CONCATENATE($C41,$EH$3),Master_Data!$R$152:$R$864)</f>
        <v>0</v>
      </c>
      <c r="DZ41" s="310">
        <f>SUMIF(Master_Data!$AK$4:$AK$145,CONCATENATE($C41,$EH$3),Master_Data!$Q$4:$Q$145)+SUMIF(Master_Data!$AK$152:$AK$864,CONCATENATE($C41,$EH$3),Master_Data!$Q$152:$Q$864)</f>
        <v>0</v>
      </c>
      <c r="EA41" s="310">
        <f>SUMIF(Master_Data!$AK$4:$AK$145,CONCATENATE($C41,$EH$3),Master_Data!$U$4:$U$145)+SUMIF(Master_Data!$AK$152:$AK$864,CONCATENATE($C41,$EH$3),Master_Data!$U$152:$U$864)</f>
        <v>0</v>
      </c>
      <c r="EB41" s="310">
        <f>SUMIF(Master_Data!$AK$4:$AK$145,CONCATENATE($C41,$EH$3),Master_Data!$S$4:$S$145)+SUMIF(Master_Data!$AK$152:$AK$864,CONCATENATE($C41,$EH$3),Master_Data!$S$152:$S$864)</f>
        <v>0</v>
      </c>
      <c r="EC41" s="39">
        <f>SUMIF(Master_Data!$AK$152:$AK$915,CONCATENATE($C41,EH$3),Master_Data!$T$152:$T$915)</f>
        <v>0</v>
      </c>
      <c r="ED41" s="310">
        <f t="shared" si="38"/>
        <v>0</v>
      </c>
      <c r="EE41" s="230">
        <f t="shared" ca="1" si="39"/>
        <v>8800000</v>
      </c>
      <c r="EF41" s="23"/>
      <c r="EG41" s="358" t="str">
        <f t="shared" si="10"/>
        <v>NEXWAVE, PTAGS</v>
      </c>
      <c r="EH41" s="24"/>
      <c r="EI41" s="392"/>
      <c r="EJ41" s="109">
        <f t="shared" si="47"/>
        <v>0</v>
      </c>
      <c r="EK41" s="109">
        <f t="shared" ca="1" si="48"/>
        <v>8800000</v>
      </c>
      <c r="EL41" s="84"/>
      <c r="EM41" s="109">
        <f>SUMIF(Bill_Out!$Q$476:$Q$530,CONCATENATE($C41,$EY$3),Bill_Out!$N$476:$N$530)</f>
        <v>0</v>
      </c>
      <c r="EN41" s="109">
        <f>SUMIF(Bill_Out!$Q$476:$Q$530,CONCATENATE($C41,$EY$3),Bill_Out!$O$476:$O$530)</f>
        <v>0</v>
      </c>
      <c r="EO41" s="309"/>
      <c r="EP41" s="310">
        <f>SUMIF(Master_Data!$AK$4:$AK$145,CONCATENATE($C41,$EY$3),Master_Data!$R$4:$R$145)+SUMIF(Master_Data!$AK$152:$AK$864,CONCATENATE($C41,$EY$3),Master_Data!$R$152:$R$864)</f>
        <v>0</v>
      </c>
      <c r="EQ41" s="310">
        <f>SUMIF(Master_Data!$AK$4:$AK$145,CONCATENATE($C41,$EY$3),Master_Data!$Q$4:$Q$145)+SUMIF(Master_Data!$AK$152:$AK$864,CONCATENATE($C41,$EY$3),Master_Data!$Q$152:$Q$864)</f>
        <v>0</v>
      </c>
      <c r="ER41" s="310">
        <f>SUMIF(Master_Data!$AK$4:$AK$145,CONCATENATE($C41,$EY$3),Master_Data!$U$4:$U$145)+SUMIF(Master_Data!$AK$152:$AK$864,CONCATENATE($C41,$EY$3),Master_Data!$U$152:$U$864)</f>
        <v>0</v>
      </c>
      <c r="ES41" s="310">
        <f>SUMIF(Master_Data!$AK$4:$AK$145,CONCATENATE($C41,$EY$3),Master_Data!$S$4:$S$145)+SUMIF(Master_Data!$AK$152:$AK$864,CONCATENATE($C41,$EY$3),Master_Data!$S$152:$S$864)</f>
        <v>0</v>
      </c>
      <c r="ET41" s="39">
        <f>SUMIF(Master_Data!$AK$152:$AK$915,CONCATENATE($C41,EY$3),Master_Data!$T$152:$T$915)</f>
        <v>0</v>
      </c>
      <c r="EU41" s="310">
        <f t="shared" si="49"/>
        <v>0</v>
      </c>
      <c r="EV41" s="230"/>
      <c r="EW41" s="84"/>
      <c r="EX41" s="358" t="str">
        <f t="shared" si="11"/>
        <v>NEXWAVE, PTSEP</v>
      </c>
      <c r="EY41" s="24"/>
      <c r="EZ41" s="415"/>
      <c r="FA41" s="109">
        <f t="shared" si="41"/>
        <v>0</v>
      </c>
      <c r="FB41" s="109">
        <f t="shared" si="84"/>
        <v>0</v>
      </c>
      <c r="FC41" s="420"/>
      <c r="FD41" s="109">
        <f>SUMIF(Bill_Out!$Q$534:$Q$606,CONCATENATE($C41,$FP$3),Bill_Out!$N$534:$N$606)</f>
        <v>0</v>
      </c>
      <c r="FE41" s="109">
        <f>SUMIF(Bill_Out!$Q$534:$Q$606,CONCATENATE($C41,$FP$3),Bill_Out!$O$534:$O$606)</f>
        <v>0</v>
      </c>
      <c r="FF41" s="157"/>
      <c r="FG41" s="310">
        <f>SUMIF(Master_Data!$AK$4:$AK$145,CONCATENATE($C41,$FP$3),Master_Data!$R$4:$R$145)+SUMIF(Master_Data!$AK$152:$AK$864,CONCATENATE($C41,$FP$3),Master_Data!$R$152:$R$864)</f>
        <v>0</v>
      </c>
      <c r="FH41" s="310">
        <f>SUMIF(Master_Data!$AK$4:$AK$145,CONCATENATE($C41,$FP$3),Master_Data!$Q$4:$Q$145)+SUMIF(Master_Data!$AK$152:$AK$864,CONCATENATE($C41,$FP$3),Master_Data!$Q$152:$Q$864)</f>
        <v>0</v>
      </c>
      <c r="FI41" s="310">
        <f>SUMIF(Master_Data!$AK$4:$AK$145,CONCATENATE($C41,$FP$3),Master_Data!$U$4:$U$145)+SUMIF(Master_Data!$AK$152:$AK$864,CONCATENATE($C41,$FP$3),Master_Data!$U$152:$U$864)</f>
        <v>0</v>
      </c>
      <c r="FJ41" s="310">
        <f>SUMIF(Master_Data!$AK$4:$AK$145,CONCATENATE($C41,$FP$3),Master_Data!$S$4:$S$145)+SUMIF(Master_Data!$AK$152:$AK$864,CONCATENATE($C41,$FP$3),Master_Data!$S$152:$S$864)</f>
        <v>0</v>
      </c>
      <c r="FK41" s="39">
        <f>SUMIF(Master_Data!$AK$152:$AK$915,CONCATENATE($C41,FP$3),Master_Data!$T$152:$T$915)</f>
        <v>0</v>
      </c>
      <c r="FL41" s="230">
        <f t="shared" si="85"/>
        <v>0</v>
      </c>
      <c r="FM41" s="230">
        <f t="shared" si="12"/>
        <v>0</v>
      </c>
      <c r="FN41" s="23"/>
      <c r="FO41" s="358" t="str">
        <f t="shared" si="80"/>
        <v>NEXWAVE, PTOKT</v>
      </c>
      <c r="FP41" s="24"/>
      <c r="FQ41" s="415"/>
      <c r="FR41" s="109">
        <f t="shared" si="42"/>
        <v>0</v>
      </c>
      <c r="FS41" s="109">
        <f t="shared" si="74"/>
        <v>0</v>
      </c>
      <c r="FT41" s="420"/>
      <c r="FU41" s="109">
        <f>SUMIF(Bill_Out!$Q$610:$Q$675,CONCATENATE($C41,$GG$3),Bill_Out!$N$610:$N$675)</f>
        <v>0</v>
      </c>
      <c r="FV41" s="109">
        <f>SUMIF(Bill_Out!$Q$610:$Q$675,CONCATENATE($C41,$GG$3),Bill_Out!$O$610:$O$675)</f>
        <v>0</v>
      </c>
      <c r="FW41" s="157"/>
      <c r="FX41" s="512">
        <f>SUMIF(Master_Data!$AK$4:$AK$145,CONCATENATE($C41,$GG$3),Master_Data!$R$4:$R$145)+SUMIF(Master_Data!$AK$152:$AK$864,CONCATENATE($C41,$GG$3),Master_Data!$R$152:$R$864)</f>
        <v>0</v>
      </c>
      <c r="FY41" s="512">
        <f>SUMIF(Master_Data!$AK$4:$AK$145,CONCATENATE($C41,$GG$3),Master_Data!$Q$4:$Q$145)+SUMIF(Master_Data!$AK$152:$AK$864,CONCATENATE($C41,$GG$3),Master_Data!$Q$152:$Q$864)</f>
        <v>0</v>
      </c>
      <c r="FZ41" s="512">
        <f>SUMIF(Master_Data!$AK$4:$AK$145,CONCATENATE($C41,$GG$3),Master_Data!$U$4:$U$145)+SUMIF(Master_Data!$AK$152:$AK$864,CONCATENATE($C41,$GG$3),Master_Data!$U$152:$U$864)</f>
        <v>0</v>
      </c>
      <c r="GA41" s="310">
        <f>SUMIF(Master_Data!$AK$4:$AK$145,CONCATENATE($C41,$GG$3),Master_Data!$S$4:$S$145)+SUMIF(Master_Data!$AK$152:$AK$864,CONCATENATE($C41,$GG$3),Master_Data!$S$152:$S$864)</f>
        <v>0</v>
      </c>
      <c r="GB41" s="39">
        <f>SUMIF(Master_Data!$AK$152:$AK$915,CONCATENATE($C41,GG$3),Master_Data!$T$152:$T$915)</f>
        <v>0</v>
      </c>
      <c r="GC41" s="230">
        <f t="shared" si="77"/>
        <v>0</v>
      </c>
      <c r="GD41" s="230">
        <f t="shared" si="14"/>
        <v>0</v>
      </c>
      <c r="GE41" s="23"/>
      <c r="GF41" s="358" t="str">
        <f t="shared" si="81"/>
        <v>NEXWAVE, PTNOV</v>
      </c>
      <c r="GG41" s="24"/>
      <c r="GH41" s="415" t="s">
        <v>315</v>
      </c>
      <c r="GI41" s="109">
        <f t="shared" si="70"/>
        <v>0</v>
      </c>
      <c r="GJ41" s="109">
        <f t="shared" si="71"/>
        <v>0</v>
      </c>
      <c r="GK41" s="423"/>
      <c r="GL41" s="109">
        <f>SUMIF(Bill_Out!$Q$679:$Q$756,CONCATENATE($C41,$GX$3),Bill_Out!$N$679:$N$756)</f>
        <v>0</v>
      </c>
      <c r="GM41" s="109">
        <f>SUMIF(Bill_Out!$Q$679:$Q$756,CONCATENATE($C41,$GX$3),Bill_Out!$O$679:$O$756)</f>
        <v>0</v>
      </c>
      <c r="GN41" s="157"/>
      <c r="GO41" s="512">
        <f>SUMIF(Master_Data!$AK$4:$AK$145,CONCATENATE($C41,$GX$3),Master_Data!$R$4:$R$145)+SUMIF(Master_Data!$AK$152:$AK$864,CONCATENATE($C41,$GX$3),Master_Data!$R$152:$R$864)</f>
        <v>0</v>
      </c>
      <c r="GP41" s="512">
        <f>SUMIF(Master_Data!$AK$4:$AK$145,CONCATENATE($C41,$GX$3),Master_Data!$Q$4:$Q$145)+SUMIF(Master_Data!$AK$152:$AK$864,CONCATENATE($C41,$GX$3),Master_Data!$Q$152:$Q$864)</f>
        <v>0</v>
      </c>
      <c r="GQ41" s="512">
        <f>SUMIF(Master_Data!$AK$4:$AK$145,CONCATENATE($C41,$GX$3),Master_Data!$U$4:$U$145)+SUMIF(Master_Data!$AK$152:$AK$864,CONCATENATE($C41,$GX$3),Master_Data!$U$152:$U$864)</f>
        <v>0</v>
      </c>
      <c r="GR41" s="310">
        <f>SUMIF(Master_Data!$AK$4:$AK$145,CONCATENATE($C41,$GX$3),Master_Data!$S$4:$S$145)+SUMIF(Master_Data!$AK$152:$AK$864,CONCATENATE($C41,$GX$3),Master_Data!$S$152:$S$864)</f>
        <v>0</v>
      </c>
      <c r="GS41" s="39">
        <f>SUMIF(Master_Data!$AK$152:$AK$864,CONCATENATE($C41,GX$3),Master_Data!$T$152:$T$864)</f>
        <v>0</v>
      </c>
      <c r="GT41" s="534">
        <f t="shared" si="44"/>
        <v>0</v>
      </c>
      <c r="GU41" s="310">
        <f t="shared" si="16"/>
        <v>0</v>
      </c>
      <c r="GV41" s="23"/>
      <c r="GW41" s="358" t="str">
        <f t="shared" si="69"/>
        <v>NEXWAVE, PTDES</v>
      </c>
      <c r="GX41" s="24"/>
    </row>
    <row r="42" spans="1:206" s="19" customFormat="1">
      <c r="A42" s="21" t="s">
        <v>224</v>
      </c>
      <c r="B42" s="236" t="str">
        <f t="shared" si="18"/>
        <v>NUSANTARA SARANA ALAM, PTJAN</v>
      </c>
      <c r="C42" s="8" t="s">
        <v>2064</v>
      </c>
      <c r="D42" s="23"/>
      <c r="E42" s="109">
        <f>SUMIF(Master_Data!$D34:$D$145,CONCATENATE(C42),Master_Data!M34:M851)</f>
        <v>0</v>
      </c>
      <c r="F42" s="109">
        <f>SUMIF(Master_Data!$D41:$D$145,CONCATENATE(C42),Master_Data!N41:N231)</f>
        <v>0</v>
      </c>
      <c r="G42" s="31"/>
      <c r="H42" s="109">
        <f>SUMIF(Bill_Out!$Q$3:$Q$65,CONCATENATE($C42,$S$3),Bill_Out!$N$3:$N$65)</f>
        <v>0</v>
      </c>
      <c r="I42" s="88">
        <f>SUMIF(Bill_Out!$Q$3:$Q$65,CONCATENATE($C42,$S$3),Bill_Out!$O$3:$O$65)</f>
        <v>0</v>
      </c>
      <c r="J42" s="157"/>
      <c r="K42" s="29"/>
      <c r="L42" s="44"/>
      <c r="M42" s="230">
        <f>SUMIF(Master_Data!$AK40:$AK$145,CONCATENATE(C42,$S$3),Master_Data!U40:U239)+SUMIF(Master_Data!$AK323:$AK$864,CONCATENATE(C42,$S$3),Master_Data!U323:U951)</f>
        <v>0</v>
      </c>
      <c r="N42" s="310">
        <f>SUMIF(Master_Data!$AK$4:$AK$145,CONCATENATE(C42,$S$3),Master_Data!$S$4:$S$145)+SUMIF(Master_Data!$AK$150:$AK$864,CONCATENATE(C42,$S$3),Master_Data!$S$150:$S$864)</f>
        <v>0</v>
      </c>
      <c r="O42" s="310">
        <f>SUMIF(Master_Data!$AK$4:$AK$145,CONCATENATE(C42,$S$3),Master_Data!$T$4:$T$145)+SUMIF(Master_Data!$AK$150:$AK$864,CONCATENATE(C42,$S$3),Master_Data!$T$150:$T$864)</f>
        <v>0</v>
      </c>
      <c r="P42" s="230">
        <f>E42+H42-K42+L42</f>
        <v>0</v>
      </c>
      <c r="Q42" s="230">
        <f>F42+I42-M42+N42+O42</f>
        <v>0</v>
      </c>
      <c r="R42" s="23"/>
      <c r="S42" s="24"/>
      <c r="T42" s="31"/>
      <c r="U42" s="109">
        <f>P42</f>
        <v>0</v>
      </c>
      <c r="V42" s="109">
        <f>Q42</f>
        <v>0</v>
      </c>
      <c r="W42" s="31"/>
      <c r="X42" s="109">
        <f>SUMIF(Bill_Out!$Q$67:$Q$132,CONCATENATE($C42,$AJ$3),Bill_Out!$N$67:$N$132)</f>
        <v>0</v>
      </c>
      <c r="Y42" s="109" t="e">
        <f>SUMIF(Bill_Out!$Q$67:$Q$132,CONCATENATE($C42,$AJ$3),Bill_Out!$O$67:$O$132)</f>
        <v>#VALUE!</v>
      </c>
      <c r="Z42" s="157"/>
      <c r="AA42" s="230">
        <f>SUMIF(Master_Data!$AK$4:$AK$145,CONCATENATE(C42,$AJ$3),Master_Data!$R$4:$R$145)+SUMIF(Master_Data!$AK$152:$AK$850,CONCATENATE(C42,$AJ$3),Master_Data!$R$152:$R$850)</f>
        <v>0</v>
      </c>
      <c r="AB42" s="230">
        <f>SUMIF(Master_Data!$AK$4:$AK$145,CONCATENATE(C42,$AJ$3),Master_Data!$Q$4:$Q$145)+SUMIF(Master_Data!$AK$152:$AK$850,CONCATENATE(C42,$AJ$3),Master_Data!$Q$152:$Q$850)</f>
        <v>0</v>
      </c>
      <c r="AC42" s="230">
        <f>SUMIF(Master_Data!$AK$4:$AK$145,CONCATENATE(C42,$AJ$3),Master_Data!$U$4:$U$145)+SUMIF(Master_Data!$AK$152:$AK$850,CONCATENATE(C42,$AJ$3),Master_Data!$U$152:$U$850)</f>
        <v>0</v>
      </c>
      <c r="AD42" s="310">
        <f ca="1">SUMIF(Master_Data!$AK$4:$AK$145,CONCATENATE(C42,$AJ$3),Master_Data!$S$4:$S$145)+SUMIF(Master_Data!$AK$152:$AK$864,CONCATENATE(C42,$AJ$3),Master_Data!$S$152:$S$850)</f>
        <v>0</v>
      </c>
      <c r="AE42" s="310">
        <f>SUMIF(Master_Data!$AK$4:$AK$145,CONCATENATE(C42,$AJ$3),Master_Data!$T$4:$T$145)+SUMIF(Master_Data!$AK$152:$AK$864,CONCATENATE(C42,$AJ$3),Master_Data!$T$152:$T$864)</f>
        <v>0</v>
      </c>
      <c r="AF42" s="230">
        <f t="shared" si="63"/>
        <v>0</v>
      </c>
      <c r="AG42" s="230" t="e">
        <f t="shared" ca="1" si="64"/>
        <v>#VALUE!</v>
      </c>
      <c r="AH42" s="23"/>
      <c r="AI42" s="235" t="str">
        <f t="shared" si="86"/>
        <v>NUSANTARA SARANA ALAM, PTFEB</v>
      </c>
      <c r="AJ42" s="24"/>
      <c r="AK42" s="31"/>
      <c r="AL42" s="109">
        <f t="shared" si="65"/>
        <v>0</v>
      </c>
      <c r="AM42" s="109" t="e">
        <f t="shared" ca="1" si="66"/>
        <v>#VALUE!</v>
      </c>
      <c r="AN42" s="31"/>
      <c r="AO42" s="109">
        <f>SUMIF(Bill_Out!$Q$134:$Q$188,CONCATENATE($C42,$BA$3),Bill_Out!$N$134:$N$188)</f>
        <v>0</v>
      </c>
      <c r="AP42" s="109" t="e">
        <f>SUMIF(Bill_Out!$Q$134:$Q$188,CONCATENATE($C42,$BA$3),Bill_Out!$O$134:$O$188)</f>
        <v>#VALUE!</v>
      </c>
      <c r="AQ42" s="157"/>
      <c r="AR42" s="230">
        <f>SUMIF(Master_Data!$AK$4:$AK$145,CONCATENATE(C42,$BA$3),Master_Data!$R$4:$R$145)+SUMIF(Master_Data!$AK$152:$AK$864,CONCATENATE(C42,$BA$3),Master_Data!$R$152:$R$864)</f>
        <v>0</v>
      </c>
      <c r="AS42" s="230">
        <f>SUMIF(Master_Data!$AK$4:$AK$145,CONCATENATE(C42,$BA$3),Master_Data!$Q$4:$Q$145)+SUMIF(Master_Data!$AK$152:$AK$864,CONCATENATE(C42,$BA$3),Master_Data!$Q$152:$Q$864)</f>
        <v>0</v>
      </c>
      <c r="AT42" s="230">
        <f>SUMIF(Master_Data!$AK$4:$AK$145,CONCATENATE(C42,$BA$3),Master_Data!$U$4:$U$145)+SUMIF(Master_Data!$AK$152:$AK$864,CONCATENATE(C42,$BA$3),Master_Data!$U$152:$U$864)</f>
        <v>30939640</v>
      </c>
      <c r="AU42" s="230">
        <f ca="1">SUMIF(Master_Data!$AK$4:$AK$145,CONCATENATE(C42,$BA$3),Master_Data!$S$4:$S$145)+SUMIF(Master_Data!$AK$152:$AK$864,CONCATENATE(C42,$BA$3),Master_Data!$S$152:$S$850)</f>
        <v>0</v>
      </c>
      <c r="AV42" s="39">
        <f>SUMIF(Master_Data!$AK$152:$AK$864,CONCATENATE($C42,BA$3),Master_Data!$T$152:$T$864)</f>
        <v>-540000</v>
      </c>
      <c r="AW42" s="230">
        <f t="shared" si="57"/>
        <v>0</v>
      </c>
      <c r="AX42" s="230" t="e">
        <f t="shared" ca="1" si="58"/>
        <v>#VALUE!</v>
      </c>
      <c r="AY42" s="23"/>
      <c r="AZ42" s="235" t="str">
        <f t="shared" si="21"/>
        <v>NUSANTARA SARANA ALAM, PTMAR</v>
      </c>
      <c r="BA42" s="24"/>
      <c r="BB42" s="31"/>
      <c r="BC42" s="109">
        <f t="shared" si="22"/>
        <v>0</v>
      </c>
      <c r="BD42" s="109" t="e">
        <f t="shared" ca="1" si="23"/>
        <v>#VALUE!</v>
      </c>
      <c r="BE42" s="31"/>
      <c r="BF42" s="109">
        <f>SUMIF(Bill_Out!$Q$192:$Q$258,CONCATENATE($C42,$BR$3),Bill_Out!$N$192:$N$258)</f>
        <v>0</v>
      </c>
      <c r="BG42" s="109" t="e">
        <f>SUMIF(Bill_Out!$Q$192:$Q$258,CONCATENATE($C42,$BR$3),Bill_Out!$O$192:$O$258)</f>
        <v>#VALUE!</v>
      </c>
      <c r="BH42" s="157"/>
      <c r="BI42" s="230">
        <f>SUMIF(Master_Data!$AK$4:$AK$145,CONCATENATE(C42,$BR$3),Master_Data!$R$4:$R$145)+SUMIF(Master_Data!$AK$152:$AK$864,CONCATENATE(C42,$BR$3),Master_Data!$R$152:$R$864)</f>
        <v>0</v>
      </c>
      <c r="BJ42" s="230">
        <f>SUMIF(Master_Data!$AK$4:$AK$145,CONCATENATE(C42,$BR$3),Master_Data!$Q$4:$Q$145)+SUMIF(Master_Data!$AK$152:$AK$864,CONCATENATE(C42,$BR$3),Master_Data!$Q$152:$Q$864)</f>
        <v>0</v>
      </c>
      <c r="BK42" s="230">
        <f>SUMIF(Master_Data!$AK$4:$AK$145,CONCATENATE(C42,$BR$3),Master_Data!$U$4:$U$145)+SUMIF(Master_Data!$AK$152:$AK$864,CONCATENATE(C42,$BR$3),Master_Data!$U$152:$U$864)</f>
        <v>23760000</v>
      </c>
      <c r="BL42" s="230">
        <f>SUMIF(Master_Data!$AK$4:$AK$145,CONCATENATE(C42,$BR$3),Master_Data!$S$4:$S$145)+SUMIF(Master_Data!$AK$152:$AK$864,CONCATENATE(C42,$BR$3),Master_Data!$S$152:$S$864)</f>
        <v>0</v>
      </c>
      <c r="BM42" s="39">
        <f>SUMIF(Master_Data!$AK$152:$AK$864,CONCATENATE($C42,BR$3),Master_Data!$T$152:$T$864)</f>
        <v>-440000</v>
      </c>
      <c r="BN42" s="230">
        <f t="shared" si="24"/>
        <v>0</v>
      </c>
      <c r="BO42" s="230" t="e">
        <f t="shared" ca="1" si="25"/>
        <v>#VALUE!</v>
      </c>
      <c r="BP42" s="23"/>
      <c r="BQ42" s="909" t="str">
        <f t="shared" si="26"/>
        <v>NUSANTARA SARANA ALAM, PTAPR</v>
      </c>
      <c r="BR42" s="24"/>
      <c r="BS42" s="31"/>
      <c r="BT42" s="109">
        <f t="shared" si="78"/>
        <v>0</v>
      </c>
      <c r="BU42" s="109" t="e">
        <f t="shared" ca="1" si="79"/>
        <v>#VALUE!</v>
      </c>
      <c r="BV42" s="31"/>
      <c r="BW42" s="109">
        <f>SUMIF(Bill_Out!$Q$263:$Q$314,CONCATENATE($C42,$CI$3),Bill_Out!$N$263:$N$314)</f>
        <v>0</v>
      </c>
      <c r="BX42" s="109" t="e">
        <f>SUMIF(Bill_Out!$Q$263:$Q$314,CONCATENATE($C42,$CI$3),Bill_Out!$O$263:$O$314)</f>
        <v>#VALUE!</v>
      </c>
      <c r="BY42" s="157"/>
      <c r="BZ42" s="310">
        <f>SUMIF(Master_Data!$AK$4:$AK$145,CONCATENATE(C42,$CI$3),Master_Data!$R$4:$R$145)+SUMIF(Master_Data!$AK$152:$AK$864,CONCATENATE(C42,$CI$3),Master_Data!$R$152:$R$864)</f>
        <v>0</v>
      </c>
      <c r="CA42" s="310">
        <f>SUMIF(Master_Data!$AK$4:$AK$145,CONCATENATE(C42,$CI$3),Master_Data!$Q$4:$Q$145)+SUMIF(Master_Data!$AK$152:$AK$864,CONCATENATE(C42,$CI$3),Master_Data!$Q$152:$Q$864)</f>
        <v>0</v>
      </c>
      <c r="CB42" s="310">
        <f>SUMIF(Master_Data!$AK$4:$AK$145,CONCATENATE(C42,$CI$3),Master_Data!$U$4:$U$145)+SUMIF(Master_Data!$AK$152:$AK$864,CONCATENATE(C42,$CI$3),Master_Data!$U$152:$U$864)</f>
        <v>23760000</v>
      </c>
      <c r="CC42" s="230">
        <f>SUMIF(Master_Data!$AK$4:$AK$145,CONCATENATE(C42,$CI$3),Master_Data!$S$4:$S$145)+SUMIF(Master_Data!$AK$152:$AK$864,CONCATENATE(C42,$CI$3),Master_Data!$S$152:$S$864)</f>
        <v>0</v>
      </c>
      <c r="CD42" s="39">
        <f>SUMIF(Master_Data!$AK$152:$AK$864,CONCATENATE($C42,CI$3),Master_Data!$T$152:$T$864)</f>
        <v>-440000</v>
      </c>
      <c r="CE42" s="310">
        <f t="shared" si="27"/>
        <v>0</v>
      </c>
      <c r="CF42" s="230" t="e">
        <f t="shared" ca="1" si="28"/>
        <v>#VALUE!</v>
      </c>
      <c r="CG42" s="23"/>
      <c r="CH42" s="235" t="str">
        <f t="shared" si="29"/>
        <v>NUSANTARA SARANA ALAM, PTMEI</v>
      </c>
      <c r="CI42" s="24"/>
      <c r="CJ42" s="31"/>
      <c r="CK42" s="109">
        <f t="shared" si="30"/>
        <v>0</v>
      </c>
      <c r="CL42" s="238" t="e">
        <f t="shared" ca="1" si="31"/>
        <v>#VALUE!</v>
      </c>
      <c r="CM42" s="31"/>
      <c r="CN42" s="238">
        <f>SUMIF(Bill_Out!$Q$318:$Q$371,CONCATENATE($C42,$CZ$3),Bill_Out!$N$318:$N$371)</f>
        <v>0</v>
      </c>
      <c r="CO42" s="238" t="e">
        <f>SUMIF(Bill_Out!$Q$318:$Q$371,CONCATENATE($C42,$CZ$3),Bill_Out!$O$318:$O$371)</f>
        <v>#VALUE!</v>
      </c>
      <c r="CP42" s="157"/>
      <c r="CQ42" s="230">
        <f>SUMIF(Master_Data!$AK$4:$AK$145,CONCATENATE($C42,$CZ$3),Master_Data!$R$4:$R$145)+SUMIF(Master_Data!$AK$152:$AK$864,CONCATENATE($C42,$CZ$3),Master_Data!$R$152:$R$864)</f>
        <v>0</v>
      </c>
      <c r="CR42" s="230">
        <f>SUMIF(Master_Data!$AK$4:$AK$145,CONCATENATE($C42,$CZ$3),Master_Data!$Q$4:$Q$145)+SUMIF(Master_Data!$AK$152:$AK$864,CONCATENATE($C42,$CZ$3),Master_Data!$Q$152:$Q$864)</f>
        <v>0</v>
      </c>
      <c r="CS42" s="230">
        <f>SUMIF(Master_Data!$AK$4:$AK$145,CONCATENATE($C42,$CZ$3),Master_Data!$U$4:$U$145)+SUMIF(Master_Data!$AK$152:$AK$864,CONCATENATE($C42,$CZ$3),Master_Data!$U$152:$U$864)</f>
        <v>4752000</v>
      </c>
      <c r="CT42" s="230">
        <f ca="1">SUMIF(Master_Data!$AK$4:$AK$145,CONCATENATE(C42,$CZ$3),Master_Data!$S$4:$S$145)+SUMIF(Master_Data!$AK$152:$AK$915,CONCATENATE(C42,$CZ$3),Master_Data!$S$152:$S$864)</f>
        <v>0</v>
      </c>
      <c r="CU42" s="1010">
        <f>SUMIF(Master_Data!$AK$4:$AK$145,CONCATENATE(C42,$CZ$3),Master_Data!$T$4:$T$145)+SUMIF(Master_Data!$AK$152:$AK$864,CONCATENATE(C42,$CZ$3),Master_Data!$T$152:$T$864)</f>
        <v>-88000</v>
      </c>
      <c r="CV42" s="230">
        <f t="shared" si="32"/>
        <v>0</v>
      </c>
      <c r="CW42" s="230" t="e">
        <f t="shared" ca="1" si="33"/>
        <v>#VALUE!</v>
      </c>
      <c r="CX42" s="23"/>
      <c r="CY42" s="1007" t="str">
        <f t="shared" si="6"/>
        <v>NUSANTARA SARANA ALAM, PTJUN</v>
      </c>
      <c r="CZ42" s="24"/>
      <c r="DA42" s="31"/>
      <c r="DB42" s="109">
        <f t="shared" si="34"/>
        <v>0</v>
      </c>
      <c r="DC42" s="109" t="e">
        <f t="shared" ca="1" si="35"/>
        <v>#VALUE!</v>
      </c>
      <c r="DD42" s="31"/>
      <c r="DE42" s="109">
        <f>SUMIF(Bill_Out!$Q$375:$Q$422,CONCATENATE($C42,$DQ$3),Bill_Out!$N$375:$N$422)</f>
        <v>0</v>
      </c>
      <c r="DF42" s="109" t="e">
        <f>SUMIF(Bill_Out!$Q$375:$Q$422,CONCATENATE($C42,$DQ$3),Bill_Out!$O$375:$O$422)</f>
        <v>#VALUE!</v>
      </c>
      <c r="DG42" s="157"/>
      <c r="DH42" s="310">
        <f>SUMIF(Master_Data!$AK$4:$AK$145,CONCATENATE($C42,$DQ$3),Master_Data!$R$4:$R$145)+SUMIF(Master_Data!$AK$152:$AK$864,CONCATENATE($C42,$DQ$3),Master_Data!$R$152:$R$864)</f>
        <v>0</v>
      </c>
      <c r="DI42" s="310">
        <f>SUMIF(Master_Data!$AK$4:$AK$145,CONCATENATE($C42,$DQ$3),Master_Data!$Q$4:$Q$145)+SUMIF(Master_Data!$AK$152:$AK$864,CONCATENATE($C42,$DQ$3),Master_Data!$Q$152:$Q$864)</f>
        <v>0</v>
      </c>
      <c r="DJ42" s="310">
        <f>SUMIF(Master_Data!$AK$4:$AK$145,CONCATENATE($C42,$DQ$3),Master_Data!$U$4:$U$145)+SUMIF(Master_Data!$AK$152:$AK$864,CONCATENATE($C42,$DQ$3),Master_Data!$U$152:$U$864)</f>
        <v>23760000</v>
      </c>
      <c r="DK42" s="310">
        <f>SUMIF(Master_Data!$AK$4:$AK$145,CONCATENATE($C42,$DQ$3),Master_Data!$S$4:$S$145)+SUMIF(Master_Data!$AK$152:$AK$864,CONCATENATE($C42,$DQ$3),Master_Data!$S$152:$S$864)</f>
        <v>0</v>
      </c>
      <c r="DL42" s="39">
        <f>SUMIF(Master_Data!$AK$152:$AK$915,CONCATENATE($C42,DQ$3),Master_Data!$T$152:$T$915)</f>
        <v>-440000</v>
      </c>
      <c r="DM42" s="230">
        <f t="shared" si="67"/>
        <v>0</v>
      </c>
      <c r="DN42" s="230" t="e">
        <f t="shared" ca="1" si="68"/>
        <v>#VALUE!</v>
      </c>
      <c r="DO42" s="23"/>
      <c r="DP42" s="358" t="str">
        <f t="shared" si="9"/>
        <v>NUSANTARA SARANA ALAM, PTJUL</v>
      </c>
      <c r="DQ42" s="24"/>
      <c r="DR42" s="392"/>
      <c r="DS42" s="109">
        <f t="shared" si="36"/>
        <v>0</v>
      </c>
      <c r="DT42" s="109" t="e">
        <f t="shared" ca="1" si="37"/>
        <v>#VALUE!</v>
      </c>
      <c r="DU42" s="31"/>
      <c r="DV42" s="109">
        <f>SUMIF(Bill_Out!$Q$426:$Q$472,CONCATENATE($C42,$EH$3),Bill_Out!$N$426:$N$472)</f>
        <v>0</v>
      </c>
      <c r="DW42" s="109" t="e">
        <f>SUMIF(Bill_Out!$Q$426:$Q$472,CONCATENATE($C42,$EH$3),Bill_Out!$O$426:$O$472)</f>
        <v>#VALUE!</v>
      </c>
      <c r="DX42" s="157"/>
      <c r="DY42" s="310">
        <f>SUMIF(Master_Data!$AK$4:$AK$145,CONCATENATE($C42,$EH$3),Master_Data!$R$4:$R$145)+SUMIF(Master_Data!$AK$152:$AK$864,CONCATENATE($C42,$EH$3),Master_Data!$R$152:$R$864)</f>
        <v>0</v>
      </c>
      <c r="DZ42" s="310">
        <f>SUMIF(Master_Data!$AK$4:$AK$145,CONCATENATE($C42,$EH$3),Master_Data!$Q$4:$Q$145)+SUMIF(Master_Data!$AK$152:$AK$864,CONCATENATE($C42,$EH$3),Master_Data!$Q$152:$Q$864)</f>
        <v>0</v>
      </c>
      <c r="EA42" s="310">
        <f>SUMIF(Master_Data!$AK$4:$AK$145,CONCATENATE($C42,$EH$3),Master_Data!$U$4:$U$145)+SUMIF(Master_Data!$AK$152:$AK$864,CONCATENATE($C42,$EH$3),Master_Data!$U$152:$U$864)</f>
        <v>23760000</v>
      </c>
      <c r="EB42" s="310">
        <f>SUMIF(Master_Data!$AK$4:$AK$145,CONCATENATE($C42,$EH$3),Master_Data!$S$4:$S$145)+SUMIF(Master_Data!$AK$152:$AK$864,CONCATENATE($C42,$EH$3),Master_Data!$S$152:$S$864)</f>
        <v>0</v>
      </c>
      <c r="EC42" s="39">
        <f>SUMIF(Master_Data!$AK$152:$AK$915,CONCATENATE($C42,EH$3),Master_Data!$T$152:$T$915)</f>
        <v>-440000</v>
      </c>
      <c r="ED42" s="310">
        <f t="shared" si="38"/>
        <v>0</v>
      </c>
      <c r="EE42" s="230" t="e">
        <f t="shared" ca="1" si="39"/>
        <v>#VALUE!</v>
      </c>
      <c r="EF42" s="23"/>
      <c r="EG42" s="358" t="str">
        <f t="shared" si="10"/>
        <v>NUSANTARA SARANA ALAM, PTAGS</v>
      </c>
      <c r="EH42" s="24"/>
      <c r="EI42" s="392"/>
      <c r="EJ42" s="109">
        <f t="shared" si="47"/>
        <v>0</v>
      </c>
      <c r="EK42" s="109" t="e">
        <f t="shared" ca="1" si="48"/>
        <v>#VALUE!</v>
      </c>
      <c r="EL42" s="84"/>
      <c r="EM42" s="109">
        <f>SUMIF(Bill_Out!$Q$476:$Q$530,CONCATENATE($C42,$EY$3),Bill_Out!$N$476:$N$530)</f>
        <v>0</v>
      </c>
      <c r="EN42" s="109">
        <f>SUMIF(Bill_Out!$Q$476:$Q$530,CONCATENATE($C42,$EY$3),Bill_Out!$O$476:$O$530)</f>
        <v>0</v>
      </c>
      <c r="EO42" s="309"/>
      <c r="EP42" s="310">
        <f>SUMIF(Master_Data!$AK$4:$AK$145,CONCATENATE($C42,$EY$3),Master_Data!$R$4:$R$145)+SUMIF(Master_Data!$AK$152:$AK$864,CONCATENATE($C42,$EY$3),Master_Data!$R$152:$R$864)</f>
        <v>0</v>
      </c>
      <c r="EQ42" s="310">
        <f>SUMIF(Master_Data!$AK$4:$AK$145,CONCATENATE($C42,$EY$3),Master_Data!$Q$4:$Q$145)+SUMIF(Master_Data!$AK$152:$AK$864,CONCATENATE($C42,$EY$3),Master_Data!$Q$152:$Q$864)</f>
        <v>0</v>
      </c>
      <c r="ER42" s="310">
        <f>SUMIF(Master_Data!$AK$4:$AK$145,CONCATENATE($C42,$EY$3),Master_Data!$U$4:$U$145)+SUMIF(Master_Data!$AK$152:$AK$864,CONCATENATE($C42,$EY$3),Master_Data!$U$152:$U$864)</f>
        <v>23760000</v>
      </c>
      <c r="ES42" s="310">
        <f>SUMIF(Master_Data!$AK$4:$AK$145,CONCATENATE($C42,$EY$3),Master_Data!$S$4:$S$145)+SUMIF(Master_Data!$AK$152:$AK$864,CONCATENATE($C42,$EY$3),Master_Data!$S$152:$S$864)</f>
        <v>0</v>
      </c>
      <c r="ET42" s="39">
        <f>SUMIF(Master_Data!$AK$152:$AK$915,CONCATENATE($C42,EY$3),Master_Data!$T$152:$T$915)</f>
        <v>-440000</v>
      </c>
      <c r="EU42" s="310">
        <f t="shared" si="49"/>
        <v>0</v>
      </c>
      <c r="EV42" s="230"/>
      <c r="EW42" s="84"/>
      <c r="EX42" s="358" t="str">
        <f t="shared" si="11"/>
        <v>NUSANTARA SARANA ALAM, PTSEP</v>
      </c>
      <c r="EY42" s="24"/>
      <c r="EZ42" s="415"/>
      <c r="FA42" s="109"/>
      <c r="FB42" s="109"/>
      <c r="FC42" s="420"/>
      <c r="FD42" s="109"/>
      <c r="FE42" s="109"/>
      <c r="FF42" s="157"/>
      <c r="FG42" s="310"/>
      <c r="FH42" s="310"/>
      <c r="FI42" s="310"/>
      <c r="FJ42" s="310"/>
      <c r="FK42" s="39"/>
      <c r="FL42" s="230"/>
      <c r="FM42" s="230"/>
      <c r="FN42" s="23"/>
      <c r="FO42" s="358" t="str">
        <f t="shared" si="80"/>
        <v>NUSANTARA SARANA ALAM, PTOKT</v>
      </c>
      <c r="FP42" s="24"/>
      <c r="FQ42" s="415"/>
      <c r="FR42" s="109"/>
      <c r="FS42" s="109"/>
      <c r="FT42" s="420"/>
      <c r="FU42" s="109"/>
      <c r="FV42" s="109"/>
      <c r="FW42" s="157"/>
      <c r="FX42" s="512"/>
      <c r="FY42" s="512"/>
      <c r="FZ42" s="512"/>
      <c r="GA42" s="310"/>
      <c r="GB42" s="39"/>
      <c r="GC42" s="230"/>
      <c r="GD42" s="230"/>
      <c r="GE42" s="23"/>
      <c r="GF42" s="358" t="str">
        <f t="shared" si="81"/>
        <v>NUSANTARA SARANA ALAM, PTNOV</v>
      </c>
      <c r="GG42" s="24"/>
      <c r="GH42" s="415"/>
      <c r="GI42" s="109"/>
      <c r="GJ42" s="109"/>
      <c r="GK42" s="423"/>
      <c r="GL42" s="109"/>
      <c r="GM42" s="109"/>
      <c r="GN42" s="157"/>
      <c r="GO42" s="512"/>
      <c r="GP42" s="512"/>
      <c r="GQ42" s="512"/>
      <c r="GR42" s="310"/>
      <c r="GS42" s="39"/>
      <c r="GT42" s="534"/>
      <c r="GU42" s="310"/>
      <c r="GV42" s="23"/>
      <c r="GW42" s="358" t="str">
        <f t="shared" ref="GW42:GW72" si="87">CONCATENATE($C42,$GX$3)</f>
        <v>NUSANTARA SARANA ALAM, PTDES</v>
      </c>
      <c r="GX42" s="24"/>
    </row>
    <row r="43" spans="1:206" s="19" customFormat="1">
      <c r="A43" s="328" t="s">
        <v>225</v>
      </c>
      <c r="B43" s="236" t="str">
        <f t="shared" si="18"/>
        <v>OVERSEAS KOREAN TELEVISION NETWORK, PTJAN</v>
      </c>
      <c r="C43" s="8" t="s">
        <v>352</v>
      </c>
      <c r="D43" s="23"/>
      <c r="E43" s="109">
        <f>SUMIF(Master_Data!$D34:$D$145,CONCATENATE(C43),Master_Data!M34:M850)</f>
        <v>0</v>
      </c>
      <c r="F43" s="109">
        <f>SUMIF(Master_Data!$D41:$D$145,CONCATENATE(C43),Master_Data!N41:N231)</f>
        <v>0</v>
      </c>
      <c r="G43" s="31"/>
      <c r="H43" s="109">
        <f>SUMIF(Bill_Out!$Q$3:$Q$65,CONCATENATE($C43,$S$3),Bill_Out!$N$3:$N$65)</f>
        <v>0</v>
      </c>
      <c r="I43" s="88">
        <f>SUMIF(Bill_Out!$Q$3:$Q$65,CONCATENATE($C43,$S$3),Bill_Out!$O$3:$O$65)</f>
        <v>0</v>
      </c>
      <c r="J43" s="157"/>
      <c r="K43" s="29"/>
      <c r="L43" s="44"/>
      <c r="M43" s="230">
        <f>SUMIF(Master_Data!$AK40:$AK$145,CONCATENATE(C43,$S$3),Master_Data!U40:U239)+SUMIF(Master_Data!$AK323:$AK$864,CONCATENATE(C43,$S$3),Master_Data!U323:U951)</f>
        <v>0</v>
      </c>
      <c r="N43" s="310">
        <f>SUMIF(Master_Data!$AK$4:$AK$145,CONCATENATE(C43,$S$3),Master_Data!$S$4:$S$145)+SUMIF(Master_Data!$AK$150:$AK$864,CONCATENATE(C43,$S$3),Master_Data!$S$150:$S$864)</f>
        <v>0</v>
      </c>
      <c r="O43" s="310">
        <f>SUMIF(Master_Data!$AK$4:$AK$145,CONCATENATE(C43,$S$3),Master_Data!$T$4:$T$145)+SUMIF(Master_Data!$AK$150:$AK$864,CONCATENATE(C43,$S$3),Master_Data!$T$150:$T$864)</f>
        <v>0</v>
      </c>
      <c r="P43" s="230">
        <f t="shared" si="19"/>
        <v>0</v>
      </c>
      <c r="Q43" s="230">
        <f t="shared" si="20"/>
        <v>0</v>
      </c>
      <c r="R43" s="23"/>
      <c r="S43" s="24"/>
      <c r="T43" s="31"/>
      <c r="U43" s="109">
        <f t="shared" si="82"/>
        <v>0</v>
      </c>
      <c r="V43" s="109">
        <f t="shared" si="83"/>
        <v>0</v>
      </c>
      <c r="W43" s="31"/>
      <c r="X43" s="109">
        <f>SUMIF(Bill_Out!$Q$67:$Q$132,CONCATENATE($C43,$AJ$3),Bill_Out!$N$67:$N$132)</f>
        <v>0</v>
      </c>
      <c r="Y43" s="109">
        <f>SUMIF(Bill_Out!$Q$67:$Q$132,CONCATENATE($C43,$AJ$3),Bill_Out!$O$67:$O$132)</f>
        <v>0</v>
      </c>
      <c r="Z43" s="157"/>
      <c r="AA43" s="230">
        <f>SUMIF(Master_Data!$AK$4:$AK$145,CONCATENATE(C43,$AJ$3),Master_Data!$R$4:$R$145)+SUMIF(Master_Data!$AK$152:$AK$850,CONCATENATE(C43,$AJ$3),Master_Data!$R$152:$R$850)</f>
        <v>0</v>
      </c>
      <c r="AB43" s="230">
        <f>SUMIF(Master_Data!$AK$4:$AK$145,CONCATENATE(C43,$AJ$3),Master_Data!$Q$4:$Q$145)+SUMIF(Master_Data!$AK$152:$AK$850,CONCATENATE(C43,$AJ$3),Master_Data!$Q$152:$Q$850)</f>
        <v>0</v>
      </c>
      <c r="AC43" s="230">
        <f>SUMIF(Master_Data!$AK$4:$AK$145,CONCATENATE(C43,$AJ$3),Master_Data!$U$4:$U$145)+SUMIF(Master_Data!$AK$152:$AK$850,CONCATENATE(C43,$AJ$3),Master_Data!$U$152:$U$850)</f>
        <v>0</v>
      </c>
      <c r="AD43" s="310">
        <f ca="1">SUMIF(Master_Data!$AK$4:$AK$145,CONCATENATE(C43,$AJ$3),Master_Data!$S$4:$S$145)+SUMIF(Master_Data!$AK$152:$AK$864,CONCATENATE(C43,$AJ$3),Master_Data!$S$152:$S$850)</f>
        <v>0</v>
      </c>
      <c r="AE43" s="310">
        <f>SUMIF(Master_Data!$AK$4:$AK$145,CONCATENATE(C43,$AJ$3),Master_Data!$T$4:$T$145)+SUMIF(Master_Data!$AK$152:$AK$864,CONCATENATE(C43,$AJ$3),Master_Data!$T$152:$T$864)</f>
        <v>0</v>
      </c>
      <c r="AF43" s="230">
        <f t="shared" si="63"/>
        <v>0</v>
      </c>
      <c r="AG43" s="230">
        <f t="shared" ca="1" si="64"/>
        <v>0</v>
      </c>
      <c r="AH43" s="23"/>
      <c r="AI43" s="235" t="str">
        <f t="shared" si="86"/>
        <v>OVERSEAS KOREAN TELEVISION NETWORK, PTFEB</v>
      </c>
      <c r="AJ43" s="24"/>
      <c r="AK43" s="31"/>
      <c r="AL43" s="109">
        <f t="shared" si="65"/>
        <v>0</v>
      </c>
      <c r="AM43" s="109">
        <f t="shared" ca="1" si="66"/>
        <v>0</v>
      </c>
      <c r="AN43" s="31"/>
      <c r="AO43" s="109">
        <f>SUMIF(Bill_Out!$Q$134:$Q$188,CONCATENATE($C43,$BA$3),Bill_Out!$N$134:$N$188)</f>
        <v>0</v>
      </c>
      <c r="AP43" s="109">
        <f>SUMIF(Bill_Out!$Q$134:$Q$188,CONCATENATE($C43,$BA$3),Bill_Out!$O$134:$O$188)</f>
        <v>0</v>
      </c>
      <c r="AQ43" s="157"/>
      <c r="AR43" s="230">
        <f>SUMIF(Master_Data!$AK$4:$AK$145,CONCATENATE(C43,$BA$3),Master_Data!$R$4:$R$145)+SUMIF(Master_Data!$AK$152:$AK$864,CONCATENATE(C43,$BA$3),Master_Data!$R$152:$R$864)</f>
        <v>0</v>
      </c>
      <c r="AS43" s="230">
        <f>SUMIF(Master_Data!$AK$4:$AK$145,CONCATENATE(C43,$BA$3),Master_Data!$Q$4:$Q$145)+SUMIF(Master_Data!$AK$152:$AK$864,CONCATENATE(C43,$BA$3),Master_Data!$Q$152:$Q$864)</f>
        <v>0</v>
      </c>
      <c r="AT43" s="230">
        <f>SUMIF(Master_Data!$AK$4:$AK$145,CONCATENATE(C43,$BA$3),Master_Data!$U$4:$U$145)+SUMIF(Master_Data!$AK$152:$AK$864,CONCATENATE(C43,$BA$3),Master_Data!$U$152:$U$864)</f>
        <v>0</v>
      </c>
      <c r="AU43" s="230">
        <f ca="1">SUMIF(Master_Data!$AK$4:$AK$145,CONCATENATE(C43,$BA$3),Master_Data!$S$4:$S$145)+SUMIF(Master_Data!$AK$152:$AK$864,CONCATENATE(C43,$BA$3),Master_Data!$S$152:$S$850)</f>
        <v>0</v>
      </c>
      <c r="AV43" s="39">
        <f>SUMIF(Master_Data!$AK$152:$AK$864,CONCATENATE($C43,BA$3),Master_Data!$T$152:$T$864)</f>
        <v>0</v>
      </c>
      <c r="AW43" s="230">
        <f t="shared" si="57"/>
        <v>0</v>
      </c>
      <c r="AX43" s="230">
        <f t="shared" ca="1" si="58"/>
        <v>0</v>
      </c>
      <c r="AY43" s="23"/>
      <c r="AZ43" s="235" t="str">
        <f t="shared" si="21"/>
        <v>OVERSEAS KOREAN TELEVISION NETWORK, PTMAR</v>
      </c>
      <c r="BA43" s="24"/>
      <c r="BB43" s="31"/>
      <c r="BC43" s="109">
        <f t="shared" si="22"/>
        <v>0</v>
      </c>
      <c r="BD43" s="109">
        <f t="shared" ca="1" si="23"/>
        <v>0</v>
      </c>
      <c r="BE43" s="31"/>
      <c r="BF43" s="109">
        <f>SUMIF(Bill_Out!$Q$192:$Q$258,CONCATENATE($C43,$BR$3),Bill_Out!$N$192:$N$258)</f>
        <v>0</v>
      </c>
      <c r="BG43" s="109">
        <f>SUMIF(Bill_Out!$Q$192:$Q$258,CONCATENATE($C43,$BR$3),Bill_Out!$O$192:$O$258)</f>
        <v>0</v>
      </c>
      <c r="BH43" s="157"/>
      <c r="BI43" s="230">
        <f>SUMIF(Master_Data!$AK$4:$AK$145,CONCATENATE(C43,$BR$3),Master_Data!$R$4:$R$145)+SUMIF(Master_Data!$AK$152:$AK$864,CONCATENATE(C43,$BR$3),Master_Data!$R$152:$R$864)</f>
        <v>0</v>
      </c>
      <c r="BJ43" s="230">
        <f>SUMIF(Master_Data!$AK$4:$AK$145,CONCATENATE(C43,$BR$3),Master_Data!$Q$4:$Q$145)+SUMIF(Master_Data!$AK$152:$AK$864,CONCATENATE(C43,$BR$3),Master_Data!$Q$152:$Q$864)</f>
        <v>0</v>
      </c>
      <c r="BK43" s="230">
        <f>SUMIF(Master_Data!$AK$4:$AK$145,CONCATENATE(C43,$BR$3),Master_Data!$U$4:$U$145)+SUMIF(Master_Data!$AK$152:$AK$864,CONCATENATE(C43,$BR$3),Master_Data!$U$152:$U$864)</f>
        <v>0</v>
      </c>
      <c r="BL43" s="230">
        <f>SUMIF(Master_Data!$AK$4:$AK$145,CONCATENATE(C43,$BR$3),Master_Data!$S$4:$S$145)+SUMIF(Master_Data!$AK$152:$AK$864,CONCATENATE(C43,$BR$3),Master_Data!$S$152:$S$864)</f>
        <v>0</v>
      </c>
      <c r="BM43" s="39">
        <f>SUMIF(Master_Data!$AK$152:$AK$864,CONCATENATE($C43,BR$3),Master_Data!$T$152:$T$864)</f>
        <v>0</v>
      </c>
      <c r="BN43" s="230">
        <f t="shared" si="24"/>
        <v>0</v>
      </c>
      <c r="BO43" s="230">
        <f t="shared" ca="1" si="25"/>
        <v>0</v>
      </c>
      <c r="BP43" s="23"/>
      <c r="BQ43" s="909" t="str">
        <f t="shared" si="26"/>
        <v>OVERSEAS KOREAN TELEVISION NETWORK, PTAPR</v>
      </c>
      <c r="BR43" s="24"/>
      <c r="BS43" s="31"/>
      <c r="BT43" s="109">
        <f t="shared" si="78"/>
        <v>0</v>
      </c>
      <c r="BU43" s="109">
        <f t="shared" ca="1" si="79"/>
        <v>0</v>
      </c>
      <c r="BV43" s="31"/>
      <c r="BW43" s="109">
        <f>SUMIF(Bill_Out!$Q$263:$Q$314,CONCATENATE($C43,$CI$3),Bill_Out!$N$263:$N$314)</f>
        <v>0</v>
      </c>
      <c r="BX43" s="109">
        <f>SUMIF(Bill_Out!$Q$263:$Q$314,CONCATENATE($C43,$CI$3),Bill_Out!$O$263:$O$314)</f>
        <v>0</v>
      </c>
      <c r="BY43" s="157"/>
      <c r="BZ43" s="310">
        <f>SUMIF(Master_Data!$AK$4:$AK$145,CONCATENATE(C43,$CI$3),Master_Data!$R$4:$R$145)+SUMIF(Master_Data!$AK$152:$AK$864,CONCATENATE(C43,$CI$3),Master_Data!$R$152:$R$864)</f>
        <v>0</v>
      </c>
      <c r="CA43" s="310">
        <f>SUMIF(Master_Data!$AK$4:$AK$145,CONCATENATE(C43,$CI$3),Master_Data!$Q$4:$Q$145)+SUMIF(Master_Data!$AK$152:$AK$864,CONCATENATE(C43,$CI$3),Master_Data!$Q$152:$Q$864)</f>
        <v>0</v>
      </c>
      <c r="CB43" s="310">
        <f>SUMIF(Master_Data!$AK$4:$AK$145,CONCATENATE(C43,$CI$3),Master_Data!$U$4:$U$145)+SUMIF(Master_Data!$AK$152:$AK$864,CONCATENATE(C43,$CI$3),Master_Data!$U$152:$U$864)</f>
        <v>0</v>
      </c>
      <c r="CC43" s="230">
        <f>SUMIF(Master_Data!$AK$4:$AK$145,CONCATENATE(C43,$CI$3),Master_Data!$S$4:$S$145)+SUMIF(Master_Data!$AK$152:$AK$864,CONCATENATE(C43,$CI$3),Master_Data!$S$152:$S$864)</f>
        <v>0</v>
      </c>
      <c r="CD43" s="39">
        <f>SUMIF(Master_Data!$AK$152:$AK$864,CONCATENATE($C43,CI$3),Master_Data!$T$152:$T$864)</f>
        <v>0</v>
      </c>
      <c r="CE43" s="310">
        <f t="shared" si="27"/>
        <v>0</v>
      </c>
      <c r="CF43" s="230">
        <f t="shared" ca="1" si="28"/>
        <v>0</v>
      </c>
      <c r="CG43" s="23"/>
      <c r="CH43" s="235" t="str">
        <f t="shared" si="29"/>
        <v>OVERSEAS KOREAN TELEVISION NETWORK, PTMEI</v>
      </c>
      <c r="CI43" s="24"/>
      <c r="CJ43" s="31"/>
      <c r="CK43" s="109">
        <f t="shared" si="30"/>
        <v>0</v>
      </c>
      <c r="CL43" s="238">
        <f t="shared" ca="1" si="31"/>
        <v>0</v>
      </c>
      <c r="CM43" s="31"/>
      <c r="CN43" s="238">
        <f>SUMIF(Bill_Out!$Q$318:$Q$371,CONCATENATE($C43,$CZ$3),Bill_Out!$N$318:$N$371)</f>
        <v>0</v>
      </c>
      <c r="CO43" s="238">
        <f>SUMIF(Bill_Out!$Q$318:$Q$371,CONCATENATE($C43,$CZ$3),Bill_Out!$O$318:$O$371)</f>
        <v>0</v>
      </c>
      <c r="CP43" s="157"/>
      <c r="CQ43" s="230">
        <f>SUMIF(Master_Data!$AK$4:$AK$145,CONCATENATE($C43,$CZ$3),Master_Data!$R$4:$R$145)+SUMIF(Master_Data!$AK$152:$AK$864,CONCATENATE($C43,$CZ$3),Master_Data!$R$152:$R$864)</f>
        <v>0</v>
      </c>
      <c r="CR43" s="230">
        <f>SUMIF(Master_Data!$AK$4:$AK$145,CONCATENATE($C43,$CZ$3),Master_Data!$Q$4:$Q$145)+SUMIF(Master_Data!$AK$152:$AK$864,CONCATENATE($C43,$CZ$3),Master_Data!$Q$152:$Q$864)</f>
        <v>0</v>
      </c>
      <c r="CS43" s="230">
        <f>SUMIF(Master_Data!$AK$4:$AK$145,CONCATENATE($C43,$CZ$3),Master_Data!$U$4:$U$145)+SUMIF(Master_Data!$AK$152:$AK$864,CONCATENATE($C43,$CZ$3),Master_Data!$U$152:$U$864)</f>
        <v>0</v>
      </c>
      <c r="CT43" s="230">
        <f ca="1">SUMIF(Master_Data!$AK$4:$AK$145,CONCATENATE(C43,$CZ$3),Master_Data!$S$4:$S$145)+SUMIF(Master_Data!$AK$152:$AK$915,CONCATENATE(C43,$CZ$3),Master_Data!$S$152:$S$864)</f>
        <v>0</v>
      </c>
      <c r="CU43" s="1010">
        <f>SUMIF(Master_Data!$AK$4:$AK$145,CONCATENATE(C43,$CZ$3),Master_Data!$T$4:$T$145)+SUMIF(Master_Data!$AK$152:$AK$864,CONCATENATE(C43,$CZ$3),Master_Data!$T$152:$T$864)</f>
        <v>0</v>
      </c>
      <c r="CV43" s="230">
        <f t="shared" si="32"/>
        <v>0</v>
      </c>
      <c r="CW43" s="230">
        <f t="shared" ca="1" si="33"/>
        <v>0</v>
      </c>
      <c r="CX43" s="23"/>
      <c r="CY43" s="1007" t="str">
        <f t="shared" si="6"/>
        <v>OVERSEAS KOREAN TELEVISION NETWORK, PTJUN</v>
      </c>
      <c r="CZ43" s="24"/>
      <c r="DA43" s="31"/>
      <c r="DB43" s="109">
        <f t="shared" si="34"/>
        <v>0</v>
      </c>
      <c r="DC43" s="109">
        <f t="shared" ca="1" si="35"/>
        <v>0</v>
      </c>
      <c r="DD43" s="31"/>
      <c r="DE43" s="109">
        <f>SUMIF(Bill_Out!$Q$375:$Q$422,CONCATENATE($C43,$DQ$3),Bill_Out!$N$375:$N$422)</f>
        <v>0</v>
      </c>
      <c r="DF43" s="109">
        <f>SUMIF(Bill_Out!$Q$375:$Q$422,CONCATENATE($C43,$DQ$3),Bill_Out!$O$375:$O$422)</f>
        <v>0</v>
      </c>
      <c r="DG43" s="157"/>
      <c r="DH43" s="310">
        <f>SUMIF(Master_Data!$AK$4:$AK$145,CONCATENATE($C43,$DQ$3),Master_Data!$R$4:$R$145)+SUMIF(Master_Data!$AK$152:$AK$864,CONCATENATE($C43,$DQ$3),Master_Data!$R$152:$R$864)</f>
        <v>0</v>
      </c>
      <c r="DI43" s="310">
        <f>SUMIF(Master_Data!$AK$4:$AK$145,CONCATENATE($C43,$DQ$3),Master_Data!$Q$4:$Q$145)+SUMIF(Master_Data!$AK$152:$AK$864,CONCATENATE($C43,$DQ$3),Master_Data!$Q$152:$Q$864)</f>
        <v>0</v>
      </c>
      <c r="DJ43" s="310">
        <f>SUMIF(Master_Data!$AK$4:$AK$145,CONCATENATE($C43,$DQ$3),Master_Data!$U$4:$U$145)+SUMIF(Master_Data!$AK$152:$AK$864,CONCATENATE($C43,$DQ$3),Master_Data!$U$152:$U$864)</f>
        <v>0</v>
      </c>
      <c r="DK43" s="310">
        <f>SUMIF(Master_Data!$AK$4:$AK$145,CONCATENATE($C43,$DQ$3),Master_Data!$S$4:$S$145)+SUMIF(Master_Data!$AK$152:$AK$864,CONCATENATE($C43,$DQ$3),Master_Data!$S$152:$S$864)</f>
        <v>0</v>
      </c>
      <c r="DL43" s="39">
        <f>SUMIF(Master_Data!$AK$152:$AK$915,CONCATENATE($C43,DQ$3),Master_Data!$T$152:$T$915)</f>
        <v>0</v>
      </c>
      <c r="DM43" s="230">
        <f t="shared" si="67"/>
        <v>0</v>
      </c>
      <c r="DN43" s="230">
        <f t="shared" ca="1" si="68"/>
        <v>0</v>
      </c>
      <c r="DO43" s="23"/>
      <c r="DP43" s="358" t="str">
        <f t="shared" si="9"/>
        <v>OVERSEAS KOREAN TELEVISION NETWORK, PTJUL</v>
      </c>
      <c r="DQ43" s="24"/>
      <c r="DR43" s="392"/>
      <c r="DS43" s="109">
        <f t="shared" si="36"/>
        <v>0</v>
      </c>
      <c r="DT43" s="109">
        <f t="shared" ca="1" si="37"/>
        <v>0</v>
      </c>
      <c r="DU43" s="31"/>
      <c r="DV43" s="109">
        <f>SUMIF(Bill_Out!$Q$426:$Q$472,CONCATENATE($C43,$EH$3),Bill_Out!$N$426:$N$472)</f>
        <v>0</v>
      </c>
      <c r="DW43" s="109">
        <f>SUMIF(Bill_Out!$Q$426:$Q$472,CONCATENATE($C43,$EH$3),Bill_Out!$O$426:$O$472)</f>
        <v>0</v>
      </c>
      <c r="DX43" s="157"/>
      <c r="DY43" s="310">
        <f>SUMIF(Master_Data!$AK$4:$AK$145,CONCATENATE($C43,$EH$3),Master_Data!$R$4:$R$145)+SUMIF(Master_Data!$AK$152:$AK$864,CONCATENATE($C43,$EH$3),Master_Data!$R$152:$R$864)</f>
        <v>0</v>
      </c>
      <c r="DZ43" s="310">
        <f>SUMIF(Master_Data!$AK$4:$AK$145,CONCATENATE($C43,$EH$3),Master_Data!$Q$4:$Q$145)+SUMIF(Master_Data!$AK$152:$AK$864,CONCATENATE($C43,$EH$3),Master_Data!$Q$152:$Q$864)</f>
        <v>0</v>
      </c>
      <c r="EA43" s="310">
        <f>SUMIF(Master_Data!$AK$4:$AK$145,CONCATENATE($C43,$EH$3),Master_Data!$U$4:$U$145)+SUMIF(Master_Data!$AK$152:$AK$864,CONCATENATE($C43,$EH$3),Master_Data!$U$152:$U$864)</f>
        <v>0</v>
      </c>
      <c r="EB43" s="310">
        <f>SUMIF(Master_Data!$AK$4:$AK$145,CONCATENATE($C43,$EH$3),Master_Data!$S$4:$S$145)+SUMIF(Master_Data!$AK$152:$AK$864,CONCATENATE($C43,$EH$3),Master_Data!$S$152:$S$864)</f>
        <v>0</v>
      </c>
      <c r="EC43" s="39">
        <f>SUMIF(Master_Data!$AK$152:$AK$915,CONCATENATE($C43,EH$3),Master_Data!$T$152:$T$915)</f>
        <v>0</v>
      </c>
      <c r="ED43" s="310">
        <f t="shared" si="38"/>
        <v>0</v>
      </c>
      <c r="EE43" s="230">
        <f t="shared" ca="1" si="39"/>
        <v>0</v>
      </c>
      <c r="EF43" s="23"/>
      <c r="EG43" s="358" t="str">
        <f t="shared" si="10"/>
        <v>OVERSEAS KOREAN TELEVISION NETWORK, PTAGS</v>
      </c>
      <c r="EH43" s="24"/>
      <c r="EI43" s="392"/>
      <c r="EJ43" s="109">
        <f t="shared" si="47"/>
        <v>0</v>
      </c>
      <c r="EK43" s="109">
        <f t="shared" ca="1" si="48"/>
        <v>0</v>
      </c>
      <c r="EL43" s="84"/>
      <c r="EM43" s="109">
        <f>SUMIF(Bill_Out!$Q$476:$Q$530,CONCATENATE($C43,$EY$3),Bill_Out!$N$476:$N$530)</f>
        <v>0</v>
      </c>
      <c r="EN43" s="109">
        <f>SUMIF(Bill_Out!$Q$476:$Q$530,CONCATENATE($C43,$EY$3),Bill_Out!$O$476:$O$530)</f>
        <v>0</v>
      </c>
      <c r="EO43" s="309"/>
      <c r="EP43" s="310">
        <f>SUMIF(Master_Data!$AK$4:$AK$145,CONCATENATE($C43,$EY$3),Master_Data!$R$4:$R$145)+SUMIF(Master_Data!$AK$152:$AK$864,CONCATENATE($C43,$EY$3),Master_Data!$R$152:$R$864)</f>
        <v>0</v>
      </c>
      <c r="EQ43" s="310">
        <f>SUMIF(Master_Data!$AK$4:$AK$145,CONCATENATE($C43,$EY$3),Master_Data!$Q$4:$Q$145)+SUMIF(Master_Data!$AK$152:$AK$864,CONCATENATE($C43,$EY$3),Master_Data!$Q$152:$Q$864)</f>
        <v>0</v>
      </c>
      <c r="ER43" s="310">
        <f>SUMIF(Master_Data!$AK$4:$AK$145,CONCATENATE($C43,$EY$3),Master_Data!$U$4:$U$145)+SUMIF(Master_Data!$AK$152:$AK$864,CONCATENATE($C43,$EY$3),Master_Data!$U$152:$U$864)</f>
        <v>0</v>
      </c>
      <c r="ES43" s="310">
        <f>SUMIF(Master_Data!$AK$4:$AK$145,CONCATENATE($C43,$EY$3),Master_Data!$S$4:$S$145)+SUMIF(Master_Data!$AK$152:$AK$864,CONCATENATE($C43,$EY$3),Master_Data!$S$152:$S$864)</f>
        <v>0</v>
      </c>
      <c r="ET43" s="39">
        <f>SUMIF(Master_Data!$AK$152:$AK$915,CONCATENATE($C43,EY$3),Master_Data!$T$152:$T$915)</f>
        <v>0</v>
      </c>
      <c r="EU43" s="310">
        <f t="shared" si="49"/>
        <v>0</v>
      </c>
      <c r="EV43" s="230"/>
      <c r="EW43" s="84"/>
      <c r="EX43" s="358" t="str">
        <f t="shared" si="11"/>
        <v>OVERSEAS KOREAN TELEVISION NETWORK, PTSEP</v>
      </c>
      <c r="EY43" s="24"/>
      <c r="EZ43" s="415"/>
      <c r="FA43" s="109">
        <f t="shared" si="41"/>
        <v>0</v>
      </c>
      <c r="FB43" s="109">
        <f t="shared" si="84"/>
        <v>0</v>
      </c>
      <c r="FC43" s="420"/>
      <c r="FD43" s="109">
        <f>SUMIF(Bill_Out!$Q$534:$Q$606,CONCATENATE($C43,$FP$3),Bill_Out!$N$534:$N$606)</f>
        <v>0</v>
      </c>
      <c r="FE43" s="109">
        <f>SUMIF(Bill_Out!$Q$534:$Q$606,CONCATENATE($C43,$FP$3),Bill_Out!$O$534:$O$606)</f>
        <v>0</v>
      </c>
      <c r="FF43" s="157"/>
      <c r="FG43" s="310">
        <f>SUMIF(Master_Data!$AK$4:$AK$145,CONCATENATE($C43,$FP$3),Master_Data!$R$4:$R$145)+SUMIF(Master_Data!$AK$152:$AK$864,CONCATENATE($C43,$FP$3),Master_Data!$R$152:$R$864)</f>
        <v>0</v>
      </c>
      <c r="FH43" s="310">
        <f>SUMIF(Master_Data!$AK$4:$AK$145,CONCATENATE($C43,$FP$3),Master_Data!$Q$4:$Q$145)+SUMIF(Master_Data!$AK$152:$AK$864,CONCATENATE($C43,$FP$3),Master_Data!$Q$152:$Q$864)</f>
        <v>0</v>
      </c>
      <c r="FI43" s="310">
        <f>SUMIF(Master_Data!$AK$4:$AK$145,CONCATENATE($C43,$FP$3),Master_Data!$U$4:$U$145)+SUMIF(Master_Data!$AK$152:$AK$864,CONCATENATE($C43,$FP$3),Master_Data!$U$152:$U$864)</f>
        <v>0</v>
      </c>
      <c r="FJ43" s="310">
        <f>SUMIF(Master_Data!$AK$4:$AK$145,CONCATENATE($C43,$FP$3),Master_Data!$S$4:$S$145)+SUMIF(Master_Data!$AK$152:$AK$864,CONCATENATE($C43,$FP$3),Master_Data!$S$152:$S$864)</f>
        <v>0</v>
      </c>
      <c r="FK43" s="39">
        <f>SUMIF(Master_Data!$AK$152:$AK$915,CONCATENATE($C43,FP$3),Master_Data!$T$152:$T$915)</f>
        <v>0</v>
      </c>
      <c r="FL43" s="230">
        <f t="shared" si="85"/>
        <v>0</v>
      </c>
      <c r="FM43" s="230">
        <f t="shared" si="12"/>
        <v>0</v>
      </c>
      <c r="FN43" s="23"/>
      <c r="FO43" s="358" t="str">
        <f t="shared" si="80"/>
        <v>OVERSEAS KOREAN TELEVISION NETWORK, PTOKT</v>
      </c>
      <c r="FP43" s="24"/>
      <c r="FQ43" s="415"/>
      <c r="FR43" s="109">
        <f t="shared" si="42"/>
        <v>0</v>
      </c>
      <c r="FS43" s="109">
        <f t="shared" si="74"/>
        <v>0</v>
      </c>
      <c r="FT43" s="420"/>
      <c r="FU43" s="109">
        <f>SUMIF(Bill_Out!$Q$610:$Q$675,CONCATENATE($C43,$GG$3),Bill_Out!$N$610:$N$675)</f>
        <v>0</v>
      </c>
      <c r="FV43" s="109">
        <f>SUMIF(Bill_Out!$Q$610:$Q$675,CONCATENATE($C43,$GG$3),Bill_Out!$O$610:$O$675)</f>
        <v>0</v>
      </c>
      <c r="FW43" s="157"/>
      <c r="FX43" s="512">
        <f>SUMIF(Master_Data!$AK$4:$AK$145,CONCATENATE($C43,$GG$3),Master_Data!$R$4:$R$145)+SUMIF(Master_Data!$AK$152:$AK$864,CONCATENATE($C43,$GG$3),Master_Data!$R$152:$R$864)</f>
        <v>0</v>
      </c>
      <c r="FY43" s="512">
        <f>SUMIF(Master_Data!$AK$4:$AK$145,CONCATENATE($C43,$GG$3),Master_Data!$Q$4:$Q$145)+SUMIF(Master_Data!$AK$152:$AK$864,CONCATENATE($C43,$GG$3),Master_Data!$Q$152:$Q$864)</f>
        <v>0</v>
      </c>
      <c r="FZ43" s="512">
        <f>SUMIF(Master_Data!$AK$4:$AK$145,CONCATENATE($C43,$GG$3),Master_Data!$U$4:$U$145)+SUMIF(Master_Data!$AK$152:$AK$864,CONCATENATE($C43,$GG$3),Master_Data!$U$152:$U$864)</f>
        <v>0</v>
      </c>
      <c r="GA43" s="310">
        <f>SUMIF(Master_Data!$AK$4:$AK$145,CONCATENATE($C43,$GG$3),Master_Data!$S$4:$S$145)+SUMIF(Master_Data!$AK$152:$AK$864,CONCATENATE($C43,$GG$3),Master_Data!$S$152:$S$864)</f>
        <v>0</v>
      </c>
      <c r="GB43" s="39">
        <f>SUMIF(Master_Data!$AK$152:$AK$915,CONCATENATE($C43,GG$3),Master_Data!$T$152:$T$915)</f>
        <v>0</v>
      </c>
      <c r="GC43" s="230">
        <f t="shared" si="77"/>
        <v>0</v>
      </c>
      <c r="GD43" s="230">
        <f t="shared" si="14"/>
        <v>0</v>
      </c>
      <c r="GE43" s="23"/>
      <c r="GF43" s="358" t="str">
        <f t="shared" si="81"/>
        <v>OVERSEAS KOREAN TELEVISION NETWORK, PTNOV</v>
      </c>
      <c r="GG43" s="24"/>
      <c r="GH43" s="415"/>
      <c r="GI43" s="109">
        <f t="shared" si="70"/>
        <v>0</v>
      </c>
      <c r="GJ43" s="109">
        <f t="shared" si="71"/>
        <v>0</v>
      </c>
      <c r="GK43" s="423"/>
      <c r="GL43" s="109">
        <f>SUMIF(Bill_Out!$Q$679:$Q$756,CONCATENATE($C43,$GX$3),Bill_Out!$N$679:$N$756)</f>
        <v>0</v>
      </c>
      <c r="GM43" s="109">
        <f>SUMIF(Bill_Out!$Q$679:$Q$756,CONCATENATE($C43,$GX$3),Bill_Out!$O$679:$O$756)</f>
        <v>0</v>
      </c>
      <c r="GN43" s="157"/>
      <c r="GO43" s="512">
        <f>SUMIF(Master_Data!$AK$4:$AK$145,CONCATENATE($C43,$GX$3),Master_Data!$R$4:$R$145)+SUMIF(Master_Data!$AK$152:$AK$864,CONCATENATE($C43,$GX$3),Master_Data!$R$152:$R$864)</f>
        <v>0</v>
      </c>
      <c r="GP43" s="512">
        <f>SUMIF(Master_Data!$AK$4:$AK$145,CONCATENATE($C43,$GX$3),Master_Data!$Q$4:$Q$145)+SUMIF(Master_Data!$AK$152:$AK$864,CONCATENATE($C43,$GX$3),Master_Data!$Q$152:$Q$864)</f>
        <v>0</v>
      </c>
      <c r="GQ43" s="512">
        <f>SUMIF(Master_Data!$AK$4:$AK$145,CONCATENATE($C43,$GX$3),Master_Data!$U$4:$U$145)+SUMIF(Master_Data!$AK$152:$AK$864,CONCATENATE($C43,$GX$3),Master_Data!$U$152:$U$864)</f>
        <v>0</v>
      </c>
      <c r="GR43" s="310">
        <f>SUMIF(Master_Data!$AK$4:$AK$145,CONCATENATE($C43,$GX$3),Master_Data!$S$4:$S$145)+SUMIF(Master_Data!$AK$152:$AK$864,CONCATENATE($C43,$GX$3),Master_Data!$S$152:$S$864)</f>
        <v>0</v>
      </c>
      <c r="GS43" s="39">
        <f>SUMIF(Master_Data!$AK$152:$AK$864,CONCATENATE($C43,GX$3),Master_Data!$T$152:$T$864)</f>
        <v>0</v>
      </c>
      <c r="GT43" s="534">
        <f t="shared" si="44"/>
        <v>0</v>
      </c>
      <c r="GU43" s="310">
        <f t="shared" si="16"/>
        <v>0</v>
      </c>
      <c r="GV43" s="23"/>
      <c r="GW43" s="358" t="str">
        <f t="shared" si="87"/>
        <v>OVERSEAS KOREAN TELEVISION NETWORK, PTDES</v>
      </c>
      <c r="GX43" s="24"/>
    </row>
    <row r="44" spans="1:206" s="19" customFormat="1">
      <c r="A44" s="21" t="s">
        <v>226</v>
      </c>
      <c r="B44" s="236" t="str">
        <f t="shared" si="18"/>
        <v>PAMA PERSADA NUSANTARA, PTJAN</v>
      </c>
      <c r="C44" s="8" t="s">
        <v>2894</v>
      </c>
      <c r="D44" s="23"/>
      <c r="E44" s="109"/>
      <c r="F44" s="109"/>
      <c r="G44" s="31"/>
      <c r="H44" s="109"/>
      <c r="I44" s="88"/>
      <c r="J44" s="157"/>
      <c r="K44" s="29"/>
      <c r="L44" s="44"/>
      <c r="M44" s="230"/>
      <c r="N44" s="310"/>
      <c r="O44" s="310"/>
      <c r="P44" s="230"/>
      <c r="Q44" s="230"/>
      <c r="R44" s="23"/>
      <c r="S44" s="24"/>
      <c r="T44" s="31"/>
      <c r="U44" s="109"/>
      <c r="V44" s="109"/>
      <c r="W44" s="31"/>
      <c r="X44" s="109"/>
      <c r="Y44" s="109"/>
      <c r="Z44" s="157"/>
      <c r="AA44" s="230"/>
      <c r="AB44" s="230"/>
      <c r="AC44" s="230"/>
      <c r="AD44" s="310"/>
      <c r="AE44" s="310"/>
      <c r="AF44" s="230"/>
      <c r="AG44" s="230"/>
      <c r="AH44" s="23"/>
      <c r="AI44" s="235" t="str">
        <f t="shared" si="86"/>
        <v>PAMA PERSADA NUSANTARA, PTFEB</v>
      </c>
      <c r="AJ44" s="24"/>
      <c r="AK44" s="31"/>
      <c r="AL44" s="109"/>
      <c r="AM44" s="109"/>
      <c r="AN44" s="31"/>
      <c r="AO44" s="109"/>
      <c r="AP44" s="109"/>
      <c r="AQ44" s="157"/>
      <c r="AR44" s="230"/>
      <c r="AS44" s="230"/>
      <c r="AT44" s="230"/>
      <c r="AU44" s="230"/>
      <c r="AV44" s="39"/>
      <c r="AW44" s="230"/>
      <c r="AX44" s="230"/>
      <c r="AY44" s="23"/>
      <c r="AZ44" s="235" t="str">
        <f t="shared" si="21"/>
        <v>PAMA PERSADA NUSANTARA, PTMAR</v>
      </c>
      <c r="BA44" s="24"/>
      <c r="BB44" s="31"/>
      <c r="BC44" s="109"/>
      <c r="BD44" s="109"/>
      <c r="BE44" s="31"/>
      <c r="BF44" s="109"/>
      <c r="BG44" s="109"/>
      <c r="BH44" s="157"/>
      <c r="BI44" s="230"/>
      <c r="BJ44" s="230"/>
      <c r="BK44" s="230"/>
      <c r="BL44" s="230"/>
      <c r="BM44" s="39"/>
      <c r="BN44" s="230"/>
      <c r="BO44" s="230"/>
      <c r="BP44" s="23"/>
      <c r="BQ44" s="909" t="str">
        <f t="shared" si="26"/>
        <v>PAMA PERSADA NUSANTARA, PTAPR</v>
      </c>
      <c r="BR44" s="24"/>
      <c r="BS44" s="31"/>
      <c r="BT44" s="109"/>
      <c r="BU44" s="109"/>
      <c r="BV44" s="31"/>
      <c r="BW44" s="109"/>
      <c r="BX44" s="109"/>
      <c r="BY44" s="157"/>
      <c r="BZ44" s="310"/>
      <c r="CA44" s="310"/>
      <c r="CB44" s="310"/>
      <c r="CC44" s="230"/>
      <c r="CD44" s="39"/>
      <c r="CE44" s="310"/>
      <c r="CF44" s="230"/>
      <c r="CG44" s="23"/>
      <c r="CH44" s="235" t="str">
        <f t="shared" si="29"/>
        <v>PAMA PERSADA NUSANTARA, PTMEI</v>
      </c>
      <c r="CI44" s="24"/>
      <c r="CJ44" s="31"/>
      <c r="CK44" s="109"/>
      <c r="CL44" s="238"/>
      <c r="CM44" s="31"/>
      <c r="CN44" s="238"/>
      <c r="CO44" s="238"/>
      <c r="CP44" s="157"/>
      <c r="CQ44" s="230"/>
      <c r="CR44" s="230"/>
      <c r="CS44" s="230"/>
      <c r="CT44" s="230"/>
      <c r="CU44" s="1010"/>
      <c r="CV44" s="230"/>
      <c r="CW44" s="230"/>
      <c r="CX44" s="23"/>
      <c r="CY44" s="1007" t="str">
        <f t="shared" si="6"/>
        <v>PAMA PERSADA NUSANTARA, PTJUN</v>
      </c>
      <c r="CZ44" s="24"/>
      <c r="DA44" s="31"/>
      <c r="DB44" s="109">
        <f>CV44</f>
        <v>0</v>
      </c>
      <c r="DC44" s="109">
        <f>CW44</f>
        <v>0</v>
      </c>
      <c r="DD44" s="31"/>
      <c r="DE44" s="109">
        <f>SUMIF(Bill_Out!$Q$375:$Q$422,CONCATENATE($C44,$DQ$3),Bill_Out!$N$375:$N$422)</f>
        <v>0</v>
      </c>
      <c r="DF44" s="109" t="e">
        <f>SUMIF(Bill_Out!$Q$375:$Q$422,CONCATENATE($C44,$DQ$3),Bill_Out!$O$375:$O$422)</f>
        <v>#VALUE!</v>
      </c>
      <c r="DG44" s="157"/>
      <c r="DH44" s="310">
        <f>SUMIF(Master_Data!$AK$4:$AK$145,CONCATENATE($C44,$DQ$3),Master_Data!$R$4:$R$145)+SUMIF(Master_Data!$AK$152:$AK$864,CONCATENATE($C44,$DQ$3),Master_Data!$R$152:$R$864)</f>
        <v>0</v>
      </c>
      <c r="DI44" s="310">
        <f>SUMIF(Master_Data!$AK$4:$AK$145,CONCATENATE($C44,$DQ$3),Master_Data!$Q$4:$Q$145)+SUMIF(Master_Data!$AK$152:$AK$864,CONCATENATE($C44,$DQ$3),Master_Data!$Q$152:$Q$864)</f>
        <v>0</v>
      </c>
      <c r="DJ44" s="310">
        <f>SUMIF(Master_Data!$AK$4:$AK$145,CONCATENATE($C44,$DQ$3),Master_Data!$U$4:$U$145)+SUMIF(Master_Data!$AK$152:$AK$864,CONCATENATE($C44,$DQ$3),Master_Data!$U$152:$U$864)</f>
        <v>0</v>
      </c>
      <c r="DK44" s="310">
        <f>SUMIF(Master_Data!$AK$4:$AK$145,CONCATENATE($C44,$DQ$3),Master_Data!$S$4:$S$145)+SUMIF(Master_Data!$AK$152:$AK$864,CONCATENATE($C44,$DQ$3),Master_Data!$S$152:$S$864)</f>
        <v>0</v>
      </c>
      <c r="DL44" s="39">
        <f>SUMIF(Master_Data!$AK$152:$AK$915,CONCATENATE($C44,DQ$3),Master_Data!$T$152:$T$915)</f>
        <v>0</v>
      </c>
      <c r="DM44" s="230">
        <f>DB44+DE44-DH44+DI44</f>
        <v>0</v>
      </c>
      <c r="DN44" s="230" t="e">
        <f>DC44+DF44-DJ44+DK44+DL44</f>
        <v>#VALUE!</v>
      </c>
      <c r="DO44" s="23"/>
      <c r="DP44" s="358" t="str">
        <f t="shared" si="9"/>
        <v>PAMA PERSADA NUSANTARA, PTJUL</v>
      </c>
      <c r="DQ44" s="24"/>
      <c r="DR44" s="392"/>
      <c r="DS44" s="109">
        <f t="shared" si="36"/>
        <v>0</v>
      </c>
      <c r="DT44" s="109" t="e">
        <f t="shared" si="37"/>
        <v>#VALUE!</v>
      </c>
      <c r="DU44" s="31"/>
      <c r="DV44" s="109">
        <f>SUMIF(Bill_Out!$Q$426:$Q$472,CONCATENATE($C44,$EH$3),Bill_Out!$N$426:$N$472)</f>
        <v>0</v>
      </c>
      <c r="DW44" s="109">
        <f>SUMIF(Bill_Out!$Q$426:$Q$472,CONCATENATE($C44,$EH$3),Bill_Out!$O$426:$O$472)</f>
        <v>0</v>
      </c>
      <c r="DX44" s="157"/>
      <c r="DY44" s="310">
        <f>SUMIF(Master_Data!$AK$4:$AK$145,CONCATENATE($C44,$EH$3),Master_Data!$R$4:$R$145)+SUMIF(Master_Data!$AK$152:$AK$864,CONCATENATE($C44,$EH$3),Master_Data!$R$152:$R$864)</f>
        <v>0</v>
      </c>
      <c r="DZ44" s="310">
        <f>SUMIF(Master_Data!$AK$4:$AK$145,CONCATENATE($C44,$EH$3),Master_Data!$Q$4:$Q$145)+SUMIF(Master_Data!$AK$152:$AK$864,CONCATENATE($C44,$EH$3),Master_Data!$Q$152:$Q$864)</f>
        <v>0</v>
      </c>
      <c r="EA44" s="310">
        <f>SUMIF(Master_Data!$AK$4:$AK$145,CONCATENATE($C44,$EH$3),Master_Data!$U$4:$U$145)+SUMIF(Master_Data!$AK$152:$AK$864,CONCATENATE($C44,$EH$3),Master_Data!$U$152:$U$864)</f>
        <v>0</v>
      </c>
      <c r="EB44" s="310">
        <f>SUMIF(Master_Data!$AK$4:$AK$145,CONCATENATE($C44,$EH$3),Master_Data!$S$4:$S$145)+SUMIF(Master_Data!$AK$152:$AK$864,CONCATENATE($C44,$EH$3),Master_Data!$S$152:$S$864)</f>
        <v>0</v>
      </c>
      <c r="EC44" s="39">
        <f>SUMIF(Master_Data!$AK$152:$AK$915,CONCATENATE($C44,EH$3),Master_Data!$T$152:$T$915)</f>
        <v>0</v>
      </c>
      <c r="ED44" s="310">
        <f t="shared" si="38"/>
        <v>0</v>
      </c>
      <c r="EE44" s="230" t="e">
        <f t="shared" si="39"/>
        <v>#VALUE!</v>
      </c>
      <c r="EF44" s="23"/>
      <c r="EG44" s="358" t="str">
        <f t="shared" si="10"/>
        <v>PAMA PERSADA NUSANTARA, PTAGS</v>
      </c>
      <c r="EH44" s="24"/>
      <c r="EI44" s="392"/>
      <c r="EJ44" s="109">
        <f t="shared" si="47"/>
        <v>0</v>
      </c>
      <c r="EK44" s="109" t="e">
        <f t="shared" si="48"/>
        <v>#VALUE!</v>
      </c>
      <c r="EL44" s="84"/>
      <c r="EM44" s="109">
        <f>SUMIF(Bill_Out!$Q$476:$Q$530,CONCATENATE($C44,$EY$3),Bill_Out!$N$476:$N$530)</f>
        <v>0</v>
      </c>
      <c r="EN44" s="109">
        <f>SUMIF(Bill_Out!$Q$476:$Q$530,CONCATENATE($C44,$EY$3),Bill_Out!$O$476:$O$530)</f>
        <v>0</v>
      </c>
      <c r="EO44" s="309"/>
      <c r="EP44" s="310">
        <f>SUMIF(Master_Data!$AK$4:$AK$145,CONCATENATE($C44,$EY$3),Master_Data!$R$4:$R$145)+SUMIF(Master_Data!$AK$152:$AK$864,CONCATENATE($C44,$EY$3),Master_Data!$R$152:$R$864)</f>
        <v>0</v>
      </c>
      <c r="EQ44" s="310">
        <f>SUMIF(Master_Data!$AK$4:$AK$145,CONCATENATE($C44,$EY$3),Master_Data!$Q$4:$Q$145)+SUMIF(Master_Data!$AK$152:$AK$864,CONCATENATE($C44,$EY$3),Master_Data!$Q$152:$Q$864)</f>
        <v>0</v>
      </c>
      <c r="ER44" s="310">
        <f>SUMIF(Master_Data!$AK$4:$AK$145,CONCATENATE($C44,$EY$3),Master_Data!$U$4:$U$145)+SUMIF(Master_Data!$AK$152:$AK$864,CONCATENATE($C44,$EY$3),Master_Data!$U$152:$U$864)</f>
        <v>0</v>
      </c>
      <c r="ES44" s="310">
        <f>SUMIF(Master_Data!$AK$4:$AK$145,CONCATENATE($C44,$EY$3),Master_Data!$S$4:$S$145)+SUMIF(Master_Data!$AK$152:$AK$864,CONCATENATE($C44,$EY$3),Master_Data!$S$152:$S$864)</f>
        <v>0</v>
      </c>
      <c r="ET44" s="39">
        <f>SUMIF(Master_Data!$AK$152:$AK$915,CONCATENATE($C44,EY$3),Master_Data!$T$152:$T$915)</f>
        <v>0</v>
      </c>
      <c r="EU44" s="310">
        <f t="shared" si="49"/>
        <v>0</v>
      </c>
      <c r="EV44" s="230"/>
      <c r="EW44" s="84"/>
      <c r="EX44" s="358" t="str">
        <f t="shared" si="11"/>
        <v>PAMA PERSADA NUSANTARA, PTSEP</v>
      </c>
      <c r="EY44" s="24"/>
      <c r="EZ44" s="415"/>
      <c r="FA44" s="109"/>
      <c r="FB44" s="109"/>
      <c r="FC44" s="420"/>
      <c r="FD44" s="109"/>
      <c r="FE44" s="109"/>
      <c r="FF44" s="157"/>
      <c r="FG44" s="310"/>
      <c r="FH44" s="310"/>
      <c r="FI44" s="310"/>
      <c r="FJ44" s="310"/>
      <c r="FK44" s="39"/>
      <c r="FL44" s="230"/>
      <c r="FM44" s="230"/>
      <c r="FN44" s="23"/>
      <c r="FO44" s="358" t="str">
        <f t="shared" si="80"/>
        <v>PAMA PERSADA NUSANTARA, PTOKT</v>
      </c>
      <c r="FP44" s="24"/>
      <c r="FQ44" s="415"/>
      <c r="FR44" s="109"/>
      <c r="FS44" s="109"/>
      <c r="FT44" s="420"/>
      <c r="FU44" s="109"/>
      <c r="FV44" s="109"/>
      <c r="FW44" s="157"/>
      <c r="FX44" s="512"/>
      <c r="FY44" s="512"/>
      <c r="FZ44" s="512"/>
      <c r="GA44" s="310"/>
      <c r="GB44" s="39"/>
      <c r="GC44" s="230"/>
      <c r="GD44" s="230"/>
      <c r="GE44" s="23"/>
      <c r="GF44" s="358" t="str">
        <f t="shared" si="81"/>
        <v>PAMA PERSADA NUSANTARA, PTNOV</v>
      </c>
      <c r="GG44" s="24"/>
      <c r="GH44" s="415"/>
      <c r="GI44" s="109"/>
      <c r="GJ44" s="109"/>
      <c r="GK44" s="423"/>
      <c r="GL44" s="109"/>
      <c r="GM44" s="109"/>
      <c r="GN44" s="157"/>
      <c r="GO44" s="512"/>
      <c r="GP44" s="512"/>
      <c r="GQ44" s="512"/>
      <c r="GR44" s="310"/>
      <c r="GS44" s="39"/>
      <c r="GT44" s="534"/>
      <c r="GU44" s="310"/>
      <c r="GV44" s="23"/>
      <c r="GW44" s="358" t="str">
        <f t="shared" si="87"/>
        <v>PAMA PERSADA NUSANTARA, PTDES</v>
      </c>
      <c r="GX44" s="24"/>
    </row>
    <row r="45" spans="1:206" s="19" customFormat="1">
      <c r="A45" s="328" t="s">
        <v>227</v>
      </c>
      <c r="B45" s="236" t="str">
        <f t="shared" si="18"/>
        <v>PASIFIK SATELIT NUSANTARA, PTJAN</v>
      </c>
      <c r="C45" s="8" t="s">
        <v>111</v>
      </c>
      <c r="D45" s="23"/>
      <c r="E45" s="109">
        <f>SUMIF(Master_Data!$D36:$D$145,CONCATENATE(C45),Master_Data!M36:M850)</f>
        <v>0</v>
      </c>
      <c r="F45" s="109">
        <f>SUMIF(Master_Data!$D42:$D$145,CONCATENATE(C45),Master_Data!N42:N232)</f>
        <v>84480000</v>
      </c>
      <c r="G45" s="31"/>
      <c r="H45" s="109">
        <f>SUMIF(Bill_Out!$Q$3:$Q$65,CONCATENATE($C45,$S$3),Bill_Out!$N$3:$N$65)</f>
        <v>0</v>
      </c>
      <c r="I45" s="88">
        <f>SUMIF(Bill_Out!$Q$3:$Q$65,CONCATENATE($C45,$S$3),Bill_Out!$O$3:$O$65)</f>
        <v>0</v>
      </c>
      <c r="J45" s="157"/>
      <c r="K45" s="29"/>
      <c r="L45" s="44"/>
      <c r="M45" s="230">
        <f>SUMIF(Master_Data!$AK41:$AK$145,CONCATENATE(C45,$S$3),Master_Data!U41:U318)+SUMIF(Master_Data!$AK324:$AK$864,CONCATENATE(C45,$S$3),Master_Data!U324:U952)</f>
        <v>0</v>
      </c>
      <c r="N45" s="310">
        <f>SUMIF(Master_Data!$AK$4:$AK$145,CONCATENATE(C45,$S$3),Master_Data!$S$4:$S$145)+SUMIF(Master_Data!$AK$150:$AK$864,CONCATENATE(C45,$S$3),Master_Data!$S$150:$S$864)</f>
        <v>0</v>
      </c>
      <c r="O45" s="310">
        <f>SUMIF(Master_Data!$AK$4:$AK$145,CONCATENATE(C45,$S$3),Master_Data!$T$4:$T$145)+SUMIF(Master_Data!$AK$150:$AK$864,CONCATENATE(C45,$S$3),Master_Data!$T$150:$T$864)</f>
        <v>0</v>
      </c>
      <c r="P45" s="230">
        <f t="shared" si="19"/>
        <v>0</v>
      </c>
      <c r="Q45" s="230">
        <f t="shared" si="20"/>
        <v>84480000</v>
      </c>
      <c r="R45" s="23"/>
      <c r="S45" s="24"/>
      <c r="T45" s="31"/>
      <c r="U45" s="109">
        <f>P45</f>
        <v>0</v>
      </c>
      <c r="V45" s="109">
        <f>Q45</f>
        <v>84480000</v>
      </c>
      <c r="W45" s="31"/>
      <c r="X45" s="109">
        <f>SUMIF(Bill_Out!$Q$67:$Q$132,CONCATENATE($C45,$AJ$3),Bill_Out!$N$67:$N$132)</f>
        <v>0</v>
      </c>
      <c r="Y45" s="109">
        <f>SUMIF(Bill_Out!$Q$67:$Q$132,CONCATENATE($C45,$AJ$3),Bill_Out!$O$67:$O$132)</f>
        <v>0</v>
      </c>
      <c r="Z45" s="157"/>
      <c r="AA45" s="230">
        <f>SUMIF(Master_Data!$AK$4:$AK$145,CONCATENATE(C45,$AJ$3),Master_Data!$R$4:$R$145)+SUMIF(Master_Data!$AK$152:$AK$850,CONCATENATE(C45,$AJ$3),Master_Data!$R$152:$R$850)</f>
        <v>0</v>
      </c>
      <c r="AB45" s="230">
        <f>SUMIF(Master_Data!$AK$4:$AK$145,CONCATENATE(C45,$AJ$3),Master_Data!$Q$4:$Q$145)+SUMIF(Master_Data!$AK$152:$AK$850,CONCATENATE(C45,$AJ$3),Master_Data!$Q$152:$Q$850)</f>
        <v>0</v>
      </c>
      <c r="AC45" s="230">
        <f>SUMIF(Master_Data!$AK$4:$AK$145,CONCATENATE(C45,$AJ$3),Master_Data!$U$4:$U$145)+SUMIF(Master_Data!$AK$152:$AK$850,CONCATENATE(C45,$AJ$3),Master_Data!$U$152:$U$850)</f>
        <v>0</v>
      </c>
      <c r="AD45" s="310">
        <f ca="1">SUMIF(Master_Data!$AK$4:$AK$145,CONCATENATE(C45,$AJ$3),Master_Data!$S$4:$S$145)+SUMIF(Master_Data!$AK$152:$AK$864,CONCATENATE(C45,$AJ$3),Master_Data!$S$152:$S$850)</f>
        <v>0</v>
      </c>
      <c r="AE45" s="310">
        <f>SUMIF(Master_Data!$AK$4:$AK$145,CONCATENATE(C45,$AJ$3),Master_Data!$T$4:$T$145)+SUMIF(Master_Data!$AK$152:$AK$864,CONCATENATE(C45,$AJ$3),Master_Data!$T$152:$T$864)</f>
        <v>0</v>
      </c>
      <c r="AF45" s="230">
        <f t="shared" si="63"/>
        <v>0</v>
      </c>
      <c r="AG45" s="230">
        <f t="shared" ca="1" si="64"/>
        <v>84480000</v>
      </c>
      <c r="AH45" s="23"/>
      <c r="AI45" s="235" t="str">
        <f t="shared" si="86"/>
        <v>PASIFIK SATELIT NUSANTARA, PTFEB</v>
      </c>
      <c r="AJ45" s="24"/>
      <c r="AK45" s="31"/>
      <c r="AL45" s="109">
        <f t="shared" si="65"/>
        <v>0</v>
      </c>
      <c r="AM45" s="109">
        <f t="shared" ca="1" si="66"/>
        <v>84480000</v>
      </c>
      <c r="AN45" s="31"/>
      <c r="AO45" s="109">
        <f>SUMIF(Bill_Out!$Q$134:$Q$188,CONCATENATE($C45,$BA$3),Bill_Out!$N$134:$N$188)</f>
        <v>0</v>
      </c>
      <c r="AP45" s="109">
        <f>SUMIF(Bill_Out!$Q$134:$Q$188,CONCATENATE($C45,$BA$3),Bill_Out!$O$134:$O$188)</f>
        <v>0</v>
      </c>
      <c r="AQ45" s="157"/>
      <c r="AR45" s="230">
        <f>SUMIF(Master_Data!$AK$4:$AK$145,CONCATENATE(C45,$BA$3),Master_Data!$R$4:$R$145)+SUMIF(Master_Data!$AK$152:$AK$864,CONCATENATE(C45,$BA$3),Master_Data!$R$152:$R$864)</f>
        <v>0</v>
      </c>
      <c r="AS45" s="230">
        <f>SUMIF(Master_Data!$AK$4:$AK$145,CONCATENATE(C45,$BA$3),Master_Data!$Q$4:$Q$145)+SUMIF(Master_Data!$AK$152:$AK$864,CONCATENATE(C45,$BA$3),Master_Data!$Q$152:$Q$864)</f>
        <v>0</v>
      </c>
      <c r="AT45" s="230">
        <f>SUMIF(Master_Data!$AK$4:$AK$145,CONCATENATE(C45,$BA$3),Master_Data!$U$4:$U$145)+SUMIF(Master_Data!$AK$152:$AK$864,CONCATENATE(C45,$BA$3),Master_Data!$U$152:$U$864)</f>
        <v>0</v>
      </c>
      <c r="AU45" s="230">
        <f ca="1">SUMIF(Master_Data!$AK$4:$AK$145,CONCATENATE(C45,$BA$3),Master_Data!$S$4:$S$145)+SUMIF(Master_Data!$AK$152:$AK$864,CONCATENATE(C45,$BA$3),Master_Data!$S$152:$S$850)</f>
        <v>0</v>
      </c>
      <c r="AV45" s="39">
        <f>SUMIF(Master_Data!$AK$152:$AK$864,CONCATENATE($C45,BA$3),Master_Data!$T$152:$T$864)</f>
        <v>0</v>
      </c>
      <c r="AW45" s="230">
        <f t="shared" si="57"/>
        <v>0</v>
      </c>
      <c r="AX45" s="230">
        <f t="shared" ca="1" si="58"/>
        <v>84480000</v>
      </c>
      <c r="AY45" s="23"/>
      <c r="AZ45" s="235" t="str">
        <f t="shared" si="21"/>
        <v>PASIFIK SATELIT NUSANTARA, PTMAR</v>
      </c>
      <c r="BA45" s="24"/>
      <c r="BB45" s="31"/>
      <c r="BC45" s="109">
        <f t="shared" si="22"/>
        <v>0</v>
      </c>
      <c r="BD45" s="109">
        <f t="shared" ca="1" si="23"/>
        <v>84480000</v>
      </c>
      <c r="BE45" s="31"/>
      <c r="BF45" s="109">
        <f>SUMIF(Bill_Out!$Q$192:$Q$258,CONCATENATE($C45,$BR$3),Bill_Out!$N$192:$N$258)</f>
        <v>0</v>
      </c>
      <c r="BG45" s="109">
        <f>SUMIF(Bill_Out!$Q$192:$Q$258,CONCATENATE($C45,$BR$3),Bill_Out!$O$192:$O$258)</f>
        <v>0</v>
      </c>
      <c r="BH45" s="157"/>
      <c r="BI45" s="230">
        <f>SUMIF(Master_Data!$AK$4:$AK$145,CONCATENATE(C45,$BR$3),Master_Data!$R$4:$R$145)+SUMIF(Master_Data!$AK$152:$AK$864,CONCATENATE(C45,$BR$3),Master_Data!$R$152:$R$864)</f>
        <v>0</v>
      </c>
      <c r="BJ45" s="230">
        <f>SUMIF(Master_Data!$AK$4:$AK$145,CONCATENATE(C45,$BR$3),Master_Data!$Q$4:$Q$145)+SUMIF(Master_Data!$AK$152:$AK$864,CONCATENATE(C45,$BR$3),Master_Data!$Q$152:$Q$864)</f>
        <v>0</v>
      </c>
      <c r="BK45" s="230">
        <f>SUMIF(Master_Data!$AK$4:$AK$145,CONCATENATE(C45,$BR$3),Master_Data!$U$4:$U$145)+SUMIF(Master_Data!$AK$152:$AK$864,CONCATENATE(C45,$BR$3),Master_Data!$U$152:$U$864)</f>
        <v>0</v>
      </c>
      <c r="BL45" s="230">
        <f>SUMIF(Master_Data!$AK$4:$AK$145,CONCATENATE(C45,$BR$3),Master_Data!$S$4:$S$145)+SUMIF(Master_Data!$AK$152:$AK$864,CONCATENATE(C45,$BR$3),Master_Data!$S$152:$S$864)</f>
        <v>0</v>
      </c>
      <c r="BM45" s="39">
        <f>SUMIF(Master_Data!$AK$152:$AK$864,CONCATENATE($C45,BR$3),Master_Data!$T$152:$T$864)</f>
        <v>0</v>
      </c>
      <c r="BN45" s="230">
        <f t="shared" si="24"/>
        <v>0</v>
      </c>
      <c r="BO45" s="230">
        <f t="shared" ca="1" si="25"/>
        <v>84480000</v>
      </c>
      <c r="BP45" s="23"/>
      <c r="BQ45" s="909" t="str">
        <f t="shared" si="26"/>
        <v>PASIFIK SATELIT NUSANTARA, PTAPR</v>
      </c>
      <c r="BR45" s="24"/>
      <c r="BS45" s="31"/>
      <c r="BT45" s="109">
        <f t="shared" si="78"/>
        <v>0</v>
      </c>
      <c r="BU45" s="109">
        <f t="shared" ca="1" si="79"/>
        <v>84480000</v>
      </c>
      <c r="BV45" s="31"/>
      <c r="BW45" s="109">
        <f>SUMIF(Bill_Out!$Q$263:$Q$314,CONCATENATE($C45,$CI$3),Bill_Out!$N$263:$N$314)</f>
        <v>0</v>
      </c>
      <c r="BX45" s="109">
        <f>SUMIF(Bill_Out!$Q$263:$Q$314,CONCATENATE($C45,$CI$3),Bill_Out!$O$263:$O$314)</f>
        <v>0</v>
      </c>
      <c r="BY45" s="157"/>
      <c r="BZ45" s="310">
        <f>SUMIF(Master_Data!$AK$4:$AK$145,CONCATENATE(C45,$CI$3),Master_Data!$R$4:$R$145)+SUMIF(Master_Data!$AK$152:$AK$864,CONCATENATE(C45,$CI$3),Master_Data!$R$152:$R$864)</f>
        <v>0</v>
      </c>
      <c r="CA45" s="310">
        <f>SUMIF(Master_Data!$AK$4:$AK$145,CONCATENATE(C45,$CI$3),Master_Data!$Q$4:$Q$145)+SUMIF(Master_Data!$AK$152:$AK$864,CONCATENATE(C45,$CI$3),Master_Data!$Q$152:$Q$864)</f>
        <v>0</v>
      </c>
      <c r="CB45" s="310">
        <f>SUMIF(Master_Data!$AK$4:$AK$145,CONCATENATE(C45,$CI$3),Master_Data!$U$4:$U$145)+SUMIF(Master_Data!$AK$152:$AK$864,CONCATENATE(C45,$CI$3),Master_Data!$U$152:$U$864)</f>
        <v>0</v>
      </c>
      <c r="CC45" s="230">
        <f>SUMIF(Master_Data!$AK$4:$AK$145,CONCATENATE(C45,$CI$3),Master_Data!$S$4:$S$145)+SUMIF(Master_Data!$AK$152:$AK$864,CONCATENATE(C45,$CI$3),Master_Data!$S$152:$S$864)</f>
        <v>0</v>
      </c>
      <c r="CD45" s="39">
        <f>SUMIF(Master_Data!$AK$152:$AK$864,CONCATENATE($C45,CI$3),Master_Data!$T$152:$T$864)</f>
        <v>0</v>
      </c>
      <c r="CE45" s="310">
        <f t="shared" si="27"/>
        <v>0</v>
      </c>
      <c r="CF45" s="230">
        <f t="shared" ca="1" si="28"/>
        <v>84480000</v>
      </c>
      <c r="CG45" s="23"/>
      <c r="CH45" s="235" t="str">
        <f t="shared" si="29"/>
        <v>PASIFIK SATELIT NUSANTARA, PTMEI</v>
      </c>
      <c r="CI45" s="24"/>
      <c r="CJ45" s="31"/>
      <c r="CK45" s="109">
        <f t="shared" si="30"/>
        <v>0</v>
      </c>
      <c r="CL45" s="238">
        <f t="shared" ca="1" si="31"/>
        <v>84480000</v>
      </c>
      <c r="CM45" s="31"/>
      <c r="CN45" s="238">
        <f>SUMIF(Bill_Out!$Q$318:$Q$371,CONCATENATE($C45,$CZ$3),Bill_Out!$N$318:$N$371)</f>
        <v>0</v>
      </c>
      <c r="CO45" s="238">
        <f>SUMIF(Bill_Out!$Q$318:$Q$371,CONCATENATE($C45,$CZ$3),Bill_Out!$O$318:$O$371)</f>
        <v>0</v>
      </c>
      <c r="CP45" s="157"/>
      <c r="CQ45" s="230">
        <f>SUMIF(Master_Data!$AK$4:$AK$145,CONCATENATE($C45,$CZ$3),Master_Data!$R$4:$R$145)+SUMIF(Master_Data!$AK$152:$AK$864,CONCATENATE($C45,$CZ$3),Master_Data!$R$152:$R$864)</f>
        <v>0</v>
      </c>
      <c r="CR45" s="230">
        <f>SUMIF(Master_Data!$AK$4:$AK$145,CONCATENATE($C45,$CZ$3),Master_Data!$Q$4:$Q$145)+SUMIF(Master_Data!$AK$152:$AK$864,CONCATENATE($C45,$CZ$3),Master_Data!$Q$152:$Q$864)</f>
        <v>0</v>
      </c>
      <c r="CS45" s="230">
        <f>SUMIF(Master_Data!$AK$4:$AK$145,CONCATENATE($C45,$CZ$3),Master_Data!$U$4:$U$145)+SUMIF(Master_Data!$AK$152:$AK$864,CONCATENATE($C45,$CZ$3),Master_Data!$U$152:$U$864)</f>
        <v>0</v>
      </c>
      <c r="CT45" s="230">
        <f ca="1">SUMIF(Master_Data!$AK$4:$AK$145,CONCATENATE(C45,$CZ$3),Master_Data!$S$4:$S$145)+SUMIF(Master_Data!$AK$152:$AK$915,CONCATENATE(C45,$CZ$3),Master_Data!$S$152:$S$864)</f>
        <v>0</v>
      </c>
      <c r="CU45" s="1010">
        <f>SUMIF(Master_Data!$AK$4:$AK$145,CONCATENATE(C45,$CZ$3),Master_Data!$T$4:$T$145)+SUMIF(Master_Data!$AK$152:$AK$864,CONCATENATE(C45,$CZ$3),Master_Data!$T$152:$T$864)</f>
        <v>0</v>
      </c>
      <c r="CV45" s="230">
        <f t="shared" si="32"/>
        <v>0</v>
      </c>
      <c r="CW45" s="230">
        <f t="shared" ca="1" si="33"/>
        <v>84480000</v>
      </c>
      <c r="CX45" s="23"/>
      <c r="CY45" s="1007" t="str">
        <f t="shared" si="6"/>
        <v>PASIFIK SATELIT NUSANTARA, PTJUN</v>
      </c>
      <c r="CZ45" s="24"/>
      <c r="DA45" s="31"/>
      <c r="DB45" s="109">
        <f t="shared" si="34"/>
        <v>0</v>
      </c>
      <c r="DC45" s="109">
        <f t="shared" ca="1" si="35"/>
        <v>84480000</v>
      </c>
      <c r="DD45" s="31"/>
      <c r="DE45" s="109">
        <f>SUMIF(Bill_Out!$Q$375:$Q$422,CONCATENATE($C45,$DQ$3),Bill_Out!$N$375:$N$422)</f>
        <v>0</v>
      </c>
      <c r="DF45" s="109">
        <f>SUMIF(Bill_Out!$Q$375:$Q$422,CONCATENATE($C45,$DQ$3),Bill_Out!$O$375:$O$422)</f>
        <v>0</v>
      </c>
      <c r="DG45" s="157"/>
      <c r="DH45" s="310">
        <f>SUMIF(Master_Data!$AK$4:$AK$145,CONCATENATE($C45,$DQ$3),Master_Data!$R$4:$R$145)+SUMIF(Master_Data!$AK$152:$AK$864,CONCATENATE($C45,$DQ$3),Master_Data!$R$152:$R$864)</f>
        <v>0</v>
      </c>
      <c r="DI45" s="310">
        <f>SUMIF(Master_Data!$AK$4:$AK$145,CONCATENATE($C45,$DQ$3),Master_Data!$Q$4:$Q$145)+SUMIF(Master_Data!$AK$152:$AK$864,CONCATENATE($C45,$DQ$3),Master_Data!$Q$152:$Q$864)</f>
        <v>0</v>
      </c>
      <c r="DJ45" s="310">
        <f>SUMIF(Master_Data!$AK$4:$AK$145,CONCATENATE($C45,$DQ$3),Master_Data!$U$4:$U$145)+SUMIF(Master_Data!$AK$152:$AK$864,CONCATENATE($C45,$DQ$3),Master_Data!$U$152:$U$864)</f>
        <v>0</v>
      </c>
      <c r="DK45" s="310">
        <f>SUMIF(Master_Data!$AK$4:$AK$145,CONCATENATE($C45,$DQ$3),Master_Data!$S$4:$S$145)+SUMIF(Master_Data!$AK$152:$AK$864,CONCATENATE($C45,$DQ$3),Master_Data!$S$152:$S$864)</f>
        <v>0</v>
      </c>
      <c r="DL45" s="39">
        <f>SUMIF(Master_Data!$AK$152:$AK$915,CONCATENATE($C45,DQ$3),Master_Data!$T$152:$T$915)</f>
        <v>0</v>
      </c>
      <c r="DM45" s="230">
        <f t="shared" si="67"/>
        <v>0</v>
      </c>
      <c r="DN45" s="230">
        <f t="shared" ca="1" si="68"/>
        <v>84480000</v>
      </c>
      <c r="DO45" s="23"/>
      <c r="DP45" s="358" t="str">
        <f t="shared" si="9"/>
        <v>PASIFIK SATELIT NUSANTARA, PTJUL</v>
      </c>
      <c r="DQ45" s="24"/>
      <c r="DR45" s="392"/>
      <c r="DS45" s="109">
        <f t="shared" si="36"/>
        <v>0</v>
      </c>
      <c r="DT45" s="109">
        <f t="shared" ca="1" si="37"/>
        <v>84480000</v>
      </c>
      <c r="DU45" s="31"/>
      <c r="DV45" s="109">
        <f>SUMIF(Bill_Out!$Q$426:$Q$472,CONCATENATE($C45,$EH$3),Bill_Out!$N$426:$N$472)</f>
        <v>0</v>
      </c>
      <c r="DW45" s="109">
        <f>SUMIF(Bill_Out!$Q$426:$Q$472,CONCATENATE($C45,$EH$3),Bill_Out!$O$426:$O$472)</f>
        <v>0</v>
      </c>
      <c r="DX45" s="157"/>
      <c r="DY45" s="310">
        <f>SUMIF(Master_Data!$AK$4:$AK$145,CONCATENATE($C45,$EH$3),Master_Data!$R$4:$R$145)+SUMIF(Master_Data!$AK$152:$AK$864,CONCATENATE($C45,$EH$3),Master_Data!$R$152:$R$864)</f>
        <v>0</v>
      </c>
      <c r="DZ45" s="310">
        <f>SUMIF(Master_Data!$AK$4:$AK$145,CONCATENATE($C45,$EH$3),Master_Data!$Q$4:$Q$145)+SUMIF(Master_Data!$AK$152:$AK$864,CONCATENATE($C45,$EH$3),Master_Data!$Q$152:$Q$864)</f>
        <v>0</v>
      </c>
      <c r="EA45" s="310">
        <f>SUMIF(Master_Data!$AK$4:$AK$145,CONCATENATE($C45,$EH$3),Master_Data!$U$4:$U$145)+SUMIF(Master_Data!$AK$152:$AK$864,CONCATENATE($C45,$EH$3),Master_Data!$U$152:$U$864)</f>
        <v>0</v>
      </c>
      <c r="EB45" s="310">
        <f>SUMIF(Master_Data!$AK$4:$AK$145,CONCATENATE($C45,$EH$3),Master_Data!$S$4:$S$145)+SUMIF(Master_Data!$AK$152:$AK$864,CONCATENATE($C45,$EH$3),Master_Data!$S$152:$S$864)</f>
        <v>0</v>
      </c>
      <c r="EC45" s="39">
        <f>SUMIF(Master_Data!$AK$152:$AK$915,CONCATENATE($C45,EH$3),Master_Data!$T$152:$T$915)</f>
        <v>0</v>
      </c>
      <c r="ED45" s="310">
        <f t="shared" si="38"/>
        <v>0</v>
      </c>
      <c r="EE45" s="230">
        <f t="shared" ca="1" si="39"/>
        <v>84480000</v>
      </c>
      <c r="EF45" s="23"/>
      <c r="EG45" s="358" t="str">
        <f t="shared" si="10"/>
        <v>PASIFIK SATELIT NUSANTARA, PTAGS</v>
      </c>
      <c r="EH45" s="24"/>
      <c r="EI45" s="392"/>
      <c r="EJ45" s="109">
        <f t="shared" si="47"/>
        <v>0</v>
      </c>
      <c r="EK45" s="109">
        <f t="shared" ca="1" si="48"/>
        <v>84480000</v>
      </c>
      <c r="EL45" s="84"/>
      <c r="EM45" s="109">
        <f>SUMIF(Bill_Out!$Q$476:$Q$530,CONCATENATE($C45,$EY$3),Bill_Out!$N$476:$N$530)</f>
        <v>0</v>
      </c>
      <c r="EN45" s="109">
        <f>SUMIF(Bill_Out!$Q$476:$Q$530,CONCATENATE($C45,$EY$3),Bill_Out!$O$476:$O$530)</f>
        <v>0</v>
      </c>
      <c r="EO45" s="309"/>
      <c r="EP45" s="310">
        <f>SUMIF(Master_Data!$AK$4:$AK$145,CONCATENATE($C45,$EY$3),Master_Data!$R$4:$R$145)+SUMIF(Master_Data!$AK$152:$AK$864,CONCATENATE($C45,$EY$3),Master_Data!$R$152:$R$864)</f>
        <v>0</v>
      </c>
      <c r="EQ45" s="310">
        <f>SUMIF(Master_Data!$AK$4:$AK$145,CONCATENATE($C45,$EY$3),Master_Data!$Q$4:$Q$145)+SUMIF(Master_Data!$AK$152:$AK$864,CONCATENATE($C45,$EY$3),Master_Data!$Q$152:$Q$864)</f>
        <v>0</v>
      </c>
      <c r="ER45" s="310">
        <f>SUMIF(Master_Data!$AK$4:$AK$145,CONCATENATE($C45,$EY$3),Master_Data!$U$4:$U$145)+SUMIF(Master_Data!$AK$152:$AK$864,CONCATENATE($C45,$EY$3),Master_Data!$U$152:$U$864)</f>
        <v>0</v>
      </c>
      <c r="ES45" s="310">
        <f>SUMIF(Master_Data!$AK$4:$AK$145,CONCATENATE($C45,$EY$3),Master_Data!$S$4:$S$145)+SUMIF(Master_Data!$AK$152:$AK$864,CONCATENATE($C45,$EY$3),Master_Data!$S$152:$S$864)</f>
        <v>0</v>
      </c>
      <c r="ET45" s="39">
        <f>SUMIF(Master_Data!$AK$152:$AK$915,CONCATENATE($C45,EY$3),Master_Data!$T$152:$T$915)</f>
        <v>0</v>
      </c>
      <c r="EU45" s="310">
        <f t="shared" si="49"/>
        <v>0</v>
      </c>
      <c r="EV45" s="230"/>
      <c r="EW45" s="84"/>
      <c r="EX45" s="358" t="str">
        <f t="shared" si="11"/>
        <v>PASIFIK SATELIT NUSANTARA, PTSEP</v>
      </c>
      <c r="EY45" s="24"/>
      <c r="EZ45" s="415"/>
      <c r="FA45" s="109">
        <f t="shared" ref="FA45:FA65" si="88">EU45</f>
        <v>0</v>
      </c>
      <c r="FB45" s="109">
        <f t="shared" ref="FB45:FB51" si="89">EV45</f>
        <v>0</v>
      </c>
      <c r="FC45" s="420"/>
      <c r="FD45" s="109">
        <f>SUMIF(Bill_Out!$Q$534:$Q$606,CONCATENATE($C45,$FP$3),Bill_Out!$N$534:$N$606)</f>
        <v>0</v>
      </c>
      <c r="FE45" s="109">
        <f>SUMIF(Bill_Out!$Q$534:$Q$606,CONCATENATE($C45,$FP$3),Bill_Out!$O$534:$O$606)</f>
        <v>0</v>
      </c>
      <c r="FF45" s="157"/>
      <c r="FG45" s="310">
        <f>SUMIF(Master_Data!$AK$4:$AK$145,CONCATENATE($C45,$FP$3),Master_Data!$R$4:$R$145)+SUMIF(Master_Data!$AK$152:$AK$864,CONCATENATE($C45,$FP$3),Master_Data!$R$152:$R$864)</f>
        <v>0</v>
      </c>
      <c r="FH45" s="310">
        <f>SUMIF(Master_Data!$AK$4:$AK$145,CONCATENATE($C45,$FP$3),Master_Data!$Q$4:$Q$145)+SUMIF(Master_Data!$AK$152:$AK$864,CONCATENATE($C45,$FP$3),Master_Data!$Q$152:$Q$864)</f>
        <v>0</v>
      </c>
      <c r="FI45" s="310">
        <f>SUMIF(Master_Data!$AK$4:$AK$145,CONCATENATE($C45,$FP$3),Master_Data!$U$4:$U$145)+SUMIF(Master_Data!$AK$152:$AK$864,CONCATENATE($C45,$FP$3),Master_Data!$U$152:$U$864)</f>
        <v>0</v>
      </c>
      <c r="FJ45" s="310">
        <f>SUMIF(Master_Data!$AK$4:$AK$145,CONCATENATE($C45,$FP$3),Master_Data!$S$4:$S$145)+SUMIF(Master_Data!$AK$152:$AK$864,CONCATENATE($C45,$FP$3),Master_Data!$S$152:$S$864)</f>
        <v>0</v>
      </c>
      <c r="FK45" s="39">
        <f>SUMIF(Master_Data!$AK$152:$AK$915,CONCATENATE($C45,FP$3),Master_Data!$T$152:$T$915)</f>
        <v>0</v>
      </c>
      <c r="FL45" s="230">
        <f t="shared" ref="FL45:FL65" si="90">FA45+FD45-FG45+FH45</f>
        <v>0</v>
      </c>
      <c r="FM45" s="230">
        <f t="shared" si="12"/>
        <v>0</v>
      </c>
      <c r="FN45" s="23"/>
      <c r="FO45" s="358" t="str">
        <f t="shared" si="80"/>
        <v>PASIFIK SATELIT NUSANTARA, PTOKT</v>
      </c>
      <c r="FP45" s="24"/>
      <c r="FQ45" s="415"/>
      <c r="FR45" s="109">
        <f t="shared" ref="FR45:FR54" si="91">FL45</f>
        <v>0</v>
      </c>
      <c r="FS45" s="109">
        <f t="shared" ref="FS45:FS51" si="92">FM45</f>
        <v>0</v>
      </c>
      <c r="FT45" s="420"/>
      <c r="FU45" s="109">
        <f>SUMIF(Bill_Out!$Q$610:$Q$675,CONCATENATE($C45,$GG$3),Bill_Out!$N$610:$N$675)</f>
        <v>0</v>
      </c>
      <c r="FV45" s="109">
        <f>SUMIF(Bill_Out!$Q$610:$Q$675,CONCATENATE($C45,$GG$3),Bill_Out!$O$610:$O$675)</f>
        <v>0</v>
      </c>
      <c r="FW45" s="157"/>
      <c r="FX45" s="512">
        <f>SUMIF(Master_Data!$AK$4:$AK$145,CONCATENATE($C45,$GG$3),Master_Data!$R$4:$R$145)+SUMIF(Master_Data!$AK$152:$AK$864,CONCATENATE($C45,$GG$3),Master_Data!$R$152:$R$864)</f>
        <v>0</v>
      </c>
      <c r="FY45" s="512">
        <f>SUMIF(Master_Data!$AK$4:$AK$145,CONCATENATE($C45,$GG$3),Master_Data!$Q$4:$Q$145)+SUMIF(Master_Data!$AK$152:$AK$864,CONCATENATE($C45,$GG$3),Master_Data!$Q$152:$Q$864)</f>
        <v>0</v>
      </c>
      <c r="FZ45" s="512">
        <f>SUMIF(Master_Data!$AK$4:$AK$145,CONCATENATE($C45,$GG$3),Master_Data!$U$4:$U$145)+SUMIF(Master_Data!$AK$152:$AK$864,CONCATENATE($C45,$GG$3),Master_Data!$U$152:$U$864)</f>
        <v>0</v>
      </c>
      <c r="GA45" s="310">
        <f>SUMIF(Master_Data!$AK$4:$AK$145,CONCATENATE($C45,$GG$3),Master_Data!$S$4:$S$145)+SUMIF(Master_Data!$AK$152:$AK$864,CONCATENATE($C45,$GG$3),Master_Data!$S$152:$S$864)</f>
        <v>0</v>
      </c>
      <c r="GB45" s="39">
        <f>SUMIF(Master_Data!$AK$152:$AK$915,CONCATENATE($C45,GG$3),Master_Data!$T$152:$T$915)</f>
        <v>0</v>
      </c>
      <c r="GC45" s="230">
        <f t="shared" ref="GC45:GC54" si="93">FR45+FU45-FX45+FY45</f>
        <v>0</v>
      </c>
      <c r="GD45" s="230">
        <f t="shared" si="14"/>
        <v>0</v>
      </c>
      <c r="GE45" s="23"/>
      <c r="GF45" s="358" t="str">
        <f t="shared" si="81"/>
        <v>PASIFIK SATELIT NUSANTARA, PTNOV</v>
      </c>
      <c r="GG45" s="24"/>
      <c r="GH45" s="415" t="s">
        <v>384</v>
      </c>
      <c r="GI45" s="109">
        <f t="shared" si="70"/>
        <v>0</v>
      </c>
      <c r="GJ45" s="109">
        <f t="shared" si="71"/>
        <v>0</v>
      </c>
      <c r="GK45" s="423"/>
      <c r="GL45" s="109">
        <f>SUMIF(Bill_Out!$Q$679:$Q$756,CONCATENATE($C45,$GX$3),Bill_Out!$N$679:$N$756)</f>
        <v>0</v>
      </c>
      <c r="GM45" s="109">
        <f>SUMIF(Bill_Out!$Q$679:$Q$756,CONCATENATE($C45,$GX$3),Bill_Out!$O$679:$O$756)</f>
        <v>0</v>
      </c>
      <c r="GN45" s="157"/>
      <c r="GO45" s="512">
        <f>SUMIF(Master_Data!$AK$4:$AK$145,CONCATENATE($C45,$GX$3),Master_Data!$R$4:$R$145)+SUMIF(Master_Data!$AK$152:$AK$864,CONCATENATE($C45,$GX$3),Master_Data!$R$152:$R$864)</f>
        <v>0</v>
      </c>
      <c r="GP45" s="512">
        <f>SUMIF(Master_Data!$AK$4:$AK$145,CONCATENATE($C45,$GX$3),Master_Data!$Q$4:$Q$145)+SUMIF(Master_Data!$AK$152:$AK$864,CONCATENATE($C45,$GX$3),Master_Data!$Q$152:$Q$864)</f>
        <v>0</v>
      </c>
      <c r="GQ45" s="512">
        <f>SUMIF(Master_Data!$AK$4:$AK$145,CONCATENATE($C45,$GX$3),Master_Data!$U$4:$U$145)+SUMIF(Master_Data!$AK$152:$AK$864,CONCATENATE($C45,$GX$3),Master_Data!$U$152:$U$864)</f>
        <v>0</v>
      </c>
      <c r="GR45" s="310">
        <f>SUMIF(Master_Data!$AK$4:$AK$145,CONCATENATE($C45,$GX$3),Master_Data!$S$4:$S$145)+SUMIF(Master_Data!$AK$152:$AK$864,CONCATENATE($C45,$GX$3),Master_Data!$S$152:$S$864)</f>
        <v>0</v>
      </c>
      <c r="GS45" s="39">
        <f>SUMIF(Master_Data!$AK$152:$AK$864,CONCATENATE($C45,GX$3),Master_Data!$T$152:$T$864)</f>
        <v>0</v>
      </c>
      <c r="GT45" s="534">
        <f t="shared" si="44"/>
        <v>0</v>
      </c>
      <c r="GU45" s="310">
        <f t="shared" si="16"/>
        <v>0</v>
      </c>
      <c r="GV45" s="23"/>
      <c r="GW45" s="358" t="str">
        <f t="shared" si="87"/>
        <v>PASIFIK SATELIT NUSANTARA, PTDES</v>
      </c>
      <c r="GX45" s="24"/>
    </row>
    <row r="46" spans="1:206" s="19" customFormat="1">
      <c r="A46" s="21" t="s">
        <v>228</v>
      </c>
      <c r="B46" s="236" t="str">
        <f t="shared" si="18"/>
        <v>PEMBANGUNAN PERUMAHAN (PERSERO), PTJAN</v>
      </c>
      <c r="C46" s="8" t="s">
        <v>430</v>
      </c>
      <c r="D46" s="23"/>
      <c r="E46" s="109">
        <f>SUMIF(Master_Data!$D37:$D$145,CONCATENATE(C46),Master_Data!M37:M851)</f>
        <v>0</v>
      </c>
      <c r="F46" s="109">
        <f>SUMIF(Master_Data!$D43:$D$145,CONCATENATE(C46),Master_Data!N43:N233)</f>
        <v>-7738700</v>
      </c>
      <c r="G46" s="31"/>
      <c r="H46" s="109">
        <f>SUMIF(Bill_Out!$Q$3:$Q$65,CONCATENATE($C46,$S$3),Bill_Out!$N$3:$N$65)</f>
        <v>0</v>
      </c>
      <c r="I46" s="88" t="e">
        <f>SUMIF(Bill_Out!$Q$3:$Q$65,CONCATENATE($C46,$S$3),Bill_Out!$O$3:$O$65)</f>
        <v>#VALUE!</v>
      </c>
      <c r="J46" s="157"/>
      <c r="K46" s="29"/>
      <c r="L46" s="44"/>
      <c r="M46" s="230">
        <f>SUMIF(Master_Data!$AK42:$AK$145,CONCATENATE(C46,$S$3),Master_Data!U42:U319)+SUMIF(Master_Data!$AK325:$AK$864,CONCATENATE(C46,$S$3),Master_Data!U325:U953)</f>
        <v>18500000</v>
      </c>
      <c r="N46" s="310">
        <f>SUMIF(Master_Data!$AK$4:$AK$145,CONCATENATE(C46,$S$3),Master_Data!$S$4:$S$145)+SUMIF(Master_Data!$AK$150:$AK$864,CONCATENATE(C46,$S$3),Master_Data!$S$150:$S$864)</f>
        <v>-1850000</v>
      </c>
      <c r="O46" s="310">
        <f>SUMIF(Master_Data!$AK$4:$AK$145,CONCATENATE(C46,$S$3),Master_Data!$T$4:$T$145)+SUMIF(Master_Data!$AK$150:$AK$864,CONCATENATE(C46,$S$3),Master_Data!$T$150:$T$864)</f>
        <v>0</v>
      </c>
      <c r="P46" s="230">
        <f t="shared" si="19"/>
        <v>0</v>
      </c>
      <c r="Q46" s="230" t="e">
        <f t="shared" si="20"/>
        <v>#VALUE!</v>
      </c>
      <c r="R46" s="23"/>
      <c r="S46" s="24"/>
      <c r="T46" s="31"/>
      <c r="U46" s="109">
        <f>P46</f>
        <v>0</v>
      </c>
      <c r="V46" s="109" t="e">
        <f>Q46</f>
        <v>#VALUE!</v>
      </c>
      <c r="W46" s="31"/>
      <c r="X46" s="109">
        <f>SUMIF(Bill_Out!$Q$67:$Q$132,CONCATENATE($C46,$AJ$3),Bill_Out!$N$67:$N$132)</f>
        <v>0</v>
      </c>
      <c r="Y46" s="109" t="e">
        <f>SUMIF(Bill_Out!$Q$67:$Q$132,CONCATENATE($C46,$AJ$3),Bill_Out!$O$67:$O$132)</f>
        <v>#VALUE!</v>
      </c>
      <c r="Z46" s="157"/>
      <c r="AA46" s="230">
        <f>SUMIF(Master_Data!$AK$4:$AK$145,CONCATENATE(C46,$AJ$3),Master_Data!$R$4:$R$145)+SUMIF(Master_Data!$AK$152:$AK$850,CONCATENATE(C46,$AJ$3),Master_Data!$R$152:$R$850)</f>
        <v>0</v>
      </c>
      <c r="AB46" s="230">
        <f>SUMIF(Master_Data!$AK$4:$AK$145,CONCATENATE(C46,$AJ$3),Master_Data!$Q$4:$Q$145)+SUMIF(Master_Data!$AK$152:$AK$850,CONCATENATE(C46,$AJ$3),Master_Data!$Q$152:$Q$850)</f>
        <v>0</v>
      </c>
      <c r="AC46" s="230">
        <f>SUMIF(Master_Data!$AK$4:$AK$145,CONCATENATE(C46,$AJ$3),Master_Data!$U$4:$U$145)+SUMIF(Master_Data!$AK$152:$AK$850,CONCATENATE(C46,$AJ$3),Master_Data!$U$152:$U$850)</f>
        <v>0</v>
      </c>
      <c r="AD46" s="310">
        <f ca="1">SUMIF(Master_Data!$AK$4:$AK$145,CONCATENATE(C46,$AJ$3),Master_Data!$S$4:$S$145)+SUMIF(Master_Data!$AK$152:$AK$864,CONCATENATE(C46,$AJ$3),Master_Data!$S$152:$S$850)</f>
        <v>0</v>
      </c>
      <c r="AE46" s="310">
        <f>SUMIF(Master_Data!$AK$4:$AK$145,CONCATENATE(C46,$AJ$3),Master_Data!$T$4:$T$145)+SUMIF(Master_Data!$AK$152:$AK$864,CONCATENATE(C46,$AJ$3),Master_Data!$T$152:$T$864)</f>
        <v>0</v>
      </c>
      <c r="AF46" s="230">
        <f t="shared" si="63"/>
        <v>0</v>
      </c>
      <c r="AG46" s="230" t="e">
        <f t="shared" ca="1" si="64"/>
        <v>#VALUE!</v>
      </c>
      <c r="AH46" s="23"/>
      <c r="AI46" s="235" t="str">
        <f t="shared" si="86"/>
        <v>PEMBANGUNAN PERUMAHAN (PERSERO), PTFEB</v>
      </c>
      <c r="AJ46" s="24"/>
      <c r="AK46" s="31"/>
      <c r="AL46" s="109">
        <f t="shared" si="65"/>
        <v>0</v>
      </c>
      <c r="AM46" s="109" t="e">
        <f t="shared" ca="1" si="66"/>
        <v>#VALUE!</v>
      </c>
      <c r="AN46" s="31"/>
      <c r="AO46" s="109">
        <f>SUMIF(Bill_Out!$Q$134:$Q$188,CONCATENATE($C46,$BA$3),Bill_Out!$N$134:$N$188)</f>
        <v>0</v>
      </c>
      <c r="AP46" s="109" t="e">
        <f>SUMIF(Bill_Out!$Q$134:$Q$188,CONCATENATE($C46,$BA$3),Bill_Out!$O$134:$O$188)</f>
        <v>#VALUE!</v>
      </c>
      <c r="AQ46" s="157"/>
      <c r="AR46" s="230">
        <f>SUMIF(Master_Data!$AK$4:$AK$145,CONCATENATE(C46,$BA$3),Master_Data!$R$4:$R$145)+SUMIF(Master_Data!$AK$152:$AK$864,CONCATENATE(C46,$BA$3),Master_Data!$R$152:$R$864)</f>
        <v>0</v>
      </c>
      <c r="AS46" s="230">
        <f>SUMIF(Master_Data!$AK$4:$AK$145,CONCATENATE(C46,$BA$3),Master_Data!$Q$4:$Q$145)+SUMIF(Master_Data!$AK$152:$AK$864,CONCATENATE(C46,$BA$3),Master_Data!$Q$152:$Q$864)</f>
        <v>0</v>
      </c>
      <c r="AT46" s="230">
        <f>SUMIF(Master_Data!$AK$4:$AK$145,CONCATENATE(C46,$BA$3),Master_Data!$U$4:$U$145)+SUMIF(Master_Data!$AK$152:$AK$864,CONCATENATE(C46,$BA$3),Master_Data!$U$152:$U$864)</f>
        <v>18500000</v>
      </c>
      <c r="AU46" s="230">
        <f ca="1">SUMIF(Master_Data!$AK$4:$AK$145,CONCATENATE(C46,$BA$3),Master_Data!$S$4:$S$145)+SUMIF(Master_Data!$AK$152:$AK$864,CONCATENATE(C46,$BA$3),Master_Data!$S$152:$S$850)</f>
        <v>-1850000</v>
      </c>
      <c r="AV46" s="39">
        <f>SUMIF(Master_Data!$AK$152:$AK$864,CONCATENATE($C46,BA$3),Master_Data!$T$152:$T$864)</f>
        <v>0</v>
      </c>
      <c r="AW46" s="230">
        <f t="shared" si="57"/>
        <v>0</v>
      </c>
      <c r="AX46" s="230" t="e">
        <f t="shared" ca="1" si="58"/>
        <v>#VALUE!</v>
      </c>
      <c r="AY46" s="23"/>
      <c r="AZ46" s="235" t="str">
        <f t="shared" si="21"/>
        <v>PEMBANGUNAN PERUMAHAN (PERSERO), PTMAR</v>
      </c>
      <c r="BA46" s="24"/>
      <c r="BB46" s="31"/>
      <c r="BC46" s="109">
        <f t="shared" si="22"/>
        <v>0</v>
      </c>
      <c r="BD46" s="109" t="e">
        <f t="shared" ca="1" si="23"/>
        <v>#VALUE!</v>
      </c>
      <c r="BE46" s="31"/>
      <c r="BF46" s="109">
        <f>SUMIF(Bill_Out!$Q$192:$Q$258,CONCATENATE($C46,$BR$3),Bill_Out!$N$192:$N$258)</f>
        <v>0</v>
      </c>
      <c r="BG46" s="109" t="e">
        <f>SUMIF(Bill_Out!$Q$192:$Q$258,CONCATENATE($C46,$BR$3),Bill_Out!$O$192:$O$258)</f>
        <v>#VALUE!</v>
      </c>
      <c r="BH46" s="157"/>
      <c r="BI46" s="230">
        <f>SUMIF(Master_Data!$AK$4:$AK$145,CONCATENATE(C46,$BR$3),Master_Data!$R$4:$R$145)+SUMIF(Master_Data!$AK$152:$AK$864,CONCATENATE(C46,$BR$3),Master_Data!$R$152:$R$864)</f>
        <v>0</v>
      </c>
      <c r="BJ46" s="230">
        <f>SUMIF(Master_Data!$AK$4:$AK$145,CONCATENATE(C46,$BR$3),Master_Data!$Q$4:$Q$145)+SUMIF(Master_Data!$AK$152:$AK$864,CONCATENATE(C46,$BR$3),Master_Data!$Q$152:$Q$864)</f>
        <v>0</v>
      </c>
      <c r="BK46" s="230">
        <f>SUMIF(Master_Data!$AK$4:$AK$145,CONCATENATE(C46,$BR$3),Master_Data!$U$4:$U$145)+SUMIF(Master_Data!$AK$152:$AK$864,CONCATENATE(C46,$BR$3),Master_Data!$U$152:$U$864)</f>
        <v>18500000</v>
      </c>
      <c r="BL46" s="230">
        <f>SUMIF(Master_Data!$AK$4:$AK$145,CONCATENATE(C46,$BR$3),Master_Data!$S$4:$S$145)+SUMIF(Master_Data!$AK$152:$AK$864,CONCATENATE(C46,$BR$3),Master_Data!$S$152:$S$864)</f>
        <v>-1850000</v>
      </c>
      <c r="BM46" s="39">
        <f>SUMIF(Master_Data!$AK$152:$AK$864,CONCATENATE($C46,BR$3),Master_Data!$T$152:$T$864)</f>
        <v>0</v>
      </c>
      <c r="BN46" s="230">
        <f t="shared" si="24"/>
        <v>0</v>
      </c>
      <c r="BO46" s="230" t="e">
        <f t="shared" ca="1" si="25"/>
        <v>#VALUE!</v>
      </c>
      <c r="BP46" s="23"/>
      <c r="BQ46" s="909" t="str">
        <f t="shared" si="26"/>
        <v>PEMBANGUNAN PERUMAHAN (PERSERO), PTAPR</v>
      </c>
      <c r="BR46" s="24"/>
      <c r="BS46" s="31"/>
      <c r="BT46" s="109">
        <f t="shared" si="78"/>
        <v>0</v>
      </c>
      <c r="BU46" s="109" t="e">
        <f t="shared" ca="1" si="79"/>
        <v>#VALUE!</v>
      </c>
      <c r="BV46" s="31"/>
      <c r="BW46" s="109">
        <f>SUMIF(Bill_Out!$Q$263:$Q$314,CONCATENATE($C46,$CI$3),Bill_Out!$N$263:$N$314)</f>
        <v>0</v>
      </c>
      <c r="BX46" s="109" t="e">
        <f>SUMIF(Bill_Out!$Q$263:$Q$314,CONCATENATE($C46,$CI$3),Bill_Out!$O$263:$O$314)</f>
        <v>#VALUE!</v>
      </c>
      <c r="BY46" s="157"/>
      <c r="BZ46" s="310">
        <f>SUMIF(Master_Data!$AK$4:$AK$145,CONCATENATE(C46,$CI$3),Master_Data!$R$4:$R$145)+SUMIF(Master_Data!$AK$152:$AK$864,CONCATENATE(C46,$CI$3),Master_Data!$R$152:$R$864)</f>
        <v>0</v>
      </c>
      <c r="CA46" s="310">
        <f>SUMIF(Master_Data!$AK$4:$AK$145,CONCATENATE(C46,$CI$3),Master_Data!$Q$4:$Q$145)+SUMIF(Master_Data!$AK$152:$AK$864,CONCATENATE(C46,$CI$3),Master_Data!$Q$152:$Q$864)</f>
        <v>0</v>
      </c>
      <c r="CB46" s="310">
        <f>SUMIF(Master_Data!$AK$4:$AK$145,CONCATENATE(C46,$CI$3),Master_Data!$U$4:$U$145)+SUMIF(Master_Data!$AK$152:$AK$864,CONCATENATE(C46,$CI$3),Master_Data!$U$152:$U$864)</f>
        <v>18500000</v>
      </c>
      <c r="CC46" s="230">
        <f>SUMIF(Master_Data!$AK$4:$AK$145,CONCATENATE(C46,$CI$3),Master_Data!$S$4:$S$145)+SUMIF(Master_Data!$AK$152:$AK$864,CONCATENATE(C46,$CI$3),Master_Data!$S$152:$S$864)</f>
        <v>-1850000</v>
      </c>
      <c r="CD46" s="39">
        <f>SUMIF(Master_Data!$AK$152:$AK$864,CONCATENATE($C46,CI$3),Master_Data!$T$152:$T$864)</f>
        <v>0</v>
      </c>
      <c r="CE46" s="310">
        <f t="shared" si="27"/>
        <v>0</v>
      </c>
      <c r="CF46" s="230" t="e">
        <f t="shared" ca="1" si="28"/>
        <v>#VALUE!</v>
      </c>
      <c r="CG46" s="23"/>
      <c r="CH46" s="235" t="str">
        <f t="shared" si="29"/>
        <v>PEMBANGUNAN PERUMAHAN (PERSERO), PTMEI</v>
      </c>
      <c r="CI46" s="24"/>
      <c r="CJ46" s="31"/>
      <c r="CK46" s="109">
        <f t="shared" si="30"/>
        <v>0</v>
      </c>
      <c r="CL46" s="238" t="e">
        <f t="shared" ca="1" si="31"/>
        <v>#VALUE!</v>
      </c>
      <c r="CM46" s="31"/>
      <c r="CN46" s="238">
        <f>SUMIF(Bill_Out!$Q$318:$Q$371,CONCATENATE($C46,$CZ$3),Bill_Out!$N$318:$N$371)</f>
        <v>0</v>
      </c>
      <c r="CO46" s="238" t="e">
        <f>SUMIF(Bill_Out!$Q$318:$Q$371,CONCATENATE($C46,$CZ$3),Bill_Out!$O$318:$O$371)</f>
        <v>#VALUE!</v>
      </c>
      <c r="CP46" s="157"/>
      <c r="CQ46" s="230">
        <f>SUMIF(Master_Data!$AK$4:$AK$145,CONCATENATE($C46,$CZ$3),Master_Data!$R$4:$R$145)+SUMIF(Master_Data!$AK$152:$AK$864,CONCATENATE($C46,$CZ$3),Master_Data!$R$152:$R$864)</f>
        <v>0</v>
      </c>
      <c r="CR46" s="230">
        <f>SUMIF(Master_Data!$AK$4:$AK$145,CONCATENATE($C46,$CZ$3),Master_Data!$Q$4:$Q$145)+SUMIF(Master_Data!$AK$152:$AK$864,CONCATENATE($C46,$CZ$3),Master_Data!$Q$152:$Q$864)</f>
        <v>0</v>
      </c>
      <c r="CS46" s="230">
        <f>SUMIF(Master_Data!$AK$4:$AK$145,CONCATENATE($C46,$CZ$3),Master_Data!$U$4:$U$145)+SUMIF(Master_Data!$AK$152:$AK$864,CONCATENATE($C46,$CZ$3),Master_Data!$U$152:$U$864)</f>
        <v>18500000</v>
      </c>
      <c r="CT46" s="230">
        <f ca="1">SUMIF(Master_Data!$AK$4:$AK$145,CONCATENATE(C46,$CZ$3),Master_Data!$S$4:$S$145)+SUMIF(Master_Data!$AK$152:$AK$915,CONCATENATE(C46,$CZ$3),Master_Data!$S$152:$S$864)</f>
        <v>-1850000</v>
      </c>
      <c r="CU46" s="1010">
        <f>SUMIF(Master_Data!$AK$4:$AK$145,CONCATENATE(C46,$CZ$3),Master_Data!$T$4:$T$145)+SUMIF(Master_Data!$AK$152:$AK$864,CONCATENATE(C46,$CZ$3),Master_Data!$T$152:$T$864)</f>
        <v>0</v>
      </c>
      <c r="CV46" s="230">
        <f t="shared" si="32"/>
        <v>0</v>
      </c>
      <c r="CW46" s="230" t="e">
        <f t="shared" ca="1" si="33"/>
        <v>#VALUE!</v>
      </c>
      <c r="CX46" s="23"/>
      <c r="CY46" s="1007" t="str">
        <f t="shared" si="6"/>
        <v>PEMBANGUNAN PERUMAHAN (PERSERO), PTJUN</v>
      </c>
      <c r="CZ46" s="24"/>
      <c r="DA46" s="31"/>
      <c r="DB46" s="109">
        <f t="shared" si="34"/>
        <v>0</v>
      </c>
      <c r="DC46" s="109" t="e">
        <f t="shared" ca="1" si="35"/>
        <v>#VALUE!</v>
      </c>
      <c r="DD46" s="31"/>
      <c r="DE46" s="109">
        <f>SUMIF(Bill_Out!$Q$375:$Q$422,CONCATENATE($C46,$DQ$3),Bill_Out!$N$375:$N$422)</f>
        <v>0</v>
      </c>
      <c r="DF46" s="109" t="e">
        <f>SUMIF(Bill_Out!$Q$375:$Q$422,CONCATENATE($C46,$DQ$3),Bill_Out!$O$375:$O$422)</f>
        <v>#VALUE!</v>
      </c>
      <c r="DG46" s="157"/>
      <c r="DH46" s="310">
        <f>SUMIF(Master_Data!$AK$4:$AK$145,CONCATENATE($C46,$DQ$3),Master_Data!$R$4:$R$145)+SUMIF(Master_Data!$AK$152:$AK$864,CONCATENATE($C46,$DQ$3),Master_Data!$R$152:$R$864)</f>
        <v>0</v>
      </c>
      <c r="DI46" s="310">
        <f>SUMIF(Master_Data!$AK$4:$AK$145,CONCATENATE($C46,$DQ$3),Master_Data!$Q$4:$Q$145)+SUMIF(Master_Data!$AK$152:$AK$864,CONCATENATE($C46,$DQ$3),Master_Data!$Q$152:$Q$864)</f>
        <v>0</v>
      </c>
      <c r="DJ46" s="310">
        <f>SUMIF(Master_Data!$AK$4:$AK$145,CONCATENATE($C46,$DQ$3),Master_Data!$U$4:$U$145)+SUMIF(Master_Data!$AK$152:$AK$864,CONCATENATE($C46,$DQ$3),Master_Data!$U$152:$U$864)</f>
        <v>18500000</v>
      </c>
      <c r="DK46" s="310">
        <f>SUMIF(Master_Data!$AK$4:$AK$145,CONCATENATE($C46,$DQ$3),Master_Data!$S$4:$S$145)+SUMIF(Master_Data!$AK$152:$AK$864,CONCATENATE($C46,$DQ$3),Master_Data!$S$152:$S$864)</f>
        <v>-1850000</v>
      </c>
      <c r="DL46" s="39">
        <f>SUMIF(Master_Data!$AK$152:$AK$915,CONCATENATE($C46,DQ$3),Master_Data!$T$152:$T$915)</f>
        <v>0</v>
      </c>
      <c r="DM46" s="230">
        <f t="shared" si="67"/>
        <v>0</v>
      </c>
      <c r="DN46" s="230" t="e">
        <f t="shared" ca="1" si="68"/>
        <v>#VALUE!</v>
      </c>
      <c r="DO46" s="23"/>
      <c r="DP46" s="358" t="str">
        <f t="shared" si="9"/>
        <v>PEMBANGUNAN PERUMAHAN (PERSERO), PTJUL</v>
      </c>
      <c r="DQ46" s="24"/>
      <c r="DR46" s="392"/>
      <c r="DS46" s="109">
        <f t="shared" si="36"/>
        <v>0</v>
      </c>
      <c r="DT46" s="109" t="e">
        <f t="shared" ca="1" si="37"/>
        <v>#VALUE!</v>
      </c>
      <c r="DU46" s="31"/>
      <c r="DV46" s="109">
        <f>SUMIF(Bill_Out!$Q$426:$Q$472,CONCATENATE($C46,$EH$3),Bill_Out!$N$426:$N$472)</f>
        <v>0</v>
      </c>
      <c r="DW46" s="109" t="e">
        <f>SUMIF(Bill_Out!$Q$426:$Q$472,CONCATENATE($C46,$EH$3),Bill_Out!$O$426:$O$472)</f>
        <v>#VALUE!</v>
      </c>
      <c r="DX46" s="157"/>
      <c r="DY46" s="310">
        <f>SUMIF(Master_Data!$AK$4:$AK$145,CONCATENATE($C46,$EH$3),Master_Data!$R$4:$R$145)+SUMIF(Master_Data!$AK$152:$AK$864,CONCATENATE($C46,$EH$3),Master_Data!$R$152:$R$864)</f>
        <v>0</v>
      </c>
      <c r="DZ46" s="310">
        <f>SUMIF(Master_Data!$AK$4:$AK$145,CONCATENATE($C46,$EH$3),Master_Data!$Q$4:$Q$145)+SUMIF(Master_Data!$AK$152:$AK$864,CONCATENATE($C46,$EH$3),Master_Data!$Q$152:$Q$864)</f>
        <v>0</v>
      </c>
      <c r="EA46" s="310">
        <f>SUMIF(Master_Data!$AK$4:$AK$145,CONCATENATE($C46,$EH$3),Master_Data!$U$4:$U$145)+SUMIF(Master_Data!$AK$152:$AK$864,CONCATENATE($C46,$EH$3),Master_Data!$U$152:$U$864)</f>
        <v>18500000</v>
      </c>
      <c r="EB46" s="310">
        <f>SUMIF(Master_Data!$AK$4:$AK$145,CONCATENATE($C46,$EH$3),Master_Data!$S$4:$S$145)+SUMIF(Master_Data!$AK$152:$AK$864,CONCATENATE($C46,$EH$3),Master_Data!$S$152:$S$864)</f>
        <v>-1850000</v>
      </c>
      <c r="EC46" s="39">
        <f>SUMIF(Master_Data!$AK$152:$AK$915,CONCATENATE($C46,EH$3),Master_Data!$T$152:$T$915)</f>
        <v>0</v>
      </c>
      <c r="ED46" s="310">
        <f t="shared" si="38"/>
        <v>0</v>
      </c>
      <c r="EE46" s="230" t="e">
        <f t="shared" ca="1" si="39"/>
        <v>#VALUE!</v>
      </c>
      <c r="EF46" s="23"/>
      <c r="EG46" s="358" t="str">
        <f t="shared" si="10"/>
        <v>PEMBANGUNAN PERUMAHAN (PERSERO), PTAGS</v>
      </c>
      <c r="EH46" s="24"/>
      <c r="EI46" s="392"/>
      <c r="EJ46" s="109">
        <f t="shared" si="47"/>
        <v>0</v>
      </c>
      <c r="EK46" s="109" t="e">
        <f t="shared" ca="1" si="48"/>
        <v>#VALUE!</v>
      </c>
      <c r="EL46" s="84"/>
      <c r="EM46" s="109">
        <f>SUMIF(Bill_Out!$Q$476:$Q$530,CONCATENATE($C46,$EY$3),Bill_Out!$N$476:$N$530)</f>
        <v>0</v>
      </c>
      <c r="EN46" s="109">
        <f>SUMIF(Bill_Out!$Q$476:$Q$530,CONCATENATE($C46,$EY$3),Bill_Out!$O$476:$O$530)</f>
        <v>0</v>
      </c>
      <c r="EO46" s="309"/>
      <c r="EP46" s="310">
        <f>SUMIF(Master_Data!$AK$4:$AK$145,CONCATENATE($C46,$EY$3),Master_Data!$R$4:$R$145)+SUMIF(Master_Data!$AK$152:$AK$864,CONCATENATE($C46,$EY$3),Master_Data!$R$152:$R$864)</f>
        <v>0</v>
      </c>
      <c r="EQ46" s="310">
        <f>SUMIF(Master_Data!$AK$4:$AK$145,CONCATENATE($C46,$EY$3),Master_Data!$Q$4:$Q$145)+SUMIF(Master_Data!$AK$152:$AK$864,CONCATENATE($C46,$EY$3),Master_Data!$Q$152:$Q$864)</f>
        <v>0</v>
      </c>
      <c r="ER46" s="310">
        <f>SUMIF(Master_Data!$AK$4:$AK$145,CONCATENATE($C46,$EY$3),Master_Data!$U$4:$U$145)+SUMIF(Master_Data!$AK$152:$AK$864,CONCATENATE($C46,$EY$3),Master_Data!$U$152:$U$864)</f>
        <v>6166666.6699999999</v>
      </c>
      <c r="ES46" s="310">
        <f>SUMIF(Master_Data!$AK$4:$AK$145,CONCATENATE($C46,$EY$3),Master_Data!$S$4:$S$145)+SUMIF(Master_Data!$AK$152:$AK$864,CONCATENATE($C46,$EY$3),Master_Data!$S$152:$S$864)</f>
        <v>0</v>
      </c>
      <c r="ET46" s="39">
        <f>SUMIF(Master_Data!$AK$152:$AK$915,CONCATENATE($C46,EY$3),Master_Data!$T$152:$T$915)</f>
        <v>0</v>
      </c>
      <c r="EU46" s="310">
        <f t="shared" si="49"/>
        <v>0</v>
      </c>
      <c r="EV46" s="230"/>
      <c r="EW46" s="84"/>
      <c r="EX46" s="358" t="str">
        <f t="shared" si="11"/>
        <v>PEMBANGUNAN PERUMAHAN (PERSERO), PTSEP</v>
      </c>
      <c r="EY46" s="24"/>
      <c r="EZ46" s="415"/>
      <c r="FA46" s="109">
        <f t="shared" si="88"/>
        <v>0</v>
      </c>
      <c r="FB46" s="109">
        <f t="shared" si="89"/>
        <v>0</v>
      </c>
      <c r="FC46" s="420"/>
      <c r="FD46" s="109">
        <f>SUMIF(Bill_Out!$Q$534:$Q$606,CONCATENATE($C46,$FP$3),Bill_Out!$N$534:$N$606)</f>
        <v>0</v>
      </c>
      <c r="FE46" s="109" t="e">
        <f>SUMIF(Bill_Out!$Q$534:$Q$606,CONCATENATE($C46,$FP$3),Bill_Out!$O$534:$O$606)</f>
        <v>#VALUE!</v>
      </c>
      <c r="FF46" s="157"/>
      <c r="FG46" s="310">
        <f>SUMIF(Master_Data!$AK$4:$AK$145,CONCATENATE($C46,$FP$3),Master_Data!$R$4:$R$145)+SUMIF(Master_Data!$AK$152:$AK$864,CONCATENATE($C46,$FP$3),Master_Data!$R$152:$R$864)</f>
        <v>0</v>
      </c>
      <c r="FH46" s="310">
        <f>SUMIF(Master_Data!$AK$4:$AK$145,CONCATENATE($C46,$FP$3),Master_Data!$Q$4:$Q$145)+SUMIF(Master_Data!$AK$152:$AK$864,CONCATENATE($C46,$FP$3),Master_Data!$Q$152:$Q$864)</f>
        <v>0</v>
      </c>
      <c r="FI46" s="310">
        <f>SUMIF(Master_Data!$AK$4:$AK$145,CONCATENATE($C46,$FP$3),Master_Data!$U$4:$U$145)+SUMIF(Master_Data!$AK$152:$AK$864,CONCATENATE($C46,$FP$3),Master_Data!$U$152:$U$864)</f>
        <v>0</v>
      </c>
      <c r="FJ46" s="310">
        <f>SUMIF(Master_Data!$AK$4:$AK$145,CONCATENATE($C46,$FP$3),Master_Data!$S$4:$S$145)+SUMIF(Master_Data!$AK$152:$AK$864,CONCATENATE($C46,$FP$3),Master_Data!$S$152:$S$864)</f>
        <v>0</v>
      </c>
      <c r="FK46" s="39">
        <f>SUMIF(Master_Data!$AK$152:$AK$915,CONCATENATE($C46,FP$3),Master_Data!$T$152:$T$915)</f>
        <v>0</v>
      </c>
      <c r="FL46" s="230">
        <f t="shared" si="90"/>
        <v>0</v>
      </c>
      <c r="FM46" s="230" t="e">
        <f t="shared" si="12"/>
        <v>#VALUE!</v>
      </c>
      <c r="FN46" s="23"/>
      <c r="FO46" s="358" t="str">
        <f t="shared" si="80"/>
        <v>PEMBANGUNAN PERUMAHAN (PERSERO), PTOKT</v>
      </c>
      <c r="FP46" s="24"/>
      <c r="FQ46" s="415"/>
      <c r="FR46" s="109">
        <f t="shared" si="91"/>
        <v>0</v>
      </c>
      <c r="FS46" s="109" t="e">
        <f t="shared" si="92"/>
        <v>#VALUE!</v>
      </c>
      <c r="FT46" s="420"/>
      <c r="FU46" s="109">
        <f>SUMIF(Bill_Out!$Q$610:$Q$675,CONCATENATE($C46,$GG$3),Bill_Out!$N$610:$N$675)</f>
        <v>0</v>
      </c>
      <c r="FV46" s="109" t="e">
        <f>SUMIF(Bill_Out!$Q$610:$Q$675,CONCATENATE($C46,$GG$3),Bill_Out!$O$610:$O$675)</f>
        <v>#VALUE!</v>
      </c>
      <c r="FW46" s="157"/>
      <c r="FX46" s="512">
        <f>SUMIF(Master_Data!$AK$4:$AK$145,CONCATENATE($C46,$GG$3),Master_Data!$R$4:$R$145)+SUMIF(Master_Data!$AK$152:$AK$864,CONCATENATE($C46,$GG$3),Master_Data!$R$152:$R$864)</f>
        <v>0</v>
      </c>
      <c r="FY46" s="512">
        <f>SUMIF(Master_Data!$AK$4:$AK$145,CONCATENATE($C46,$GG$3),Master_Data!$Q$4:$Q$145)+SUMIF(Master_Data!$AK$152:$AK$864,CONCATENATE($C46,$GG$3),Master_Data!$Q$152:$Q$864)</f>
        <v>0</v>
      </c>
      <c r="FZ46" s="512">
        <f>SUMIF(Master_Data!$AK$4:$AK$145,CONCATENATE($C46,$GG$3),Master_Data!$U$4:$U$145)+SUMIF(Master_Data!$AK$152:$AK$864,CONCATENATE($C46,$GG$3),Master_Data!$U$152:$U$864)</f>
        <v>18500000</v>
      </c>
      <c r="GA46" s="310">
        <f>SUMIF(Master_Data!$AK$4:$AK$145,CONCATENATE($C46,$GG$3),Master_Data!$S$4:$S$145)+SUMIF(Master_Data!$AK$152:$AK$864,CONCATENATE($C46,$GG$3),Master_Data!$S$152:$S$864)</f>
        <v>-1850000</v>
      </c>
      <c r="GB46" s="39">
        <f>SUMIF(Master_Data!$AK$152:$AK$915,CONCATENATE($C46,GG$3),Master_Data!$T$152:$T$915)</f>
        <v>0</v>
      </c>
      <c r="GC46" s="230">
        <f t="shared" si="93"/>
        <v>0</v>
      </c>
      <c r="GD46" s="230" t="e">
        <f t="shared" si="14"/>
        <v>#VALUE!</v>
      </c>
      <c r="GE46" s="23"/>
      <c r="GF46" s="358" t="str">
        <f t="shared" si="81"/>
        <v>PEMBANGUNAN PERUMAHAN (PERSERO), PTNOV</v>
      </c>
      <c r="GG46" s="24"/>
      <c r="GH46" s="415" t="s">
        <v>456</v>
      </c>
      <c r="GI46" s="109">
        <f t="shared" si="70"/>
        <v>0</v>
      </c>
      <c r="GJ46" s="109" t="e">
        <f t="shared" si="71"/>
        <v>#VALUE!</v>
      </c>
      <c r="GK46" s="423"/>
      <c r="GL46" s="109">
        <f>SUMIF(Bill_Out!$Q$679:$Q$756,CONCATENATE($C46,$GX$3),Bill_Out!$N$679:$N$756)</f>
        <v>0</v>
      </c>
      <c r="GM46" s="109" t="e">
        <f>SUMIF(Bill_Out!$Q$679:$Q$756,CONCATENATE($C46,$GX$3),Bill_Out!$O$679:$O$756)</f>
        <v>#VALUE!</v>
      </c>
      <c r="GN46" s="157"/>
      <c r="GO46" s="512">
        <f>SUMIF(Master_Data!$AK$4:$AK$145,CONCATENATE($C46,$GX$3),Master_Data!$R$4:$R$145)+SUMIF(Master_Data!$AK$152:$AK$864,CONCATENATE($C46,$GX$3),Master_Data!$R$152:$R$864)</f>
        <v>0</v>
      </c>
      <c r="GP46" s="512">
        <f>SUMIF(Master_Data!$AK$4:$AK$145,CONCATENATE($C46,$GX$3),Master_Data!$Q$4:$Q$145)+SUMIF(Master_Data!$AK$152:$AK$864,CONCATENATE($C46,$GX$3),Master_Data!$Q$152:$Q$864)</f>
        <v>0</v>
      </c>
      <c r="GQ46" s="512">
        <f>SUMIF(Master_Data!$AK$4:$AK$145,CONCATENATE($C46,$GX$3),Master_Data!$U$4:$U$145)+SUMIF(Master_Data!$AK$152:$AK$864,CONCATENATE($C46,$GX$3),Master_Data!$U$152:$U$864)</f>
        <v>0</v>
      </c>
      <c r="GR46" s="310">
        <f>SUMIF(Master_Data!$AK$4:$AK$145,CONCATENATE($C46,$GX$3),Master_Data!$S$4:$S$145)+SUMIF(Master_Data!$AK$152:$AK$864,CONCATENATE($C46,$GX$3),Master_Data!$S$152:$S$864)</f>
        <v>0</v>
      </c>
      <c r="GS46" s="39">
        <f>SUMIF(Master_Data!$AK$152:$AK$864,CONCATENATE($C46,GX$3),Master_Data!$T$152:$T$864)</f>
        <v>0</v>
      </c>
      <c r="GT46" s="534">
        <f t="shared" si="44"/>
        <v>0</v>
      </c>
      <c r="GU46" s="310" t="e">
        <f t="shared" si="16"/>
        <v>#VALUE!</v>
      </c>
      <c r="GV46" s="23"/>
      <c r="GW46" s="358" t="str">
        <f t="shared" si="87"/>
        <v>PEMBANGUNAN PERUMAHAN (PERSERO), PTDES</v>
      </c>
      <c r="GX46" s="24"/>
    </row>
    <row r="47" spans="1:206" s="19" customFormat="1">
      <c r="A47" s="328" t="s">
        <v>229</v>
      </c>
      <c r="B47" s="236" t="str">
        <f t="shared" si="18"/>
        <v>PEMERINTAH KABUPATEN LUWUK BANGGAIJAN</v>
      </c>
      <c r="C47" s="8" t="s">
        <v>1621</v>
      </c>
      <c r="D47" s="23"/>
      <c r="E47" s="109">
        <f>SUMIF(Master_Data!$D38:$D$145,CONCATENATE(C47),Master_Data!M38:M863)</f>
        <v>0</v>
      </c>
      <c r="F47" s="109">
        <f>SUMIF(Master_Data!$D44:$D$145,CONCATENATE(C47),Master_Data!N44:N234)</f>
        <v>0</v>
      </c>
      <c r="G47" s="31"/>
      <c r="H47" s="109">
        <f>SUMIF(Bill_Out!$Q$3:$Q$65,CONCATENATE($C47,$S$3),Bill_Out!$N$3:$N$65)</f>
        <v>0</v>
      </c>
      <c r="I47" s="88">
        <f>SUMIF(Bill_Out!$Q$3:$Q$65,CONCATENATE($C47,$S$3),Bill_Out!$O$3:$O$65)</f>
        <v>0</v>
      </c>
      <c r="J47" s="157"/>
      <c r="K47" s="29"/>
      <c r="L47" s="44"/>
      <c r="M47" s="230">
        <f>SUMIF(Master_Data!$AK43:$AK$145,CONCATENATE(C47,$S$3),Master_Data!U43:U320)+SUMIF(Master_Data!$AK359:$AK$864,CONCATENATE(C47,$S$3),Master_Data!U359:U954)</f>
        <v>0</v>
      </c>
      <c r="N47" s="310">
        <f>SUMIF(Master_Data!$AK$4:$AK$145,CONCATENATE(C47,$S$3),Master_Data!$S$4:$S$145)+SUMIF(Master_Data!$AK$150:$AK$864,CONCATENATE(C47,$S$3),Master_Data!$S$150:$S$864)</f>
        <v>0</v>
      </c>
      <c r="O47" s="310">
        <f>SUMIF(Master_Data!$AK$4:$AK$145,CONCATENATE(C47,$S$3),Master_Data!$T$4:$T$145)+SUMIF(Master_Data!$AK$150:$AK$864,CONCATENATE(C47,$S$3),Master_Data!$T$150:$T$864)</f>
        <v>0</v>
      </c>
      <c r="P47" s="230">
        <f t="shared" si="19"/>
        <v>0</v>
      </c>
      <c r="Q47" s="230">
        <f t="shared" si="20"/>
        <v>0</v>
      </c>
      <c r="R47" s="23"/>
      <c r="S47" s="24"/>
      <c r="T47" s="31"/>
      <c r="U47" s="109">
        <f t="shared" ref="U47:U63" si="94">P47</f>
        <v>0</v>
      </c>
      <c r="V47" s="109">
        <f t="shared" ref="V47:V63" si="95">Q47</f>
        <v>0</v>
      </c>
      <c r="W47" s="31"/>
      <c r="X47" s="109">
        <f>SUMIF(Bill_Out!$Q$67:$Q$132,CONCATENATE($C47,$AJ$3),Bill_Out!$N$67:$N$132)</f>
        <v>0</v>
      </c>
      <c r="Y47" s="109">
        <f>SUMIF(Bill_Out!$Q$67:$Q$132,CONCATENATE($C47,$AJ$3),Bill_Out!$O$67:$O$132)</f>
        <v>0</v>
      </c>
      <c r="Z47" s="157"/>
      <c r="AA47" s="230">
        <f>SUMIF(Master_Data!$AK$4:$AK$145,CONCATENATE(C47,$AJ$3),Master_Data!$R$4:$R$145)+SUMIF(Master_Data!$AK$152:$AK$850,CONCATENATE(C47,$AJ$3),Master_Data!$R$152:$R$850)</f>
        <v>0</v>
      </c>
      <c r="AB47" s="230">
        <f>SUMIF(Master_Data!$AK$4:$AK$145,CONCATENATE(C47,$AJ$3),Master_Data!$Q$4:$Q$145)+SUMIF(Master_Data!$AK$152:$AK$850,CONCATENATE(C47,$AJ$3),Master_Data!$Q$152:$Q$850)</f>
        <v>0</v>
      </c>
      <c r="AC47" s="230">
        <f>SUMIF(Master_Data!$AK$4:$AK$145,CONCATENATE(C47,$AJ$3),Master_Data!$U$4:$U$145)+SUMIF(Master_Data!$AK$152:$AK$850,CONCATENATE(C47,$AJ$3),Master_Data!$U$152:$U$850)</f>
        <v>0</v>
      </c>
      <c r="AD47" s="310">
        <f ca="1">SUMIF(Master_Data!$AK$4:$AK$145,CONCATENATE(C47,$AJ$3),Master_Data!$S$4:$S$145)+SUMIF(Master_Data!$AK$152:$AK$864,CONCATENATE(C47,$AJ$3),Master_Data!$S$152:$S$850)</f>
        <v>0</v>
      </c>
      <c r="AE47" s="310">
        <f>SUMIF(Master_Data!$AK$4:$AK$145,CONCATENATE(C47,$AJ$3),Master_Data!$T$4:$T$145)+SUMIF(Master_Data!$AK$152:$AK$864,CONCATENATE(C47,$AJ$3),Master_Data!$T$152:$T$864)</f>
        <v>0</v>
      </c>
      <c r="AF47" s="230">
        <f t="shared" si="63"/>
        <v>0</v>
      </c>
      <c r="AG47" s="230">
        <f t="shared" ca="1" si="64"/>
        <v>0</v>
      </c>
      <c r="AH47" s="23"/>
      <c r="AI47" s="235" t="str">
        <f t="shared" si="86"/>
        <v>PEMERINTAH KABUPATEN LUWUK BANGGAIFEB</v>
      </c>
      <c r="AJ47" s="24"/>
      <c r="AK47" s="31"/>
      <c r="AL47" s="109">
        <f t="shared" si="65"/>
        <v>0</v>
      </c>
      <c r="AM47" s="109">
        <f t="shared" ca="1" si="66"/>
        <v>0</v>
      </c>
      <c r="AN47" s="31"/>
      <c r="AO47" s="109">
        <f>SUMIF(Bill_Out!$Q$134:$Q$188,CONCATENATE($C47,$BA$3),Bill_Out!$N$134:$N$188)</f>
        <v>0</v>
      </c>
      <c r="AP47" s="109">
        <f>SUMIF(Bill_Out!$Q$134:$Q$188,CONCATENATE($C47,$BA$3),Bill_Out!$O$134:$O$188)</f>
        <v>0</v>
      </c>
      <c r="AQ47" s="157"/>
      <c r="AR47" s="230">
        <f>SUMIF(Master_Data!$AK$4:$AK$145,CONCATENATE(C47,$BA$3),Master_Data!$R$4:$R$145)+SUMIF(Master_Data!$AK$152:$AK$864,CONCATENATE(C47,$BA$3),Master_Data!$R$152:$R$864)</f>
        <v>0</v>
      </c>
      <c r="AS47" s="230">
        <f>SUMIF(Master_Data!$AK$4:$AK$145,CONCATENATE(C47,$BA$3),Master_Data!$Q$4:$Q$145)+SUMIF(Master_Data!$AK$152:$AK$864,CONCATENATE(C47,$BA$3),Master_Data!$Q$152:$Q$864)</f>
        <v>0</v>
      </c>
      <c r="AT47" s="230">
        <f>SUMIF(Master_Data!$AK$4:$AK$145,CONCATENATE(C47,$BA$3),Master_Data!$U$4:$U$145)+SUMIF(Master_Data!$AK$152:$AK$864,CONCATENATE(C47,$BA$3),Master_Data!$U$152:$U$864)</f>
        <v>0</v>
      </c>
      <c r="AU47" s="230">
        <f ca="1">SUMIF(Master_Data!$AK$4:$AK$145,CONCATENATE(C47,$BA$3),Master_Data!$S$4:$S$145)+SUMIF(Master_Data!$AK$152:$AK$864,CONCATENATE(C47,$BA$3),Master_Data!$S$152:$S$850)</f>
        <v>0</v>
      </c>
      <c r="AV47" s="39">
        <f>SUMIF(Master_Data!$AK$152:$AK$864,CONCATENATE($C47,BA$3),Master_Data!$T$152:$T$864)</f>
        <v>0</v>
      </c>
      <c r="AW47" s="230">
        <f t="shared" si="57"/>
        <v>0</v>
      </c>
      <c r="AX47" s="230">
        <f t="shared" ca="1" si="58"/>
        <v>0</v>
      </c>
      <c r="AY47" s="23"/>
      <c r="AZ47" s="235" t="str">
        <f t="shared" si="21"/>
        <v>PEMERINTAH KABUPATEN LUWUK BANGGAIMAR</v>
      </c>
      <c r="BA47" s="24"/>
      <c r="BB47" s="31"/>
      <c r="BC47" s="109">
        <f t="shared" si="22"/>
        <v>0</v>
      </c>
      <c r="BD47" s="109">
        <f t="shared" ca="1" si="23"/>
        <v>0</v>
      </c>
      <c r="BE47" s="31"/>
      <c r="BF47" s="109">
        <f>SUMIF(Bill_Out!$Q$192:$Q$258,CONCATENATE($C47,$BR$3),Bill_Out!$N$192:$N$258)</f>
        <v>0</v>
      </c>
      <c r="BG47" s="109">
        <f>SUMIF(Bill_Out!$Q$192:$Q$258,CONCATENATE($C47,$BR$3),Bill_Out!$O$192:$O$258)</f>
        <v>0</v>
      </c>
      <c r="BH47" s="157"/>
      <c r="BI47" s="230">
        <f>SUMIF(Master_Data!$AK$4:$AK$145,CONCATENATE(C47,$BR$3),Master_Data!$R$4:$R$145)+SUMIF(Master_Data!$AK$152:$AK$864,CONCATENATE(C47,$BR$3),Master_Data!$R$152:$R$864)</f>
        <v>0</v>
      </c>
      <c r="BJ47" s="230">
        <f>SUMIF(Master_Data!$AK$4:$AK$145,CONCATENATE(C47,$BR$3),Master_Data!$Q$4:$Q$145)+SUMIF(Master_Data!$AK$152:$AK$864,CONCATENATE(C47,$BR$3),Master_Data!$Q$152:$Q$864)</f>
        <v>0</v>
      </c>
      <c r="BK47" s="230">
        <f>SUMIF(Master_Data!$AK$4:$AK$145,CONCATENATE(C47,$BR$3),Master_Data!$U$4:$U$145)+SUMIF(Master_Data!$AK$152:$AK$864,CONCATENATE(C47,$BR$3),Master_Data!$U$152:$U$864)</f>
        <v>0</v>
      </c>
      <c r="BL47" s="230">
        <f>SUMIF(Master_Data!$AK$4:$AK$145,CONCATENATE(C47,$BR$3),Master_Data!$S$4:$S$145)+SUMIF(Master_Data!$AK$152:$AK$864,CONCATENATE(C47,$BR$3),Master_Data!$S$152:$S$864)</f>
        <v>0</v>
      </c>
      <c r="BM47" s="39">
        <f>SUMIF(Master_Data!$AK$152:$AK$864,CONCATENATE($C47,BR$3),Master_Data!$T$152:$T$864)</f>
        <v>0</v>
      </c>
      <c r="BN47" s="230">
        <f t="shared" si="24"/>
        <v>0</v>
      </c>
      <c r="BO47" s="230">
        <f t="shared" ca="1" si="25"/>
        <v>0</v>
      </c>
      <c r="BP47" s="23"/>
      <c r="BQ47" s="909" t="str">
        <f t="shared" si="26"/>
        <v>PEMERINTAH KABUPATEN LUWUK BANGGAIAPR</v>
      </c>
      <c r="BR47" s="24"/>
      <c r="BS47" s="31"/>
      <c r="BT47" s="109">
        <f t="shared" si="78"/>
        <v>0</v>
      </c>
      <c r="BU47" s="109">
        <f t="shared" ca="1" si="79"/>
        <v>0</v>
      </c>
      <c r="BV47" s="31"/>
      <c r="BW47" s="109">
        <f>SUMIF(Bill_Out!$Q$263:$Q$314,CONCATENATE($C47,$CI$3),Bill_Out!$N$263:$N$314)</f>
        <v>0</v>
      </c>
      <c r="BX47" s="109">
        <f>SUMIF(Bill_Out!$Q$263:$Q$314,CONCATENATE($C47,$CI$3),Bill_Out!$O$263:$O$314)</f>
        <v>0</v>
      </c>
      <c r="BY47" s="157"/>
      <c r="BZ47" s="310">
        <f>SUMIF(Master_Data!$AK$4:$AK$145,CONCATENATE(C47,$CI$3),Master_Data!$R$4:$R$145)+SUMIF(Master_Data!$AK$152:$AK$864,CONCATENATE(C47,$CI$3),Master_Data!$R$152:$R$864)</f>
        <v>0</v>
      </c>
      <c r="CA47" s="310">
        <f>SUMIF(Master_Data!$AK$4:$AK$145,CONCATENATE(C47,$CI$3),Master_Data!$Q$4:$Q$145)+SUMIF(Master_Data!$AK$152:$AK$864,CONCATENATE(C47,$CI$3),Master_Data!$Q$152:$Q$864)</f>
        <v>0</v>
      </c>
      <c r="CB47" s="310">
        <f>SUMIF(Master_Data!$AK$4:$AK$145,CONCATENATE(C47,$CI$3),Master_Data!$U$4:$U$145)+SUMIF(Master_Data!$AK$152:$AK$864,CONCATENATE(C47,$CI$3),Master_Data!$U$152:$U$864)</f>
        <v>0</v>
      </c>
      <c r="CC47" s="230">
        <f>SUMIF(Master_Data!$AK$4:$AK$145,CONCATENATE(C47,$CI$3),Master_Data!$S$4:$S$145)+SUMIF(Master_Data!$AK$152:$AK$864,CONCATENATE(C47,$CI$3),Master_Data!$S$152:$S$864)</f>
        <v>0</v>
      </c>
      <c r="CD47" s="39">
        <f>SUMIF(Master_Data!$AK$152:$AK$864,CONCATENATE($C47,CI$3),Master_Data!$T$152:$T$864)</f>
        <v>0</v>
      </c>
      <c r="CE47" s="310">
        <f t="shared" si="27"/>
        <v>0</v>
      </c>
      <c r="CF47" s="230">
        <f t="shared" ca="1" si="28"/>
        <v>0</v>
      </c>
      <c r="CG47" s="23"/>
      <c r="CH47" s="235" t="str">
        <f t="shared" si="29"/>
        <v>PEMERINTAH KABUPATEN LUWUK BANGGAIMEI</v>
      </c>
      <c r="CI47" s="24"/>
      <c r="CJ47" s="31"/>
      <c r="CK47" s="109">
        <f t="shared" si="30"/>
        <v>0</v>
      </c>
      <c r="CL47" s="238">
        <f t="shared" ca="1" si="31"/>
        <v>0</v>
      </c>
      <c r="CM47" s="31"/>
      <c r="CN47" s="238">
        <f>SUMIF(Bill_Out!$Q$318:$Q$371,CONCATENATE($C47,$CZ$3),Bill_Out!$N$318:$N$371)</f>
        <v>0</v>
      </c>
      <c r="CO47" s="238">
        <f>SUMIF(Bill_Out!$Q$318:$Q$371,CONCATENATE($C47,$CZ$3),Bill_Out!$O$318:$O$371)</f>
        <v>0</v>
      </c>
      <c r="CP47" s="157"/>
      <c r="CQ47" s="230">
        <f>SUMIF(Master_Data!$AK$4:$AK$145,CONCATENATE($C47,$CZ$3),Master_Data!$R$4:$R$145)+SUMIF(Master_Data!$AK$152:$AK$864,CONCATENATE($C47,$CZ$3),Master_Data!$R$152:$R$864)</f>
        <v>0</v>
      </c>
      <c r="CR47" s="230">
        <f>SUMIF(Master_Data!$AK$4:$AK$145,CONCATENATE($C47,$CZ$3),Master_Data!$Q$4:$Q$145)+SUMIF(Master_Data!$AK$152:$AK$864,CONCATENATE($C47,$CZ$3),Master_Data!$Q$152:$Q$864)</f>
        <v>0</v>
      </c>
      <c r="CS47" s="230">
        <f>SUMIF(Master_Data!$AK$4:$AK$145,CONCATENATE($C47,$CZ$3),Master_Data!$U$4:$U$145)+SUMIF(Master_Data!$AK$152:$AK$864,CONCATENATE($C47,$CZ$3),Master_Data!$U$152:$U$864)</f>
        <v>0</v>
      </c>
      <c r="CT47" s="230">
        <f ca="1">SUMIF(Master_Data!$AK$4:$AK$145,CONCATENATE(C47,$CZ$3),Master_Data!$S$4:$S$145)+SUMIF(Master_Data!$AK$152:$AK$915,CONCATENATE(C47,$CZ$3),Master_Data!$S$152:$S$864)</f>
        <v>0</v>
      </c>
      <c r="CU47" s="1010">
        <f>SUMIF(Master_Data!$AK$4:$AK$145,CONCATENATE(C47,$CZ$3),Master_Data!$T$4:$T$145)+SUMIF(Master_Data!$AK$152:$AK$864,CONCATENATE(C47,$CZ$3),Master_Data!$T$152:$T$864)</f>
        <v>0</v>
      </c>
      <c r="CV47" s="230">
        <f t="shared" si="32"/>
        <v>0</v>
      </c>
      <c r="CW47" s="230">
        <f t="shared" ca="1" si="33"/>
        <v>0</v>
      </c>
      <c r="CX47" s="23"/>
      <c r="CY47" s="1007" t="str">
        <f t="shared" si="6"/>
        <v>PEMERINTAH KABUPATEN LUWUK BANGGAIJUN</v>
      </c>
      <c r="CZ47" s="24"/>
      <c r="DA47" s="31"/>
      <c r="DB47" s="109">
        <f t="shared" si="34"/>
        <v>0</v>
      </c>
      <c r="DC47" s="109">
        <f t="shared" ca="1" si="35"/>
        <v>0</v>
      </c>
      <c r="DD47" s="31"/>
      <c r="DE47" s="109">
        <f>SUMIF(Bill_Out!$Q$375:$Q$422,CONCATENATE($C47,$DQ$3),Bill_Out!$N$375:$N$422)</f>
        <v>0</v>
      </c>
      <c r="DF47" s="109">
        <f>SUMIF(Bill_Out!$Q$375:$Q$422,CONCATENATE($C47,$DQ$3),Bill_Out!$O$375:$O$422)</f>
        <v>0</v>
      </c>
      <c r="DG47" s="157"/>
      <c r="DH47" s="310">
        <f>SUMIF(Master_Data!$AK$4:$AK$145,CONCATENATE($C47,$DQ$3),Master_Data!$R$4:$R$145)+SUMIF(Master_Data!$AK$152:$AK$864,CONCATENATE($C47,$DQ$3),Master_Data!$R$152:$R$864)</f>
        <v>0</v>
      </c>
      <c r="DI47" s="310">
        <f>SUMIF(Master_Data!$AK$4:$AK$145,CONCATENATE($C47,$DQ$3),Master_Data!$Q$4:$Q$145)+SUMIF(Master_Data!$AK$152:$AK$864,CONCATENATE($C47,$DQ$3),Master_Data!$Q$152:$Q$864)</f>
        <v>0</v>
      </c>
      <c r="DJ47" s="310">
        <f>SUMIF(Master_Data!$AK$4:$AK$145,CONCATENATE($C47,$DQ$3),Master_Data!$U$4:$U$145)+SUMIF(Master_Data!$AK$152:$AK$864,CONCATENATE($C47,$DQ$3),Master_Data!$U$152:$U$864)</f>
        <v>0</v>
      </c>
      <c r="DK47" s="310">
        <f>SUMIF(Master_Data!$AK$4:$AK$145,CONCATENATE($C47,$DQ$3),Master_Data!$S$4:$S$145)+SUMIF(Master_Data!$AK$152:$AK$864,CONCATENATE($C47,$DQ$3),Master_Data!$S$152:$S$864)</f>
        <v>0</v>
      </c>
      <c r="DL47" s="39">
        <f>SUMIF(Master_Data!$AK$152:$AK$915,CONCATENATE($C47,DQ$3),Master_Data!$T$152:$T$915)</f>
        <v>0</v>
      </c>
      <c r="DM47" s="230">
        <f t="shared" si="67"/>
        <v>0</v>
      </c>
      <c r="DN47" s="230">
        <f t="shared" ca="1" si="68"/>
        <v>0</v>
      </c>
      <c r="DO47" s="23"/>
      <c r="DP47" s="358" t="str">
        <f t="shared" si="9"/>
        <v>PEMERINTAH KABUPATEN LUWUK BANGGAIJUL</v>
      </c>
      <c r="DQ47" s="24"/>
      <c r="DR47" s="392"/>
      <c r="DS47" s="109">
        <f t="shared" si="36"/>
        <v>0</v>
      </c>
      <c r="DT47" s="109">
        <f t="shared" ca="1" si="37"/>
        <v>0</v>
      </c>
      <c r="DU47" s="31"/>
      <c r="DV47" s="109">
        <f>SUMIF(Bill_Out!$Q$426:$Q$472,CONCATENATE($C47,$EH$3),Bill_Out!$N$426:$N$472)</f>
        <v>0</v>
      </c>
      <c r="DW47" s="109">
        <f>SUMIF(Bill_Out!$Q$426:$Q$472,CONCATENATE($C47,$EH$3),Bill_Out!$O$426:$O$472)</f>
        <v>0</v>
      </c>
      <c r="DX47" s="157"/>
      <c r="DY47" s="310">
        <f>SUMIF(Master_Data!$AK$4:$AK$145,CONCATENATE($C47,$EH$3),Master_Data!$R$4:$R$145)+SUMIF(Master_Data!$AK$152:$AK$864,CONCATENATE($C47,$EH$3),Master_Data!$R$152:$R$864)</f>
        <v>0</v>
      </c>
      <c r="DZ47" s="310">
        <f>SUMIF(Master_Data!$AK$4:$AK$145,CONCATENATE($C47,$EH$3),Master_Data!$Q$4:$Q$145)+SUMIF(Master_Data!$AK$152:$AK$864,CONCATENATE($C47,$EH$3),Master_Data!$Q$152:$Q$864)</f>
        <v>0</v>
      </c>
      <c r="EA47" s="310">
        <f>SUMIF(Master_Data!$AK$4:$AK$145,CONCATENATE($C47,$EH$3),Master_Data!$U$4:$U$145)+SUMIF(Master_Data!$AK$152:$AK$864,CONCATENATE($C47,$EH$3),Master_Data!$U$152:$U$864)</f>
        <v>0</v>
      </c>
      <c r="EB47" s="310">
        <f>SUMIF(Master_Data!$AK$4:$AK$145,CONCATENATE($C47,$EH$3),Master_Data!$S$4:$S$145)+SUMIF(Master_Data!$AK$152:$AK$864,CONCATENATE($C47,$EH$3),Master_Data!$S$152:$S$864)</f>
        <v>0</v>
      </c>
      <c r="EC47" s="39">
        <f>SUMIF(Master_Data!$AK$152:$AK$915,CONCATENATE($C47,EH$3),Master_Data!$T$152:$T$915)</f>
        <v>0</v>
      </c>
      <c r="ED47" s="310">
        <f t="shared" si="38"/>
        <v>0</v>
      </c>
      <c r="EE47" s="230">
        <f t="shared" ca="1" si="39"/>
        <v>0</v>
      </c>
      <c r="EF47" s="23"/>
      <c r="EG47" s="358" t="str">
        <f t="shared" si="10"/>
        <v>PEMERINTAH KABUPATEN LUWUK BANGGAIAGS</v>
      </c>
      <c r="EH47" s="24"/>
      <c r="EI47" s="392"/>
      <c r="EJ47" s="109">
        <f t="shared" si="47"/>
        <v>0</v>
      </c>
      <c r="EK47" s="109">
        <f t="shared" ca="1" si="48"/>
        <v>0</v>
      </c>
      <c r="EL47" s="84"/>
      <c r="EM47" s="109">
        <f>SUMIF(Bill_Out!$Q$476:$Q$530,CONCATENATE($C47,$EY$3),Bill_Out!$N$476:$N$530)</f>
        <v>0</v>
      </c>
      <c r="EN47" s="109">
        <f>SUMIF(Bill_Out!$Q$476:$Q$530,CONCATENATE($C47,$EY$3),Bill_Out!$O$476:$O$530)</f>
        <v>0</v>
      </c>
      <c r="EO47" s="309"/>
      <c r="EP47" s="310">
        <f>SUMIF(Master_Data!$AK$4:$AK$145,CONCATENATE($C47,$EY$3),Master_Data!$R$4:$R$145)+SUMIF(Master_Data!$AK$152:$AK$864,CONCATENATE($C47,$EY$3),Master_Data!$R$152:$R$864)</f>
        <v>0</v>
      </c>
      <c r="EQ47" s="310">
        <f>SUMIF(Master_Data!$AK$4:$AK$145,CONCATENATE($C47,$EY$3),Master_Data!$Q$4:$Q$145)+SUMIF(Master_Data!$AK$152:$AK$864,CONCATENATE($C47,$EY$3),Master_Data!$Q$152:$Q$864)</f>
        <v>0</v>
      </c>
      <c r="ER47" s="310">
        <f>SUMIF(Master_Data!$AK$4:$AK$145,CONCATENATE($C47,$EY$3),Master_Data!$U$4:$U$145)+SUMIF(Master_Data!$AK$152:$AK$864,CONCATENATE($C47,$EY$3),Master_Data!$U$152:$U$864)</f>
        <v>0</v>
      </c>
      <c r="ES47" s="310">
        <f>SUMIF(Master_Data!$AK$4:$AK$145,CONCATENATE($C47,$EY$3),Master_Data!$S$4:$S$145)+SUMIF(Master_Data!$AK$152:$AK$864,CONCATENATE($C47,$EY$3),Master_Data!$S$152:$S$864)</f>
        <v>0</v>
      </c>
      <c r="ET47" s="39">
        <f>SUMIF(Master_Data!$AK$152:$AK$915,CONCATENATE($C47,EY$3),Master_Data!$T$152:$T$915)</f>
        <v>0</v>
      </c>
      <c r="EU47" s="310">
        <f t="shared" si="49"/>
        <v>0</v>
      </c>
      <c r="EV47" s="230"/>
      <c r="EW47" s="84"/>
      <c r="EX47" s="358" t="str">
        <f t="shared" si="11"/>
        <v>PEMERINTAH KABUPATEN LUWUK BANGGAISEP</v>
      </c>
      <c r="EY47" s="24"/>
      <c r="EZ47" s="415"/>
      <c r="FA47" s="109">
        <f>EU47</f>
        <v>0</v>
      </c>
      <c r="FB47" s="109">
        <f t="shared" si="89"/>
        <v>0</v>
      </c>
      <c r="FC47" s="420"/>
      <c r="FD47" s="109">
        <f>SUMIF(Bill_Out!$Q$534:$Q$606,CONCATENATE($C47,$FP$3),Bill_Out!$N$534:$N$606)</f>
        <v>0</v>
      </c>
      <c r="FE47" s="109">
        <f>SUMIF(Bill_Out!$Q$534:$Q$606,CONCATENATE($C47,$FP$3),Bill_Out!$O$534:$O$606)</f>
        <v>0</v>
      </c>
      <c r="FF47" s="157"/>
      <c r="FG47" s="310">
        <f>SUMIF(Master_Data!$AK$4:$AK$145,CONCATENATE($C47,$FP$3),Master_Data!$R$4:$R$145)+SUMIF(Master_Data!$AK$152:$AK$864,CONCATENATE($C47,$FP$3),Master_Data!$R$152:$R$864)</f>
        <v>0</v>
      </c>
      <c r="FH47" s="310">
        <f>SUMIF(Master_Data!$AK$4:$AK$145,CONCATENATE($C47,$FP$3),Master_Data!$Q$4:$Q$145)+SUMIF(Master_Data!$AK$152:$AK$864,CONCATENATE($C47,$FP$3),Master_Data!$Q$152:$Q$864)</f>
        <v>0</v>
      </c>
      <c r="FI47" s="310">
        <f>SUMIF(Master_Data!$AK$4:$AK$145,CONCATENATE($C47,$FP$3),Master_Data!$U$4:$U$145)+SUMIF(Master_Data!$AK$152:$AK$864,CONCATENATE($C47,$FP$3),Master_Data!$U$152:$U$864)</f>
        <v>0</v>
      </c>
      <c r="FJ47" s="310">
        <f>SUMIF(Master_Data!$AK$4:$AK$145,CONCATENATE($C47,$FP$3),Master_Data!$S$4:$S$145)+SUMIF(Master_Data!$AK$152:$AK$864,CONCATENATE($C47,$FP$3),Master_Data!$S$152:$S$864)</f>
        <v>0</v>
      </c>
      <c r="FK47" s="39">
        <f>SUMIF(Master_Data!$AK$152:$AK$915,CONCATENATE($C47,FP$3),Master_Data!$T$152:$T$915)</f>
        <v>0</v>
      </c>
      <c r="FL47" s="230">
        <f t="shared" si="90"/>
        <v>0</v>
      </c>
      <c r="FM47" s="230">
        <f t="shared" si="12"/>
        <v>0</v>
      </c>
      <c r="FN47" s="23"/>
      <c r="FO47" s="358" t="str">
        <f t="shared" si="80"/>
        <v>PEMERINTAH KABUPATEN LUWUK BANGGAIOKT</v>
      </c>
      <c r="FP47" s="24"/>
      <c r="FQ47" s="415"/>
      <c r="FR47" s="109">
        <f t="shared" si="91"/>
        <v>0</v>
      </c>
      <c r="FS47" s="109">
        <f t="shared" si="92"/>
        <v>0</v>
      </c>
      <c r="FT47" s="420"/>
      <c r="FU47" s="109">
        <f>SUMIF(Bill_Out!$Q$610:$Q$675,CONCATENATE($C47,$GG$3),Bill_Out!$N$610:$N$675)</f>
        <v>0</v>
      </c>
      <c r="FV47" s="109">
        <f>SUMIF(Bill_Out!$Q$610:$Q$675,CONCATENATE($C47,$GG$3),Bill_Out!$O$610:$O$675)</f>
        <v>0</v>
      </c>
      <c r="FW47" s="157"/>
      <c r="FX47" s="512">
        <f>SUMIF(Master_Data!$AK$4:$AK$145,CONCATENATE($C47,$GG$3),Master_Data!$R$4:$R$145)+SUMIF(Master_Data!$AK$152:$AK$864,CONCATENATE($C47,$GG$3),Master_Data!$R$152:$R$864)</f>
        <v>0</v>
      </c>
      <c r="FY47" s="512">
        <f>SUMIF(Master_Data!$AK$4:$AK$145,CONCATENATE($C47,$GG$3),Master_Data!$Q$4:$Q$145)+SUMIF(Master_Data!$AK$152:$AK$864,CONCATENATE($C47,$GG$3),Master_Data!$Q$152:$Q$864)</f>
        <v>0</v>
      </c>
      <c r="FZ47" s="512">
        <f>SUMIF(Master_Data!$AK$4:$AK$145,CONCATENATE($C47,$GG$3),Master_Data!$U$4:$U$145)+SUMIF(Master_Data!$AK$152:$AK$864,CONCATENATE($C47,$GG$3),Master_Data!$U$152:$U$864)</f>
        <v>0</v>
      </c>
      <c r="GA47" s="310">
        <f>SUMIF(Master_Data!$AK$4:$AK$145,CONCATENATE($C47,$GG$3),Master_Data!$S$4:$S$145)+SUMIF(Master_Data!$AK$152:$AK$864,CONCATENATE($C47,$GG$3),Master_Data!$S$152:$S$864)</f>
        <v>0</v>
      </c>
      <c r="GB47" s="39">
        <f>SUMIF(Master_Data!$AK$152:$AK$915,CONCATENATE($C47,GG$3),Master_Data!$T$152:$T$915)</f>
        <v>0</v>
      </c>
      <c r="GC47" s="230">
        <f t="shared" si="93"/>
        <v>0</v>
      </c>
      <c r="GD47" s="230">
        <f t="shared" si="14"/>
        <v>0</v>
      </c>
      <c r="GE47" s="23"/>
      <c r="GF47" s="358" t="str">
        <f t="shared" si="81"/>
        <v>PEMERINTAH KABUPATEN LUWUK BANGGAINOV</v>
      </c>
      <c r="GG47" s="24"/>
      <c r="GH47" s="415"/>
      <c r="GI47" s="109">
        <f t="shared" si="70"/>
        <v>0</v>
      </c>
      <c r="GJ47" s="109">
        <f t="shared" si="71"/>
        <v>0</v>
      </c>
      <c r="GK47" s="423"/>
      <c r="GL47" s="109">
        <f>SUMIF(Bill_Out!$Q$679:$Q$756,CONCATENATE($C47,$GX$3),Bill_Out!$N$679:$N$756)</f>
        <v>0</v>
      </c>
      <c r="GM47" s="109">
        <f>SUMIF(Bill_Out!$Q$679:$Q$756,CONCATENATE($C47,$GX$3),Bill_Out!$O$679:$O$756)</f>
        <v>0</v>
      </c>
      <c r="GN47" s="157"/>
      <c r="GO47" s="512">
        <f>SUMIF(Master_Data!$AK$4:$AK$145,CONCATENATE($C47,$GX$3),Master_Data!$R$4:$R$145)+SUMIF(Master_Data!$AK$152:$AK$864,CONCATENATE($C47,$GX$3),Master_Data!$R$152:$R$864)</f>
        <v>0</v>
      </c>
      <c r="GP47" s="512">
        <f>SUMIF(Master_Data!$AK$4:$AK$145,CONCATENATE($C47,$GX$3),Master_Data!$Q$4:$Q$145)+SUMIF(Master_Data!$AK$152:$AK$864,CONCATENATE($C47,$GX$3),Master_Data!$Q$152:$Q$864)</f>
        <v>0</v>
      </c>
      <c r="GQ47" s="512">
        <f>SUMIF(Master_Data!$AK$4:$AK$145,CONCATENATE($C47,$GX$3),Master_Data!$U$4:$U$145)+SUMIF(Master_Data!$AK$152:$AK$864,CONCATENATE($C47,$GX$3),Master_Data!$U$152:$U$864)</f>
        <v>0</v>
      </c>
      <c r="GR47" s="310">
        <f>SUMIF(Master_Data!$AK$4:$AK$145,CONCATENATE($C47,$GX$3),Master_Data!$S$4:$S$145)+SUMIF(Master_Data!$AK$152:$AK$864,CONCATENATE($C47,$GX$3),Master_Data!$S$152:$S$864)</f>
        <v>0</v>
      </c>
      <c r="GS47" s="39">
        <f>SUMIF(Master_Data!$AK$152:$AK$864,CONCATENATE($C47,GX$3),Master_Data!$T$152:$T$864)</f>
        <v>0</v>
      </c>
      <c r="GT47" s="534">
        <f t="shared" si="44"/>
        <v>0</v>
      </c>
      <c r="GU47" s="310">
        <f>GJ47+GM47-GQ47+GR47+GS47</f>
        <v>0</v>
      </c>
      <c r="GV47" s="23"/>
      <c r="GW47" s="358" t="str">
        <f t="shared" si="87"/>
        <v>PEMERINTAH KABUPATEN LUWUK BANGGAIDES</v>
      </c>
      <c r="GX47" s="24"/>
    </row>
    <row r="48" spans="1:206" s="19" customFormat="1">
      <c r="A48" s="21" t="s">
        <v>230</v>
      </c>
      <c r="B48" s="236" t="str">
        <f t="shared" si="18"/>
        <v>PEMERINTAH KABUPATEN MALINAUJAN</v>
      </c>
      <c r="C48" s="8" t="s">
        <v>762</v>
      </c>
      <c r="D48" s="23"/>
      <c r="E48" s="109">
        <f>SUMIF(Master_Data!$D39:$D$145,CONCATENATE(C48),Master_Data!M39:M864)</f>
        <v>0</v>
      </c>
      <c r="F48" s="109">
        <f>SUMIF(Master_Data!$D45:$D$145,CONCATENATE(C48),Master_Data!N45:N235)</f>
        <v>0</v>
      </c>
      <c r="G48" s="31"/>
      <c r="H48" s="109">
        <f>SUMIF(Bill_Out!$Q$3:$Q$65,CONCATENATE($C48,$S$3),Bill_Out!$N$3:$N$65)</f>
        <v>0</v>
      </c>
      <c r="I48" s="88">
        <f>SUMIF(Bill_Out!$Q$3:$Q$65,CONCATENATE($C48,$S$3),Bill_Out!$O$3:$O$65)</f>
        <v>0</v>
      </c>
      <c r="J48" s="157"/>
      <c r="K48" s="29"/>
      <c r="L48" s="44"/>
      <c r="M48" s="230">
        <f>SUMIF(Master_Data!$AK44:$AK$145,CONCATENATE(C48,$S$3),Master_Data!U44:U321)+SUMIF(Master_Data!$AK360:$AK$864,CONCATENATE(C48,$S$3),Master_Data!U360:U1142)</f>
        <v>0</v>
      </c>
      <c r="N48" s="310">
        <f>SUMIF(Master_Data!$AK$4:$AK$145,CONCATENATE(C48,$S$3),Master_Data!$S$4:$S$145)+SUMIF(Master_Data!$AK$150:$AK$864,CONCATENATE(C48,$S$3),Master_Data!$S$150:$S$864)</f>
        <v>0</v>
      </c>
      <c r="O48" s="310">
        <f>SUMIF(Master_Data!$AK$4:$AK$145,CONCATENATE(C48,$S$3),Master_Data!$T$4:$T$145)+SUMIF(Master_Data!$AK$150:$AK$864,CONCATENATE(C48,$S$3),Master_Data!$T$150:$T$864)</f>
        <v>0</v>
      </c>
      <c r="P48" s="230">
        <f t="shared" si="19"/>
        <v>0</v>
      </c>
      <c r="Q48" s="230">
        <f t="shared" si="20"/>
        <v>0</v>
      </c>
      <c r="R48" s="23"/>
      <c r="S48" s="24"/>
      <c r="T48" s="31"/>
      <c r="U48" s="109">
        <f t="shared" si="94"/>
        <v>0</v>
      </c>
      <c r="V48" s="109">
        <f t="shared" si="95"/>
        <v>0</v>
      </c>
      <c r="W48" s="31"/>
      <c r="X48" s="109">
        <f>SUMIF(Bill_Out!$Q$67:$Q$132,CONCATENATE($C48,$AJ$3),Bill_Out!$N$67:$N$132)</f>
        <v>0</v>
      </c>
      <c r="Y48" s="109">
        <f>SUMIF(Bill_Out!$Q$67:$Q$132,CONCATENATE($C48,$AJ$3),Bill_Out!$O$67:$O$132)</f>
        <v>0</v>
      </c>
      <c r="Z48" s="157"/>
      <c r="AA48" s="230">
        <f>SUMIF(Master_Data!$AK$4:$AK$145,CONCATENATE(C48,$AJ$3),Master_Data!$R$4:$R$145)+SUMIF(Master_Data!$AK$152:$AK$850,CONCATENATE(C48,$AJ$3),Master_Data!$R$152:$R$850)</f>
        <v>0</v>
      </c>
      <c r="AB48" s="230">
        <f>SUMIF(Master_Data!$AK$4:$AK$145,CONCATENATE(C48,$AJ$3),Master_Data!$Q$4:$Q$145)+SUMIF(Master_Data!$AK$152:$AK$850,CONCATENATE(C48,$AJ$3),Master_Data!$Q$152:$Q$850)</f>
        <v>0</v>
      </c>
      <c r="AC48" s="230">
        <f>SUMIF(Master_Data!$AK$4:$AK$145,CONCATENATE(C48,$AJ$3),Master_Data!$U$4:$U$145)+SUMIF(Master_Data!$AK$152:$AK$850,CONCATENATE(C48,$AJ$3),Master_Data!$U$152:$U$850)</f>
        <v>0</v>
      </c>
      <c r="AD48" s="310">
        <f ca="1">SUMIF(Master_Data!$AK$4:$AK$145,CONCATENATE(C48,$AJ$3),Master_Data!$S$4:$S$145)+SUMIF(Master_Data!$AK$152:$AK$864,CONCATENATE(C48,$AJ$3),Master_Data!$S$152:$S$850)</f>
        <v>0</v>
      </c>
      <c r="AE48" s="310">
        <f>SUMIF(Master_Data!$AK$4:$AK$145,CONCATENATE(C48,$AJ$3),Master_Data!$T$4:$T$145)+SUMIF(Master_Data!$AK$152:$AK$864,CONCATENATE(C48,$AJ$3),Master_Data!$T$152:$T$864)</f>
        <v>0</v>
      </c>
      <c r="AF48" s="230">
        <f t="shared" si="63"/>
        <v>0</v>
      </c>
      <c r="AG48" s="230">
        <f t="shared" ca="1" si="64"/>
        <v>0</v>
      </c>
      <c r="AH48" s="23"/>
      <c r="AI48" s="235" t="str">
        <f t="shared" si="86"/>
        <v>PEMERINTAH KABUPATEN MALINAUFEB</v>
      </c>
      <c r="AJ48" s="24"/>
      <c r="AK48" s="31"/>
      <c r="AL48" s="109">
        <f t="shared" si="65"/>
        <v>0</v>
      </c>
      <c r="AM48" s="109">
        <f t="shared" ca="1" si="66"/>
        <v>0</v>
      </c>
      <c r="AN48" s="31"/>
      <c r="AO48" s="109">
        <f>SUMIF(Bill_Out!$Q$134:$Q$188,CONCATENATE($C48,$BA$3),Bill_Out!$N$134:$N$188)</f>
        <v>0</v>
      </c>
      <c r="AP48" s="109">
        <f>SUMIF(Bill_Out!$Q$134:$Q$188,CONCATENATE($C48,$BA$3),Bill_Out!$O$134:$O$188)</f>
        <v>0</v>
      </c>
      <c r="AQ48" s="157"/>
      <c r="AR48" s="230">
        <f>SUMIF(Master_Data!$AK$4:$AK$145,CONCATENATE(C48,$BA$3),Master_Data!$R$4:$R$145)+SUMIF(Master_Data!$AK$152:$AK$864,CONCATENATE(C48,$BA$3),Master_Data!$R$152:$R$864)</f>
        <v>0</v>
      </c>
      <c r="AS48" s="230">
        <f>SUMIF(Master_Data!$AK$4:$AK$145,CONCATENATE(C48,$BA$3),Master_Data!$Q$4:$Q$145)+SUMIF(Master_Data!$AK$152:$AK$864,CONCATENATE(C48,$BA$3),Master_Data!$Q$152:$Q$864)</f>
        <v>0</v>
      </c>
      <c r="AT48" s="230">
        <f>SUMIF(Master_Data!$AK$4:$AK$145,CONCATENATE(C48,$BA$3),Master_Data!$U$4:$U$145)+SUMIF(Master_Data!$AK$152:$AK$864,CONCATENATE(C48,$BA$3),Master_Data!$U$152:$U$864)</f>
        <v>0</v>
      </c>
      <c r="AU48" s="230">
        <f ca="1">SUMIF(Master_Data!$AK$4:$AK$145,CONCATENATE(C48,$BA$3),Master_Data!$S$4:$S$145)+SUMIF(Master_Data!$AK$152:$AK$864,CONCATENATE(C48,$BA$3),Master_Data!$S$152:$S$850)</f>
        <v>0</v>
      </c>
      <c r="AV48" s="39">
        <f>SUMIF(Master_Data!$AK$152:$AK$864,CONCATENATE($C48,BA$3),Master_Data!$T$152:$T$864)</f>
        <v>0</v>
      </c>
      <c r="AW48" s="230">
        <f t="shared" si="57"/>
        <v>0</v>
      </c>
      <c r="AX48" s="230">
        <f t="shared" ca="1" si="58"/>
        <v>0</v>
      </c>
      <c r="AY48" s="23"/>
      <c r="AZ48" s="235" t="str">
        <f t="shared" si="21"/>
        <v>PEMERINTAH KABUPATEN MALINAUMAR</v>
      </c>
      <c r="BA48" s="24"/>
      <c r="BB48" s="31"/>
      <c r="BC48" s="109">
        <f t="shared" si="22"/>
        <v>0</v>
      </c>
      <c r="BD48" s="109">
        <f t="shared" ca="1" si="23"/>
        <v>0</v>
      </c>
      <c r="BE48" s="31"/>
      <c r="BF48" s="109">
        <f>SUMIF(Bill_Out!$Q$192:$Q$258,CONCATENATE($C48,$BR$3),Bill_Out!$N$192:$N$258)</f>
        <v>0</v>
      </c>
      <c r="BG48" s="109">
        <f>SUMIF(Bill_Out!$Q$192:$Q$258,CONCATENATE($C48,$BR$3),Bill_Out!$O$192:$O$258)</f>
        <v>0</v>
      </c>
      <c r="BH48" s="157"/>
      <c r="BI48" s="230">
        <f>SUMIF(Master_Data!$AK$4:$AK$145,CONCATENATE(C48,$BR$3),Master_Data!$R$4:$R$145)+SUMIF(Master_Data!$AK$152:$AK$864,CONCATENATE(C48,$BR$3),Master_Data!$R$152:$R$864)</f>
        <v>0</v>
      </c>
      <c r="BJ48" s="230">
        <f>SUMIF(Master_Data!$AK$4:$AK$145,CONCATENATE(C48,$BR$3),Master_Data!$Q$4:$Q$145)+SUMIF(Master_Data!$AK$152:$AK$864,CONCATENATE(C48,$BR$3),Master_Data!$Q$152:$Q$864)</f>
        <v>0</v>
      </c>
      <c r="BK48" s="230">
        <f>SUMIF(Master_Data!$AK$4:$AK$145,CONCATENATE(C48,$BR$3),Master_Data!$U$4:$U$145)+SUMIF(Master_Data!$AK$152:$AK$864,CONCATENATE(C48,$BR$3),Master_Data!$U$152:$U$864)</f>
        <v>0</v>
      </c>
      <c r="BL48" s="230">
        <f>SUMIF(Master_Data!$AK$4:$AK$145,CONCATENATE(C48,$BR$3),Master_Data!$S$4:$S$145)+SUMIF(Master_Data!$AK$152:$AK$864,CONCATENATE(C48,$BR$3),Master_Data!$S$152:$S$864)</f>
        <v>0</v>
      </c>
      <c r="BM48" s="39">
        <f>SUMIF(Master_Data!$AK$152:$AK$864,CONCATENATE($C48,BR$3),Master_Data!$T$152:$T$864)</f>
        <v>0</v>
      </c>
      <c r="BN48" s="230">
        <f t="shared" si="24"/>
        <v>0</v>
      </c>
      <c r="BO48" s="230">
        <f t="shared" ca="1" si="25"/>
        <v>0</v>
      </c>
      <c r="BP48" s="23"/>
      <c r="BQ48" s="909" t="str">
        <f t="shared" si="26"/>
        <v>PEMERINTAH KABUPATEN MALINAUAPR</v>
      </c>
      <c r="BR48" s="24"/>
      <c r="BS48" s="31"/>
      <c r="BT48" s="109">
        <f t="shared" si="78"/>
        <v>0</v>
      </c>
      <c r="BU48" s="109">
        <f t="shared" ca="1" si="79"/>
        <v>0</v>
      </c>
      <c r="BV48" s="31"/>
      <c r="BW48" s="109">
        <f>SUMIF(Bill_Out!$Q$263:$Q$314,CONCATENATE($C48,$CI$3),Bill_Out!$N$263:$N$314)</f>
        <v>0</v>
      </c>
      <c r="BX48" s="109">
        <f>SUMIF(Bill_Out!$Q$263:$Q$314,CONCATENATE($C48,$CI$3),Bill_Out!$O$263:$O$314)</f>
        <v>0</v>
      </c>
      <c r="BY48" s="157"/>
      <c r="BZ48" s="310">
        <f>SUMIF(Master_Data!$AK$4:$AK$145,CONCATENATE(C48,$CI$3),Master_Data!$R$4:$R$145)+SUMIF(Master_Data!$AK$152:$AK$864,CONCATENATE(C48,$CI$3),Master_Data!$R$152:$R$864)</f>
        <v>0</v>
      </c>
      <c r="CA48" s="310">
        <f>SUMIF(Master_Data!$AK$4:$AK$145,CONCATENATE(C48,$CI$3),Master_Data!$Q$4:$Q$145)+SUMIF(Master_Data!$AK$152:$AK$864,CONCATENATE(C48,$CI$3),Master_Data!$Q$152:$Q$864)</f>
        <v>0</v>
      </c>
      <c r="CB48" s="310">
        <f>SUMIF(Master_Data!$AK$4:$AK$145,CONCATENATE(C48,$CI$3),Master_Data!$U$4:$U$145)+SUMIF(Master_Data!$AK$152:$AK$864,CONCATENATE(C48,$CI$3),Master_Data!$U$152:$U$864)</f>
        <v>0</v>
      </c>
      <c r="CC48" s="230">
        <f>SUMIF(Master_Data!$AK$4:$AK$145,CONCATENATE(C48,$CI$3),Master_Data!$S$4:$S$145)+SUMIF(Master_Data!$AK$152:$AK$864,CONCATENATE(C48,$CI$3),Master_Data!$S$152:$S$864)</f>
        <v>0</v>
      </c>
      <c r="CD48" s="39">
        <f>SUMIF(Master_Data!$AK$152:$AK$864,CONCATENATE($C48,CI$3),Master_Data!$T$152:$T$864)</f>
        <v>0</v>
      </c>
      <c r="CE48" s="310">
        <f t="shared" si="27"/>
        <v>0</v>
      </c>
      <c r="CF48" s="230">
        <f t="shared" ca="1" si="28"/>
        <v>0</v>
      </c>
      <c r="CG48" s="23"/>
      <c r="CH48" s="235" t="str">
        <f t="shared" si="29"/>
        <v>PEMERINTAH KABUPATEN MALINAUMEI</v>
      </c>
      <c r="CI48" s="24"/>
      <c r="CJ48" s="31"/>
      <c r="CK48" s="109">
        <f t="shared" si="30"/>
        <v>0</v>
      </c>
      <c r="CL48" s="238">
        <f t="shared" ca="1" si="31"/>
        <v>0</v>
      </c>
      <c r="CM48" s="31"/>
      <c r="CN48" s="238">
        <f>SUMIF(Bill_Out!$Q$318:$Q$371,CONCATENATE($C48,$CZ$3),Bill_Out!$N$318:$N$371)</f>
        <v>0</v>
      </c>
      <c r="CO48" s="238">
        <f>SUMIF(Bill_Out!$Q$318:$Q$371,CONCATENATE($C48,$CZ$3),Bill_Out!$O$318:$O$371)</f>
        <v>0</v>
      </c>
      <c r="CP48" s="157"/>
      <c r="CQ48" s="230">
        <f>SUMIF(Master_Data!$AK$4:$AK$145,CONCATENATE($C48,$CZ$3),Master_Data!$R$4:$R$145)+SUMIF(Master_Data!$AK$152:$AK$864,CONCATENATE($C48,$CZ$3),Master_Data!$R$152:$R$864)</f>
        <v>0</v>
      </c>
      <c r="CR48" s="230">
        <f>SUMIF(Master_Data!$AK$4:$AK$145,CONCATENATE($C48,$CZ$3),Master_Data!$Q$4:$Q$145)+SUMIF(Master_Data!$AK$152:$AK$864,CONCATENATE($C48,$CZ$3),Master_Data!$Q$152:$Q$864)</f>
        <v>0</v>
      </c>
      <c r="CS48" s="230">
        <f>SUMIF(Master_Data!$AK$4:$AK$145,CONCATENATE($C48,$CZ$3),Master_Data!$U$4:$U$145)+SUMIF(Master_Data!$AK$152:$AK$864,CONCATENATE($C48,$CZ$3),Master_Data!$U$152:$U$864)</f>
        <v>0</v>
      </c>
      <c r="CT48" s="230">
        <f ca="1">SUMIF(Master_Data!$AK$4:$AK$145,CONCATENATE(C48,$CZ$3),Master_Data!$S$4:$S$145)+SUMIF(Master_Data!$AK$152:$AK$915,CONCATENATE(C48,$CZ$3),Master_Data!$S$152:$S$864)</f>
        <v>0</v>
      </c>
      <c r="CU48" s="1010">
        <f>SUMIF(Master_Data!$AK$4:$AK$145,CONCATENATE(C48,$CZ$3),Master_Data!$T$4:$T$145)+SUMIF(Master_Data!$AK$152:$AK$864,CONCATENATE(C48,$CZ$3),Master_Data!$T$152:$T$864)</f>
        <v>0</v>
      </c>
      <c r="CV48" s="230">
        <f t="shared" si="32"/>
        <v>0</v>
      </c>
      <c r="CW48" s="230">
        <f t="shared" ca="1" si="33"/>
        <v>0</v>
      </c>
      <c r="CX48" s="23"/>
      <c r="CY48" s="1007" t="str">
        <f t="shared" si="6"/>
        <v>PEMERINTAH KABUPATEN MALINAUJUN</v>
      </c>
      <c r="CZ48" s="24"/>
      <c r="DA48" s="31"/>
      <c r="DB48" s="109">
        <f t="shared" si="34"/>
        <v>0</v>
      </c>
      <c r="DC48" s="109">
        <f t="shared" ca="1" si="35"/>
        <v>0</v>
      </c>
      <c r="DD48" s="31"/>
      <c r="DE48" s="109">
        <f>SUMIF(Bill_Out!$Q$375:$Q$422,CONCATENATE($C48,$DQ$3),Bill_Out!$N$375:$N$422)</f>
        <v>0</v>
      </c>
      <c r="DF48" s="109">
        <f>SUMIF(Bill_Out!$Q$375:$Q$422,CONCATENATE($C48,$DQ$3),Bill_Out!$O$375:$O$422)</f>
        <v>0</v>
      </c>
      <c r="DG48" s="157"/>
      <c r="DH48" s="310">
        <f>SUMIF(Master_Data!$AK$4:$AK$145,CONCATENATE($C48,$DQ$3),Master_Data!$R$4:$R$145)+SUMIF(Master_Data!$AK$152:$AK$864,CONCATENATE($C48,$DQ$3),Master_Data!$R$152:$R$864)</f>
        <v>0</v>
      </c>
      <c r="DI48" s="310">
        <f>SUMIF(Master_Data!$AK$4:$AK$145,CONCATENATE($C48,$DQ$3),Master_Data!$Q$4:$Q$145)+SUMIF(Master_Data!$AK$152:$AK$864,CONCATENATE($C48,$DQ$3),Master_Data!$Q$152:$Q$864)</f>
        <v>0</v>
      </c>
      <c r="DJ48" s="310">
        <f>SUMIF(Master_Data!$AK$4:$AK$145,CONCATENATE($C48,$DQ$3),Master_Data!$U$4:$U$145)+SUMIF(Master_Data!$AK$152:$AK$864,CONCATENATE($C48,$DQ$3),Master_Data!$U$152:$U$864)</f>
        <v>0</v>
      </c>
      <c r="DK48" s="310">
        <f>SUMIF(Master_Data!$AK$4:$AK$145,CONCATENATE($C48,$DQ$3),Master_Data!$S$4:$S$145)+SUMIF(Master_Data!$AK$152:$AK$864,CONCATENATE($C48,$DQ$3),Master_Data!$S$152:$S$864)</f>
        <v>0</v>
      </c>
      <c r="DL48" s="39">
        <f>SUMIF(Master_Data!$AK$152:$AK$915,CONCATENATE($C48,DQ$3),Master_Data!$T$152:$T$915)</f>
        <v>0</v>
      </c>
      <c r="DM48" s="230">
        <f t="shared" si="67"/>
        <v>0</v>
      </c>
      <c r="DN48" s="230">
        <f t="shared" ca="1" si="68"/>
        <v>0</v>
      </c>
      <c r="DO48" s="23"/>
      <c r="DP48" s="358" t="str">
        <f t="shared" si="9"/>
        <v>PEMERINTAH KABUPATEN MALINAUJUL</v>
      </c>
      <c r="DQ48" s="24"/>
      <c r="DR48" s="392"/>
      <c r="DS48" s="109">
        <f t="shared" si="36"/>
        <v>0</v>
      </c>
      <c r="DT48" s="109">
        <f t="shared" ca="1" si="37"/>
        <v>0</v>
      </c>
      <c r="DU48" s="31"/>
      <c r="DV48" s="109">
        <f>SUMIF(Bill_Out!$Q$426:$Q$472,CONCATENATE($C48,$EH$3),Bill_Out!$N$426:$N$472)</f>
        <v>0</v>
      </c>
      <c r="DW48" s="109">
        <f>SUMIF(Bill_Out!$Q$426:$Q$472,CONCATENATE($C48,$EH$3),Bill_Out!$O$426:$O$472)</f>
        <v>0</v>
      </c>
      <c r="DX48" s="157"/>
      <c r="DY48" s="310">
        <f>SUMIF(Master_Data!$AK$4:$AK$145,CONCATENATE($C48,$EH$3),Master_Data!$R$4:$R$145)+SUMIF(Master_Data!$AK$152:$AK$864,CONCATENATE($C48,$EH$3),Master_Data!$R$152:$R$864)</f>
        <v>0</v>
      </c>
      <c r="DZ48" s="310">
        <f>SUMIF(Master_Data!$AK$4:$AK$145,CONCATENATE($C48,$EH$3),Master_Data!$Q$4:$Q$145)+SUMIF(Master_Data!$AK$152:$AK$864,CONCATENATE($C48,$EH$3),Master_Data!$Q$152:$Q$864)</f>
        <v>0</v>
      </c>
      <c r="EA48" s="310">
        <f>SUMIF(Master_Data!$AK$4:$AK$145,CONCATENATE($C48,$EH$3),Master_Data!$U$4:$U$145)+SUMIF(Master_Data!$AK$152:$AK$864,CONCATENATE($C48,$EH$3),Master_Data!$U$152:$U$864)</f>
        <v>0</v>
      </c>
      <c r="EB48" s="310">
        <f>SUMIF(Master_Data!$AK$4:$AK$145,CONCATENATE($C48,$EH$3),Master_Data!$S$4:$S$145)+SUMIF(Master_Data!$AK$152:$AK$864,CONCATENATE($C48,$EH$3),Master_Data!$S$152:$S$864)</f>
        <v>0</v>
      </c>
      <c r="EC48" s="39">
        <f>SUMIF(Master_Data!$AK$152:$AK$915,CONCATENATE($C48,EH$3),Master_Data!$T$152:$T$915)</f>
        <v>0</v>
      </c>
      <c r="ED48" s="310">
        <f t="shared" si="38"/>
        <v>0</v>
      </c>
      <c r="EE48" s="230">
        <f t="shared" ca="1" si="39"/>
        <v>0</v>
      </c>
      <c r="EF48" s="23"/>
      <c r="EG48" s="358" t="str">
        <f t="shared" si="10"/>
        <v>PEMERINTAH KABUPATEN MALINAUAGS</v>
      </c>
      <c r="EH48" s="24"/>
      <c r="EI48" s="392"/>
      <c r="EJ48" s="109">
        <f t="shared" si="47"/>
        <v>0</v>
      </c>
      <c r="EK48" s="109">
        <f t="shared" ca="1" si="48"/>
        <v>0</v>
      </c>
      <c r="EL48" s="84"/>
      <c r="EM48" s="109">
        <f>SUMIF(Bill_Out!$Q$476:$Q$530,CONCATENATE($C48,$EY$3),Bill_Out!$N$476:$N$530)</f>
        <v>0</v>
      </c>
      <c r="EN48" s="109">
        <f>SUMIF(Bill_Out!$Q$476:$Q$530,CONCATENATE($C48,$EY$3),Bill_Out!$O$476:$O$530)</f>
        <v>0</v>
      </c>
      <c r="EO48" s="309"/>
      <c r="EP48" s="310">
        <f>SUMIF(Master_Data!$AK$4:$AK$145,CONCATENATE($C48,$EY$3),Master_Data!$R$4:$R$145)+SUMIF(Master_Data!$AK$152:$AK$864,CONCATENATE($C48,$EY$3),Master_Data!$R$152:$R$864)</f>
        <v>0</v>
      </c>
      <c r="EQ48" s="310">
        <f>SUMIF(Master_Data!$AK$4:$AK$145,CONCATENATE($C48,$EY$3),Master_Data!$Q$4:$Q$145)+SUMIF(Master_Data!$AK$152:$AK$864,CONCATENATE($C48,$EY$3),Master_Data!$Q$152:$Q$864)</f>
        <v>0</v>
      </c>
      <c r="ER48" s="310">
        <f>SUMIF(Master_Data!$AK$4:$AK$145,CONCATENATE($C48,$EY$3),Master_Data!$U$4:$U$145)+SUMIF(Master_Data!$AK$152:$AK$864,CONCATENATE($C48,$EY$3),Master_Data!$U$152:$U$864)</f>
        <v>0</v>
      </c>
      <c r="ES48" s="310">
        <f>SUMIF(Master_Data!$AK$4:$AK$145,CONCATENATE($C48,$EY$3),Master_Data!$S$4:$S$145)+SUMIF(Master_Data!$AK$152:$AK$864,CONCATENATE($C48,$EY$3),Master_Data!$S$152:$S$864)</f>
        <v>0</v>
      </c>
      <c r="ET48" s="39">
        <f>SUMIF(Master_Data!$AK$152:$AK$915,CONCATENATE($C48,EY$3),Master_Data!$T$152:$T$915)</f>
        <v>0</v>
      </c>
      <c r="EU48" s="310">
        <f t="shared" si="49"/>
        <v>0</v>
      </c>
      <c r="EV48" s="230"/>
      <c r="EW48" s="84"/>
      <c r="EX48" s="358" t="str">
        <f t="shared" si="11"/>
        <v>PEMERINTAH KABUPATEN MALINAUSEP</v>
      </c>
      <c r="EY48" s="24"/>
      <c r="EZ48" s="415"/>
      <c r="FA48" s="109">
        <f>EU48</f>
        <v>0</v>
      </c>
      <c r="FB48" s="109">
        <f t="shared" si="89"/>
        <v>0</v>
      </c>
      <c r="FC48" s="420"/>
      <c r="FD48" s="109">
        <f>SUMIF(Bill_Out!$Q$534:$Q$606,CONCATENATE($C48,$FP$3),Bill_Out!$N$534:$N$606)</f>
        <v>0</v>
      </c>
      <c r="FE48" s="109">
        <f>SUMIF(Bill_Out!$Q$534:$Q$606,CONCATENATE($C48,$FP$3),Bill_Out!$O$534:$O$606)</f>
        <v>0</v>
      </c>
      <c r="FF48" s="157"/>
      <c r="FG48" s="310">
        <f>SUMIF(Master_Data!$AK$4:$AK$145,CONCATENATE($C48,$FP$3),Master_Data!$R$4:$R$145)+SUMIF(Master_Data!$AK$152:$AK$864,CONCATENATE($C48,$FP$3),Master_Data!$R$152:$R$864)</f>
        <v>0</v>
      </c>
      <c r="FH48" s="310">
        <f>SUMIF(Master_Data!$AK$4:$AK$145,CONCATENATE($C48,$FP$3),Master_Data!$Q$4:$Q$145)+SUMIF(Master_Data!$AK$152:$AK$864,CONCATENATE($C48,$FP$3),Master_Data!$Q$152:$Q$864)</f>
        <v>0</v>
      </c>
      <c r="FI48" s="310">
        <f>SUMIF(Master_Data!$AK$4:$AK$145,CONCATENATE($C48,$FP$3),Master_Data!$U$4:$U$145)+SUMIF(Master_Data!$AK$152:$AK$864,CONCATENATE($C48,$FP$3),Master_Data!$U$152:$U$864)</f>
        <v>0</v>
      </c>
      <c r="FJ48" s="310">
        <f>SUMIF(Master_Data!$AK$4:$AK$145,CONCATENATE($C48,$FP$3),Master_Data!$S$4:$S$145)+SUMIF(Master_Data!$AK$152:$AK$864,CONCATENATE($C48,$FP$3),Master_Data!$S$152:$S$864)</f>
        <v>0</v>
      </c>
      <c r="FK48" s="39">
        <f>SUMIF(Master_Data!$AK$152:$AK$915,CONCATENATE($C48,FP$3),Master_Data!$T$152:$T$915)</f>
        <v>0</v>
      </c>
      <c r="FL48" s="230">
        <f t="shared" si="90"/>
        <v>0</v>
      </c>
      <c r="FM48" s="230">
        <f t="shared" si="12"/>
        <v>0</v>
      </c>
      <c r="FN48" s="23"/>
      <c r="FO48" s="358" t="str">
        <f t="shared" si="80"/>
        <v>PEMERINTAH KABUPATEN MALINAUOKT</v>
      </c>
      <c r="FP48" s="24"/>
      <c r="FQ48" s="415"/>
      <c r="FR48" s="109">
        <f t="shared" si="91"/>
        <v>0</v>
      </c>
      <c r="FS48" s="109">
        <f t="shared" si="92"/>
        <v>0</v>
      </c>
      <c r="FT48" s="420"/>
      <c r="FU48" s="109">
        <f>SUMIF(Bill_Out!$Q$610:$Q$675,CONCATENATE($C48,$GG$3),Bill_Out!$N$610:$N$675)</f>
        <v>0</v>
      </c>
      <c r="FV48" s="109">
        <f>SUMIF(Bill_Out!$Q$610:$Q$675,CONCATENATE($C48,$GG$3),Bill_Out!$O$610:$O$675)</f>
        <v>0</v>
      </c>
      <c r="FW48" s="157"/>
      <c r="FX48" s="512">
        <f>SUMIF(Master_Data!$AK$4:$AK$145,CONCATENATE($C48,$GG$3),Master_Data!$R$4:$R$145)+SUMIF(Master_Data!$AK$152:$AK$864,CONCATENATE($C48,$GG$3),Master_Data!$R$152:$R$864)</f>
        <v>0</v>
      </c>
      <c r="FY48" s="512">
        <f>SUMIF(Master_Data!$AK$4:$AK$145,CONCATENATE($C48,$GG$3),Master_Data!$Q$4:$Q$145)+SUMIF(Master_Data!$AK$152:$AK$864,CONCATENATE($C48,$GG$3),Master_Data!$Q$152:$Q$864)</f>
        <v>0</v>
      </c>
      <c r="FZ48" s="512">
        <f>SUMIF(Master_Data!$AK$4:$AK$145,CONCATENATE($C48,$GG$3),Master_Data!$U$4:$U$145)+SUMIF(Master_Data!$AK$152:$AK$864,CONCATENATE($C48,$GG$3),Master_Data!$U$152:$U$864)</f>
        <v>0</v>
      </c>
      <c r="GA48" s="310">
        <f>SUMIF(Master_Data!$AK$4:$AK$145,CONCATENATE($C48,$GG$3),Master_Data!$S$4:$S$145)+SUMIF(Master_Data!$AK$152:$AK$864,CONCATENATE($C48,$GG$3),Master_Data!$S$152:$S$864)</f>
        <v>0</v>
      </c>
      <c r="GB48" s="39">
        <f>SUMIF(Master_Data!$AK$152:$AK$915,CONCATENATE($C48,GG$3),Master_Data!$T$152:$T$915)</f>
        <v>0</v>
      </c>
      <c r="GC48" s="230">
        <f t="shared" si="93"/>
        <v>0</v>
      </c>
      <c r="GD48" s="230">
        <f t="shared" si="14"/>
        <v>0</v>
      </c>
      <c r="GE48" s="23"/>
      <c r="GF48" s="358" t="str">
        <f t="shared" si="81"/>
        <v>PEMERINTAH KABUPATEN MALINAUNOV</v>
      </c>
      <c r="GG48" s="24"/>
      <c r="GH48" s="415"/>
      <c r="GI48" s="109">
        <f t="shared" si="70"/>
        <v>0</v>
      </c>
      <c r="GJ48" s="109">
        <f t="shared" si="71"/>
        <v>0</v>
      </c>
      <c r="GK48" s="423"/>
      <c r="GL48" s="109">
        <f>SUMIF(Bill_Out!$Q$679:$Q$756,CONCATENATE($C48,$GX$3),Bill_Out!$N$679:$N$756)</f>
        <v>0</v>
      </c>
      <c r="GM48" s="109">
        <f>SUMIF(Bill_Out!$Q$679:$Q$756,CONCATENATE($C48,$GX$3),Bill_Out!$O$679:$O$756)</f>
        <v>0</v>
      </c>
      <c r="GN48" s="157"/>
      <c r="GO48" s="512">
        <f>SUMIF(Master_Data!$AK$4:$AK$145,CONCATENATE($C48,$GX$3),Master_Data!$R$4:$R$145)+SUMIF(Master_Data!$AK$152:$AK$864,CONCATENATE($C48,$GX$3),Master_Data!$R$152:$R$864)</f>
        <v>0</v>
      </c>
      <c r="GP48" s="512">
        <f>SUMIF(Master_Data!$AK$4:$AK$145,CONCATENATE($C48,$GX$3),Master_Data!$Q$4:$Q$145)+SUMIF(Master_Data!$AK$152:$AK$864,CONCATENATE($C48,$GX$3),Master_Data!$Q$152:$Q$864)</f>
        <v>0</v>
      </c>
      <c r="GQ48" s="512">
        <f>SUMIF(Master_Data!$AK$4:$AK$145,CONCATENATE($C48,$GX$3),Master_Data!$U$4:$U$145)+SUMIF(Master_Data!$AK$152:$AK$864,CONCATENATE($C48,$GX$3),Master_Data!$U$152:$U$864)</f>
        <v>0</v>
      </c>
      <c r="GR48" s="310">
        <f>SUMIF(Master_Data!$AK$4:$AK$145,CONCATENATE($C48,$GX$3),Master_Data!$S$4:$S$145)+SUMIF(Master_Data!$AK$152:$AK$864,CONCATENATE($C48,$GX$3),Master_Data!$S$152:$S$864)</f>
        <v>0</v>
      </c>
      <c r="GS48" s="39">
        <f>SUMIF(Master_Data!$AK$152:$AK$864,CONCATENATE($C48,GX$3),Master_Data!$T$152:$T$864)</f>
        <v>0</v>
      </c>
      <c r="GT48" s="534">
        <f t="shared" si="44"/>
        <v>0</v>
      </c>
      <c r="GU48" s="310">
        <f t="shared" si="16"/>
        <v>0</v>
      </c>
      <c r="GV48" s="23"/>
      <c r="GW48" s="358" t="str">
        <f t="shared" si="87"/>
        <v>PEMERINTAH KABUPATEN MALINAUDES</v>
      </c>
      <c r="GX48" s="24"/>
    </row>
    <row r="49" spans="1:206" s="19" customFormat="1">
      <c r="A49" s="328" t="s">
        <v>231</v>
      </c>
      <c r="B49" s="236" t="str">
        <f t="shared" si="18"/>
        <v>PEMERINTAH KABUPATEN PASANG KAYUJAN</v>
      </c>
      <c r="C49" s="8" t="s">
        <v>760</v>
      </c>
      <c r="D49" s="23"/>
      <c r="E49" s="109">
        <f>SUMIF(Master_Data!$D40:$D$145,CONCATENATE(C49),Master_Data!M40:M865)</f>
        <v>0</v>
      </c>
      <c r="F49" s="109">
        <f>SUMIF(Master_Data!$D46:$D$145,CONCATENATE(C49),Master_Data!N46:N236)</f>
        <v>0</v>
      </c>
      <c r="G49" s="31"/>
      <c r="H49" s="109">
        <f>SUMIF(Bill_Out!$Q$3:$Q$65,CONCATENATE($C49,$S$3),Bill_Out!$N$3:$N$65)</f>
        <v>0</v>
      </c>
      <c r="I49" s="88">
        <f>SUMIF(Bill_Out!$Q$3:$Q$65,CONCATENATE($C49,$S$3),Bill_Out!$O$3:$O$65)</f>
        <v>0</v>
      </c>
      <c r="J49" s="157"/>
      <c r="K49" s="29"/>
      <c r="L49" s="44"/>
      <c r="M49" s="230">
        <f>SUMIF(Master_Data!$AK45:$AK$145,CONCATENATE(C49,$S$3),Master_Data!U45:U322)+SUMIF(Master_Data!$AK361:$AK$864,CONCATENATE(C49,$S$3),Master_Data!U361:U1144)</f>
        <v>0</v>
      </c>
      <c r="N49" s="310">
        <f>SUMIF(Master_Data!$AK$4:$AK$145,CONCATENATE(C49,$S$3),Master_Data!$S$4:$S$145)+SUMIF(Master_Data!$AK$150:$AK$864,CONCATENATE(C49,$S$3),Master_Data!$S$150:$S$864)</f>
        <v>0</v>
      </c>
      <c r="O49" s="310">
        <f>SUMIF(Master_Data!$AK$4:$AK$145,CONCATENATE(C49,$S$3),Master_Data!$T$4:$T$145)+SUMIF(Master_Data!$AK$150:$AK$864,CONCATENATE(C49,$S$3),Master_Data!$T$150:$T$864)</f>
        <v>0</v>
      </c>
      <c r="P49" s="230">
        <f t="shared" si="19"/>
        <v>0</v>
      </c>
      <c r="Q49" s="230">
        <f t="shared" si="20"/>
        <v>0</v>
      </c>
      <c r="R49" s="23"/>
      <c r="S49" s="24"/>
      <c r="T49" s="31"/>
      <c r="U49" s="109">
        <f t="shared" si="94"/>
        <v>0</v>
      </c>
      <c r="V49" s="109">
        <f t="shared" si="95"/>
        <v>0</v>
      </c>
      <c r="W49" s="31"/>
      <c r="X49" s="109">
        <f>SUMIF(Bill_Out!$Q$67:$Q$132,CONCATENATE($C49,$AJ$3),Bill_Out!$N$67:$N$132)</f>
        <v>0</v>
      </c>
      <c r="Y49" s="109">
        <f>SUMIF(Bill_Out!$Q$67:$Q$132,CONCATENATE($C49,$AJ$3),Bill_Out!$O$67:$O$132)</f>
        <v>0</v>
      </c>
      <c r="Z49" s="157"/>
      <c r="AA49" s="230">
        <f>SUMIF(Master_Data!$AK$4:$AK$145,CONCATENATE(C49,$AJ$3),Master_Data!$R$4:$R$145)+SUMIF(Master_Data!$AK$152:$AK$850,CONCATENATE(C49,$AJ$3),Master_Data!$R$152:$R$850)</f>
        <v>0</v>
      </c>
      <c r="AB49" s="230">
        <f>SUMIF(Master_Data!$AK$4:$AK$145,CONCATENATE(C49,$AJ$3),Master_Data!$Q$4:$Q$145)+SUMIF(Master_Data!$AK$152:$AK$850,CONCATENATE(C49,$AJ$3),Master_Data!$Q$152:$Q$850)</f>
        <v>0</v>
      </c>
      <c r="AC49" s="230">
        <f>SUMIF(Master_Data!$AK$4:$AK$145,CONCATENATE(C49,$AJ$3),Master_Data!$U$4:$U$145)+SUMIF(Master_Data!$AK$152:$AK$850,CONCATENATE(C49,$AJ$3),Master_Data!$U$152:$U$850)</f>
        <v>0</v>
      </c>
      <c r="AD49" s="310">
        <f ca="1">SUMIF(Master_Data!$AK$4:$AK$145,CONCATENATE(C49,$AJ$3),Master_Data!$S$4:$S$145)+SUMIF(Master_Data!$AK$152:$AK$864,CONCATENATE(C49,$AJ$3),Master_Data!$S$152:$S$850)</f>
        <v>0</v>
      </c>
      <c r="AE49" s="310">
        <f>SUMIF(Master_Data!$AK$4:$AK$145,CONCATENATE(C49,$AJ$3),Master_Data!$T$4:$T$145)+SUMIF(Master_Data!$AK$152:$AK$864,CONCATENATE(C49,$AJ$3),Master_Data!$T$152:$T$864)</f>
        <v>0</v>
      </c>
      <c r="AF49" s="230">
        <f t="shared" si="63"/>
        <v>0</v>
      </c>
      <c r="AG49" s="230">
        <f t="shared" ca="1" si="64"/>
        <v>0</v>
      </c>
      <c r="AH49" s="23"/>
      <c r="AI49" s="235" t="str">
        <f t="shared" si="86"/>
        <v>PEMERINTAH KABUPATEN PASANG KAYUFEB</v>
      </c>
      <c r="AJ49" s="24"/>
      <c r="AK49" s="31"/>
      <c r="AL49" s="109">
        <f t="shared" si="65"/>
        <v>0</v>
      </c>
      <c r="AM49" s="109">
        <f t="shared" ca="1" si="66"/>
        <v>0</v>
      </c>
      <c r="AN49" s="31"/>
      <c r="AO49" s="109">
        <f>SUMIF(Bill_Out!$Q$134:$Q$188,CONCATENATE($C49,$BA$3),Bill_Out!$N$134:$N$188)</f>
        <v>0</v>
      </c>
      <c r="AP49" s="109">
        <f>SUMIF(Bill_Out!$Q$134:$Q$188,CONCATENATE($C49,$BA$3),Bill_Out!$O$134:$O$188)</f>
        <v>0</v>
      </c>
      <c r="AQ49" s="157"/>
      <c r="AR49" s="230">
        <f>SUMIF(Master_Data!$AK$4:$AK$145,CONCATENATE(C49,$BA$3),Master_Data!$R$4:$R$145)+SUMIF(Master_Data!$AK$152:$AK$864,CONCATENATE(C49,$BA$3),Master_Data!$R$152:$R$864)</f>
        <v>0</v>
      </c>
      <c r="AS49" s="230">
        <f>SUMIF(Master_Data!$AK$4:$AK$145,CONCATENATE(C49,$BA$3),Master_Data!$Q$4:$Q$145)+SUMIF(Master_Data!$AK$152:$AK$864,CONCATENATE(C49,$BA$3),Master_Data!$Q$152:$Q$864)</f>
        <v>0</v>
      </c>
      <c r="AT49" s="230">
        <f>SUMIF(Master_Data!$AK$4:$AK$145,CONCATENATE(C49,$BA$3),Master_Data!$U$4:$U$145)+SUMIF(Master_Data!$AK$152:$AK$864,CONCATENATE(C49,$BA$3),Master_Data!$U$152:$U$864)</f>
        <v>0</v>
      </c>
      <c r="AU49" s="230">
        <f ca="1">SUMIF(Master_Data!$AK$4:$AK$145,CONCATENATE(C49,$BA$3),Master_Data!$S$4:$S$145)+SUMIF(Master_Data!$AK$152:$AK$864,CONCATENATE(C49,$BA$3),Master_Data!$S$152:$S$850)</f>
        <v>0</v>
      </c>
      <c r="AV49" s="39">
        <f>SUMIF(Master_Data!$AK$152:$AK$864,CONCATENATE($C49,BA$3),Master_Data!$T$152:$T$864)</f>
        <v>0</v>
      </c>
      <c r="AW49" s="230">
        <f t="shared" si="57"/>
        <v>0</v>
      </c>
      <c r="AX49" s="230">
        <f t="shared" ca="1" si="58"/>
        <v>0</v>
      </c>
      <c r="AY49" s="23"/>
      <c r="AZ49" s="235" t="str">
        <f t="shared" si="21"/>
        <v>PEMERINTAH KABUPATEN PASANG KAYUMAR</v>
      </c>
      <c r="BA49" s="24"/>
      <c r="BB49" s="31"/>
      <c r="BC49" s="109">
        <f t="shared" si="22"/>
        <v>0</v>
      </c>
      <c r="BD49" s="109">
        <f t="shared" ca="1" si="23"/>
        <v>0</v>
      </c>
      <c r="BE49" s="31"/>
      <c r="BF49" s="109">
        <f>SUMIF(Bill_Out!$Q$192:$Q$258,CONCATENATE($C49,$BR$3),Bill_Out!$N$192:$N$258)</f>
        <v>0</v>
      </c>
      <c r="BG49" s="109">
        <f>SUMIF(Bill_Out!$Q$192:$Q$258,CONCATENATE($C49,$BR$3),Bill_Out!$O$192:$O$258)</f>
        <v>0</v>
      </c>
      <c r="BH49" s="157"/>
      <c r="BI49" s="230">
        <f>SUMIF(Master_Data!$AK$4:$AK$145,CONCATENATE(C49,$BR$3),Master_Data!$R$4:$R$145)+SUMIF(Master_Data!$AK$152:$AK$864,CONCATENATE(C49,$BR$3),Master_Data!$R$152:$R$864)</f>
        <v>0</v>
      </c>
      <c r="BJ49" s="230">
        <f>SUMIF(Master_Data!$AK$4:$AK$145,CONCATENATE(C49,$BR$3),Master_Data!$Q$4:$Q$145)+SUMIF(Master_Data!$AK$152:$AK$864,CONCATENATE(C49,$BR$3),Master_Data!$Q$152:$Q$864)</f>
        <v>0</v>
      </c>
      <c r="BK49" s="230">
        <f>SUMIF(Master_Data!$AK$4:$AK$145,CONCATENATE(C49,$BR$3),Master_Data!$U$4:$U$145)+SUMIF(Master_Data!$AK$152:$AK$864,CONCATENATE(C49,$BR$3),Master_Data!$U$152:$U$864)</f>
        <v>0</v>
      </c>
      <c r="BL49" s="230">
        <f>SUMIF(Master_Data!$AK$4:$AK$145,CONCATENATE(C49,$BR$3),Master_Data!$S$4:$S$145)+SUMIF(Master_Data!$AK$152:$AK$864,CONCATENATE(C49,$BR$3),Master_Data!$S$152:$S$864)</f>
        <v>0</v>
      </c>
      <c r="BM49" s="39">
        <f>SUMIF(Master_Data!$AK$152:$AK$864,CONCATENATE($C49,BR$3),Master_Data!$T$152:$T$864)</f>
        <v>0</v>
      </c>
      <c r="BN49" s="230">
        <f t="shared" si="24"/>
        <v>0</v>
      </c>
      <c r="BO49" s="230">
        <f t="shared" ca="1" si="25"/>
        <v>0</v>
      </c>
      <c r="BP49" s="23"/>
      <c r="BQ49" s="909" t="str">
        <f t="shared" si="26"/>
        <v>PEMERINTAH KABUPATEN PASANG KAYUAPR</v>
      </c>
      <c r="BR49" s="24"/>
      <c r="BS49" s="31"/>
      <c r="BT49" s="109">
        <f t="shared" si="78"/>
        <v>0</v>
      </c>
      <c r="BU49" s="109">
        <f t="shared" ca="1" si="79"/>
        <v>0</v>
      </c>
      <c r="BV49" s="31"/>
      <c r="BW49" s="109">
        <f>SUMIF(Bill_Out!$Q$263:$Q$314,CONCATENATE($C49,$CI$3),Bill_Out!$N$263:$N$314)</f>
        <v>0</v>
      </c>
      <c r="BX49" s="109">
        <f>SUMIF(Bill_Out!$Q$263:$Q$314,CONCATENATE($C49,$CI$3),Bill_Out!$O$263:$O$314)</f>
        <v>0</v>
      </c>
      <c r="BY49" s="157"/>
      <c r="BZ49" s="310">
        <f>SUMIF(Master_Data!$AK$4:$AK$145,CONCATENATE(C49,$CI$3),Master_Data!$R$4:$R$145)+SUMIF(Master_Data!$AK$152:$AK$864,CONCATENATE(C49,$CI$3),Master_Data!$R$152:$R$864)</f>
        <v>0</v>
      </c>
      <c r="CA49" s="310">
        <f>SUMIF(Master_Data!$AK$4:$AK$145,CONCATENATE(C49,$CI$3),Master_Data!$Q$4:$Q$145)+SUMIF(Master_Data!$AK$152:$AK$864,CONCATENATE(C49,$CI$3),Master_Data!$Q$152:$Q$864)</f>
        <v>0</v>
      </c>
      <c r="CB49" s="310">
        <f>SUMIF(Master_Data!$AK$4:$AK$145,CONCATENATE(C49,$CI$3),Master_Data!$U$4:$U$145)+SUMIF(Master_Data!$AK$152:$AK$864,CONCATENATE(C49,$CI$3),Master_Data!$U$152:$U$864)</f>
        <v>0</v>
      </c>
      <c r="CC49" s="230">
        <f>SUMIF(Master_Data!$AK$4:$AK$145,CONCATENATE(C49,$CI$3),Master_Data!$S$4:$S$145)+SUMIF(Master_Data!$AK$152:$AK$864,CONCATENATE(C49,$CI$3),Master_Data!$S$152:$S$864)</f>
        <v>0</v>
      </c>
      <c r="CD49" s="39">
        <f>SUMIF(Master_Data!$AK$152:$AK$864,CONCATENATE($C49,CI$3),Master_Data!$T$152:$T$864)</f>
        <v>0</v>
      </c>
      <c r="CE49" s="310">
        <f t="shared" si="27"/>
        <v>0</v>
      </c>
      <c r="CF49" s="230">
        <f t="shared" ca="1" si="28"/>
        <v>0</v>
      </c>
      <c r="CG49" s="23"/>
      <c r="CH49" s="235" t="str">
        <f t="shared" si="29"/>
        <v>PEMERINTAH KABUPATEN PASANG KAYUMEI</v>
      </c>
      <c r="CI49" s="24"/>
      <c r="CJ49" s="31"/>
      <c r="CK49" s="109">
        <f t="shared" si="30"/>
        <v>0</v>
      </c>
      <c r="CL49" s="238">
        <f t="shared" ca="1" si="31"/>
        <v>0</v>
      </c>
      <c r="CM49" s="31"/>
      <c r="CN49" s="238">
        <f>SUMIF(Bill_Out!$Q$318:$Q$371,CONCATENATE($C49,$CZ$3),Bill_Out!$N$318:$N$371)</f>
        <v>0</v>
      </c>
      <c r="CO49" s="238">
        <f>SUMIF(Bill_Out!$Q$318:$Q$371,CONCATENATE($C49,$CZ$3),Bill_Out!$O$318:$O$371)</f>
        <v>0</v>
      </c>
      <c r="CP49" s="157"/>
      <c r="CQ49" s="230">
        <f>SUMIF(Master_Data!$AK$4:$AK$145,CONCATENATE($C49,$CZ$3),Master_Data!$R$4:$R$145)+SUMIF(Master_Data!$AK$152:$AK$864,CONCATENATE($C49,$CZ$3),Master_Data!$R$152:$R$864)</f>
        <v>0</v>
      </c>
      <c r="CR49" s="230">
        <f>SUMIF(Master_Data!$AK$4:$AK$145,CONCATENATE($C49,$CZ$3),Master_Data!$Q$4:$Q$145)+SUMIF(Master_Data!$AK$152:$AK$864,CONCATENATE($C49,$CZ$3),Master_Data!$Q$152:$Q$864)</f>
        <v>0</v>
      </c>
      <c r="CS49" s="230">
        <f>SUMIF(Master_Data!$AK$4:$AK$145,CONCATENATE($C49,$CZ$3),Master_Data!$U$4:$U$145)+SUMIF(Master_Data!$AK$152:$AK$864,CONCATENATE($C49,$CZ$3),Master_Data!$U$152:$U$864)</f>
        <v>0</v>
      </c>
      <c r="CT49" s="230">
        <f ca="1">SUMIF(Master_Data!$AK$4:$AK$145,CONCATENATE(C49,$CZ$3),Master_Data!$S$4:$S$145)+SUMIF(Master_Data!$AK$152:$AK$915,CONCATENATE(C49,$CZ$3),Master_Data!$S$152:$S$864)</f>
        <v>0</v>
      </c>
      <c r="CU49" s="1010">
        <f>SUMIF(Master_Data!$AK$4:$AK$145,CONCATENATE(C49,$CZ$3),Master_Data!$T$4:$T$145)+SUMIF(Master_Data!$AK$152:$AK$864,CONCATENATE(C49,$CZ$3),Master_Data!$T$152:$T$864)</f>
        <v>0</v>
      </c>
      <c r="CV49" s="230">
        <f t="shared" si="32"/>
        <v>0</v>
      </c>
      <c r="CW49" s="230">
        <f t="shared" ca="1" si="33"/>
        <v>0</v>
      </c>
      <c r="CX49" s="23"/>
      <c r="CY49" s="1007" t="str">
        <f t="shared" si="6"/>
        <v>PEMERINTAH KABUPATEN PASANG KAYUJUN</v>
      </c>
      <c r="CZ49" s="24"/>
      <c r="DA49" s="31"/>
      <c r="DB49" s="109">
        <f t="shared" si="34"/>
        <v>0</v>
      </c>
      <c r="DC49" s="109">
        <f t="shared" ca="1" si="35"/>
        <v>0</v>
      </c>
      <c r="DD49" s="31"/>
      <c r="DE49" s="109">
        <f>SUMIF(Bill_Out!$Q$375:$Q$422,CONCATENATE($C49,$DQ$3),Bill_Out!$N$375:$N$422)</f>
        <v>0</v>
      </c>
      <c r="DF49" s="109">
        <f>SUMIF(Bill_Out!$Q$375:$Q$422,CONCATENATE($C49,$DQ$3),Bill_Out!$O$375:$O$422)</f>
        <v>0</v>
      </c>
      <c r="DG49" s="157"/>
      <c r="DH49" s="310">
        <f>SUMIF(Master_Data!$AK$4:$AK$145,CONCATENATE($C49,$DQ$3),Master_Data!$R$4:$R$145)+SUMIF(Master_Data!$AK$152:$AK$864,CONCATENATE($C49,$DQ$3),Master_Data!$R$152:$R$864)</f>
        <v>0</v>
      </c>
      <c r="DI49" s="310">
        <f>SUMIF(Master_Data!$AK$4:$AK$145,CONCATENATE($C49,$DQ$3),Master_Data!$Q$4:$Q$145)+SUMIF(Master_Data!$AK$152:$AK$864,CONCATENATE($C49,$DQ$3),Master_Data!$Q$152:$Q$864)</f>
        <v>0</v>
      </c>
      <c r="DJ49" s="310">
        <f>SUMIF(Master_Data!$AK$4:$AK$145,CONCATENATE($C49,$DQ$3),Master_Data!$U$4:$U$145)+SUMIF(Master_Data!$AK$152:$AK$864,CONCATENATE($C49,$DQ$3),Master_Data!$U$152:$U$864)</f>
        <v>0</v>
      </c>
      <c r="DK49" s="310">
        <f>SUMIF(Master_Data!$AK$4:$AK$145,CONCATENATE($C49,$DQ$3),Master_Data!$S$4:$S$145)+SUMIF(Master_Data!$AK$152:$AK$864,CONCATENATE($C49,$DQ$3),Master_Data!$S$152:$S$864)</f>
        <v>0</v>
      </c>
      <c r="DL49" s="39">
        <f>SUMIF(Master_Data!$AK$152:$AK$915,CONCATENATE($C49,DQ$3),Master_Data!$T$152:$T$915)</f>
        <v>0</v>
      </c>
      <c r="DM49" s="230">
        <f t="shared" si="67"/>
        <v>0</v>
      </c>
      <c r="DN49" s="230">
        <f t="shared" ca="1" si="68"/>
        <v>0</v>
      </c>
      <c r="DO49" s="23"/>
      <c r="DP49" s="358" t="str">
        <f t="shared" si="9"/>
        <v>PEMERINTAH KABUPATEN PASANG KAYUJUL</v>
      </c>
      <c r="DQ49" s="24"/>
      <c r="DR49" s="392"/>
      <c r="DS49" s="109">
        <f t="shared" si="36"/>
        <v>0</v>
      </c>
      <c r="DT49" s="109">
        <f t="shared" ca="1" si="37"/>
        <v>0</v>
      </c>
      <c r="DU49" s="31"/>
      <c r="DV49" s="109">
        <f>SUMIF(Bill_Out!$Q$426:$Q$472,CONCATENATE($C49,$EH$3),Bill_Out!$N$426:$N$472)</f>
        <v>0</v>
      </c>
      <c r="DW49" s="109">
        <f>SUMIF(Bill_Out!$Q$426:$Q$472,CONCATENATE($C49,$EH$3),Bill_Out!$O$426:$O$472)</f>
        <v>0</v>
      </c>
      <c r="DX49" s="157"/>
      <c r="DY49" s="310">
        <f>SUMIF(Master_Data!$AK$4:$AK$145,CONCATENATE($C49,$EH$3),Master_Data!$R$4:$R$145)+SUMIF(Master_Data!$AK$152:$AK$864,CONCATENATE($C49,$EH$3),Master_Data!$R$152:$R$864)</f>
        <v>0</v>
      </c>
      <c r="DZ49" s="310">
        <f>SUMIF(Master_Data!$AK$4:$AK$145,CONCATENATE($C49,$EH$3),Master_Data!$Q$4:$Q$145)+SUMIF(Master_Data!$AK$152:$AK$864,CONCATENATE($C49,$EH$3),Master_Data!$Q$152:$Q$864)</f>
        <v>0</v>
      </c>
      <c r="EA49" s="310">
        <f>SUMIF(Master_Data!$AK$4:$AK$145,CONCATENATE($C49,$EH$3),Master_Data!$U$4:$U$145)+SUMIF(Master_Data!$AK$152:$AK$864,CONCATENATE($C49,$EH$3),Master_Data!$U$152:$U$864)</f>
        <v>0</v>
      </c>
      <c r="EB49" s="310">
        <f>SUMIF(Master_Data!$AK$4:$AK$145,CONCATENATE($C49,$EH$3),Master_Data!$S$4:$S$145)+SUMIF(Master_Data!$AK$152:$AK$864,CONCATENATE($C49,$EH$3),Master_Data!$S$152:$S$864)</f>
        <v>0</v>
      </c>
      <c r="EC49" s="39">
        <f>SUMIF(Master_Data!$AK$152:$AK$915,CONCATENATE($C49,EH$3),Master_Data!$T$152:$T$915)</f>
        <v>0</v>
      </c>
      <c r="ED49" s="310">
        <f t="shared" si="38"/>
        <v>0</v>
      </c>
      <c r="EE49" s="230">
        <f t="shared" ca="1" si="39"/>
        <v>0</v>
      </c>
      <c r="EF49" s="23"/>
      <c r="EG49" s="358" t="str">
        <f t="shared" si="10"/>
        <v>PEMERINTAH KABUPATEN PASANG KAYUAGS</v>
      </c>
      <c r="EH49" s="24"/>
      <c r="EI49" s="392"/>
      <c r="EJ49" s="109">
        <f t="shared" si="47"/>
        <v>0</v>
      </c>
      <c r="EK49" s="109">
        <f t="shared" ca="1" si="48"/>
        <v>0</v>
      </c>
      <c r="EL49" s="84"/>
      <c r="EM49" s="109">
        <f>SUMIF(Bill_Out!$Q$476:$Q$530,CONCATENATE($C49,$EY$3),Bill_Out!$N$476:$N$530)</f>
        <v>0</v>
      </c>
      <c r="EN49" s="109">
        <f>SUMIF(Bill_Out!$Q$476:$Q$530,CONCATENATE($C49,$EY$3),Bill_Out!$O$476:$O$530)</f>
        <v>0</v>
      </c>
      <c r="EO49" s="309"/>
      <c r="EP49" s="310">
        <f>SUMIF(Master_Data!$AK$4:$AK$145,CONCATENATE($C49,$EY$3),Master_Data!$R$4:$R$145)+SUMIF(Master_Data!$AK$152:$AK$864,CONCATENATE($C49,$EY$3),Master_Data!$R$152:$R$864)</f>
        <v>0</v>
      </c>
      <c r="EQ49" s="310">
        <f>SUMIF(Master_Data!$AK$4:$AK$145,CONCATENATE($C49,$EY$3),Master_Data!$Q$4:$Q$145)+SUMIF(Master_Data!$AK$152:$AK$864,CONCATENATE($C49,$EY$3),Master_Data!$Q$152:$Q$864)</f>
        <v>0</v>
      </c>
      <c r="ER49" s="310">
        <f>SUMIF(Master_Data!$AK$4:$AK$145,CONCATENATE($C49,$EY$3),Master_Data!$U$4:$U$145)+SUMIF(Master_Data!$AK$152:$AK$864,CONCATENATE($C49,$EY$3),Master_Data!$U$152:$U$864)</f>
        <v>0</v>
      </c>
      <c r="ES49" s="310">
        <f>SUMIF(Master_Data!$AK$4:$AK$145,CONCATENATE($C49,$EY$3),Master_Data!$S$4:$S$145)+SUMIF(Master_Data!$AK$152:$AK$864,CONCATENATE($C49,$EY$3),Master_Data!$S$152:$S$864)</f>
        <v>0</v>
      </c>
      <c r="ET49" s="39">
        <f>SUMIF(Master_Data!$AK$152:$AK$915,CONCATENATE($C49,EY$3),Master_Data!$T$152:$T$915)</f>
        <v>0</v>
      </c>
      <c r="EU49" s="310">
        <f t="shared" si="49"/>
        <v>0</v>
      </c>
      <c r="EV49" s="230"/>
      <c r="EW49" s="84"/>
      <c r="EX49" s="358" t="str">
        <f t="shared" si="11"/>
        <v>PEMERINTAH KABUPATEN PASANG KAYUSEP</v>
      </c>
      <c r="EY49" s="24"/>
      <c r="EZ49" s="415"/>
      <c r="FA49" s="109">
        <f>EU49</f>
        <v>0</v>
      </c>
      <c r="FB49" s="109">
        <f t="shared" si="89"/>
        <v>0</v>
      </c>
      <c r="FC49" s="420"/>
      <c r="FD49" s="109">
        <f>SUMIF(Bill_Out!$Q$534:$Q$606,CONCATENATE($C49,$FP$3),Bill_Out!$N$534:$N$606)</f>
        <v>0</v>
      </c>
      <c r="FE49" s="109">
        <f>SUMIF(Bill_Out!$Q$534:$Q$606,CONCATENATE($C49,$FP$3),Bill_Out!$O$534:$O$606)</f>
        <v>0</v>
      </c>
      <c r="FF49" s="157"/>
      <c r="FG49" s="310">
        <f>SUMIF(Master_Data!$AK$4:$AK$145,CONCATENATE($C49,$FP$3),Master_Data!$R$4:$R$145)+SUMIF(Master_Data!$AK$152:$AK$864,CONCATENATE($C49,$FP$3),Master_Data!$R$152:$R$864)</f>
        <v>0</v>
      </c>
      <c r="FH49" s="310">
        <f>SUMIF(Master_Data!$AK$4:$AK$145,CONCATENATE($C49,$FP$3),Master_Data!$Q$4:$Q$145)+SUMIF(Master_Data!$AK$152:$AK$864,CONCATENATE($C49,$FP$3),Master_Data!$Q$152:$Q$864)</f>
        <v>0</v>
      </c>
      <c r="FI49" s="310">
        <f>SUMIF(Master_Data!$AK$4:$AK$145,CONCATENATE($C49,$FP$3),Master_Data!$U$4:$U$145)+SUMIF(Master_Data!$AK$152:$AK$864,CONCATENATE($C49,$FP$3),Master_Data!$U$152:$U$864)</f>
        <v>0</v>
      </c>
      <c r="FJ49" s="310">
        <f>SUMIF(Master_Data!$AK$4:$AK$145,CONCATENATE($C49,$FP$3),Master_Data!$S$4:$S$145)+SUMIF(Master_Data!$AK$152:$AK$864,CONCATENATE($C49,$FP$3),Master_Data!$S$152:$S$864)</f>
        <v>0</v>
      </c>
      <c r="FK49" s="39">
        <f>SUMIF(Master_Data!$AK$152:$AK$915,CONCATENATE($C49,FP$3),Master_Data!$T$152:$T$915)</f>
        <v>0</v>
      </c>
      <c r="FL49" s="230">
        <f t="shared" si="90"/>
        <v>0</v>
      </c>
      <c r="FM49" s="230">
        <f t="shared" si="12"/>
        <v>0</v>
      </c>
      <c r="FN49" s="23"/>
      <c r="FO49" s="358" t="str">
        <f t="shared" si="80"/>
        <v>PEMERINTAH KABUPATEN PASANG KAYUOKT</v>
      </c>
      <c r="FP49" s="24"/>
      <c r="FQ49" s="415"/>
      <c r="FR49" s="109">
        <f t="shared" si="91"/>
        <v>0</v>
      </c>
      <c r="FS49" s="109">
        <f t="shared" si="92"/>
        <v>0</v>
      </c>
      <c r="FT49" s="420"/>
      <c r="FU49" s="109">
        <f>SUMIF(Bill_Out!$Q$610:$Q$675,CONCATENATE($C49,$GG$3),Bill_Out!$N$610:$N$675)</f>
        <v>0</v>
      </c>
      <c r="FV49" s="109">
        <f>SUMIF(Bill_Out!$Q$610:$Q$675,CONCATENATE($C49,$GG$3),Bill_Out!$O$610:$O$675)</f>
        <v>0</v>
      </c>
      <c r="FW49" s="157"/>
      <c r="FX49" s="512">
        <f>SUMIF(Master_Data!$AK$4:$AK$145,CONCATENATE($C49,$GG$3),Master_Data!$R$4:$R$145)+SUMIF(Master_Data!$AK$152:$AK$864,CONCATENATE($C49,$GG$3),Master_Data!$R$152:$R$864)</f>
        <v>0</v>
      </c>
      <c r="FY49" s="512">
        <f>SUMIF(Master_Data!$AK$4:$AK$145,CONCATENATE($C49,$GG$3),Master_Data!$Q$4:$Q$145)+SUMIF(Master_Data!$AK$152:$AK$864,CONCATENATE($C49,$GG$3),Master_Data!$Q$152:$Q$864)</f>
        <v>0</v>
      </c>
      <c r="FZ49" s="512">
        <f>SUMIF(Master_Data!$AK$4:$AK$145,CONCATENATE($C49,$GG$3),Master_Data!$U$4:$U$145)+SUMIF(Master_Data!$AK$152:$AK$864,CONCATENATE($C49,$GG$3),Master_Data!$U$152:$U$864)</f>
        <v>0</v>
      </c>
      <c r="GA49" s="310">
        <f>SUMIF(Master_Data!$AK$4:$AK$145,CONCATENATE($C49,$GG$3),Master_Data!$S$4:$S$145)+SUMIF(Master_Data!$AK$152:$AK$864,CONCATENATE($C49,$GG$3),Master_Data!$S$152:$S$864)</f>
        <v>0</v>
      </c>
      <c r="GB49" s="39">
        <f>SUMIF(Master_Data!$AK$152:$AK$915,CONCATENATE($C49,GG$3),Master_Data!$T$152:$T$915)</f>
        <v>0</v>
      </c>
      <c r="GC49" s="230">
        <f t="shared" si="93"/>
        <v>0</v>
      </c>
      <c r="GD49" s="230">
        <f t="shared" si="14"/>
        <v>0</v>
      </c>
      <c r="GE49" s="23"/>
      <c r="GF49" s="358" t="str">
        <f t="shared" si="81"/>
        <v>PEMERINTAH KABUPATEN PASANG KAYUNOV</v>
      </c>
      <c r="GG49" s="24"/>
      <c r="GH49" s="415"/>
      <c r="GI49" s="109">
        <f t="shared" si="70"/>
        <v>0</v>
      </c>
      <c r="GJ49" s="109">
        <f t="shared" si="71"/>
        <v>0</v>
      </c>
      <c r="GK49" s="423"/>
      <c r="GL49" s="109">
        <f>SUMIF(Bill_Out!$Q$679:$Q$756,CONCATENATE($C49,$GX$3),Bill_Out!$N$679:$N$756)</f>
        <v>0</v>
      </c>
      <c r="GM49" s="109">
        <f>SUMIF(Bill_Out!$Q$679:$Q$756,CONCATENATE($C49,$GX$3),Bill_Out!$O$679:$O$756)</f>
        <v>0</v>
      </c>
      <c r="GN49" s="157"/>
      <c r="GO49" s="512">
        <f>SUMIF(Master_Data!$AK$4:$AK$145,CONCATENATE($C49,$GX$3),Master_Data!$R$4:$R$145)+SUMIF(Master_Data!$AK$152:$AK$864,CONCATENATE($C49,$GX$3),Master_Data!$R$152:$R$864)</f>
        <v>0</v>
      </c>
      <c r="GP49" s="512">
        <f>SUMIF(Master_Data!$AK$4:$AK$145,CONCATENATE($C49,$GX$3),Master_Data!$Q$4:$Q$145)+SUMIF(Master_Data!$AK$152:$AK$864,CONCATENATE($C49,$GX$3),Master_Data!$Q$152:$Q$864)</f>
        <v>0</v>
      </c>
      <c r="GQ49" s="512">
        <f>SUMIF(Master_Data!$AK$4:$AK$145,CONCATENATE($C49,$GX$3),Master_Data!$U$4:$U$145)+SUMIF(Master_Data!$AK$152:$AK$864,CONCATENATE($C49,$GX$3),Master_Data!$U$152:$U$864)</f>
        <v>0</v>
      </c>
      <c r="GR49" s="310">
        <f>SUMIF(Master_Data!$AK$4:$AK$145,CONCATENATE($C49,$GX$3),Master_Data!$S$4:$S$145)+SUMIF(Master_Data!$AK$152:$AK$864,CONCATENATE($C49,$GX$3),Master_Data!$S$152:$S$864)</f>
        <v>0</v>
      </c>
      <c r="GS49" s="39">
        <f>SUMIF(Master_Data!$AK$152:$AK$864,CONCATENATE($C49,GX$3),Master_Data!$T$152:$T$864)</f>
        <v>0</v>
      </c>
      <c r="GT49" s="534">
        <f t="shared" si="44"/>
        <v>0</v>
      </c>
      <c r="GU49" s="310">
        <f t="shared" si="16"/>
        <v>0</v>
      </c>
      <c r="GV49" s="23"/>
      <c r="GW49" s="358" t="str">
        <f t="shared" si="87"/>
        <v>PEMERINTAH KABUPATEN PASANG KAYUDES</v>
      </c>
      <c r="GX49" s="24"/>
    </row>
    <row r="50" spans="1:206" s="19" customFormat="1">
      <c r="A50" s="21" t="s">
        <v>232</v>
      </c>
      <c r="B50" s="236" t="str">
        <f t="shared" si="18"/>
        <v>PEMERINTAH KABUPATEN SIGIJAN</v>
      </c>
      <c r="C50" s="8" t="s">
        <v>396</v>
      </c>
      <c r="D50" s="23"/>
      <c r="E50" s="109">
        <f>SUMIF(Master_Data!$D41:$D$145,CONCATENATE(C50),Master_Data!M41:M866)</f>
        <v>0</v>
      </c>
      <c r="F50" s="109">
        <f>SUMIF(Master_Data!$D47:$D$145,CONCATENATE(C50),Master_Data!N47:N237)</f>
        <v>0</v>
      </c>
      <c r="G50" s="31"/>
      <c r="H50" s="109">
        <f>SUMIF(Bill_Out!$Q$3:$Q$65,CONCATENATE($C50,$S$3),Bill_Out!$N$3:$N$65)</f>
        <v>0</v>
      </c>
      <c r="I50" s="88">
        <f>SUMIF(Bill_Out!$Q$3:$Q$65,CONCATENATE($C50,$S$3),Bill_Out!$O$3:$O$65)</f>
        <v>0</v>
      </c>
      <c r="J50" s="157"/>
      <c r="K50" s="29"/>
      <c r="L50" s="44"/>
      <c r="M50" s="230">
        <f>SUMIF(Master_Data!$AK46:$AK$145,CONCATENATE(C50,$S$3),Master_Data!U46:U323)+SUMIF(Master_Data!$AK362:$AK$864,CONCATENATE(C50,$S$3),Master_Data!U362:U1145)</f>
        <v>0</v>
      </c>
      <c r="N50" s="310">
        <f>SUMIF(Master_Data!$AK$4:$AK$145,CONCATENATE(C50,$S$3),Master_Data!$S$4:$S$145)+SUMIF(Master_Data!$AK$150:$AK$864,CONCATENATE(C50,$S$3),Master_Data!$S$150:$S$864)</f>
        <v>0</v>
      </c>
      <c r="O50" s="310">
        <f>SUMIF(Master_Data!$AK$4:$AK$145,CONCATENATE(C50,$S$3),Master_Data!$T$4:$T$145)+SUMIF(Master_Data!$AK$150:$AK$864,CONCATENATE(C50,$S$3),Master_Data!$T$150:$T$864)</f>
        <v>0</v>
      </c>
      <c r="P50" s="230">
        <f t="shared" si="19"/>
        <v>0</v>
      </c>
      <c r="Q50" s="230">
        <f t="shared" si="20"/>
        <v>0</v>
      </c>
      <c r="R50" s="23"/>
      <c r="S50" s="24"/>
      <c r="T50" s="31"/>
      <c r="U50" s="109">
        <f t="shared" si="94"/>
        <v>0</v>
      </c>
      <c r="V50" s="109">
        <f t="shared" si="95"/>
        <v>0</v>
      </c>
      <c r="W50" s="31"/>
      <c r="X50" s="109">
        <f>SUMIF(Bill_Out!$Q$67:$Q$132,CONCATENATE($C50,$AJ$3),Bill_Out!$N$67:$N$132)</f>
        <v>0</v>
      </c>
      <c r="Y50" s="109">
        <f>SUMIF(Bill_Out!$Q$67:$Q$132,CONCATENATE($C50,$AJ$3),Bill_Out!$O$67:$O$132)</f>
        <v>0</v>
      </c>
      <c r="Z50" s="157"/>
      <c r="AA50" s="230">
        <f>SUMIF(Master_Data!$AK$4:$AK$145,CONCATENATE(C50,$AJ$3),Master_Data!$R$4:$R$145)+SUMIF(Master_Data!$AK$152:$AK$850,CONCATENATE(C50,$AJ$3),Master_Data!$R$152:$R$850)</f>
        <v>0</v>
      </c>
      <c r="AB50" s="230">
        <f>SUMIF(Master_Data!$AK$4:$AK$145,CONCATENATE(C50,$AJ$3),Master_Data!$Q$4:$Q$145)+SUMIF(Master_Data!$AK$152:$AK$850,CONCATENATE(C50,$AJ$3),Master_Data!$Q$152:$Q$850)</f>
        <v>0</v>
      </c>
      <c r="AC50" s="230">
        <f>SUMIF(Master_Data!$AK$4:$AK$145,CONCATENATE(C50,$AJ$3),Master_Data!$U$4:$U$145)+SUMIF(Master_Data!$AK$152:$AK$850,CONCATENATE(C50,$AJ$3),Master_Data!$U$152:$U$850)</f>
        <v>0</v>
      </c>
      <c r="AD50" s="310">
        <f ca="1">SUMIF(Master_Data!$AK$4:$AK$145,CONCATENATE(C50,$AJ$3),Master_Data!$S$4:$S$145)+SUMIF(Master_Data!$AK$152:$AK$864,CONCATENATE(C50,$AJ$3),Master_Data!$S$152:$S$850)</f>
        <v>0</v>
      </c>
      <c r="AE50" s="310">
        <f>SUMIF(Master_Data!$AK$4:$AK$145,CONCATENATE(C50,$AJ$3),Master_Data!$T$4:$T$145)+SUMIF(Master_Data!$AK$152:$AK$864,CONCATENATE(C50,$AJ$3),Master_Data!$T$152:$T$864)</f>
        <v>0</v>
      </c>
      <c r="AF50" s="230">
        <f t="shared" si="63"/>
        <v>0</v>
      </c>
      <c r="AG50" s="230">
        <f t="shared" ca="1" si="64"/>
        <v>0</v>
      </c>
      <c r="AH50" s="23"/>
      <c r="AI50" s="235" t="str">
        <f t="shared" si="86"/>
        <v>PEMERINTAH KABUPATEN SIGIFEB</v>
      </c>
      <c r="AJ50" s="24"/>
      <c r="AK50" s="31"/>
      <c r="AL50" s="109">
        <f t="shared" si="65"/>
        <v>0</v>
      </c>
      <c r="AM50" s="109">
        <f t="shared" ca="1" si="66"/>
        <v>0</v>
      </c>
      <c r="AN50" s="31"/>
      <c r="AO50" s="109">
        <f>SUMIF(Bill_Out!$Q$134:$Q$188,CONCATENATE($C50,$BA$3),Bill_Out!$N$134:$N$188)</f>
        <v>0</v>
      </c>
      <c r="AP50" s="109">
        <f>SUMIF(Bill_Out!$Q$134:$Q$188,CONCATENATE($C50,$BA$3),Bill_Out!$O$134:$O$188)</f>
        <v>0</v>
      </c>
      <c r="AQ50" s="157"/>
      <c r="AR50" s="230">
        <f>SUMIF(Master_Data!$AK$4:$AK$145,CONCATENATE(C50,$BA$3),Master_Data!$R$4:$R$145)+SUMIF(Master_Data!$AK$152:$AK$864,CONCATENATE(C50,$BA$3),Master_Data!$R$152:$R$864)</f>
        <v>0</v>
      </c>
      <c r="AS50" s="230">
        <f>SUMIF(Master_Data!$AK$4:$AK$145,CONCATENATE(C50,$BA$3),Master_Data!$Q$4:$Q$145)+SUMIF(Master_Data!$AK$152:$AK$864,CONCATENATE(C50,$BA$3),Master_Data!$Q$152:$Q$864)</f>
        <v>0</v>
      </c>
      <c r="AT50" s="230">
        <f>SUMIF(Master_Data!$AK$4:$AK$145,CONCATENATE(C50,$BA$3),Master_Data!$U$4:$U$145)+SUMIF(Master_Data!$AK$152:$AK$864,CONCATENATE(C50,$BA$3),Master_Data!$U$152:$U$864)</f>
        <v>0</v>
      </c>
      <c r="AU50" s="230">
        <f ca="1">SUMIF(Master_Data!$AK$4:$AK$145,CONCATENATE(C50,$BA$3),Master_Data!$S$4:$S$145)+SUMIF(Master_Data!$AK$152:$AK$864,CONCATENATE(C50,$BA$3),Master_Data!$S$152:$S$850)</f>
        <v>0</v>
      </c>
      <c r="AV50" s="39">
        <f>SUMIF(Master_Data!$AK$152:$AK$864,CONCATENATE($C50,BA$3),Master_Data!$T$152:$T$864)</f>
        <v>0</v>
      </c>
      <c r="AW50" s="230">
        <f t="shared" si="57"/>
        <v>0</v>
      </c>
      <c r="AX50" s="230">
        <f t="shared" ca="1" si="58"/>
        <v>0</v>
      </c>
      <c r="AY50" s="23"/>
      <c r="AZ50" s="235" t="str">
        <f t="shared" si="21"/>
        <v>PEMERINTAH KABUPATEN SIGIMAR</v>
      </c>
      <c r="BA50" s="24"/>
      <c r="BB50" s="31"/>
      <c r="BC50" s="109">
        <f t="shared" si="22"/>
        <v>0</v>
      </c>
      <c r="BD50" s="109">
        <f t="shared" ca="1" si="23"/>
        <v>0</v>
      </c>
      <c r="BE50" s="31"/>
      <c r="BF50" s="109">
        <f>SUMIF(Bill_Out!$Q$192:$Q$258,CONCATENATE($C50,$BR$3),Bill_Out!$N$192:$N$258)</f>
        <v>0</v>
      </c>
      <c r="BG50" s="109" t="e">
        <f>SUMIF(Bill_Out!$Q$192:$Q$258,CONCATENATE($C50,$BR$3),Bill_Out!$O$192:$O$258)</f>
        <v>#VALUE!</v>
      </c>
      <c r="BH50" s="157"/>
      <c r="BI50" s="230">
        <f>SUMIF(Master_Data!$AK$4:$AK$145,CONCATENATE(C50,$BR$3),Master_Data!$R$4:$R$145)+SUMIF(Master_Data!$AK$152:$AK$864,CONCATENATE(C50,$BR$3),Master_Data!$R$152:$R$864)</f>
        <v>0</v>
      </c>
      <c r="BJ50" s="230">
        <f>SUMIF(Master_Data!$AK$4:$AK$145,CONCATENATE(C50,$BR$3),Master_Data!$Q$4:$Q$145)+SUMIF(Master_Data!$AK$152:$AK$864,CONCATENATE(C50,$BR$3),Master_Data!$Q$152:$Q$864)</f>
        <v>0</v>
      </c>
      <c r="BK50" s="230">
        <f>SUMIF(Master_Data!$AK$4:$AK$145,CONCATENATE(C50,$BR$3),Master_Data!$U$4:$U$145)+SUMIF(Master_Data!$AK$152:$AK$864,CONCATENATE(C50,$BR$3),Master_Data!$U$152:$U$864)</f>
        <v>0</v>
      </c>
      <c r="BL50" s="230">
        <f>SUMIF(Master_Data!$AK$4:$AK$145,CONCATENATE(C50,$BR$3),Master_Data!$S$4:$S$145)+SUMIF(Master_Data!$AK$152:$AK$864,CONCATENATE(C50,$BR$3),Master_Data!$S$152:$S$864)</f>
        <v>0</v>
      </c>
      <c r="BM50" s="39">
        <f>SUMIF(Master_Data!$AK$152:$AK$864,CONCATENATE($C50,BR$3),Master_Data!$T$152:$T$864)</f>
        <v>0</v>
      </c>
      <c r="BN50" s="230">
        <f t="shared" si="24"/>
        <v>0</v>
      </c>
      <c r="BO50" s="230" t="e">
        <f t="shared" ca="1" si="25"/>
        <v>#VALUE!</v>
      </c>
      <c r="BP50" s="23"/>
      <c r="BQ50" s="909" t="str">
        <f t="shared" si="26"/>
        <v>PEMERINTAH KABUPATEN SIGIAPR</v>
      </c>
      <c r="BR50" s="24"/>
      <c r="BS50" s="31"/>
      <c r="BT50" s="109">
        <f t="shared" si="78"/>
        <v>0</v>
      </c>
      <c r="BU50" s="109" t="e">
        <f t="shared" ca="1" si="79"/>
        <v>#VALUE!</v>
      </c>
      <c r="BV50" s="31"/>
      <c r="BW50" s="109">
        <f>SUMIF(Bill_Out!$Q$263:$Q$314,CONCATENATE($C50,$CI$3),Bill_Out!$N$263:$N$314)</f>
        <v>0</v>
      </c>
      <c r="BX50" s="109" t="e">
        <f>SUMIF(Bill_Out!$Q$263:$Q$314,CONCATENATE($C50,$CI$3),Bill_Out!$O$263:$O$314)</f>
        <v>#VALUE!</v>
      </c>
      <c r="BY50" s="157"/>
      <c r="BZ50" s="310">
        <f>SUMIF(Master_Data!$AK$4:$AK$145,CONCATENATE(C50,$CI$3),Master_Data!$R$4:$R$145)+SUMIF(Master_Data!$AK$152:$AK$864,CONCATENATE(C50,$CI$3),Master_Data!$R$152:$R$864)</f>
        <v>0</v>
      </c>
      <c r="CA50" s="310">
        <f>SUMIF(Master_Data!$AK$4:$AK$145,CONCATENATE(C50,$CI$3),Master_Data!$Q$4:$Q$145)+SUMIF(Master_Data!$AK$152:$AK$864,CONCATENATE(C50,$CI$3),Master_Data!$Q$152:$Q$864)</f>
        <v>0</v>
      </c>
      <c r="CB50" s="310">
        <f>SUMIF(Master_Data!$AK$4:$AK$145,CONCATENATE(C50,$CI$3),Master_Data!$U$4:$U$145)+SUMIF(Master_Data!$AK$152:$AK$864,CONCATENATE(C50,$CI$3),Master_Data!$U$152:$U$864)</f>
        <v>0</v>
      </c>
      <c r="CC50" s="230">
        <f>SUMIF(Master_Data!$AK$4:$AK$145,CONCATENATE(C50,$CI$3),Master_Data!$S$4:$S$145)+SUMIF(Master_Data!$AK$152:$AK$864,CONCATENATE(C50,$CI$3),Master_Data!$S$152:$S$864)</f>
        <v>0</v>
      </c>
      <c r="CD50" s="39">
        <f>SUMIF(Master_Data!$AK$152:$AK$864,CONCATENATE($C50,CI$3),Master_Data!$T$152:$T$864)</f>
        <v>0</v>
      </c>
      <c r="CE50" s="310">
        <f t="shared" si="27"/>
        <v>0</v>
      </c>
      <c r="CF50" s="230" t="e">
        <f t="shared" ca="1" si="28"/>
        <v>#VALUE!</v>
      </c>
      <c r="CG50" s="23"/>
      <c r="CH50" s="235" t="str">
        <f t="shared" si="29"/>
        <v>PEMERINTAH KABUPATEN SIGIMEI</v>
      </c>
      <c r="CI50" s="24"/>
      <c r="CJ50" s="31"/>
      <c r="CK50" s="109">
        <f t="shared" si="30"/>
        <v>0</v>
      </c>
      <c r="CL50" s="238" t="e">
        <f t="shared" ca="1" si="31"/>
        <v>#VALUE!</v>
      </c>
      <c r="CM50" s="31"/>
      <c r="CN50" s="238">
        <f>SUMIF(Bill_Out!$Q$318:$Q$371,CONCATENATE($C50,$CZ$3),Bill_Out!$N$318:$N$371)</f>
        <v>0</v>
      </c>
      <c r="CO50" s="238">
        <f>SUMIF(Bill_Out!$Q$318:$Q$371,CONCATENATE($C50,$CZ$3),Bill_Out!$O$318:$O$371)</f>
        <v>0</v>
      </c>
      <c r="CP50" s="157"/>
      <c r="CQ50" s="230">
        <f>SUMIF(Master_Data!$AK$4:$AK$145,CONCATENATE($C50,$CZ$3),Master_Data!$R$4:$R$145)+SUMIF(Master_Data!$AK$152:$AK$864,CONCATENATE($C50,$CZ$3),Master_Data!$R$152:$R$864)</f>
        <v>0</v>
      </c>
      <c r="CR50" s="230">
        <f>SUMIF(Master_Data!$AK$4:$AK$145,CONCATENATE($C50,$CZ$3),Master_Data!$Q$4:$Q$145)+SUMIF(Master_Data!$AK$152:$AK$864,CONCATENATE($C50,$CZ$3),Master_Data!$Q$152:$Q$864)</f>
        <v>0</v>
      </c>
      <c r="CS50" s="230">
        <f>SUMIF(Master_Data!$AK$4:$AK$145,CONCATENATE($C50,$CZ$3),Master_Data!$U$4:$U$145)+SUMIF(Master_Data!$AK$152:$AK$864,CONCATENATE($C50,$CZ$3),Master_Data!$U$152:$U$864)</f>
        <v>0</v>
      </c>
      <c r="CT50" s="230">
        <f ca="1">SUMIF(Master_Data!$AK$4:$AK$145,CONCATENATE(C50,$CZ$3),Master_Data!$S$4:$S$145)+SUMIF(Master_Data!$AK$152:$AK$915,CONCATENATE(C50,$CZ$3),Master_Data!$S$152:$S$864)</f>
        <v>0</v>
      </c>
      <c r="CU50" s="1010">
        <f>SUMIF(Master_Data!$AK$4:$AK$145,CONCATENATE(C50,$CZ$3),Master_Data!$T$4:$T$145)+SUMIF(Master_Data!$AK$152:$AK$864,CONCATENATE(C50,$CZ$3),Master_Data!$T$152:$T$864)</f>
        <v>0</v>
      </c>
      <c r="CV50" s="230">
        <f t="shared" si="32"/>
        <v>0</v>
      </c>
      <c r="CW50" s="230" t="e">
        <f t="shared" ca="1" si="33"/>
        <v>#VALUE!</v>
      </c>
      <c r="CX50" s="23"/>
      <c r="CY50" s="1007" t="str">
        <f t="shared" si="6"/>
        <v>PEMERINTAH KABUPATEN SIGIJUN</v>
      </c>
      <c r="CZ50" s="24"/>
      <c r="DA50" s="31"/>
      <c r="DB50" s="109">
        <f t="shared" si="34"/>
        <v>0</v>
      </c>
      <c r="DC50" s="109" t="e">
        <f t="shared" ca="1" si="35"/>
        <v>#VALUE!</v>
      </c>
      <c r="DD50" s="31"/>
      <c r="DE50" s="109">
        <f>SUMIF(Bill_Out!$Q$375:$Q$422,CONCATENATE($C50,$DQ$3),Bill_Out!$N$375:$N$422)</f>
        <v>0</v>
      </c>
      <c r="DF50" s="109">
        <v>60000000</v>
      </c>
      <c r="DG50" s="157"/>
      <c r="DH50" s="310">
        <f>SUMIF(Master_Data!$AK$4:$AK$145,CONCATENATE($C50,$DQ$3),Master_Data!$R$4:$R$145)+SUMIF(Master_Data!$AK$152:$AK$864,CONCATENATE($C50,$DQ$3),Master_Data!$R$152:$R$864)</f>
        <v>0</v>
      </c>
      <c r="DI50" s="310">
        <f>SUMIF(Master_Data!$AK$4:$AK$145,CONCATENATE($C50,$DQ$3),Master_Data!$Q$4:$Q$145)+SUMIF(Master_Data!$AK$152:$AK$864,CONCATENATE($C50,$DQ$3),Master_Data!$Q$152:$Q$864)</f>
        <v>0</v>
      </c>
      <c r="DJ50" s="310">
        <f>SUMIF(Master_Data!$AK$4:$AK$145,CONCATENATE($C50,$DQ$3),Master_Data!$U$4:$U$145)+SUMIF(Master_Data!$AK$152:$AK$864,CONCATENATE($C50,$DQ$3),Master_Data!$U$152:$U$864)</f>
        <v>60000000</v>
      </c>
      <c r="DK50" s="310">
        <f>SUMIF(Master_Data!$AK$4:$AK$145,CONCATENATE($C50,$DQ$3),Master_Data!$S$4:$S$145)+SUMIF(Master_Data!$AK$152:$AK$864,CONCATENATE($C50,$DQ$3),Master_Data!$S$152:$S$864)</f>
        <v>0</v>
      </c>
      <c r="DL50" s="39">
        <f>SUMIF(Master_Data!$AK$152:$AK$915,CONCATENATE($C50,DQ$3),Master_Data!$T$152:$T$915)</f>
        <v>0</v>
      </c>
      <c r="DM50" s="230">
        <f t="shared" si="67"/>
        <v>0</v>
      </c>
      <c r="DN50" s="230" t="e">
        <f t="shared" ca="1" si="68"/>
        <v>#VALUE!</v>
      </c>
      <c r="DO50" s="23"/>
      <c r="DP50" s="358" t="str">
        <f t="shared" si="9"/>
        <v>PEMERINTAH KABUPATEN SIGIJUL</v>
      </c>
      <c r="DQ50" s="24"/>
      <c r="DR50" s="392"/>
      <c r="DS50" s="109">
        <f t="shared" si="36"/>
        <v>0</v>
      </c>
      <c r="DT50" s="109" t="e">
        <f t="shared" ca="1" si="37"/>
        <v>#VALUE!</v>
      </c>
      <c r="DU50" s="31"/>
      <c r="DV50" s="109">
        <f>SUMIF(Bill_Out!$Q$426:$Q$472,CONCATENATE($C50,$EH$3),Bill_Out!$N$426:$N$472)</f>
        <v>0</v>
      </c>
      <c r="DW50" s="109" t="e">
        <f>SUMIF(Bill_Out!$Q$426:$Q$472,CONCATENATE($C50,$EH$3),Bill_Out!$O$426:$O$472)</f>
        <v>#VALUE!</v>
      </c>
      <c r="DX50" s="157"/>
      <c r="DY50" s="310">
        <f>SUMIF(Master_Data!$AK$4:$AK$145,CONCATENATE($C50,$EH$3),Master_Data!$R$4:$R$145)+SUMIF(Master_Data!$AK$152:$AK$864,CONCATENATE($C50,$EH$3),Master_Data!$R$152:$R$864)</f>
        <v>0</v>
      </c>
      <c r="DZ50" s="310">
        <f>SUMIF(Master_Data!$AK$4:$AK$145,CONCATENATE($C50,$EH$3),Master_Data!$Q$4:$Q$145)+SUMIF(Master_Data!$AK$152:$AK$864,CONCATENATE($C50,$EH$3),Master_Data!$Q$152:$Q$864)</f>
        <v>0</v>
      </c>
      <c r="EA50" s="310">
        <f>SUMIF(Master_Data!$AK$4:$AK$145,CONCATENATE($C50,$EH$3),Master_Data!$U$4:$U$145)+SUMIF(Master_Data!$AK$152:$AK$864,CONCATENATE($C50,$EH$3),Master_Data!$U$152:$U$864)</f>
        <v>220500000</v>
      </c>
      <c r="EB50" s="310">
        <f>SUMIF(Master_Data!$AK$4:$AK$145,CONCATENATE($C50,$EH$3),Master_Data!$S$4:$S$145)+SUMIF(Master_Data!$AK$152:$AK$864,CONCATENATE($C50,$EH$3),Master_Data!$S$152:$S$864)</f>
        <v>0</v>
      </c>
      <c r="EC50" s="39">
        <f>SUMIF(Master_Data!$AK$152:$AK$915,CONCATENATE($C50,EH$3),Master_Data!$T$152:$T$915)</f>
        <v>-4500000.0000999998</v>
      </c>
      <c r="ED50" s="310">
        <f t="shared" si="38"/>
        <v>0</v>
      </c>
      <c r="EE50" s="230" t="e">
        <f t="shared" ca="1" si="39"/>
        <v>#VALUE!</v>
      </c>
      <c r="EF50" s="23"/>
      <c r="EG50" s="358" t="str">
        <f t="shared" si="10"/>
        <v>PEMERINTAH KABUPATEN SIGIAGS</v>
      </c>
      <c r="EH50" s="24"/>
      <c r="EI50" s="392"/>
      <c r="EJ50" s="109">
        <f t="shared" si="47"/>
        <v>0</v>
      </c>
      <c r="EK50" s="109" t="e">
        <f t="shared" ca="1" si="48"/>
        <v>#VALUE!</v>
      </c>
      <c r="EL50" s="84"/>
      <c r="EM50" s="109">
        <f>SUMIF(Bill_Out!$Q$476:$Q$530,CONCATENATE($C50,$EY$3),Bill_Out!$N$476:$N$530)</f>
        <v>0</v>
      </c>
      <c r="EN50" s="109">
        <f>SUMIF(Bill_Out!$Q$476:$Q$530,CONCATENATE($C50,$EY$3),Bill_Out!$O$476:$O$530)</f>
        <v>0</v>
      </c>
      <c r="EO50" s="309"/>
      <c r="EP50" s="310">
        <f>SUMIF(Master_Data!$AK$4:$AK$145,CONCATENATE($C50,$EY$3),Master_Data!$R$4:$R$145)+SUMIF(Master_Data!$AK$152:$AK$864,CONCATENATE($C50,$EY$3),Master_Data!$R$152:$R$864)</f>
        <v>0</v>
      </c>
      <c r="EQ50" s="310">
        <f>SUMIF(Master_Data!$AK$4:$AK$145,CONCATENATE($C50,$EY$3),Master_Data!$Q$4:$Q$145)+SUMIF(Master_Data!$AK$152:$AK$864,CONCATENATE($C50,$EY$3),Master_Data!$Q$152:$Q$864)</f>
        <v>0</v>
      </c>
      <c r="ER50" s="310">
        <f>SUMIF(Master_Data!$AK$4:$AK$145,CONCATENATE($C50,$EY$3),Master_Data!$U$4:$U$145)+SUMIF(Master_Data!$AK$152:$AK$864,CONCATENATE($C50,$EY$3),Master_Data!$U$152:$U$864)</f>
        <v>0</v>
      </c>
      <c r="ES50" s="310">
        <f>SUMIF(Master_Data!$AK$4:$AK$145,CONCATENATE($C50,$EY$3),Master_Data!$S$4:$S$145)+SUMIF(Master_Data!$AK$152:$AK$864,CONCATENATE($C50,$EY$3),Master_Data!$S$152:$S$864)</f>
        <v>0</v>
      </c>
      <c r="ET50" s="39">
        <f>SUMIF(Master_Data!$AK$152:$AK$915,CONCATENATE($C50,EY$3),Master_Data!$T$152:$T$915)</f>
        <v>0</v>
      </c>
      <c r="EU50" s="310">
        <f t="shared" si="49"/>
        <v>0</v>
      </c>
      <c r="EV50" s="230"/>
      <c r="EW50" s="84"/>
      <c r="EX50" s="358" t="str">
        <f t="shared" si="11"/>
        <v>PEMERINTAH KABUPATEN SIGISEP</v>
      </c>
      <c r="EY50" s="24"/>
      <c r="EZ50" s="415"/>
      <c r="FA50" s="109">
        <f t="shared" si="88"/>
        <v>0</v>
      </c>
      <c r="FB50" s="109">
        <f t="shared" si="89"/>
        <v>0</v>
      </c>
      <c r="FC50" s="420"/>
      <c r="FD50" s="109">
        <f>SUMIF(Bill_Out!$Q$534:$Q$606,CONCATENATE($C50,$FP$3),Bill_Out!$N$534:$N$606)</f>
        <v>0</v>
      </c>
      <c r="FE50" s="109">
        <f>SUMIF(Bill_Out!$Q$534:$Q$606,CONCATENATE($C50,$FP$3),Bill_Out!$O$534:$O$606)</f>
        <v>0</v>
      </c>
      <c r="FF50" s="157"/>
      <c r="FG50" s="310">
        <f>SUMIF(Master_Data!$AK$4:$AK$145,CONCATENATE($C50,$FP$3),Master_Data!$R$4:$R$145)+SUMIF(Master_Data!$AK$152:$AK$864,CONCATENATE($C50,$FP$3),Master_Data!$R$152:$R$864)</f>
        <v>0</v>
      </c>
      <c r="FH50" s="310">
        <f>SUMIF(Master_Data!$AK$4:$AK$145,CONCATENATE($C50,$FP$3),Master_Data!$Q$4:$Q$145)+SUMIF(Master_Data!$AK$152:$AK$864,CONCATENATE($C50,$FP$3),Master_Data!$Q$152:$Q$864)</f>
        <v>0</v>
      </c>
      <c r="FI50" s="310">
        <f>SUMIF(Master_Data!$AK$4:$AK$145,CONCATENATE($C50,$FP$3),Master_Data!$U$4:$U$145)+SUMIF(Master_Data!$AK$152:$AK$864,CONCATENATE($C50,$FP$3),Master_Data!$U$152:$U$864)</f>
        <v>0</v>
      </c>
      <c r="FJ50" s="310">
        <f>SUMIF(Master_Data!$AK$4:$AK$145,CONCATENATE($C50,$FP$3),Master_Data!$S$4:$S$145)+SUMIF(Master_Data!$AK$152:$AK$864,CONCATENATE($C50,$FP$3),Master_Data!$S$152:$S$864)</f>
        <v>0</v>
      </c>
      <c r="FK50" s="39">
        <f>SUMIF(Master_Data!$AK$152:$AK$915,CONCATENATE($C50,FP$3),Master_Data!$T$152:$T$915)</f>
        <v>0</v>
      </c>
      <c r="FL50" s="230">
        <f t="shared" si="90"/>
        <v>0</v>
      </c>
      <c r="FM50" s="230">
        <f t="shared" si="12"/>
        <v>0</v>
      </c>
      <c r="FN50" s="23"/>
      <c r="FO50" s="358" t="str">
        <f t="shared" si="80"/>
        <v>PEMERINTAH KABUPATEN SIGIOKT</v>
      </c>
      <c r="FP50" s="24"/>
      <c r="FQ50" s="415"/>
      <c r="FR50" s="109">
        <f t="shared" si="91"/>
        <v>0</v>
      </c>
      <c r="FS50" s="109">
        <f t="shared" si="92"/>
        <v>0</v>
      </c>
      <c r="FT50" s="420"/>
      <c r="FU50" s="109">
        <f>SUMIF(Bill_Out!$Q$610:$Q$675,CONCATENATE($C50,$GG$3),Bill_Out!$N$610:$N$675)</f>
        <v>0</v>
      </c>
      <c r="FV50" s="109">
        <f>SUMIF(Bill_Out!$Q$610:$Q$675,CONCATENATE($C50,$GG$3),Bill_Out!$O$610:$O$675)</f>
        <v>0</v>
      </c>
      <c r="FW50" s="157"/>
      <c r="FX50" s="512">
        <f>SUMIF(Master_Data!$AK$4:$AK$145,CONCATENATE($C50,$GG$3),Master_Data!$R$4:$R$145)+SUMIF(Master_Data!$AK$152:$AK$864,CONCATENATE($C50,$GG$3),Master_Data!$R$152:$R$864)</f>
        <v>0</v>
      </c>
      <c r="FY50" s="512">
        <f>SUMIF(Master_Data!$AK$4:$AK$145,CONCATENATE($C50,$GG$3),Master_Data!$Q$4:$Q$145)+SUMIF(Master_Data!$AK$152:$AK$864,CONCATENATE($C50,$GG$3),Master_Data!$Q$152:$Q$864)</f>
        <v>0</v>
      </c>
      <c r="FZ50" s="512">
        <f>SUMIF(Master_Data!$AK$4:$AK$145,CONCATENATE($C50,$GG$3),Master_Data!$U$4:$U$145)+SUMIF(Master_Data!$AK$152:$AK$864,CONCATENATE($C50,$GG$3),Master_Data!$U$152:$U$864)</f>
        <v>0</v>
      </c>
      <c r="GA50" s="310">
        <f>SUMIF(Master_Data!$AK$4:$AK$145,CONCATENATE($C50,$GG$3),Master_Data!$S$4:$S$145)+SUMIF(Master_Data!$AK$152:$AK$864,CONCATENATE($C50,$GG$3),Master_Data!$S$152:$S$864)</f>
        <v>0</v>
      </c>
      <c r="GB50" s="39">
        <f>SUMIF(Master_Data!$AK$152:$AK$915,CONCATENATE($C50,GG$3),Master_Data!$T$152:$T$915)</f>
        <v>0</v>
      </c>
      <c r="GC50" s="230">
        <f t="shared" si="93"/>
        <v>0</v>
      </c>
      <c r="GD50" s="230">
        <f t="shared" si="14"/>
        <v>0</v>
      </c>
      <c r="GE50" s="23"/>
      <c r="GF50" s="358" t="str">
        <f t="shared" si="81"/>
        <v>PEMERINTAH KABUPATEN SIGINOV</v>
      </c>
      <c r="GG50" s="24"/>
      <c r="GH50" s="415" t="s">
        <v>426</v>
      </c>
      <c r="GI50" s="109">
        <f t="shared" si="70"/>
        <v>0</v>
      </c>
      <c r="GJ50" s="109">
        <f t="shared" si="71"/>
        <v>0</v>
      </c>
      <c r="GK50" s="423"/>
      <c r="GL50" s="109">
        <f>SUMIF(Bill_Out!$Q$679:$Q$756,CONCATENATE($C50,$GX$3),Bill_Out!$N$679:$N$756)</f>
        <v>0</v>
      </c>
      <c r="GM50" s="109">
        <f>SUMIF(Bill_Out!$Q$679:$Q$756,CONCATENATE($C50,$GX$3),Bill_Out!$O$679:$O$756)</f>
        <v>0</v>
      </c>
      <c r="GN50" s="157"/>
      <c r="GO50" s="512">
        <f>SUMIF(Master_Data!$AK$4:$AK$145,CONCATENATE($C50,$GX$3),Master_Data!$R$4:$R$145)+SUMIF(Master_Data!$AK$152:$AK$864,CONCATENATE($C50,$GX$3),Master_Data!$R$152:$R$864)</f>
        <v>0</v>
      </c>
      <c r="GP50" s="512">
        <f>SUMIF(Master_Data!$AK$4:$AK$145,CONCATENATE($C50,$GX$3),Master_Data!$Q$4:$Q$145)+SUMIF(Master_Data!$AK$152:$AK$864,CONCATENATE($C50,$GX$3),Master_Data!$Q$152:$Q$864)</f>
        <v>0</v>
      </c>
      <c r="GQ50" s="512">
        <f>SUMIF(Master_Data!$AK$4:$AK$145,CONCATENATE($C50,$GX$3),Master_Data!$U$4:$U$145)+SUMIF(Master_Data!$AK$152:$AK$864,CONCATENATE($C50,$GX$3),Master_Data!$U$152:$U$864)</f>
        <v>0</v>
      </c>
      <c r="GR50" s="310">
        <f>SUMIF(Master_Data!$AK$4:$AK$145,CONCATENATE($C50,$GX$3),Master_Data!$S$4:$S$145)+SUMIF(Master_Data!$AK$152:$AK$864,CONCATENATE($C50,$GX$3),Master_Data!$S$152:$S$864)</f>
        <v>0</v>
      </c>
      <c r="GS50" s="39">
        <f>SUMIF(Master_Data!$AK$152:$AK$864,CONCATENATE($C50,GX$3),Master_Data!$T$152:$T$864)</f>
        <v>0</v>
      </c>
      <c r="GT50" s="534">
        <f t="shared" si="44"/>
        <v>0</v>
      </c>
      <c r="GU50" s="310">
        <f t="shared" si="16"/>
        <v>0</v>
      </c>
      <c r="GV50" s="23"/>
      <c r="GW50" s="358" t="str">
        <f t="shared" si="87"/>
        <v>PEMERINTAH KABUPATEN SIGIDES</v>
      </c>
      <c r="GX50" s="24"/>
    </row>
    <row r="51" spans="1:206" s="19" customFormat="1">
      <c r="A51" s="328" t="s">
        <v>233</v>
      </c>
      <c r="B51" s="236" t="str">
        <f t="shared" si="18"/>
        <v>PEMKAB TOJO UNA UNAJAN</v>
      </c>
      <c r="C51" s="8" t="s">
        <v>211</v>
      </c>
      <c r="D51" s="23" t="s">
        <v>316</v>
      </c>
      <c r="E51" s="109">
        <f>SUMIF(Master_Data!$D42:$D$145,CONCATENATE(C51),Master_Data!M42:M867)</f>
        <v>0</v>
      </c>
      <c r="F51" s="109">
        <f>SUMIF(Master_Data!$D48:$D$145,CONCATENATE(C51),Master_Data!N48:N238)</f>
        <v>0</v>
      </c>
      <c r="G51" s="31"/>
      <c r="H51" s="109">
        <f>SUMIF(Bill_Out!$Q$3:$Q$65,CONCATENATE($C51,$S$3),Bill_Out!$N$3:$N$65)</f>
        <v>0</v>
      </c>
      <c r="I51" s="88">
        <f>SUMIF(Bill_Out!$Q$3:$Q$65,CONCATENATE($C51,$S$3),Bill_Out!$O$3:$O$65)</f>
        <v>0</v>
      </c>
      <c r="J51" s="157"/>
      <c r="K51" s="29"/>
      <c r="L51" s="44"/>
      <c r="M51" s="230">
        <f>SUMIF(Master_Data!$AK47:$AK$145,CONCATENATE(C51,$S$3),Master_Data!U47:U324)+SUMIF(Master_Data!$AK363:$AK$864,CONCATENATE(C51,$S$3),Master_Data!U363:U1146)</f>
        <v>0</v>
      </c>
      <c r="N51" s="310">
        <f>SUMIF(Master_Data!$AK$4:$AK$145,CONCATENATE(C51,$S$3),Master_Data!$S$4:$S$145)+SUMIF(Master_Data!$AK$150:$AK$864,CONCATENATE(C51,$S$3),Master_Data!$S$150:$S$864)</f>
        <v>0</v>
      </c>
      <c r="O51" s="310">
        <f>SUMIF(Master_Data!$AK$4:$AK$145,CONCATENATE(C51,$S$3),Master_Data!$T$4:$T$145)+SUMIF(Master_Data!$AK$150:$AK$864,CONCATENATE(C51,$S$3),Master_Data!$T$150:$T$864)</f>
        <v>0</v>
      </c>
      <c r="P51" s="230">
        <f t="shared" si="19"/>
        <v>0</v>
      </c>
      <c r="Q51" s="230">
        <f t="shared" si="20"/>
        <v>0</v>
      </c>
      <c r="R51" s="23"/>
      <c r="S51" s="24"/>
      <c r="T51" s="31"/>
      <c r="U51" s="109">
        <f t="shared" si="94"/>
        <v>0</v>
      </c>
      <c r="V51" s="109">
        <f t="shared" si="95"/>
        <v>0</v>
      </c>
      <c r="W51" s="31"/>
      <c r="X51" s="109">
        <f>SUMIF(Bill_Out!$Q$67:$Q$132,CONCATENATE($C51,$AJ$3),Bill_Out!$N$67:$N$132)</f>
        <v>0</v>
      </c>
      <c r="Y51" s="109">
        <f>SUMIF(Bill_Out!$Q$67:$Q$132,CONCATENATE($C51,$AJ$3),Bill_Out!$O$67:$O$132)</f>
        <v>0</v>
      </c>
      <c r="Z51" s="157"/>
      <c r="AA51" s="230">
        <f>SUMIF(Master_Data!$AK$4:$AK$145,CONCATENATE(C51,$AJ$3),Master_Data!$R$4:$R$145)+SUMIF(Master_Data!$AK$152:$AK$850,CONCATENATE(C51,$AJ$3),Master_Data!$R$152:$R$850)</f>
        <v>0</v>
      </c>
      <c r="AB51" s="230">
        <f>SUMIF(Master_Data!$AK$4:$AK$145,CONCATENATE(C51,$AJ$3),Master_Data!$Q$4:$Q$145)+SUMIF(Master_Data!$AK$152:$AK$850,CONCATENATE(C51,$AJ$3),Master_Data!$Q$152:$Q$850)</f>
        <v>0</v>
      </c>
      <c r="AC51" s="230">
        <f>SUMIF(Master_Data!$AK$4:$AK$145,CONCATENATE(C51,$AJ$3),Master_Data!$U$4:$U$145)+SUMIF(Master_Data!$AK$152:$AK$850,CONCATENATE(C51,$AJ$3),Master_Data!$U$152:$U$850)</f>
        <v>0</v>
      </c>
      <c r="AD51" s="310">
        <f ca="1">SUMIF(Master_Data!$AK$4:$AK$145,CONCATENATE(C51,$AJ$3),Master_Data!$S$4:$S$145)+SUMIF(Master_Data!$AK$152:$AK$864,CONCATENATE(C51,$AJ$3),Master_Data!$S$152:$S$850)</f>
        <v>0</v>
      </c>
      <c r="AE51" s="310">
        <f>SUMIF(Master_Data!$AK$4:$AK$145,CONCATENATE(C51,$AJ$3),Master_Data!$T$4:$T$145)+SUMIF(Master_Data!$AK$152:$AK$864,CONCATENATE(C51,$AJ$3),Master_Data!$T$152:$T$864)</f>
        <v>0</v>
      </c>
      <c r="AF51" s="230">
        <f t="shared" si="63"/>
        <v>0</v>
      </c>
      <c r="AG51" s="230">
        <f t="shared" ca="1" si="64"/>
        <v>0</v>
      </c>
      <c r="AH51" s="23"/>
      <c r="AI51" s="235" t="str">
        <f t="shared" si="86"/>
        <v>PEMKAB TOJO UNA UNAFEB</v>
      </c>
      <c r="AJ51" s="24"/>
      <c r="AK51" s="31"/>
      <c r="AL51" s="109">
        <f t="shared" si="65"/>
        <v>0</v>
      </c>
      <c r="AM51" s="109">
        <f t="shared" ca="1" si="66"/>
        <v>0</v>
      </c>
      <c r="AN51" s="31"/>
      <c r="AO51" s="109">
        <f>SUMIF(Bill_Out!$Q$134:$Q$188,CONCATENATE($C51,$BA$3),Bill_Out!$N$134:$N$188)</f>
        <v>0</v>
      </c>
      <c r="AP51" s="109">
        <f>SUMIF(Bill_Out!$Q$134:$Q$188,CONCATENATE($C51,$BA$3),Bill_Out!$O$134:$O$188)</f>
        <v>0</v>
      </c>
      <c r="AQ51" s="157"/>
      <c r="AR51" s="230">
        <f>SUMIF(Master_Data!$AK$4:$AK$145,CONCATENATE(C51,$BA$3),Master_Data!$R$4:$R$145)+SUMIF(Master_Data!$AK$152:$AK$864,CONCATENATE(C51,$BA$3),Master_Data!$R$152:$R$864)</f>
        <v>0</v>
      </c>
      <c r="AS51" s="230">
        <f>SUMIF(Master_Data!$AK$4:$AK$145,CONCATENATE(C51,$BA$3),Master_Data!$Q$4:$Q$145)+SUMIF(Master_Data!$AK$152:$AK$864,CONCATENATE(C51,$BA$3),Master_Data!$Q$152:$Q$864)</f>
        <v>0</v>
      </c>
      <c r="AT51" s="230">
        <f>SUMIF(Master_Data!$AK$4:$AK$145,CONCATENATE(C51,$BA$3),Master_Data!$U$4:$U$145)+SUMIF(Master_Data!$AK$152:$AK$864,CONCATENATE(C51,$BA$3),Master_Data!$U$152:$U$864)</f>
        <v>0</v>
      </c>
      <c r="AU51" s="230">
        <f ca="1">SUMIF(Master_Data!$AK$4:$AK$145,CONCATENATE(C51,$BA$3),Master_Data!$S$4:$S$145)+SUMIF(Master_Data!$AK$152:$AK$864,CONCATENATE(C51,$BA$3),Master_Data!$S$152:$S$850)</f>
        <v>0</v>
      </c>
      <c r="AV51" s="39">
        <f>SUMIF(Master_Data!$AK$152:$AK$864,CONCATENATE($C51,BA$3),Master_Data!$T$152:$T$864)</f>
        <v>0</v>
      </c>
      <c r="AW51" s="230">
        <f t="shared" si="57"/>
        <v>0</v>
      </c>
      <c r="AX51" s="230">
        <f t="shared" ca="1" si="58"/>
        <v>0</v>
      </c>
      <c r="AY51" s="23"/>
      <c r="AZ51" s="235" t="str">
        <f t="shared" si="21"/>
        <v>PEMKAB TOJO UNA UNAMAR</v>
      </c>
      <c r="BA51" s="24"/>
      <c r="BB51" s="31"/>
      <c r="BC51" s="109">
        <f t="shared" si="22"/>
        <v>0</v>
      </c>
      <c r="BD51" s="109">
        <f t="shared" ca="1" si="23"/>
        <v>0</v>
      </c>
      <c r="BE51" s="31"/>
      <c r="BF51" s="109">
        <f>SUMIF(Bill_Out!$Q$192:$Q$258,CONCATENATE($C51,$BR$3),Bill_Out!$N$192:$N$258)</f>
        <v>0</v>
      </c>
      <c r="BG51" s="109">
        <f>SUMIF(Bill_Out!$Q$192:$Q$258,CONCATENATE($C51,$BR$3),Bill_Out!$O$192:$O$258)</f>
        <v>0</v>
      </c>
      <c r="BH51" s="157"/>
      <c r="BI51" s="230">
        <f>SUMIF(Master_Data!$AK$4:$AK$145,CONCATENATE(C51,$BR$3),Master_Data!$R$4:$R$145)+SUMIF(Master_Data!$AK$152:$AK$864,CONCATENATE(C51,$BR$3),Master_Data!$R$152:$R$864)</f>
        <v>0</v>
      </c>
      <c r="BJ51" s="230">
        <f>SUMIF(Master_Data!$AK$4:$AK$145,CONCATENATE(C51,$BR$3),Master_Data!$Q$4:$Q$145)+SUMIF(Master_Data!$AK$152:$AK$864,CONCATENATE(C51,$BR$3),Master_Data!$Q$152:$Q$864)</f>
        <v>0</v>
      </c>
      <c r="BK51" s="230">
        <f>SUMIF(Master_Data!$AK$4:$AK$145,CONCATENATE(C51,$BR$3),Master_Data!$U$4:$U$145)+SUMIF(Master_Data!$AK$152:$AK$864,CONCATENATE(C51,$BR$3),Master_Data!$U$152:$U$864)</f>
        <v>0</v>
      </c>
      <c r="BL51" s="230">
        <f>SUMIF(Master_Data!$AK$4:$AK$145,CONCATENATE(C51,$BR$3),Master_Data!$S$4:$S$145)+SUMIF(Master_Data!$AK$152:$AK$864,CONCATENATE(C51,$BR$3),Master_Data!$S$152:$S$864)</f>
        <v>0</v>
      </c>
      <c r="BM51" s="39">
        <f>SUMIF(Master_Data!$AK$152:$AK$864,CONCATENATE($C51,BR$3),Master_Data!$T$152:$T$864)</f>
        <v>0</v>
      </c>
      <c r="BN51" s="230">
        <f t="shared" si="24"/>
        <v>0</v>
      </c>
      <c r="BO51" s="230">
        <f t="shared" ca="1" si="25"/>
        <v>0</v>
      </c>
      <c r="BP51" s="23"/>
      <c r="BQ51" s="909" t="str">
        <f t="shared" si="26"/>
        <v>PEMKAB TOJO UNA UNAAPR</v>
      </c>
      <c r="BR51" s="24"/>
      <c r="BS51" s="31"/>
      <c r="BT51" s="109">
        <f t="shared" si="78"/>
        <v>0</v>
      </c>
      <c r="BU51" s="109">
        <f t="shared" ca="1" si="79"/>
        <v>0</v>
      </c>
      <c r="BV51" s="31"/>
      <c r="BW51" s="109">
        <f>SUMIF(Bill_Out!$Q$263:$Q$314,CONCATENATE($C51,$CI$3),Bill_Out!$N$263:$N$314)</f>
        <v>0</v>
      </c>
      <c r="BX51" s="109">
        <f>SUMIF(Bill_Out!$Q$263:$Q$314,CONCATENATE($C51,$CI$3),Bill_Out!$O$263:$O$314)</f>
        <v>0</v>
      </c>
      <c r="BY51" s="157"/>
      <c r="BZ51" s="310">
        <f>SUMIF(Master_Data!$AK$4:$AK$145,CONCATENATE(C51,$CI$3),Master_Data!$R$4:$R$145)+SUMIF(Master_Data!$AK$152:$AK$864,CONCATENATE(C51,$CI$3),Master_Data!$R$152:$R$864)</f>
        <v>0</v>
      </c>
      <c r="CA51" s="310">
        <f>SUMIF(Master_Data!$AK$4:$AK$145,CONCATENATE(C51,$CI$3),Master_Data!$Q$4:$Q$145)+SUMIF(Master_Data!$AK$152:$AK$864,CONCATENATE(C51,$CI$3),Master_Data!$Q$152:$Q$864)</f>
        <v>0</v>
      </c>
      <c r="CB51" s="310">
        <f>SUMIF(Master_Data!$AK$4:$AK$145,CONCATENATE(C51,$CI$3),Master_Data!$U$4:$U$145)+SUMIF(Master_Data!$AK$152:$AK$864,CONCATENATE(C51,$CI$3),Master_Data!$U$152:$U$864)</f>
        <v>0</v>
      </c>
      <c r="CC51" s="230">
        <f>SUMIF(Master_Data!$AK$4:$AK$145,CONCATENATE(C51,$CI$3),Master_Data!$S$4:$S$145)+SUMIF(Master_Data!$AK$152:$AK$864,CONCATENATE(C51,$CI$3),Master_Data!$S$152:$S$864)</f>
        <v>0</v>
      </c>
      <c r="CD51" s="39">
        <f>SUMIF(Master_Data!$AK$152:$AK$864,CONCATENATE($C51,CI$3),Master_Data!$T$152:$T$864)</f>
        <v>0</v>
      </c>
      <c r="CE51" s="310">
        <f t="shared" si="27"/>
        <v>0</v>
      </c>
      <c r="CF51" s="230">
        <f t="shared" ca="1" si="28"/>
        <v>0</v>
      </c>
      <c r="CG51" s="23"/>
      <c r="CH51" s="235" t="str">
        <f t="shared" si="29"/>
        <v>PEMKAB TOJO UNA UNAMEI</v>
      </c>
      <c r="CI51" s="24"/>
      <c r="CJ51" s="31"/>
      <c r="CK51" s="109">
        <f t="shared" si="30"/>
        <v>0</v>
      </c>
      <c r="CL51" s="238">
        <f t="shared" ca="1" si="31"/>
        <v>0</v>
      </c>
      <c r="CM51" s="31"/>
      <c r="CN51" s="238">
        <f>SUMIF(Bill_Out!$Q$318:$Q$371,CONCATENATE($C51,$CZ$3),Bill_Out!$N$318:$N$371)</f>
        <v>0</v>
      </c>
      <c r="CO51" s="238">
        <f>SUMIF(Bill_Out!$Q$318:$Q$371,CONCATENATE($C51,$CZ$3),Bill_Out!$O$318:$O$371)</f>
        <v>0</v>
      </c>
      <c r="CP51" s="157"/>
      <c r="CQ51" s="230">
        <f>SUMIF(Master_Data!$AK$4:$AK$145,CONCATENATE($C51,$CZ$3),Master_Data!$R$4:$R$145)+SUMIF(Master_Data!$AK$152:$AK$864,CONCATENATE($C51,$CZ$3),Master_Data!$R$152:$R$864)</f>
        <v>0</v>
      </c>
      <c r="CR51" s="230">
        <f>SUMIF(Master_Data!$AK$4:$AK$145,CONCATENATE($C51,$CZ$3),Master_Data!$Q$4:$Q$145)+SUMIF(Master_Data!$AK$152:$AK$864,CONCATENATE($C51,$CZ$3),Master_Data!$Q$152:$Q$864)</f>
        <v>0</v>
      </c>
      <c r="CS51" s="230">
        <f>SUMIF(Master_Data!$AK$4:$AK$145,CONCATENATE($C51,$CZ$3),Master_Data!$U$4:$U$145)+SUMIF(Master_Data!$AK$152:$AK$864,CONCATENATE($C51,$CZ$3),Master_Data!$U$152:$U$864)</f>
        <v>0</v>
      </c>
      <c r="CT51" s="230">
        <f ca="1">SUMIF(Master_Data!$AK$4:$AK$145,CONCATENATE(C51,$CZ$3),Master_Data!$S$4:$S$145)+SUMIF(Master_Data!$AK$152:$AK$915,CONCATENATE(C51,$CZ$3),Master_Data!$S$152:$S$864)</f>
        <v>0</v>
      </c>
      <c r="CU51" s="1010">
        <f>SUMIF(Master_Data!$AK$4:$AK$145,CONCATENATE(C51,$CZ$3),Master_Data!$T$4:$T$145)+SUMIF(Master_Data!$AK$152:$AK$864,CONCATENATE(C51,$CZ$3),Master_Data!$T$152:$T$864)</f>
        <v>0</v>
      </c>
      <c r="CV51" s="230">
        <f t="shared" si="32"/>
        <v>0</v>
      </c>
      <c r="CW51" s="230">
        <f t="shared" ca="1" si="33"/>
        <v>0</v>
      </c>
      <c r="CX51" s="23"/>
      <c r="CY51" s="1007" t="str">
        <f t="shared" si="6"/>
        <v>PEMKAB TOJO UNA UNAJUN</v>
      </c>
      <c r="CZ51" s="24"/>
      <c r="DA51" s="31"/>
      <c r="DB51" s="109">
        <f t="shared" si="34"/>
        <v>0</v>
      </c>
      <c r="DC51" s="109">
        <f t="shared" ca="1" si="35"/>
        <v>0</v>
      </c>
      <c r="DD51" s="31"/>
      <c r="DE51" s="109">
        <f>SUMIF(Bill_Out!$Q$375:$Q$422,CONCATENATE($C51,$DQ$3),Bill_Out!$N$375:$N$422)</f>
        <v>0</v>
      </c>
      <c r="DF51" s="109">
        <f>SUMIF(Bill_Out!$Q$375:$Q$422,CONCATENATE($C51,$DQ$3),Bill_Out!$O$375:$O$422)</f>
        <v>0</v>
      </c>
      <c r="DG51" s="157"/>
      <c r="DH51" s="310">
        <f>SUMIF(Master_Data!$AK$4:$AK$145,CONCATENATE($C51,$DQ$3),Master_Data!$R$4:$R$145)+SUMIF(Master_Data!$AK$152:$AK$864,CONCATENATE($C51,$DQ$3),Master_Data!$R$152:$R$864)</f>
        <v>0</v>
      </c>
      <c r="DI51" s="310">
        <f>SUMIF(Master_Data!$AK$4:$AK$145,CONCATENATE($C51,$DQ$3),Master_Data!$Q$4:$Q$145)+SUMIF(Master_Data!$AK$152:$AK$864,CONCATENATE($C51,$DQ$3),Master_Data!$Q$152:$Q$864)</f>
        <v>0</v>
      </c>
      <c r="DJ51" s="310">
        <f>SUMIF(Master_Data!$AK$4:$AK$145,CONCATENATE($C51,$DQ$3),Master_Data!$U$4:$U$145)+SUMIF(Master_Data!$AK$152:$AK$864,CONCATENATE($C51,$DQ$3),Master_Data!$U$152:$U$864)</f>
        <v>0</v>
      </c>
      <c r="DK51" s="310">
        <f>SUMIF(Master_Data!$AK$4:$AK$145,CONCATENATE($C51,$DQ$3),Master_Data!$S$4:$S$145)+SUMIF(Master_Data!$AK$152:$AK$864,CONCATENATE($C51,$DQ$3),Master_Data!$S$152:$S$864)</f>
        <v>0</v>
      </c>
      <c r="DL51" s="39">
        <f>SUMIF(Master_Data!$AK$152:$AK$915,CONCATENATE($C51,DQ$3),Master_Data!$T$152:$T$915)</f>
        <v>0</v>
      </c>
      <c r="DM51" s="230">
        <f t="shared" si="67"/>
        <v>0</v>
      </c>
      <c r="DN51" s="230">
        <f t="shared" ca="1" si="68"/>
        <v>0</v>
      </c>
      <c r="DO51" s="23"/>
      <c r="DP51" s="358" t="str">
        <f t="shared" si="9"/>
        <v>PEMKAB TOJO UNA UNAJUL</v>
      </c>
      <c r="DQ51" s="24"/>
      <c r="DR51" s="392"/>
      <c r="DS51" s="109">
        <f t="shared" si="36"/>
        <v>0</v>
      </c>
      <c r="DT51" s="109">
        <f t="shared" ca="1" si="37"/>
        <v>0</v>
      </c>
      <c r="DU51" s="31"/>
      <c r="DV51" s="109">
        <f>SUMIF(Bill_Out!$Q$426:$Q$472,CONCATENATE($C51,$EH$3),Bill_Out!$N$426:$N$472)</f>
        <v>0</v>
      </c>
      <c r="DW51" s="109">
        <f>SUMIF(Bill_Out!$Q$426:$Q$472,CONCATENATE($C51,$EH$3),Bill_Out!$O$426:$O$472)</f>
        <v>0</v>
      </c>
      <c r="DX51" s="157"/>
      <c r="DY51" s="310">
        <f>SUMIF(Master_Data!$AK$4:$AK$145,CONCATENATE($C51,$EH$3),Master_Data!$R$4:$R$145)+SUMIF(Master_Data!$AK$152:$AK$864,CONCATENATE($C51,$EH$3),Master_Data!$R$152:$R$864)</f>
        <v>0</v>
      </c>
      <c r="DZ51" s="310">
        <f>SUMIF(Master_Data!$AK$4:$AK$145,CONCATENATE($C51,$EH$3),Master_Data!$Q$4:$Q$145)+SUMIF(Master_Data!$AK$152:$AK$864,CONCATENATE($C51,$EH$3),Master_Data!$Q$152:$Q$864)</f>
        <v>0</v>
      </c>
      <c r="EA51" s="310">
        <f>SUMIF(Master_Data!$AK$4:$AK$145,CONCATENATE($C51,$EH$3),Master_Data!$U$4:$U$145)+SUMIF(Master_Data!$AK$152:$AK$864,CONCATENATE($C51,$EH$3),Master_Data!$U$152:$U$864)</f>
        <v>0</v>
      </c>
      <c r="EB51" s="310">
        <f>SUMIF(Master_Data!$AK$4:$AK$145,CONCATENATE($C51,$EH$3),Master_Data!$S$4:$S$145)+SUMIF(Master_Data!$AK$152:$AK$864,CONCATENATE($C51,$EH$3),Master_Data!$S$152:$S$864)</f>
        <v>0</v>
      </c>
      <c r="EC51" s="39">
        <f>SUMIF(Master_Data!$AK$152:$AK$915,CONCATENATE($C51,EH$3),Master_Data!$T$152:$T$915)</f>
        <v>0</v>
      </c>
      <c r="ED51" s="310">
        <f t="shared" si="38"/>
        <v>0</v>
      </c>
      <c r="EE51" s="230">
        <f t="shared" ca="1" si="39"/>
        <v>0</v>
      </c>
      <c r="EF51" s="23"/>
      <c r="EG51" s="358" t="str">
        <f t="shared" si="10"/>
        <v>PEMKAB TOJO UNA UNAAGS</v>
      </c>
      <c r="EH51" s="24"/>
      <c r="EI51" s="392"/>
      <c r="EJ51" s="109">
        <f t="shared" si="47"/>
        <v>0</v>
      </c>
      <c r="EK51" s="109">
        <f t="shared" ca="1" si="48"/>
        <v>0</v>
      </c>
      <c r="EL51" s="84"/>
      <c r="EM51" s="109">
        <f>SUMIF(Bill_Out!$Q$476:$Q$530,CONCATENATE($C51,$EY$3),Bill_Out!$N$476:$N$530)</f>
        <v>0</v>
      </c>
      <c r="EN51" s="109">
        <f>SUMIF(Bill_Out!$Q$476:$Q$530,CONCATENATE($C51,$EY$3),Bill_Out!$O$476:$O$530)</f>
        <v>0</v>
      </c>
      <c r="EO51" s="309"/>
      <c r="EP51" s="310">
        <f>SUMIF(Master_Data!$AK$4:$AK$145,CONCATENATE($C51,$EY$3),Master_Data!$R$4:$R$145)+SUMIF(Master_Data!$AK$152:$AK$864,CONCATENATE($C51,$EY$3),Master_Data!$R$152:$R$864)</f>
        <v>0</v>
      </c>
      <c r="EQ51" s="310">
        <f>SUMIF(Master_Data!$AK$4:$AK$145,CONCATENATE($C51,$EY$3),Master_Data!$Q$4:$Q$145)+SUMIF(Master_Data!$AK$152:$AK$864,CONCATENATE($C51,$EY$3),Master_Data!$Q$152:$Q$864)</f>
        <v>0</v>
      </c>
      <c r="ER51" s="310">
        <f>SUMIF(Master_Data!$AK$4:$AK$145,CONCATENATE($C51,$EY$3),Master_Data!$U$4:$U$145)+SUMIF(Master_Data!$AK$152:$AK$864,CONCATENATE($C51,$EY$3),Master_Data!$U$152:$U$864)</f>
        <v>0</v>
      </c>
      <c r="ES51" s="310">
        <f>SUMIF(Master_Data!$AK$4:$AK$145,CONCATENATE($C51,$EY$3),Master_Data!$S$4:$S$145)+SUMIF(Master_Data!$AK$152:$AK$864,CONCATENATE($C51,$EY$3),Master_Data!$S$152:$S$864)</f>
        <v>0</v>
      </c>
      <c r="ET51" s="39">
        <f>SUMIF(Master_Data!$AK$152:$AK$915,CONCATENATE($C51,EY$3),Master_Data!$T$152:$T$915)</f>
        <v>0</v>
      </c>
      <c r="EU51" s="310">
        <f t="shared" si="49"/>
        <v>0</v>
      </c>
      <c r="EV51" s="230"/>
      <c r="EW51" s="84"/>
      <c r="EX51" s="358" t="str">
        <f t="shared" si="11"/>
        <v>PEMKAB TOJO UNA UNASEP</v>
      </c>
      <c r="EY51" s="24"/>
      <c r="EZ51" s="415"/>
      <c r="FA51" s="109">
        <f t="shared" si="88"/>
        <v>0</v>
      </c>
      <c r="FB51" s="109">
        <f t="shared" si="89"/>
        <v>0</v>
      </c>
      <c r="FC51" s="420"/>
      <c r="FD51" s="109">
        <f>SUMIF(Bill_Out!$Q$534:$Q$606,CONCATENATE($C51,$FP$3),Bill_Out!$N$534:$N$606)</f>
        <v>0</v>
      </c>
      <c r="FE51" s="109">
        <f>SUMIF(Bill_Out!$Q$534:$Q$606,CONCATENATE($C51,$FP$3),Bill_Out!$O$534:$O$606)</f>
        <v>0</v>
      </c>
      <c r="FF51" s="157"/>
      <c r="FG51" s="310">
        <f>SUMIF(Master_Data!$AK$4:$AK$145,CONCATENATE($C51,$FP$3),Master_Data!$R$4:$R$145)+SUMIF(Master_Data!$AK$152:$AK$864,CONCATENATE($C51,$FP$3),Master_Data!$R$152:$R$864)</f>
        <v>0</v>
      </c>
      <c r="FH51" s="310">
        <f>SUMIF(Master_Data!$AK$4:$AK$145,CONCATENATE($C51,$FP$3),Master_Data!$Q$4:$Q$145)+SUMIF(Master_Data!$AK$152:$AK$864,CONCATENATE($C51,$FP$3),Master_Data!$Q$152:$Q$864)</f>
        <v>0</v>
      </c>
      <c r="FI51" s="310">
        <f>SUMIF(Master_Data!$AK$4:$AK$145,CONCATENATE($C51,$FP$3),Master_Data!$U$4:$U$145)+SUMIF(Master_Data!$AK$152:$AK$864,CONCATENATE($C51,$FP$3),Master_Data!$U$152:$U$864)</f>
        <v>0</v>
      </c>
      <c r="FJ51" s="310">
        <f>SUMIF(Master_Data!$AK$4:$AK$145,CONCATENATE($C51,$FP$3),Master_Data!$S$4:$S$145)+SUMIF(Master_Data!$AK$152:$AK$864,CONCATENATE($C51,$FP$3),Master_Data!$S$152:$S$864)</f>
        <v>0</v>
      </c>
      <c r="FK51" s="39">
        <f>SUMIF(Master_Data!$AK$152:$AK$915,CONCATENATE($C51,FP$3),Master_Data!$T$152:$T$915)</f>
        <v>0</v>
      </c>
      <c r="FL51" s="230">
        <f t="shared" si="90"/>
        <v>0</v>
      </c>
      <c r="FM51" s="230">
        <f t="shared" si="12"/>
        <v>0</v>
      </c>
      <c r="FN51" s="23"/>
      <c r="FO51" s="358" t="str">
        <f t="shared" si="80"/>
        <v>PEMKAB TOJO UNA UNAOKT</v>
      </c>
      <c r="FP51" s="24"/>
      <c r="FQ51" s="415"/>
      <c r="FR51" s="109">
        <f t="shared" si="91"/>
        <v>0</v>
      </c>
      <c r="FS51" s="109">
        <f t="shared" si="92"/>
        <v>0</v>
      </c>
      <c r="FT51" s="420"/>
      <c r="FU51" s="109">
        <f>SUMIF(Bill_Out!$Q$610:$Q$675,CONCATENATE($C51,$GG$3),Bill_Out!$N$610:$N$675)</f>
        <v>0</v>
      </c>
      <c r="FV51" s="109">
        <f>SUMIF(Bill_Out!$Q$610:$Q$675,CONCATENATE($C51,$GG$3),Bill_Out!$O$610:$O$675)</f>
        <v>0</v>
      </c>
      <c r="FW51" s="157"/>
      <c r="FX51" s="512">
        <f>SUMIF(Master_Data!$AK$4:$AK$145,CONCATENATE($C51,$GG$3),Master_Data!$R$4:$R$145)+SUMIF(Master_Data!$AK$152:$AK$864,CONCATENATE($C51,$GG$3),Master_Data!$R$152:$R$864)</f>
        <v>0</v>
      </c>
      <c r="FY51" s="512">
        <f>SUMIF(Master_Data!$AK$4:$AK$145,CONCATENATE($C51,$GG$3),Master_Data!$Q$4:$Q$145)+SUMIF(Master_Data!$AK$152:$AK$864,CONCATENATE($C51,$GG$3),Master_Data!$Q$152:$Q$864)</f>
        <v>0</v>
      </c>
      <c r="FZ51" s="512">
        <f>SUMIF(Master_Data!$AK$4:$AK$145,CONCATENATE($C51,$GG$3),Master_Data!$U$4:$U$145)+SUMIF(Master_Data!$AK$152:$AK$864,CONCATENATE($C51,$GG$3),Master_Data!$U$152:$U$864)</f>
        <v>0</v>
      </c>
      <c r="GA51" s="310">
        <f>SUMIF(Master_Data!$AK$4:$AK$145,CONCATENATE($C51,$GG$3),Master_Data!$S$4:$S$145)+SUMIF(Master_Data!$AK$152:$AK$864,CONCATENATE($C51,$GG$3),Master_Data!$S$152:$S$864)</f>
        <v>0</v>
      </c>
      <c r="GB51" s="39">
        <f>SUMIF(Master_Data!$AK$152:$AK$915,CONCATENATE($C51,GG$3),Master_Data!$T$152:$T$915)</f>
        <v>0</v>
      </c>
      <c r="GC51" s="230">
        <f t="shared" si="93"/>
        <v>0</v>
      </c>
      <c r="GD51" s="230">
        <f t="shared" si="14"/>
        <v>0</v>
      </c>
      <c r="GE51" s="23"/>
      <c r="GF51" s="358" t="str">
        <f t="shared" si="81"/>
        <v>PEMKAB TOJO UNA UNANOV</v>
      </c>
      <c r="GG51" s="24"/>
      <c r="GH51" s="415"/>
      <c r="GI51" s="109">
        <f t="shared" si="70"/>
        <v>0</v>
      </c>
      <c r="GJ51" s="109">
        <f t="shared" si="71"/>
        <v>0</v>
      </c>
      <c r="GK51" s="423"/>
      <c r="GL51" s="109">
        <f>SUMIF(Bill_Out!$Q$679:$Q$756,CONCATENATE($C51,$GX$3),Bill_Out!$N$679:$N$756)</f>
        <v>0</v>
      </c>
      <c r="GM51" s="109">
        <f>SUMIF(Bill_Out!$Q$679:$Q$756,CONCATENATE($C51,$GX$3),Bill_Out!$O$679:$O$756)</f>
        <v>0</v>
      </c>
      <c r="GN51" s="157"/>
      <c r="GO51" s="512">
        <f>SUMIF(Master_Data!$AK$4:$AK$145,CONCATENATE($C51,$GX$3),Master_Data!$R$4:$R$145)+SUMIF(Master_Data!$AK$152:$AK$864,CONCATENATE($C51,$GX$3),Master_Data!$R$152:$R$864)</f>
        <v>0</v>
      </c>
      <c r="GP51" s="512">
        <f>SUMIF(Master_Data!$AK$4:$AK$145,CONCATENATE($C51,$GX$3),Master_Data!$Q$4:$Q$145)+SUMIF(Master_Data!$AK$152:$AK$864,CONCATENATE($C51,$GX$3),Master_Data!$Q$152:$Q$864)</f>
        <v>0</v>
      </c>
      <c r="GQ51" s="512">
        <f>SUMIF(Master_Data!$AK$4:$AK$145,CONCATENATE($C51,$GX$3),Master_Data!$U$4:$U$145)+SUMIF(Master_Data!$AK$152:$AK$864,CONCATENATE($C51,$GX$3),Master_Data!$U$152:$U$864)</f>
        <v>0</v>
      </c>
      <c r="GR51" s="310">
        <f>SUMIF(Master_Data!$AK$4:$AK$145,CONCATENATE($C51,$GX$3),Master_Data!$S$4:$S$145)+SUMIF(Master_Data!$AK$152:$AK$864,CONCATENATE($C51,$GX$3),Master_Data!$S$152:$S$864)</f>
        <v>0</v>
      </c>
      <c r="GS51" s="39">
        <f>SUMIF(Master_Data!$AK$152:$AK$864,CONCATENATE($C51,GX$3),Master_Data!$T$152:$T$864)</f>
        <v>0</v>
      </c>
      <c r="GT51" s="534">
        <f t="shared" si="44"/>
        <v>0</v>
      </c>
      <c r="GU51" s="310">
        <f t="shared" si="16"/>
        <v>0</v>
      </c>
      <c r="GV51" s="23"/>
      <c r="GW51" s="358" t="str">
        <f t="shared" si="87"/>
        <v>PEMKAB TOJO UNA UNADES</v>
      </c>
      <c r="GX51" s="24"/>
    </row>
    <row r="52" spans="1:206" s="19" customFormat="1">
      <c r="A52" s="21" t="s">
        <v>382</v>
      </c>
      <c r="B52" s="236" t="str">
        <f t="shared" si="18"/>
        <v>PERKEBUNAN NUSANTARA XIII, PTJAN</v>
      </c>
      <c r="C52" s="8" t="s">
        <v>2194</v>
      </c>
      <c r="D52" s="23"/>
      <c r="E52" s="109">
        <f>SUMIF(Master_Data!$D43:$D$145,CONCATENATE(C52),Master_Data!M43:M868)</f>
        <v>0</v>
      </c>
      <c r="F52" s="109">
        <f>SUMIF(Master_Data!$D49:$D$145,CONCATENATE(C52),Master_Data!N49:N239)</f>
        <v>0</v>
      </c>
      <c r="G52" s="31"/>
      <c r="H52" s="109">
        <f>SUMIF(Bill_Out!$Q$3:$Q$65,CONCATENATE($C52,$S$3),Bill_Out!$N$3:$N$65)</f>
        <v>0</v>
      </c>
      <c r="I52" s="88">
        <f>SUMIF(Bill_Out!$Q$3:$Q$65,CONCATENATE($C52,$S$3),Bill_Out!$O$3:$O$65)</f>
        <v>0</v>
      </c>
      <c r="J52" s="157"/>
      <c r="K52" s="29"/>
      <c r="L52" s="44"/>
      <c r="M52" s="230">
        <f>SUMIF(Master_Data!$AK48:$AK$145,CONCATENATE(C52,$S$3),Master_Data!U48:U325)+SUMIF(Master_Data!$AK364:$AK$864,CONCATENATE(C52,$S$3),Master_Data!U364:U1147)</f>
        <v>0</v>
      </c>
      <c r="N52" s="310">
        <f>SUMIF(Master_Data!$AK$4:$AK$145,CONCATENATE(C52,$S$3),Master_Data!$S$4:$S$145)+SUMIF(Master_Data!$AK$150:$AK$864,CONCATENATE(C52,$S$3),Master_Data!$S$150:$S$864)</f>
        <v>0</v>
      </c>
      <c r="O52" s="310">
        <f>SUMIF(Master_Data!$AK$4:$AK$145,CONCATENATE(C52,$S$3),Master_Data!$T$4:$T$145)+SUMIF(Master_Data!$AK$150:$AK$864,CONCATENATE(C52,$S$3),Master_Data!$T$150:$T$864)</f>
        <v>0</v>
      </c>
      <c r="P52" s="230">
        <f>E52+H52-K52+L52</f>
        <v>0</v>
      </c>
      <c r="Q52" s="230">
        <f>F52+I52-M52+N52+O52</f>
        <v>0</v>
      </c>
      <c r="R52" s="23"/>
      <c r="S52" s="24"/>
      <c r="T52" s="31"/>
      <c r="U52" s="109">
        <f>P52</f>
        <v>0</v>
      </c>
      <c r="V52" s="109">
        <f>Q52</f>
        <v>0</v>
      </c>
      <c r="W52" s="31"/>
      <c r="X52" s="109">
        <f>SUMIF(Bill_Out!$Q$67:$Q$132,CONCATENATE($C52,$AJ$3),Bill_Out!$N$67:$N$132)</f>
        <v>0</v>
      </c>
      <c r="Y52" s="109" t="e">
        <f>SUMIF(Bill_Out!$Q$67:$Q$132,CONCATENATE($C52,$AJ$3),Bill_Out!$O$67:$O$132)</f>
        <v>#VALUE!</v>
      </c>
      <c r="Z52" s="157"/>
      <c r="AA52" s="230">
        <f>SUMIF(Master_Data!$AK$4:$AK$145,CONCATENATE(C52,$AJ$3),Master_Data!$R$4:$R$145)+SUMIF(Master_Data!$AK$152:$AK$850,CONCATENATE(C52,$AJ$3),Master_Data!$R$152:$R$850)</f>
        <v>0</v>
      </c>
      <c r="AB52" s="230">
        <f>SUMIF(Master_Data!$AK$4:$AK$145,CONCATENATE(C52,$AJ$3),Master_Data!$Q$4:$Q$145)+SUMIF(Master_Data!$AK$152:$AK$850,CONCATENATE(C52,$AJ$3),Master_Data!$Q$152:$Q$850)</f>
        <v>0</v>
      </c>
      <c r="AC52" s="230">
        <f>SUMIF(Master_Data!$AK$4:$AK$145,CONCATENATE(C52,$AJ$3),Master_Data!$U$4:$U$145)+SUMIF(Master_Data!$AK$152:$AK$850,CONCATENATE(C52,$AJ$3),Master_Data!$U$152:$U$850)</f>
        <v>0</v>
      </c>
      <c r="AD52" s="310">
        <f ca="1">SUMIF(Master_Data!$AK$4:$AK$145,CONCATENATE(C52,$AJ$3),Master_Data!$S$4:$S$145)+SUMIF(Master_Data!$AK$152:$AK$864,CONCATENATE(C52,$AJ$3),Master_Data!$S$152:$S$850)</f>
        <v>0</v>
      </c>
      <c r="AE52" s="310">
        <f>SUMIF(Master_Data!$AK$4:$AK$145,CONCATENATE(C52,$AJ$3),Master_Data!$T$4:$T$145)+SUMIF(Master_Data!$AK$152:$AK$864,CONCATENATE(C52,$AJ$3),Master_Data!$T$152:$T$864)</f>
        <v>0</v>
      </c>
      <c r="AF52" s="230">
        <f t="shared" si="63"/>
        <v>0</v>
      </c>
      <c r="AG52" s="230" t="e">
        <f t="shared" ca="1" si="64"/>
        <v>#VALUE!</v>
      </c>
      <c r="AH52" s="23"/>
      <c r="AI52" s="235" t="str">
        <f t="shared" si="86"/>
        <v>PERKEBUNAN NUSANTARA XIII, PTFEB</v>
      </c>
      <c r="AJ52" s="24"/>
      <c r="AK52" s="31"/>
      <c r="AL52" s="109">
        <f t="shared" si="65"/>
        <v>0</v>
      </c>
      <c r="AM52" s="109" t="e">
        <f t="shared" ca="1" si="66"/>
        <v>#VALUE!</v>
      </c>
      <c r="AN52" s="31"/>
      <c r="AO52" s="109">
        <f>SUMIF(Bill_Out!$Q$134:$Q$188,CONCATENATE($C52,$BA$3),Bill_Out!$N$134:$N$188)</f>
        <v>0</v>
      </c>
      <c r="AP52" s="109">
        <f>SUMIF(Bill_Out!$Q$134:$Q$188,CONCATENATE($C52,$BA$3),Bill_Out!$O$134:$O$188)</f>
        <v>0</v>
      </c>
      <c r="AQ52" s="157"/>
      <c r="AR52" s="230">
        <f>SUMIF(Master_Data!$AK$4:$AK$145,CONCATENATE(C52,$BA$3),Master_Data!$R$4:$R$145)+SUMIF(Master_Data!$AK$152:$AK$864,CONCATENATE(C52,$BA$3),Master_Data!$R$152:$R$864)</f>
        <v>0</v>
      </c>
      <c r="AS52" s="230">
        <f>SUMIF(Master_Data!$AK$4:$AK$145,CONCATENATE(C52,$BA$3),Master_Data!$Q$4:$Q$145)+SUMIF(Master_Data!$AK$152:$AK$864,CONCATENATE(C52,$BA$3),Master_Data!$Q$152:$Q$864)</f>
        <v>0</v>
      </c>
      <c r="AT52" s="230">
        <f>SUMIF(Master_Data!$AK$4:$AK$145,CONCATENATE(C52,$BA$3),Master_Data!$U$4:$U$145)+SUMIF(Master_Data!$AK$152:$AK$864,CONCATENATE(C52,$BA$3),Master_Data!$U$152:$U$864)</f>
        <v>7700000</v>
      </c>
      <c r="AU52" s="230">
        <f ca="1">SUMIF(Master_Data!$AK$4:$AK$145,CONCATENATE(C52,$BA$3),Master_Data!$S$4:$S$145)+SUMIF(Master_Data!$AK$152:$AK$864,CONCATENATE(C52,$BA$3),Master_Data!$S$152:$S$850)</f>
        <v>0</v>
      </c>
      <c r="AV52" s="39">
        <f>SUMIF(Master_Data!$AK$152:$AK$864,CONCATENATE($C52,BA$3),Master_Data!$T$152:$T$864)</f>
        <v>0</v>
      </c>
      <c r="AW52" s="230">
        <f t="shared" si="57"/>
        <v>0</v>
      </c>
      <c r="AX52" s="230" t="e">
        <f t="shared" ca="1" si="58"/>
        <v>#VALUE!</v>
      </c>
      <c r="AY52" s="23"/>
      <c r="AZ52" s="235" t="str">
        <f t="shared" si="21"/>
        <v>PERKEBUNAN NUSANTARA XIII, PTMAR</v>
      </c>
      <c r="BA52" s="24"/>
      <c r="BB52" s="31"/>
      <c r="BC52" s="109">
        <f t="shared" si="22"/>
        <v>0</v>
      </c>
      <c r="BD52" s="109" t="e">
        <f t="shared" ca="1" si="23"/>
        <v>#VALUE!</v>
      </c>
      <c r="BE52" s="31"/>
      <c r="BF52" s="109">
        <f>SUMIF(Bill_Out!$Q$192:$Q$258,CONCATENATE($C52,$BR$3),Bill_Out!$N$192:$N$258)</f>
        <v>0</v>
      </c>
      <c r="BG52" s="109">
        <f>SUMIF(Bill_Out!$Q$192:$Q$258,CONCATENATE($C52,$BR$3),Bill_Out!$O$192:$O$258)</f>
        <v>0</v>
      </c>
      <c r="BH52" s="157"/>
      <c r="BI52" s="230">
        <f>SUMIF(Master_Data!$AK$4:$AK$145,CONCATENATE(C52,$BR$3),Master_Data!$R$4:$R$145)+SUMIF(Master_Data!$AK$152:$AK$864,CONCATENATE(C52,$BR$3),Master_Data!$R$152:$R$864)</f>
        <v>0</v>
      </c>
      <c r="BJ52" s="230">
        <f>SUMIF(Master_Data!$AK$4:$AK$145,CONCATENATE(C52,$BR$3),Master_Data!$Q$4:$Q$145)+SUMIF(Master_Data!$AK$152:$AK$864,CONCATENATE(C52,$BR$3),Master_Data!$Q$152:$Q$864)</f>
        <v>0</v>
      </c>
      <c r="BK52" s="230">
        <f>SUMIF(Master_Data!$AK$4:$AK$145,CONCATENATE(C52,$BR$3),Master_Data!$U$4:$U$145)+SUMIF(Master_Data!$AK$152:$AK$864,CONCATENATE(C52,$BR$3),Master_Data!$U$152:$U$864)</f>
        <v>0</v>
      </c>
      <c r="BL52" s="230">
        <f>SUMIF(Master_Data!$AK$4:$AK$145,CONCATENATE(C52,$BR$3),Master_Data!$S$4:$S$145)+SUMIF(Master_Data!$AK$152:$AK$864,CONCATENATE(C52,$BR$3),Master_Data!$S$152:$S$864)</f>
        <v>0</v>
      </c>
      <c r="BM52" s="39">
        <f>SUMIF(Master_Data!$AK$152:$AK$864,CONCATENATE($C52,BR$3),Master_Data!$T$152:$T$864)</f>
        <v>0</v>
      </c>
      <c r="BN52" s="230">
        <f t="shared" si="24"/>
        <v>0</v>
      </c>
      <c r="BO52" s="230" t="e">
        <f t="shared" ca="1" si="25"/>
        <v>#VALUE!</v>
      </c>
      <c r="BP52" s="23"/>
      <c r="BQ52" s="909" t="str">
        <f t="shared" si="26"/>
        <v>PERKEBUNAN NUSANTARA XIII, PTAPR</v>
      </c>
      <c r="BR52" s="24"/>
      <c r="BS52" s="31"/>
      <c r="BT52" s="109">
        <f t="shared" si="78"/>
        <v>0</v>
      </c>
      <c r="BU52" s="109" t="e">
        <f t="shared" ca="1" si="79"/>
        <v>#VALUE!</v>
      </c>
      <c r="BV52" s="31"/>
      <c r="BW52" s="109">
        <f>SUMIF(Bill_Out!$Q$263:$Q$314,CONCATENATE($C52,$CI$3),Bill_Out!$N$263:$N$314)</f>
        <v>0</v>
      </c>
      <c r="BX52" s="109">
        <f>SUMIF(Bill_Out!$Q$263:$Q$314,CONCATENATE($C52,$CI$3),Bill_Out!$O$263:$O$314)</f>
        <v>0</v>
      </c>
      <c r="BY52" s="157"/>
      <c r="BZ52" s="310">
        <f>SUMIF(Master_Data!$AK$4:$AK$145,CONCATENATE(C52,$CI$3),Master_Data!$R$4:$R$145)+SUMIF(Master_Data!$AK$152:$AK$864,CONCATENATE(C52,$CI$3),Master_Data!$R$152:$R$864)</f>
        <v>0</v>
      </c>
      <c r="CA52" s="310">
        <f>SUMIF(Master_Data!$AK$4:$AK$145,CONCATENATE(C52,$CI$3),Master_Data!$Q$4:$Q$145)+SUMIF(Master_Data!$AK$152:$AK$864,CONCATENATE(C52,$CI$3),Master_Data!$Q$152:$Q$864)</f>
        <v>0</v>
      </c>
      <c r="CB52" s="310">
        <f>SUMIF(Master_Data!$AK$4:$AK$145,CONCATENATE(C52,$CI$3),Master_Data!$U$4:$U$145)+SUMIF(Master_Data!$AK$152:$AK$864,CONCATENATE(C52,$CI$3),Master_Data!$U$152:$U$864)</f>
        <v>0</v>
      </c>
      <c r="CC52" s="230">
        <f>SUMIF(Master_Data!$AK$4:$AK$145,CONCATENATE(C52,$CI$3),Master_Data!$S$4:$S$145)+SUMIF(Master_Data!$AK$152:$AK$864,CONCATENATE(C52,$CI$3),Master_Data!$S$152:$S$864)</f>
        <v>0</v>
      </c>
      <c r="CD52" s="39">
        <f>SUMIF(Master_Data!$AK$152:$AK$864,CONCATENATE($C52,CI$3),Master_Data!$T$152:$T$864)</f>
        <v>0</v>
      </c>
      <c r="CE52" s="310">
        <f t="shared" si="27"/>
        <v>0</v>
      </c>
      <c r="CF52" s="230" t="e">
        <f t="shared" ca="1" si="28"/>
        <v>#VALUE!</v>
      </c>
      <c r="CG52" s="23"/>
      <c r="CH52" s="235" t="str">
        <f t="shared" si="29"/>
        <v>PERKEBUNAN NUSANTARA XIII, PTMEI</v>
      </c>
      <c r="CI52" s="24"/>
      <c r="CJ52" s="31"/>
      <c r="CK52" s="109">
        <f t="shared" si="30"/>
        <v>0</v>
      </c>
      <c r="CL52" s="238" t="e">
        <f t="shared" ca="1" si="31"/>
        <v>#VALUE!</v>
      </c>
      <c r="CM52" s="31"/>
      <c r="CN52" s="238">
        <f>SUMIF(Bill_Out!$Q$318:$Q$371,CONCATENATE($C52,$CZ$3),Bill_Out!$N$318:$N$371)</f>
        <v>0</v>
      </c>
      <c r="CO52" s="238">
        <f>SUMIF(Bill_Out!$Q$318:$Q$371,CONCATENATE($C52,$CZ$3),Bill_Out!$O$318:$O$371)</f>
        <v>0</v>
      </c>
      <c r="CP52" s="157"/>
      <c r="CQ52" s="230">
        <f>SUMIF(Master_Data!$AK$4:$AK$145,CONCATENATE($C52,$CZ$3),Master_Data!$R$4:$R$145)+SUMIF(Master_Data!$AK$152:$AK$864,CONCATENATE($C52,$CZ$3),Master_Data!$R$152:$R$864)</f>
        <v>0</v>
      </c>
      <c r="CR52" s="230">
        <f>SUMIF(Master_Data!$AK$4:$AK$145,CONCATENATE($C52,$CZ$3),Master_Data!$Q$4:$Q$145)+SUMIF(Master_Data!$AK$152:$AK$864,CONCATENATE($C52,$CZ$3),Master_Data!$Q$152:$Q$864)</f>
        <v>0</v>
      </c>
      <c r="CS52" s="230">
        <f>SUMIF(Master_Data!$AK$4:$AK$145,CONCATENATE($C52,$CZ$3),Master_Data!$U$4:$U$145)+SUMIF(Master_Data!$AK$152:$AK$864,CONCATENATE($C52,$CZ$3),Master_Data!$U$152:$U$864)</f>
        <v>0</v>
      </c>
      <c r="CT52" s="230">
        <f ca="1">SUMIF(Master_Data!$AK$4:$AK$145,CONCATENATE(C52,$CZ$3),Master_Data!$S$4:$S$145)+SUMIF(Master_Data!$AK$152:$AK$915,CONCATENATE(C52,$CZ$3),Master_Data!$S$152:$S$864)</f>
        <v>0</v>
      </c>
      <c r="CU52" s="1010">
        <f>SUMIF(Master_Data!$AK$4:$AK$145,CONCATENATE(C52,$CZ$3),Master_Data!$T$4:$T$145)+SUMIF(Master_Data!$AK$152:$AK$864,CONCATENATE(C52,$CZ$3),Master_Data!$T$152:$T$864)</f>
        <v>0</v>
      </c>
      <c r="CV52" s="230">
        <f t="shared" si="32"/>
        <v>0</v>
      </c>
      <c r="CW52" s="230" t="e">
        <f t="shared" ca="1" si="33"/>
        <v>#VALUE!</v>
      </c>
      <c r="CX52" s="23"/>
      <c r="CY52" s="1007" t="str">
        <f t="shared" si="6"/>
        <v>PERKEBUNAN NUSANTARA XIII, PTJUN</v>
      </c>
      <c r="CZ52" s="24"/>
      <c r="DA52" s="31"/>
      <c r="DB52" s="109">
        <f t="shared" si="34"/>
        <v>0</v>
      </c>
      <c r="DC52" s="109" t="e">
        <f t="shared" ca="1" si="35"/>
        <v>#VALUE!</v>
      </c>
      <c r="DD52" s="31"/>
      <c r="DE52" s="109">
        <f>SUMIF(Bill_Out!$Q$375:$Q$422,CONCATENATE($C52,$DQ$3),Bill_Out!$N$375:$N$422)</f>
        <v>0</v>
      </c>
      <c r="DF52" s="109">
        <f>SUMIF(Bill_Out!$Q$375:$Q$422,CONCATENATE($C52,$DQ$3),Bill_Out!$O$375:$O$422)</f>
        <v>0</v>
      </c>
      <c r="DG52" s="157"/>
      <c r="DH52" s="310">
        <f>SUMIF(Master_Data!$AK$4:$AK$145,CONCATENATE($C52,$DQ$3),Master_Data!$R$4:$R$145)+SUMIF(Master_Data!$AK$152:$AK$864,CONCATENATE($C52,$DQ$3),Master_Data!$R$152:$R$864)</f>
        <v>0</v>
      </c>
      <c r="DI52" s="310">
        <f>SUMIF(Master_Data!$AK$4:$AK$145,CONCATENATE($C52,$DQ$3),Master_Data!$Q$4:$Q$145)+SUMIF(Master_Data!$AK$152:$AK$864,CONCATENATE($C52,$DQ$3),Master_Data!$Q$152:$Q$864)</f>
        <v>0</v>
      </c>
      <c r="DJ52" s="310">
        <f>SUMIF(Master_Data!$AK$4:$AK$145,CONCATENATE($C52,$DQ$3),Master_Data!$U$4:$U$145)+SUMIF(Master_Data!$AK$152:$AK$864,CONCATENATE($C52,$DQ$3),Master_Data!$U$152:$U$864)</f>
        <v>0</v>
      </c>
      <c r="DK52" s="310">
        <f>SUMIF(Master_Data!$AK$4:$AK$145,CONCATENATE($C52,$DQ$3),Master_Data!$S$4:$S$145)+SUMIF(Master_Data!$AK$152:$AK$864,CONCATENATE($C52,$DQ$3),Master_Data!$S$152:$S$864)</f>
        <v>0</v>
      </c>
      <c r="DL52" s="39">
        <f>SUMIF(Master_Data!$AK$152:$AK$915,CONCATENATE($C52,DQ$3),Master_Data!$T$152:$T$915)</f>
        <v>0</v>
      </c>
      <c r="DM52" s="230">
        <f t="shared" si="67"/>
        <v>0</v>
      </c>
      <c r="DN52" s="230" t="e">
        <f t="shared" ca="1" si="68"/>
        <v>#VALUE!</v>
      </c>
      <c r="DO52" s="23"/>
      <c r="DP52" s="358" t="str">
        <f t="shared" si="9"/>
        <v>PERKEBUNAN NUSANTARA XIII, PTJUL</v>
      </c>
      <c r="DQ52" s="24"/>
      <c r="DR52" s="392"/>
      <c r="DS52" s="109">
        <f t="shared" si="36"/>
        <v>0</v>
      </c>
      <c r="DT52" s="109" t="e">
        <f t="shared" ca="1" si="37"/>
        <v>#VALUE!</v>
      </c>
      <c r="DU52" s="31"/>
      <c r="DV52" s="109">
        <f>SUMIF(Bill_Out!$Q$426:$Q$472,CONCATENATE($C52,$EH$3),Bill_Out!$N$426:$N$472)</f>
        <v>0</v>
      </c>
      <c r="DW52" s="109">
        <f>SUMIF(Bill_Out!$Q$426:$Q$472,CONCATENATE($C52,$EH$3),Bill_Out!$O$426:$O$472)</f>
        <v>0</v>
      </c>
      <c r="DX52" s="157"/>
      <c r="DY52" s="310">
        <f>SUMIF(Master_Data!$AK$4:$AK$145,CONCATENATE($C52,$EH$3),Master_Data!$R$4:$R$145)+SUMIF(Master_Data!$AK$152:$AK$864,CONCATENATE($C52,$EH$3),Master_Data!$R$152:$R$864)</f>
        <v>0</v>
      </c>
      <c r="DZ52" s="310">
        <f>SUMIF(Master_Data!$AK$4:$AK$145,CONCATENATE($C52,$EH$3),Master_Data!$Q$4:$Q$145)+SUMIF(Master_Data!$AK$152:$AK$864,CONCATENATE($C52,$EH$3),Master_Data!$Q$152:$Q$864)</f>
        <v>0</v>
      </c>
      <c r="EA52" s="310">
        <f>SUMIF(Master_Data!$AK$4:$AK$145,CONCATENATE($C52,$EH$3),Master_Data!$U$4:$U$145)+SUMIF(Master_Data!$AK$152:$AK$864,CONCATENATE($C52,$EH$3),Master_Data!$U$152:$U$864)</f>
        <v>0</v>
      </c>
      <c r="EB52" s="310">
        <f>SUMIF(Master_Data!$AK$4:$AK$145,CONCATENATE($C52,$EH$3),Master_Data!$S$4:$S$145)+SUMIF(Master_Data!$AK$152:$AK$864,CONCATENATE($C52,$EH$3),Master_Data!$S$152:$S$864)</f>
        <v>0</v>
      </c>
      <c r="EC52" s="39">
        <f>SUMIF(Master_Data!$AK$152:$AK$915,CONCATENATE($C52,EH$3),Master_Data!$T$152:$T$915)</f>
        <v>0</v>
      </c>
      <c r="ED52" s="310">
        <f t="shared" si="38"/>
        <v>0</v>
      </c>
      <c r="EE52" s="230" t="e">
        <f t="shared" ca="1" si="39"/>
        <v>#VALUE!</v>
      </c>
      <c r="EF52" s="23"/>
      <c r="EG52" s="358" t="str">
        <f t="shared" si="10"/>
        <v>PERKEBUNAN NUSANTARA XIII, PTAGS</v>
      </c>
      <c r="EH52" s="24"/>
      <c r="EI52" s="392"/>
      <c r="EJ52" s="109">
        <f t="shared" si="47"/>
        <v>0</v>
      </c>
      <c r="EK52" s="109" t="e">
        <f t="shared" ca="1" si="48"/>
        <v>#VALUE!</v>
      </c>
      <c r="EL52" s="84"/>
      <c r="EM52" s="109">
        <f>SUMIF(Bill_Out!$Q$476:$Q$530,CONCATENATE($C52,$EY$3),Bill_Out!$N$476:$N$530)</f>
        <v>0</v>
      </c>
      <c r="EN52" s="109">
        <f>SUMIF(Bill_Out!$Q$476:$Q$530,CONCATENATE($C52,$EY$3),Bill_Out!$O$476:$O$530)</f>
        <v>0</v>
      </c>
      <c r="EO52" s="309"/>
      <c r="EP52" s="310">
        <f>SUMIF(Master_Data!$AK$4:$AK$145,CONCATENATE($C52,$EY$3),Master_Data!$R$4:$R$145)+SUMIF(Master_Data!$AK$152:$AK$864,CONCATENATE($C52,$EY$3),Master_Data!$R$152:$R$864)</f>
        <v>0</v>
      </c>
      <c r="EQ52" s="310">
        <f>SUMIF(Master_Data!$AK$4:$AK$145,CONCATENATE($C52,$EY$3),Master_Data!$Q$4:$Q$145)+SUMIF(Master_Data!$AK$152:$AK$864,CONCATENATE($C52,$EY$3),Master_Data!$Q$152:$Q$864)</f>
        <v>0</v>
      </c>
      <c r="ER52" s="310">
        <f>SUMIF(Master_Data!$AK$4:$AK$145,CONCATENATE($C52,$EY$3),Master_Data!$U$4:$U$145)+SUMIF(Master_Data!$AK$152:$AK$864,CONCATENATE($C52,$EY$3),Master_Data!$U$152:$U$864)</f>
        <v>0</v>
      </c>
      <c r="ES52" s="310">
        <f>SUMIF(Master_Data!$AK$4:$AK$145,CONCATENATE($C52,$EY$3),Master_Data!$S$4:$S$145)+SUMIF(Master_Data!$AK$152:$AK$864,CONCATENATE($C52,$EY$3),Master_Data!$S$152:$S$864)</f>
        <v>0</v>
      </c>
      <c r="ET52" s="39">
        <f>SUMIF(Master_Data!$AK$152:$AK$915,CONCATENATE($C52,EY$3),Master_Data!$T$152:$T$915)</f>
        <v>0</v>
      </c>
      <c r="EU52" s="310">
        <f t="shared" si="49"/>
        <v>0</v>
      </c>
      <c r="EV52" s="230"/>
      <c r="EW52" s="84"/>
      <c r="EX52" s="358" t="str">
        <f t="shared" si="11"/>
        <v>PERKEBUNAN NUSANTARA XIII, PTSEP</v>
      </c>
      <c r="EY52" s="24"/>
      <c r="EZ52" s="415"/>
      <c r="FA52" s="109"/>
      <c r="FB52" s="109"/>
      <c r="FC52" s="420"/>
      <c r="FD52" s="109"/>
      <c r="FE52" s="109"/>
      <c r="FF52" s="157"/>
      <c r="FG52" s="310"/>
      <c r="FH52" s="310"/>
      <c r="FI52" s="310"/>
      <c r="FJ52" s="310"/>
      <c r="FK52" s="39"/>
      <c r="FL52" s="230"/>
      <c r="FM52" s="230"/>
      <c r="FN52" s="23"/>
      <c r="FO52" s="358" t="str">
        <f t="shared" si="80"/>
        <v>PERKEBUNAN NUSANTARA XIII, PTOKT</v>
      </c>
      <c r="FP52" s="24"/>
      <c r="FQ52" s="415"/>
      <c r="FR52" s="109"/>
      <c r="FS52" s="109"/>
      <c r="FT52" s="420"/>
      <c r="FU52" s="109"/>
      <c r="FV52" s="109"/>
      <c r="FW52" s="157"/>
      <c r="FX52" s="512"/>
      <c r="FY52" s="512"/>
      <c r="FZ52" s="512"/>
      <c r="GA52" s="310"/>
      <c r="GB52" s="39"/>
      <c r="GC52" s="230"/>
      <c r="GD52" s="230"/>
      <c r="GE52" s="23"/>
      <c r="GF52" s="358" t="str">
        <f t="shared" si="81"/>
        <v>PERKEBUNAN NUSANTARA XIII, PTNOV</v>
      </c>
      <c r="GG52" s="24"/>
      <c r="GH52" s="415"/>
      <c r="GI52" s="109"/>
      <c r="GJ52" s="109"/>
      <c r="GK52" s="423"/>
      <c r="GL52" s="109"/>
      <c r="GM52" s="109"/>
      <c r="GN52" s="157"/>
      <c r="GO52" s="512"/>
      <c r="GP52" s="512"/>
      <c r="GQ52" s="512"/>
      <c r="GR52" s="310"/>
      <c r="GS52" s="39"/>
      <c r="GT52" s="534"/>
      <c r="GU52" s="310"/>
      <c r="GV52" s="23"/>
      <c r="GW52" s="358" t="str">
        <f t="shared" si="87"/>
        <v>PERKEBUNAN NUSANTARA XIII, PTDES</v>
      </c>
      <c r="GX52" s="24"/>
    </row>
    <row r="53" spans="1:206" s="19" customFormat="1">
      <c r="A53" s="328" t="s">
        <v>383</v>
      </c>
      <c r="B53" s="236" t="str">
        <f t="shared" si="18"/>
        <v>PERTIWI AGRO SEJAHTERA, PTJAN</v>
      </c>
      <c r="C53" s="8" t="s">
        <v>108</v>
      </c>
      <c r="D53" s="23" t="s">
        <v>317</v>
      </c>
      <c r="E53" s="109">
        <f>SUMIF(Master_Data!$D43:$D$145,CONCATENATE(C53),Master_Data!M43:M868)</f>
        <v>0</v>
      </c>
      <c r="F53" s="109">
        <f>SUMIF(Master_Data!$D49:$D$145,CONCATENATE(C53),Master_Data!N49:N239)</f>
        <v>24200000</v>
      </c>
      <c r="G53" s="31"/>
      <c r="H53" s="109">
        <f>SUMIF(Bill_Out!$Q$3:$Q$65,CONCATENATE($C53,$S$3),Bill_Out!$N$3:$N$65)</f>
        <v>0</v>
      </c>
      <c r="I53" s="88" t="e">
        <f>SUMIF(Bill_Out!$Q$3:$Q$65,CONCATENATE($C53,$S$3),Bill_Out!$O$3:$O$65)</f>
        <v>#VALUE!</v>
      </c>
      <c r="J53" s="157"/>
      <c r="K53" s="29"/>
      <c r="L53" s="44"/>
      <c r="M53" s="230">
        <f>SUMIF(Master_Data!$AK48:$AK$145,CONCATENATE(C53,$S$3),Master_Data!U48:U325)+SUMIF(Master_Data!$AK364:$AK$864,CONCATENATE(C53,$S$3),Master_Data!U364:U1147)</f>
        <v>23760000</v>
      </c>
      <c r="N53" s="310">
        <f>SUMIF(Master_Data!$AK$4:$AK$145,CONCATENATE(C53,$S$3),Master_Data!$S$4:$S$145)+SUMIF(Master_Data!$AK$150:$AK$864,CONCATENATE(C53,$S$3),Master_Data!$S$150:$S$864)</f>
        <v>0</v>
      </c>
      <c r="O53" s="310">
        <f>SUMIF(Master_Data!$AK$4:$AK$145,CONCATENATE(C53,$S$3),Master_Data!$T$4:$T$145)+SUMIF(Master_Data!$AK$150:$AK$864,CONCATENATE(C53,$S$3),Master_Data!$T$150:$T$864)</f>
        <v>-440000</v>
      </c>
      <c r="P53" s="230">
        <f t="shared" si="19"/>
        <v>0</v>
      </c>
      <c r="Q53" s="230" t="e">
        <f t="shared" si="20"/>
        <v>#VALUE!</v>
      </c>
      <c r="R53" s="23"/>
      <c r="S53" s="24"/>
      <c r="T53" s="31"/>
      <c r="U53" s="109">
        <f t="shared" si="94"/>
        <v>0</v>
      </c>
      <c r="V53" s="109" t="e">
        <f t="shared" si="95"/>
        <v>#VALUE!</v>
      </c>
      <c r="W53" s="31"/>
      <c r="X53" s="109">
        <f>SUMIF(Bill_Out!$Q$67:$Q$132,CONCATENATE($C53,$AJ$3),Bill_Out!$N$67:$N$132)</f>
        <v>0</v>
      </c>
      <c r="Y53" s="109">
        <f>SUMIF(Bill_Out!$Q$67:$Q$132,CONCATENATE($C53,$AJ$3),Bill_Out!$O$67:$O$132)</f>
        <v>0</v>
      </c>
      <c r="Z53" s="157"/>
      <c r="AA53" s="230">
        <f>SUMIF(Master_Data!$AK$4:$AK$145,CONCATENATE(C53,$AJ$3),Master_Data!$R$4:$R$145)+SUMIF(Master_Data!$AK$152:$AK$850,CONCATENATE(C53,$AJ$3),Master_Data!$R$152:$R$850)</f>
        <v>0</v>
      </c>
      <c r="AB53" s="230">
        <f>SUMIF(Master_Data!$AK$4:$AK$145,CONCATENATE(C53,$AJ$3),Master_Data!$Q$4:$Q$145)+SUMIF(Master_Data!$AK$152:$AK$850,CONCATENATE(C53,$AJ$3),Master_Data!$Q$152:$Q$850)</f>
        <v>0</v>
      </c>
      <c r="AC53" s="230">
        <f>SUMIF(Master_Data!$AK$4:$AK$145,CONCATENATE(C53,$AJ$3),Master_Data!$U$4:$U$145)+SUMIF(Master_Data!$AK$152:$AK$850,CONCATENATE(C53,$AJ$3),Master_Data!$U$152:$U$850)</f>
        <v>23760000</v>
      </c>
      <c r="AD53" s="310">
        <f ca="1">SUMIF(Master_Data!$AK$4:$AK$145,CONCATENATE(C53,$AJ$3),Master_Data!$S$4:$S$145)+SUMIF(Master_Data!$AK$152:$AK$864,CONCATENATE(C53,$AJ$3),Master_Data!$S$152:$S$850)</f>
        <v>0</v>
      </c>
      <c r="AE53" s="310">
        <f>SUMIF(Master_Data!$AK$4:$AK$145,CONCATENATE(C53,$AJ$3),Master_Data!$T$4:$T$145)+SUMIF(Master_Data!$AK$152:$AK$864,CONCATENATE(C53,$AJ$3),Master_Data!$T$152:$T$864)</f>
        <v>-440000</v>
      </c>
      <c r="AF53" s="230">
        <f t="shared" si="63"/>
        <v>0</v>
      </c>
      <c r="AG53" s="230" t="e">
        <f t="shared" ca="1" si="64"/>
        <v>#VALUE!</v>
      </c>
      <c r="AH53" s="23"/>
      <c r="AI53" s="235" t="str">
        <f t="shared" si="86"/>
        <v>PERTIWI AGRO SEJAHTERA, PTFEB</v>
      </c>
      <c r="AJ53" s="24"/>
      <c r="AK53" s="31"/>
      <c r="AL53" s="109">
        <f t="shared" si="65"/>
        <v>0</v>
      </c>
      <c r="AM53" s="109" t="e">
        <f t="shared" ca="1" si="66"/>
        <v>#VALUE!</v>
      </c>
      <c r="AN53" s="31"/>
      <c r="AO53" s="109">
        <f>SUMIF(Bill_Out!$Q$134:$Q$188,CONCATENATE($C53,$BA$3),Bill_Out!$N$134:$N$188)</f>
        <v>0</v>
      </c>
      <c r="AP53" s="109" t="e">
        <f>SUMIF(Bill_Out!$Q$134:$Q$188,CONCATENATE($C53,$BA$3),Bill_Out!$O$134:$O$188)</f>
        <v>#VALUE!</v>
      </c>
      <c r="AQ53" s="157"/>
      <c r="AR53" s="230">
        <f>SUMIF(Master_Data!$AK$4:$AK$145,CONCATENATE(C53,$BA$3),Master_Data!$R$4:$R$145)+SUMIF(Master_Data!$AK$152:$AK$864,CONCATENATE(C53,$BA$3),Master_Data!$R$152:$R$864)</f>
        <v>0</v>
      </c>
      <c r="AS53" s="230">
        <f>SUMIF(Master_Data!$AK$4:$AK$145,CONCATENATE(C53,$BA$3),Master_Data!$Q$4:$Q$145)+SUMIF(Master_Data!$AK$152:$AK$864,CONCATENATE(C53,$BA$3),Master_Data!$Q$152:$Q$864)</f>
        <v>0</v>
      </c>
      <c r="AT53" s="230">
        <f>SUMIF(Master_Data!$AK$4:$AK$145,CONCATENATE(C53,$BA$3),Master_Data!$U$4:$U$145)+SUMIF(Master_Data!$AK$152:$AK$864,CONCATENATE(C53,$BA$3),Master_Data!$U$152:$U$864)</f>
        <v>23760000</v>
      </c>
      <c r="AU53" s="230">
        <f ca="1">SUMIF(Master_Data!$AK$4:$AK$145,CONCATENATE(C53,$BA$3),Master_Data!$S$4:$S$145)+SUMIF(Master_Data!$AK$152:$AK$864,CONCATENATE(C53,$BA$3),Master_Data!$S$152:$S$850)</f>
        <v>0</v>
      </c>
      <c r="AV53" s="39">
        <f>SUMIF(Master_Data!$AK$152:$AK$864,CONCATENATE($C53,BA$3),Master_Data!$T$152:$T$864)</f>
        <v>-440000</v>
      </c>
      <c r="AW53" s="230">
        <f t="shared" si="57"/>
        <v>0</v>
      </c>
      <c r="AX53" s="230" t="e">
        <f t="shared" ca="1" si="58"/>
        <v>#VALUE!</v>
      </c>
      <c r="AY53" s="23"/>
      <c r="AZ53" s="235" t="str">
        <f t="shared" si="21"/>
        <v>PERTIWI AGRO SEJAHTERA, PTMAR</v>
      </c>
      <c r="BA53" s="24"/>
      <c r="BB53" s="31"/>
      <c r="BC53" s="109">
        <f t="shared" si="22"/>
        <v>0</v>
      </c>
      <c r="BD53" s="109" t="e">
        <f t="shared" ca="1" si="23"/>
        <v>#VALUE!</v>
      </c>
      <c r="BE53" s="31"/>
      <c r="BF53" s="109">
        <f>SUMIF(Bill_Out!$Q$192:$Q$258,CONCATENATE($C53,$BR$3),Bill_Out!$N$192:$N$258)</f>
        <v>0</v>
      </c>
      <c r="BG53" s="109" t="e">
        <f>SUMIF(Bill_Out!$Q$192:$Q$258,CONCATENATE($C53,$BR$3),Bill_Out!$O$192:$O$258)</f>
        <v>#VALUE!</v>
      </c>
      <c r="BH53" s="157"/>
      <c r="BI53" s="230">
        <f>SUMIF(Master_Data!$AK$4:$AK$145,CONCATENATE(C53,$BR$3),Master_Data!$R$4:$R$145)+SUMIF(Master_Data!$AK$152:$AK$864,CONCATENATE(C53,$BR$3),Master_Data!$R$152:$R$864)</f>
        <v>0</v>
      </c>
      <c r="BJ53" s="230">
        <f>SUMIF(Master_Data!$AK$4:$AK$145,CONCATENATE(C53,$BR$3),Master_Data!$Q$4:$Q$145)+SUMIF(Master_Data!$AK$152:$AK$864,CONCATENATE(C53,$BR$3),Master_Data!$Q$152:$Q$864)</f>
        <v>0</v>
      </c>
      <c r="BK53" s="230">
        <f>SUMIF(Master_Data!$AK$4:$AK$145,CONCATENATE(C53,$BR$3),Master_Data!$U$4:$U$145)+SUMIF(Master_Data!$AK$152:$AK$864,CONCATENATE(C53,$BR$3),Master_Data!$U$152:$U$864)</f>
        <v>47520000</v>
      </c>
      <c r="BL53" s="230">
        <f>SUMIF(Master_Data!$AK$4:$AK$145,CONCATENATE(C53,$BR$3),Master_Data!$S$4:$S$145)+SUMIF(Master_Data!$AK$152:$AK$864,CONCATENATE(C53,$BR$3),Master_Data!$S$152:$S$864)</f>
        <v>0</v>
      </c>
      <c r="BM53" s="39">
        <f>SUMIF(Master_Data!$AK$152:$AK$864,CONCATENATE($C53,BR$3),Master_Data!$T$152:$T$864)</f>
        <v>-880000</v>
      </c>
      <c r="BN53" s="230">
        <f t="shared" si="24"/>
        <v>0</v>
      </c>
      <c r="BO53" s="230" t="e">
        <f t="shared" ca="1" si="25"/>
        <v>#VALUE!</v>
      </c>
      <c r="BP53" s="23"/>
      <c r="BQ53" s="909" t="str">
        <f t="shared" si="26"/>
        <v>PERTIWI AGRO SEJAHTERA, PTAPR</v>
      </c>
      <c r="BR53" s="24"/>
      <c r="BS53" s="31"/>
      <c r="BT53" s="109">
        <f t="shared" si="78"/>
        <v>0</v>
      </c>
      <c r="BU53" s="109" t="e">
        <f t="shared" ca="1" si="79"/>
        <v>#VALUE!</v>
      </c>
      <c r="BV53" s="31"/>
      <c r="BW53" s="109">
        <f>SUMIF(Bill_Out!$Q$263:$Q$314,CONCATENATE($C53,$CI$3),Bill_Out!$N$263:$N$314)</f>
        <v>0</v>
      </c>
      <c r="BX53" s="109" t="e">
        <f>SUMIF(Bill_Out!$Q$263:$Q$314,CONCATENATE($C53,$CI$3),Bill_Out!$O$263:$O$314)</f>
        <v>#VALUE!</v>
      </c>
      <c r="BY53" s="157"/>
      <c r="BZ53" s="310">
        <f>SUMIF(Master_Data!$AK$4:$AK$145,CONCATENATE(C53,$CI$3),Master_Data!$R$4:$R$145)+SUMIF(Master_Data!$AK$152:$AK$864,CONCATENATE(C53,$CI$3),Master_Data!$R$152:$R$864)</f>
        <v>0</v>
      </c>
      <c r="CA53" s="310">
        <f>SUMIF(Master_Data!$AK$4:$AK$145,CONCATENATE(C53,$CI$3),Master_Data!$Q$4:$Q$145)+SUMIF(Master_Data!$AK$152:$AK$864,CONCATENATE(C53,$CI$3),Master_Data!$Q$152:$Q$864)</f>
        <v>0</v>
      </c>
      <c r="CB53" s="310">
        <f>SUMIF(Master_Data!$AK$4:$AK$145,CONCATENATE(C53,$CI$3),Master_Data!$U$4:$U$145)+SUMIF(Master_Data!$AK$152:$AK$864,CONCATENATE(C53,$CI$3),Master_Data!$U$152:$U$864)</f>
        <v>0</v>
      </c>
      <c r="CC53" s="230">
        <f>SUMIF(Master_Data!$AK$4:$AK$145,CONCATENATE(C53,$CI$3),Master_Data!$S$4:$S$145)+SUMIF(Master_Data!$AK$152:$AK$864,CONCATENATE(C53,$CI$3),Master_Data!$S$152:$S$864)</f>
        <v>0</v>
      </c>
      <c r="CD53" s="39">
        <f>SUMIF(Master_Data!$AK$152:$AK$864,CONCATENATE($C53,CI$3),Master_Data!$T$152:$T$864)</f>
        <v>0</v>
      </c>
      <c r="CE53" s="310">
        <f t="shared" si="27"/>
        <v>0</v>
      </c>
      <c r="CF53" s="230" t="e">
        <f t="shared" ca="1" si="28"/>
        <v>#VALUE!</v>
      </c>
      <c r="CG53" s="23"/>
      <c r="CH53" s="235" t="str">
        <f t="shared" si="29"/>
        <v>PERTIWI AGRO SEJAHTERA, PTMEI</v>
      </c>
      <c r="CI53" s="24"/>
      <c r="CJ53" s="31"/>
      <c r="CK53" s="109">
        <f t="shared" si="30"/>
        <v>0</v>
      </c>
      <c r="CL53" s="238" t="e">
        <f t="shared" ca="1" si="31"/>
        <v>#VALUE!</v>
      </c>
      <c r="CM53" s="31"/>
      <c r="CN53" s="238">
        <f>SUMIF(Bill_Out!$Q$318:$Q$371,CONCATENATE($C53,$CZ$3),Bill_Out!$N$318:$N$371)</f>
        <v>0</v>
      </c>
      <c r="CO53" s="238" t="e">
        <f>SUMIF(Bill_Out!$Q$318:$Q$371,CONCATENATE($C53,$CZ$3),Bill_Out!$O$318:$O$371)</f>
        <v>#VALUE!</v>
      </c>
      <c r="CP53" s="157"/>
      <c r="CQ53" s="230">
        <f>SUMIF(Master_Data!$AK$4:$AK$145,CONCATENATE($C53,$CZ$3),Master_Data!$R$4:$R$145)+SUMIF(Master_Data!$AK$152:$AK$864,CONCATENATE($C53,$CZ$3),Master_Data!$R$152:$R$864)</f>
        <v>0</v>
      </c>
      <c r="CR53" s="230">
        <f>SUMIF(Master_Data!$AK$4:$AK$145,CONCATENATE($C53,$CZ$3),Master_Data!$Q$4:$Q$145)+SUMIF(Master_Data!$AK$152:$AK$864,CONCATENATE($C53,$CZ$3),Master_Data!$Q$152:$Q$864)</f>
        <v>0</v>
      </c>
      <c r="CS53" s="230">
        <f>SUMIF(Master_Data!$AK$4:$AK$145,CONCATENATE($C53,$CZ$3),Master_Data!$U$4:$U$145)+SUMIF(Master_Data!$AK$152:$AK$864,CONCATENATE($C53,$CZ$3),Master_Data!$U$152:$U$864)</f>
        <v>20592000</v>
      </c>
      <c r="CT53" s="230">
        <f ca="1">SUMIF(Master_Data!$AK$4:$AK$145,CONCATENATE(C53,$CZ$3),Master_Data!$S$4:$S$145)+SUMIF(Master_Data!$AK$152:$AK$915,CONCATENATE(C53,$CZ$3),Master_Data!$S$152:$S$864)</f>
        <v>0</v>
      </c>
      <c r="CU53" s="1010">
        <f>SUMIF(Master_Data!$AK$4:$AK$145,CONCATENATE(C53,$CZ$3),Master_Data!$T$4:$T$145)+SUMIF(Master_Data!$AK$152:$AK$864,CONCATENATE(C53,$CZ$3),Master_Data!$T$152:$T$864)</f>
        <v>-381333.33340000006</v>
      </c>
      <c r="CV53" s="230">
        <f t="shared" si="32"/>
        <v>0</v>
      </c>
      <c r="CW53" s="230" t="e">
        <f t="shared" ca="1" si="33"/>
        <v>#VALUE!</v>
      </c>
      <c r="CX53" s="23"/>
      <c r="CY53" s="1007" t="str">
        <f t="shared" si="6"/>
        <v>PERTIWI AGRO SEJAHTERA, PTJUN</v>
      </c>
      <c r="CZ53" s="24"/>
      <c r="DA53" s="31"/>
      <c r="DB53" s="109">
        <f t="shared" si="34"/>
        <v>0</v>
      </c>
      <c r="DC53" s="109" t="e">
        <f t="shared" ca="1" si="35"/>
        <v>#VALUE!</v>
      </c>
      <c r="DD53" s="31"/>
      <c r="DE53" s="109">
        <f>SUMIF(Bill_Out!$Q$375:$Q$422,CONCATENATE($C53,$DQ$3),Bill_Out!$N$375:$N$422)</f>
        <v>0</v>
      </c>
      <c r="DF53" s="109" t="e">
        <f>SUMIF(Bill_Out!$Q$375:$Q$422,CONCATENATE($C53,$DQ$3),Bill_Out!$O$375:$O$422)</f>
        <v>#VALUE!</v>
      </c>
      <c r="DG53" s="157"/>
      <c r="DH53" s="310">
        <f>SUMIF(Master_Data!$AK$4:$AK$145,CONCATENATE($C53,$DQ$3),Master_Data!$R$4:$R$145)+SUMIF(Master_Data!$AK$152:$AK$864,CONCATENATE($C53,$DQ$3),Master_Data!$R$152:$R$864)</f>
        <v>0</v>
      </c>
      <c r="DI53" s="310">
        <f>SUMIF(Master_Data!$AK$4:$AK$145,CONCATENATE($C53,$DQ$3),Master_Data!$Q$4:$Q$145)+SUMIF(Master_Data!$AK$152:$AK$864,CONCATENATE($C53,$DQ$3),Master_Data!$Q$152:$Q$864)</f>
        <v>0</v>
      </c>
      <c r="DJ53" s="310">
        <f>SUMIF(Master_Data!$AK$4:$AK$145,CONCATENATE($C53,$DQ$3),Master_Data!$U$4:$U$145)+SUMIF(Master_Data!$AK$152:$AK$864,CONCATENATE($C53,$DQ$3),Master_Data!$U$152:$U$864)</f>
        <v>0</v>
      </c>
      <c r="DK53" s="310">
        <f>SUMIF(Master_Data!$AK$4:$AK$145,CONCATENATE($C53,$DQ$3),Master_Data!$S$4:$S$145)+SUMIF(Master_Data!$AK$152:$AK$864,CONCATENATE($C53,$DQ$3),Master_Data!$S$152:$S$864)</f>
        <v>0</v>
      </c>
      <c r="DL53" s="39">
        <f>SUMIF(Master_Data!$AK$152:$AK$915,CONCATENATE($C53,DQ$3),Master_Data!$T$152:$T$915)</f>
        <v>0</v>
      </c>
      <c r="DM53" s="230">
        <f t="shared" si="67"/>
        <v>0</v>
      </c>
      <c r="DN53" s="230" t="e">
        <f t="shared" ca="1" si="68"/>
        <v>#VALUE!</v>
      </c>
      <c r="DO53" s="23"/>
      <c r="DP53" s="358" t="str">
        <f t="shared" si="9"/>
        <v>PERTIWI AGRO SEJAHTERA, PTJUL</v>
      </c>
      <c r="DQ53" s="24"/>
      <c r="DR53" s="392"/>
      <c r="DS53" s="109">
        <f t="shared" si="36"/>
        <v>0</v>
      </c>
      <c r="DT53" s="109" t="e">
        <f t="shared" ca="1" si="37"/>
        <v>#VALUE!</v>
      </c>
      <c r="DU53" s="31"/>
      <c r="DV53" s="109">
        <f>SUMIF(Bill_Out!$Q$426:$Q$472,CONCATENATE($C53,$EH$3),Bill_Out!$N$426:$N$472)</f>
        <v>0</v>
      </c>
      <c r="DW53" s="109" t="e">
        <f>SUMIF(Bill_Out!$Q$426:$Q$472,CONCATENATE($C53,$EH$3),Bill_Out!$O$426:$O$472)</f>
        <v>#VALUE!</v>
      </c>
      <c r="DX53" s="157"/>
      <c r="DY53" s="310">
        <f>SUMIF(Master_Data!$AK$4:$AK$145,CONCATENATE($C53,$EH$3),Master_Data!$R$4:$R$145)+SUMIF(Master_Data!$AK$152:$AK$864,CONCATENATE($C53,$EH$3),Master_Data!$R$152:$R$864)</f>
        <v>0</v>
      </c>
      <c r="DZ53" s="310">
        <f>SUMIF(Master_Data!$AK$4:$AK$145,CONCATENATE($C53,$EH$3),Master_Data!$Q$4:$Q$145)+SUMIF(Master_Data!$AK$152:$AK$864,CONCATENATE($C53,$EH$3),Master_Data!$Q$152:$Q$864)</f>
        <v>0</v>
      </c>
      <c r="EA53" s="310">
        <f>SUMIF(Master_Data!$AK$4:$AK$145,CONCATENATE($C53,$EH$3),Master_Data!$U$4:$U$145)+SUMIF(Master_Data!$AK$152:$AK$864,CONCATENATE($C53,$EH$3),Master_Data!$U$152:$U$864)</f>
        <v>47520000</v>
      </c>
      <c r="EB53" s="310">
        <f>SUMIF(Master_Data!$AK$4:$AK$145,CONCATENATE($C53,$EH$3),Master_Data!$S$4:$S$145)+SUMIF(Master_Data!$AK$152:$AK$864,CONCATENATE($C53,$EH$3),Master_Data!$S$152:$S$864)</f>
        <v>0</v>
      </c>
      <c r="EC53" s="39">
        <f>SUMIF(Master_Data!$AK$152:$AK$915,CONCATENATE($C53,EH$3),Master_Data!$T$152:$T$915)</f>
        <v>-880000</v>
      </c>
      <c r="ED53" s="310">
        <f t="shared" si="38"/>
        <v>0</v>
      </c>
      <c r="EE53" s="230" t="e">
        <f t="shared" ca="1" si="39"/>
        <v>#VALUE!</v>
      </c>
      <c r="EF53" s="23"/>
      <c r="EG53" s="358" t="str">
        <f t="shared" si="10"/>
        <v>PERTIWI AGRO SEJAHTERA, PTAGS</v>
      </c>
      <c r="EH53" s="24"/>
      <c r="EI53" s="392"/>
      <c r="EJ53" s="109">
        <f t="shared" si="47"/>
        <v>0</v>
      </c>
      <c r="EK53" s="109" t="e">
        <f t="shared" ca="1" si="48"/>
        <v>#VALUE!</v>
      </c>
      <c r="EL53" s="84"/>
      <c r="EM53" s="109">
        <f>SUMIF(Bill_Out!$Q$476:$Q$530,CONCATENATE($C53,$EY$3),Bill_Out!$N$476:$N$530)</f>
        <v>0</v>
      </c>
      <c r="EN53" s="109">
        <f>SUMIF(Bill_Out!$Q$476:$Q$530,CONCATENATE($C53,$EY$3),Bill_Out!$O$476:$O$530)</f>
        <v>0</v>
      </c>
      <c r="EO53" s="309"/>
      <c r="EP53" s="310">
        <f>SUMIF(Master_Data!$AK$4:$AK$145,CONCATENATE($C53,$EY$3),Master_Data!$R$4:$R$145)+SUMIF(Master_Data!$AK$152:$AK$864,CONCATENATE($C53,$EY$3),Master_Data!$R$152:$R$864)</f>
        <v>0</v>
      </c>
      <c r="EQ53" s="310">
        <f>SUMIF(Master_Data!$AK$4:$AK$145,CONCATENATE($C53,$EY$3),Master_Data!$Q$4:$Q$145)+SUMIF(Master_Data!$AK$152:$AK$864,CONCATENATE($C53,$EY$3),Master_Data!$Q$152:$Q$864)</f>
        <v>0</v>
      </c>
      <c r="ER53" s="310">
        <f>SUMIF(Master_Data!$AK$4:$AK$145,CONCATENATE($C53,$EY$3),Master_Data!$U$4:$U$145)+SUMIF(Master_Data!$AK$152:$AK$864,CONCATENATE($C53,$EY$3),Master_Data!$U$152:$U$864)</f>
        <v>23760000</v>
      </c>
      <c r="ES53" s="310">
        <f>SUMIF(Master_Data!$AK$4:$AK$145,CONCATENATE($C53,$EY$3),Master_Data!$S$4:$S$145)+SUMIF(Master_Data!$AK$152:$AK$864,CONCATENATE($C53,$EY$3),Master_Data!$S$152:$S$864)</f>
        <v>0</v>
      </c>
      <c r="ET53" s="39">
        <f>SUMIF(Master_Data!$AK$152:$AK$915,CONCATENATE($C53,EY$3),Master_Data!$T$152:$T$915)</f>
        <v>-440000</v>
      </c>
      <c r="EU53" s="310">
        <f t="shared" si="49"/>
        <v>0</v>
      </c>
      <c r="EV53" s="230"/>
      <c r="EW53" s="84"/>
      <c r="EX53" s="358" t="str">
        <f t="shared" si="11"/>
        <v>PERTIWI AGRO SEJAHTERA, PTSEP</v>
      </c>
      <c r="EY53" s="24"/>
      <c r="EZ53" s="415"/>
      <c r="FA53" s="109">
        <f t="shared" si="88"/>
        <v>0</v>
      </c>
      <c r="FB53" s="109">
        <f t="shared" ref="FB53:FB65" si="96">EV53</f>
        <v>0</v>
      </c>
      <c r="FC53" s="420"/>
      <c r="FD53" s="109">
        <f>SUMIF(Bill_Out!$Q$534:$Q$606,CONCATENATE($C53,$FP$3),Bill_Out!$N$534:$N$606)</f>
        <v>0</v>
      </c>
      <c r="FE53" s="109" t="e">
        <f>SUMIF(Bill_Out!$Q$534:$Q$606,CONCATENATE($C53,$FP$3),Bill_Out!$O$534:$O$606)</f>
        <v>#VALUE!</v>
      </c>
      <c r="FF53" s="157"/>
      <c r="FG53" s="310">
        <f>SUMIF(Master_Data!$AK$4:$AK$145,CONCATENATE($C53,$FP$3),Master_Data!$R$4:$R$145)+SUMIF(Master_Data!$AK$152:$AK$864,CONCATENATE($C53,$FP$3),Master_Data!$R$152:$R$864)</f>
        <v>0</v>
      </c>
      <c r="FH53" s="310">
        <f>SUMIF(Master_Data!$AK$4:$AK$145,CONCATENATE($C53,$FP$3),Master_Data!$Q$4:$Q$145)+SUMIF(Master_Data!$AK$152:$AK$864,CONCATENATE($C53,$FP$3),Master_Data!$Q$152:$Q$864)</f>
        <v>0</v>
      </c>
      <c r="FI53" s="310">
        <f>SUMIF(Master_Data!$AK$4:$AK$145,CONCATENATE($C53,$FP$3),Master_Data!$U$4:$U$145)+SUMIF(Master_Data!$AK$152:$AK$864,CONCATENATE($C53,$FP$3),Master_Data!$U$152:$U$864)</f>
        <v>23760000</v>
      </c>
      <c r="FJ53" s="310">
        <f>SUMIF(Master_Data!$AK$4:$AK$145,CONCATENATE($C53,$FP$3),Master_Data!$S$4:$S$145)+SUMIF(Master_Data!$AK$152:$AK$864,CONCATENATE($C53,$FP$3),Master_Data!$S$152:$S$864)</f>
        <v>0</v>
      </c>
      <c r="FK53" s="39">
        <f>SUMIF(Master_Data!$AK$152:$AK$915,CONCATENATE($C53,FP$3),Master_Data!$T$152:$T$915)</f>
        <v>-440000</v>
      </c>
      <c r="FL53" s="230">
        <f t="shared" si="90"/>
        <v>0</v>
      </c>
      <c r="FM53" s="230" t="e">
        <f t="shared" si="12"/>
        <v>#VALUE!</v>
      </c>
      <c r="FN53" s="23"/>
      <c r="FO53" s="358" t="str">
        <f t="shared" si="80"/>
        <v>PERTIWI AGRO SEJAHTERA, PTOKT</v>
      </c>
      <c r="FP53" s="24"/>
      <c r="FQ53" s="415"/>
      <c r="FR53" s="109">
        <f t="shared" si="91"/>
        <v>0</v>
      </c>
      <c r="FS53" s="109" t="e">
        <f>FM53</f>
        <v>#VALUE!</v>
      </c>
      <c r="FT53" s="420"/>
      <c r="FU53" s="109">
        <f>SUMIF(Bill_Out!$Q$610:$Q$675,CONCATENATE($C53,$GG$3),Bill_Out!$N$610:$N$675)</f>
        <v>0</v>
      </c>
      <c r="FV53" s="109" t="e">
        <f>SUMIF(Bill_Out!$Q$610:$Q$675,CONCATENATE($C53,$GG$3),Bill_Out!$O$610:$O$675)</f>
        <v>#VALUE!</v>
      </c>
      <c r="FW53" s="157"/>
      <c r="FX53" s="512">
        <f>SUMIF(Master_Data!$AK$4:$AK$145,CONCATENATE($C53,$GG$3),Master_Data!$R$4:$R$145)+SUMIF(Master_Data!$AK$152:$AK$864,CONCATENATE($C53,$GG$3),Master_Data!$R$152:$R$864)</f>
        <v>0</v>
      </c>
      <c r="FY53" s="512">
        <f>SUMIF(Master_Data!$AK$4:$AK$145,CONCATENATE($C53,$GG$3),Master_Data!$Q$4:$Q$145)+SUMIF(Master_Data!$AK$152:$AK$864,CONCATENATE($C53,$GG$3),Master_Data!$Q$152:$Q$864)</f>
        <v>0</v>
      </c>
      <c r="FZ53" s="512">
        <f>SUMIF(Master_Data!$AK$4:$AK$145,CONCATENATE($C53,$GG$3),Master_Data!$U$4:$U$145)+SUMIF(Master_Data!$AK$152:$AK$864,CONCATENATE($C53,$GG$3),Master_Data!$U$152:$U$864)</f>
        <v>23760000</v>
      </c>
      <c r="GA53" s="310">
        <f>SUMIF(Master_Data!$AK$4:$AK$145,CONCATENATE($C53,$GG$3),Master_Data!$S$4:$S$145)+SUMIF(Master_Data!$AK$152:$AK$864,CONCATENATE($C53,$GG$3),Master_Data!$S$152:$S$864)</f>
        <v>0</v>
      </c>
      <c r="GB53" s="39">
        <f>SUMIF(Master_Data!$AK$152:$AK$915,CONCATENATE($C53,GG$3),Master_Data!$T$152:$T$915)</f>
        <v>-440000</v>
      </c>
      <c r="GC53" s="230">
        <f t="shared" si="93"/>
        <v>0</v>
      </c>
      <c r="GD53" s="230" t="e">
        <f t="shared" si="14"/>
        <v>#VALUE!</v>
      </c>
      <c r="GE53" s="23"/>
      <c r="GF53" s="358" t="str">
        <f t="shared" si="81"/>
        <v>PERTIWI AGRO SEJAHTERA, PTNOV</v>
      </c>
      <c r="GG53" s="24"/>
      <c r="GH53" s="415" t="s">
        <v>510</v>
      </c>
      <c r="GI53" s="109">
        <f t="shared" si="70"/>
        <v>0</v>
      </c>
      <c r="GJ53" s="109" t="e">
        <f t="shared" si="71"/>
        <v>#VALUE!</v>
      </c>
      <c r="GK53" s="423"/>
      <c r="GL53" s="109">
        <f>SUMIF(Bill_Out!$Q$679:$Q$756,CONCATENATE($C53,$GX$3),Bill_Out!$N$679:$N$756)</f>
        <v>0</v>
      </c>
      <c r="GM53" s="109" t="e">
        <f>SUMIF(Bill_Out!$Q$679:$Q$756,CONCATENATE($C53,$GX$3),Bill_Out!$O$679:$O$756)</f>
        <v>#VALUE!</v>
      </c>
      <c r="GN53" s="157"/>
      <c r="GO53" s="512">
        <f>SUMIF(Master_Data!$AK$4:$AK$145,CONCATENATE($C53,$GX$3),Master_Data!$R$4:$R$145)+SUMIF(Master_Data!$AK$152:$AK$864,CONCATENATE($C53,$GX$3),Master_Data!$R$152:$R$864)</f>
        <v>0</v>
      </c>
      <c r="GP53" s="512">
        <f>SUMIF(Master_Data!$AK$4:$AK$145,CONCATENATE($C53,$GX$3),Master_Data!$Q$4:$Q$145)+SUMIF(Master_Data!$AK$152:$AK$864,CONCATENATE($C53,$GX$3),Master_Data!$Q$152:$Q$864)</f>
        <v>0</v>
      </c>
      <c r="GQ53" s="512">
        <f>SUMIF(Master_Data!$AK$4:$AK$145,CONCATENATE($C53,$GX$3),Master_Data!$U$4:$U$145)+SUMIF(Master_Data!$AK$152:$AK$864,CONCATENATE($C53,$GX$3),Master_Data!$U$152:$U$864)</f>
        <v>23760000</v>
      </c>
      <c r="GR53" s="310">
        <f>SUMIF(Master_Data!$AK$4:$AK$145,CONCATENATE($C53,$GX$3),Master_Data!$S$4:$S$145)+SUMIF(Master_Data!$AK$152:$AK$864,CONCATENATE($C53,$GX$3),Master_Data!$S$152:$S$864)</f>
        <v>0</v>
      </c>
      <c r="GS53" s="39">
        <f>SUMIF(Master_Data!$AK$152:$AK$864,CONCATENATE($C53,GX$3),Master_Data!$T$152:$T$864)</f>
        <v>-440000</v>
      </c>
      <c r="GT53" s="534">
        <f t="shared" si="44"/>
        <v>0</v>
      </c>
      <c r="GU53" s="310" t="e">
        <f t="shared" si="16"/>
        <v>#VALUE!</v>
      </c>
      <c r="GV53" s="23"/>
      <c r="GW53" s="358" t="str">
        <f t="shared" si="87"/>
        <v>PERTIWI AGRO SEJAHTERA, PTDES</v>
      </c>
      <c r="GX53" s="24"/>
    </row>
    <row r="54" spans="1:206" s="19" customFormat="1">
      <c r="A54" s="21" t="s">
        <v>390</v>
      </c>
      <c r="B54" s="236" t="str">
        <f t="shared" si="18"/>
        <v>PERTIWI LENGGARA AGROMAS, PTJAN</v>
      </c>
      <c r="C54" s="11" t="s">
        <v>606</v>
      </c>
      <c r="D54" s="23"/>
      <c r="E54" s="109">
        <f>SUMIF(Master_Data!$D44:$D$145,CONCATENATE(C54),Master_Data!M44:M869)</f>
        <v>0</v>
      </c>
      <c r="F54" s="109">
        <f>SUMIF(Master_Data!$D50:$D$145,CONCATENATE(C54),Master_Data!N50:N240)</f>
        <v>72600000</v>
      </c>
      <c r="G54" s="31"/>
      <c r="H54" s="109">
        <f>SUMIF(Bill_Out!$Q$3:$Q$65,CONCATENATE($C54,$S$3),Bill_Out!$N$3:$N$65)</f>
        <v>0</v>
      </c>
      <c r="I54" s="88" t="e">
        <f>SUMIF(Bill_Out!$Q$3:$Q$65,CONCATENATE($C54,$S$3),Bill_Out!$O$3:$O$65)</f>
        <v>#VALUE!</v>
      </c>
      <c r="J54" s="157"/>
      <c r="K54" s="29"/>
      <c r="L54" s="44"/>
      <c r="M54" s="230">
        <f>SUMIF(Master_Data!$AK49:$AK$145,CONCATENATE(C54,$S$3),Master_Data!U49:U359)+SUMIF(Master_Data!$AK365:$AK$864,CONCATENATE(C54,$S$3),Master_Data!U365:U1148)</f>
        <v>0</v>
      </c>
      <c r="N54" s="310">
        <f>SUMIF(Master_Data!$AK$4:$AK$145,CONCATENATE(C54,$S$3),Master_Data!$S$4:$S$145)+SUMIF(Master_Data!$AK$150:$AK$864,CONCATENATE(C54,$S$3),Master_Data!$S$150:$S$864)</f>
        <v>0</v>
      </c>
      <c r="O54" s="310">
        <f>SUMIF(Master_Data!$AK$4:$AK$145,CONCATENATE(C54,$S$3),Master_Data!$T$4:$T$145)+SUMIF(Master_Data!$AK$150:$AK$864,CONCATENATE(C54,$S$3),Master_Data!$T$150:$T$864)</f>
        <v>0</v>
      </c>
      <c r="P54" s="230">
        <f t="shared" si="19"/>
        <v>0</v>
      </c>
      <c r="Q54" s="230" t="e">
        <f t="shared" si="20"/>
        <v>#VALUE!</v>
      </c>
      <c r="R54" s="23"/>
      <c r="S54" s="24"/>
      <c r="T54" s="31"/>
      <c r="U54" s="109">
        <f t="shared" si="94"/>
        <v>0</v>
      </c>
      <c r="V54" s="109" t="e">
        <f t="shared" si="95"/>
        <v>#VALUE!</v>
      </c>
      <c r="W54" s="31"/>
      <c r="X54" s="109">
        <f>SUMIF(Bill_Out!$Q$67:$Q$132,CONCATENATE($C54,$AJ$3),Bill_Out!$N$67:$N$132)</f>
        <v>0</v>
      </c>
      <c r="Y54" s="109" t="e">
        <f>SUMIF(Bill_Out!$Q$67:$Q$132,CONCATENATE($C54,$AJ$3),Bill_Out!$O$67:$O$132)</f>
        <v>#VALUE!</v>
      </c>
      <c r="Z54" s="157"/>
      <c r="AA54" s="230">
        <f>SUMIF(Master_Data!$AK$4:$AK$145,CONCATENATE(C54,$AJ$3),Master_Data!$R$4:$R$145)+SUMIF(Master_Data!$AK$152:$AK$850,CONCATENATE(C54,$AJ$3),Master_Data!$R$152:$R$850)</f>
        <v>0</v>
      </c>
      <c r="AB54" s="230">
        <f>SUMIF(Master_Data!$AK$4:$AK$145,CONCATENATE(C54,$AJ$3),Master_Data!$Q$4:$Q$145)+SUMIF(Master_Data!$AK$152:$AK$850,CONCATENATE(C54,$AJ$3),Master_Data!$Q$152:$Q$850)</f>
        <v>0</v>
      </c>
      <c r="AC54" s="230">
        <f>SUMIF(Master_Data!$AK$4:$AK$145,CONCATENATE(C54,$AJ$3),Master_Data!$U$4:$U$145)+SUMIF(Master_Data!$AK$152:$AK$850,CONCATENATE(C54,$AJ$3),Master_Data!$U$152:$U$850)</f>
        <v>78498700</v>
      </c>
      <c r="AD54" s="310">
        <f ca="1">SUMIF(Master_Data!$AK$4:$AK$145,CONCATENATE(C54,$AJ$3),Master_Data!$S$4:$S$145)+SUMIF(Master_Data!$AK$152:$AK$864,CONCATENATE(C54,$AJ$3),Master_Data!$S$152:$S$850)</f>
        <v>0</v>
      </c>
      <c r="AE54" s="310">
        <f>SUMIF(Master_Data!$AK$4:$AK$145,CONCATENATE(C54,$AJ$3),Master_Data!$T$4:$T$145)+SUMIF(Master_Data!$AK$152:$AK$864,CONCATENATE(C54,$AJ$3),Master_Data!$T$152:$T$864)</f>
        <v>-1320000</v>
      </c>
      <c r="AF54" s="230">
        <f t="shared" si="63"/>
        <v>0</v>
      </c>
      <c r="AG54" s="230" t="e">
        <f t="shared" ca="1" si="64"/>
        <v>#VALUE!</v>
      </c>
      <c r="AH54" s="23"/>
      <c r="AI54" s="235" t="str">
        <f t="shared" si="86"/>
        <v>PERTIWI LENGGARA AGROMAS, PTFEB</v>
      </c>
      <c r="AJ54" s="24"/>
      <c r="AK54" s="31"/>
      <c r="AL54" s="109">
        <f t="shared" si="65"/>
        <v>0</v>
      </c>
      <c r="AM54" s="109" t="e">
        <f t="shared" ca="1" si="66"/>
        <v>#VALUE!</v>
      </c>
      <c r="AN54" s="31"/>
      <c r="AO54" s="109">
        <f>SUMIF(Bill_Out!$Q$134:$Q$188,CONCATENATE($C54,$BA$3),Bill_Out!$N$134:$N$188)</f>
        <v>0</v>
      </c>
      <c r="AP54" s="109">
        <f>SUMIF(Bill_Out!$Q$134:$Q$188,CONCATENATE($C54,$BA$3),Bill_Out!$O$134:$O$188)</f>
        <v>0</v>
      </c>
      <c r="AQ54" s="157"/>
      <c r="AR54" s="230">
        <f>SUMIF(Master_Data!$AK$4:$AK$145,CONCATENATE(C54,$BA$3),Master_Data!$R$4:$R$145)+SUMIF(Master_Data!$AK$152:$AK$864,CONCATENATE(C54,$BA$3),Master_Data!$R$152:$R$864)</f>
        <v>0</v>
      </c>
      <c r="AS54" s="230">
        <f>SUMIF(Master_Data!$AK$4:$AK$145,CONCATENATE(C54,$BA$3),Master_Data!$Q$4:$Q$145)+SUMIF(Master_Data!$AK$152:$AK$864,CONCATENATE(C54,$BA$3),Master_Data!$Q$152:$Q$864)</f>
        <v>0</v>
      </c>
      <c r="AT54" s="230">
        <f>SUMIF(Master_Data!$AK$4:$AK$145,CONCATENATE(C54,$BA$3),Master_Data!$U$4:$U$145)+SUMIF(Master_Data!$AK$152:$AK$864,CONCATENATE(C54,$BA$3),Master_Data!$U$152:$U$864)</f>
        <v>0</v>
      </c>
      <c r="AU54" s="230">
        <f ca="1">SUMIF(Master_Data!$AK$4:$AK$145,CONCATENATE(C54,$BA$3),Master_Data!$S$4:$S$145)+SUMIF(Master_Data!$AK$152:$AK$864,CONCATENATE(C54,$BA$3),Master_Data!$S$152:$S$850)</f>
        <v>0</v>
      </c>
      <c r="AV54" s="39">
        <f>SUMIF(Master_Data!$AK$152:$AK$864,CONCATENATE($C54,BA$3),Master_Data!$T$152:$T$864)</f>
        <v>0</v>
      </c>
      <c r="AW54" s="230">
        <f t="shared" si="57"/>
        <v>0</v>
      </c>
      <c r="AX54" s="230" t="e">
        <f t="shared" ca="1" si="58"/>
        <v>#VALUE!</v>
      </c>
      <c r="AY54" s="23"/>
      <c r="AZ54" s="235" t="str">
        <f t="shared" si="21"/>
        <v>PERTIWI LENGGARA AGROMAS, PTMAR</v>
      </c>
      <c r="BA54" s="24"/>
      <c r="BB54" s="31"/>
      <c r="BC54" s="109">
        <f t="shared" si="22"/>
        <v>0</v>
      </c>
      <c r="BD54" s="109" t="e">
        <f t="shared" ca="1" si="23"/>
        <v>#VALUE!</v>
      </c>
      <c r="BE54" s="31"/>
      <c r="BF54" s="109">
        <f>SUMIF(Bill_Out!$Q$192:$Q$258,CONCATENATE($C54,$BR$3),Bill_Out!$N$192:$N$258)</f>
        <v>0</v>
      </c>
      <c r="BG54" s="109">
        <f>SUMIF(Bill_Out!$Q$192:$Q$258,CONCATENATE($C54,$BR$3),Bill_Out!$O$192:$O$258)</f>
        <v>0</v>
      </c>
      <c r="BH54" s="157"/>
      <c r="BI54" s="230">
        <f>SUMIF(Master_Data!$AK$4:$AK$145,CONCATENATE(C54,$BR$3),Master_Data!$R$4:$R$145)+SUMIF(Master_Data!$AK$152:$AK$864,CONCATENATE(C54,$BR$3),Master_Data!$R$152:$R$864)</f>
        <v>0</v>
      </c>
      <c r="BJ54" s="230">
        <f>SUMIF(Master_Data!$AK$4:$AK$145,CONCATENATE(C54,$BR$3),Master_Data!$Q$4:$Q$145)+SUMIF(Master_Data!$AK$152:$AK$864,CONCATENATE(C54,$BR$3),Master_Data!$Q$152:$Q$864)</f>
        <v>0</v>
      </c>
      <c r="BK54" s="230">
        <f>SUMIF(Master_Data!$AK$4:$AK$145,CONCATENATE(C54,$BR$3),Master_Data!$U$4:$U$145)+SUMIF(Master_Data!$AK$152:$AK$864,CONCATENATE(C54,$BR$3),Master_Data!$U$152:$U$864)</f>
        <v>0</v>
      </c>
      <c r="BL54" s="230">
        <f>SUMIF(Master_Data!$AK$4:$AK$145,CONCATENATE(C54,$BR$3),Master_Data!$S$4:$S$145)+SUMIF(Master_Data!$AK$152:$AK$864,CONCATENATE(C54,$BR$3),Master_Data!$S$152:$S$864)</f>
        <v>0</v>
      </c>
      <c r="BM54" s="39">
        <f>SUMIF(Master_Data!$AK$152:$AK$864,CONCATENATE($C54,BR$3),Master_Data!$T$152:$T$864)</f>
        <v>0</v>
      </c>
      <c r="BN54" s="230">
        <f t="shared" si="24"/>
        <v>0</v>
      </c>
      <c r="BO54" s="230" t="e">
        <f t="shared" ca="1" si="25"/>
        <v>#VALUE!</v>
      </c>
      <c r="BP54" s="23"/>
      <c r="BQ54" s="909" t="str">
        <f t="shared" si="26"/>
        <v>PERTIWI LENGGARA AGROMAS, PTAPR</v>
      </c>
      <c r="BR54" s="24"/>
      <c r="BS54" s="31"/>
      <c r="BT54" s="109">
        <f t="shared" si="78"/>
        <v>0</v>
      </c>
      <c r="BU54" s="109" t="e">
        <f t="shared" ca="1" si="79"/>
        <v>#VALUE!</v>
      </c>
      <c r="BV54" s="31"/>
      <c r="BW54" s="109">
        <f>SUMIF(Bill_Out!$Q$263:$Q$314,CONCATENATE($C54,$CI$3),Bill_Out!$N$263:$N$314)</f>
        <v>0</v>
      </c>
      <c r="BX54" s="109">
        <f>SUMIF(Bill_Out!$Q$263:$Q$314,CONCATENATE($C54,$CI$3),Bill_Out!$O$263:$O$314)</f>
        <v>0</v>
      </c>
      <c r="BY54" s="157"/>
      <c r="BZ54" s="310">
        <f>SUMIF(Master_Data!$AK$4:$AK$145,CONCATENATE(C54,$CI$3),Master_Data!$R$4:$R$145)+SUMIF(Master_Data!$AK$152:$AK$864,CONCATENATE(C54,$CI$3),Master_Data!$R$152:$R$864)</f>
        <v>0</v>
      </c>
      <c r="CA54" s="310">
        <f>SUMIF(Master_Data!$AK$4:$AK$145,CONCATENATE(C54,$CI$3),Master_Data!$Q$4:$Q$145)+SUMIF(Master_Data!$AK$152:$AK$864,CONCATENATE(C54,$CI$3),Master_Data!$Q$152:$Q$864)</f>
        <v>0</v>
      </c>
      <c r="CB54" s="310">
        <f>SUMIF(Master_Data!$AK$4:$AK$145,CONCATENATE(C54,$CI$3),Master_Data!$U$4:$U$145)+SUMIF(Master_Data!$AK$152:$AK$864,CONCATENATE(C54,$CI$3),Master_Data!$U$152:$U$864)</f>
        <v>0</v>
      </c>
      <c r="CC54" s="230">
        <f>SUMIF(Master_Data!$AK$4:$AK$145,CONCATENATE(C54,$CI$3),Master_Data!$S$4:$S$145)+SUMIF(Master_Data!$AK$152:$AK$864,CONCATENATE(C54,$CI$3),Master_Data!$S$152:$S$864)</f>
        <v>0</v>
      </c>
      <c r="CD54" s="39">
        <f>SUMIF(Master_Data!$AK$152:$AK$864,CONCATENATE($C54,CI$3),Master_Data!$T$152:$T$864)</f>
        <v>0</v>
      </c>
      <c r="CE54" s="310">
        <f t="shared" si="27"/>
        <v>0</v>
      </c>
      <c r="CF54" s="230" t="e">
        <f t="shared" ca="1" si="28"/>
        <v>#VALUE!</v>
      </c>
      <c r="CG54" s="23"/>
      <c r="CH54" s="235" t="str">
        <f t="shared" si="29"/>
        <v>PERTIWI LENGGARA AGROMAS, PTMEI</v>
      </c>
      <c r="CI54" s="24"/>
      <c r="CJ54" s="31"/>
      <c r="CK54" s="109">
        <f t="shared" si="30"/>
        <v>0</v>
      </c>
      <c r="CL54" s="238" t="e">
        <f t="shared" ca="1" si="31"/>
        <v>#VALUE!</v>
      </c>
      <c r="CM54" s="31"/>
      <c r="CN54" s="238">
        <f>SUMIF(Bill_Out!$Q$318:$Q$371,CONCATENATE($C54,$CZ$3),Bill_Out!$N$318:$N$371)</f>
        <v>0</v>
      </c>
      <c r="CO54" s="238">
        <f>SUMIF(Bill_Out!$Q$318:$Q$371,CONCATENATE($C54,$CZ$3),Bill_Out!$O$318:$O$371)</f>
        <v>0</v>
      </c>
      <c r="CP54" s="157"/>
      <c r="CQ54" s="230">
        <f>SUMIF(Master_Data!$AK$4:$AK$145,CONCATENATE($C54,$CZ$3),Master_Data!$R$4:$R$145)+SUMIF(Master_Data!$AK$152:$AK$864,CONCATENATE($C54,$CZ$3),Master_Data!$R$152:$R$864)</f>
        <v>0</v>
      </c>
      <c r="CR54" s="230">
        <f>SUMIF(Master_Data!$AK$4:$AK$145,CONCATENATE($C54,$CZ$3),Master_Data!$Q$4:$Q$145)+SUMIF(Master_Data!$AK$152:$AK$864,CONCATENATE($C54,$CZ$3),Master_Data!$Q$152:$Q$864)</f>
        <v>0</v>
      </c>
      <c r="CS54" s="230">
        <f>SUMIF(Master_Data!$AK$4:$AK$145,CONCATENATE($C54,$CZ$3),Master_Data!$U$4:$U$145)+SUMIF(Master_Data!$AK$152:$AK$864,CONCATENATE($C54,$CZ$3),Master_Data!$U$152:$U$864)</f>
        <v>0</v>
      </c>
      <c r="CT54" s="230">
        <f ca="1">SUMIF(Master_Data!$AK$4:$AK$145,CONCATENATE(C54,$CZ$3),Master_Data!$S$4:$S$145)+SUMIF(Master_Data!$AK$152:$AK$915,CONCATENATE(C54,$CZ$3),Master_Data!$S$152:$S$864)</f>
        <v>0</v>
      </c>
      <c r="CU54" s="1010">
        <f>SUMIF(Master_Data!$AK$4:$AK$145,CONCATENATE(C54,$CZ$3),Master_Data!$T$4:$T$145)+SUMIF(Master_Data!$AK$152:$AK$864,CONCATENATE(C54,$CZ$3),Master_Data!$T$152:$T$864)</f>
        <v>0</v>
      </c>
      <c r="CV54" s="230">
        <f t="shared" si="32"/>
        <v>0</v>
      </c>
      <c r="CW54" s="230" t="e">
        <f t="shared" ca="1" si="33"/>
        <v>#VALUE!</v>
      </c>
      <c r="CX54" s="23"/>
      <c r="CY54" s="1007" t="str">
        <f t="shared" si="6"/>
        <v>PERTIWI LENGGARA AGROMAS, PTJUN</v>
      </c>
      <c r="CZ54" s="24"/>
      <c r="DA54" s="31"/>
      <c r="DB54" s="109">
        <f t="shared" si="34"/>
        <v>0</v>
      </c>
      <c r="DC54" s="109" t="e">
        <f t="shared" ca="1" si="35"/>
        <v>#VALUE!</v>
      </c>
      <c r="DD54" s="31"/>
      <c r="DE54" s="109">
        <f>SUMIF(Bill_Out!$Q$375:$Q$422,CONCATENATE($C54,$DQ$3),Bill_Out!$N$375:$N$422)</f>
        <v>0</v>
      </c>
      <c r="DF54" s="109">
        <f>SUMIF(Bill_Out!$Q$375:$Q$422,CONCATENATE($C54,$DQ$3),Bill_Out!$O$375:$O$422)</f>
        <v>0</v>
      </c>
      <c r="DG54" s="157"/>
      <c r="DH54" s="310">
        <f>SUMIF(Master_Data!$AK$4:$AK$145,CONCATENATE($C54,$DQ$3),Master_Data!$R$4:$R$145)+SUMIF(Master_Data!$AK$152:$AK$864,CONCATENATE($C54,$DQ$3),Master_Data!$R$152:$R$864)</f>
        <v>0</v>
      </c>
      <c r="DI54" s="310">
        <f>SUMIF(Master_Data!$AK$4:$AK$145,CONCATENATE($C54,$DQ$3),Master_Data!$Q$4:$Q$145)+SUMIF(Master_Data!$AK$152:$AK$864,CONCATENATE($C54,$DQ$3),Master_Data!$Q$152:$Q$864)</f>
        <v>0</v>
      </c>
      <c r="DJ54" s="310">
        <f>SUMIF(Master_Data!$AK$4:$AK$145,CONCATENATE($C54,$DQ$3),Master_Data!$U$4:$U$145)+SUMIF(Master_Data!$AK$152:$AK$864,CONCATENATE($C54,$DQ$3),Master_Data!$U$152:$U$864)</f>
        <v>0</v>
      </c>
      <c r="DK54" s="310">
        <f>SUMIF(Master_Data!$AK$4:$AK$145,CONCATENATE($C54,$DQ$3),Master_Data!$S$4:$S$145)+SUMIF(Master_Data!$AK$152:$AK$864,CONCATENATE($C54,$DQ$3),Master_Data!$S$152:$S$864)</f>
        <v>0</v>
      </c>
      <c r="DL54" s="39">
        <f>SUMIF(Master_Data!$AK$152:$AK$915,CONCATENATE($C54,DQ$3),Master_Data!$T$152:$T$915)</f>
        <v>0</v>
      </c>
      <c r="DM54" s="230">
        <f t="shared" si="67"/>
        <v>0</v>
      </c>
      <c r="DN54" s="230" t="e">
        <f t="shared" ca="1" si="68"/>
        <v>#VALUE!</v>
      </c>
      <c r="DO54" s="23"/>
      <c r="DP54" s="358" t="str">
        <f t="shared" si="9"/>
        <v>PERTIWI LENGGARA AGROMAS, PTJUL</v>
      </c>
      <c r="DQ54" s="24"/>
      <c r="DR54" s="392"/>
      <c r="DS54" s="109">
        <f t="shared" si="36"/>
        <v>0</v>
      </c>
      <c r="DT54" s="109" t="e">
        <f t="shared" ca="1" si="37"/>
        <v>#VALUE!</v>
      </c>
      <c r="DU54" s="31"/>
      <c r="DV54" s="109">
        <f>SUMIF(Bill_Out!$Q$426:$Q$472,CONCATENATE($C54,$EH$3),Bill_Out!$N$426:$N$472)</f>
        <v>0</v>
      </c>
      <c r="DW54" s="109">
        <f>SUMIF(Bill_Out!$Q$426:$Q$472,CONCATENATE($C54,$EH$3),Bill_Out!$O$426:$O$472)</f>
        <v>0</v>
      </c>
      <c r="DX54" s="157"/>
      <c r="DY54" s="310">
        <f>SUMIF(Master_Data!$AK$4:$AK$145,CONCATENATE($C54,$EH$3),Master_Data!$R$4:$R$145)+SUMIF(Master_Data!$AK$152:$AK$864,CONCATENATE($C54,$EH$3),Master_Data!$R$152:$R$864)</f>
        <v>0</v>
      </c>
      <c r="DZ54" s="310">
        <f>SUMIF(Master_Data!$AK$4:$AK$145,CONCATENATE($C54,$EH$3),Master_Data!$Q$4:$Q$145)+SUMIF(Master_Data!$AK$152:$AK$864,CONCATENATE($C54,$EH$3),Master_Data!$Q$152:$Q$864)</f>
        <v>0</v>
      </c>
      <c r="EA54" s="310">
        <f>SUMIF(Master_Data!$AK$4:$AK$145,CONCATENATE($C54,$EH$3),Master_Data!$U$4:$U$145)+SUMIF(Master_Data!$AK$152:$AK$864,CONCATENATE($C54,$EH$3),Master_Data!$U$152:$U$864)</f>
        <v>0</v>
      </c>
      <c r="EB54" s="310">
        <f>SUMIF(Master_Data!$AK$4:$AK$145,CONCATENATE($C54,$EH$3),Master_Data!$S$4:$S$145)+SUMIF(Master_Data!$AK$152:$AK$864,CONCATENATE($C54,$EH$3),Master_Data!$S$152:$S$864)</f>
        <v>0</v>
      </c>
      <c r="EC54" s="39">
        <f>SUMIF(Master_Data!$AK$152:$AK$915,CONCATENATE($C54,EH$3),Master_Data!$T$152:$T$915)</f>
        <v>0</v>
      </c>
      <c r="ED54" s="310">
        <f t="shared" si="38"/>
        <v>0</v>
      </c>
      <c r="EE54" s="230" t="e">
        <f t="shared" ca="1" si="39"/>
        <v>#VALUE!</v>
      </c>
      <c r="EF54" s="23"/>
      <c r="EG54" s="358" t="str">
        <f t="shared" si="10"/>
        <v>PERTIWI LENGGARA AGROMAS, PTAGS</v>
      </c>
      <c r="EH54" s="24"/>
      <c r="EI54" s="392"/>
      <c r="EJ54" s="109">
        <f t="shared" si="47"/>
        <v>0</v>
      </c>
      <c r="EK54" s="109" t="e">
        <f t="shared" ca="1" si="48"/>
        <v>#VALUE!</v>
      </c>
      <c r="EL54" s="84"/>
      <c r="EM54" s="109">
        <f>SUMIF(Bill_Out!$Q$476:$Q$530,CONCATENATE($C54,$EY$3),Bill_Out!$N$476:$N$530)</f>
        <v>0</v>
      </c>
      <c r="EN54" s="109">
        <f>SUMIF(Bill_Out!$Q$476:$Q$530,CONCATENATE($C54,$EY$3),Bill_Out!$O$476:$O$530)</f>
        <v>0</v>
      </c>
      <c r="EO54" s="309"/>
      <c r="EP54" s="310">
        <f>SUMIF(Master_Data!$AK$4:$AK$145,CONCATENATE($C54,$EY$3),Master_Data!$R$4:$R$145)+SUMIF(Master_Data!$AK$152:$AK$864,CONCATENATE($C54,$EY$3),Master_Data!$R$152:$R$864)</f>
        <v>0</v>
      </c>
      <c r="EQ54" s="310">
        <f>SUMIF(Master_Data!$AK$4:$AK$145,CONCATENATE($C54,$EY$3),Master_Data!$Q$4:$Q$145)+SUMIF(Master_Data!$AK$152:$AK$864,CONCATENATE($C54,$EY$3),Master_Data!$Q$152:$Q$864)</f>
        <v>0</v>
      </c>
      <c r="ER54" s="310">
        <f>SUMIF(Master_Data!$AK$4:$AK$145,CONCATENATE($C54,$EY$3),Master_Data!$U$4:$U$145)+SUMIF(Master_Data!$AK$152:$AK$864,CONCATENATE($C54,$EY$3),Master_Data!$U$152:$U$864)</f>
        <v>0</v>
      </c>
      <c r="ES54" s="310">
        <f>SUMIF(Master_Data!$AK$4:$AK$145,CONCATENATE($C54,$EY$3),Master_Data!$S$4:$S$145)+SUMIF(Master_Data!$AK$152:$AK$864,CONCATENATE($C54,$EY$3),Master_Data!$S$152:$S$864)</f>
        <v>0</v>
      </c>
      <c r="ET54" s="39">
        <f>SUMIF(Master_Data!$AK$152:$AK$915,CONCATENATE($C54,EY$3),Master_Data!$T$152:$T$915)</f>
        <v>0</v>
      </c>
      <c r="EU54" s="310">
        <f t="shared" si="49"/>
        <v>0</v>
      </c>
      <c r="EV54" s="230"/>
      <c r="EW54" s="84"/>
      <c r="EX54" s="358" t="str">
        <f t="shared" si="11"/>
        <v>PERTIWI LENGGARA AGROMAS, PTSEP</v>
      </c>
      <c r="EY54" s="24"/>
      <c r="EZ54" s="415"/>
      <c r="FA54" s="109">
        <f t="shared" si="88"/>
        <v>0</v>
      </c>
      <c r="FB54" s="109">
        <f t="shared" si="96"/>
        <v>0</v>
      </c>
      <c r="FC54" s="420"/>
      <c r="FD54" s="109">
        <f>SUMIF(Bill_Out!$Q$534:$Q$606,CONCATENATE($C54,$FP$3),Bill_Out!$N$534:$N$606)</f>
        <v>0</v>
      </c>
      <c r="FE54" s="109">
        <f>SUMIF(Bill_Out!$Q$534:$Q$606,CONCATENATE($C54,$FP$3),Bill_Out!$O$534:$O$606)</f>
        <v>0</v>
      </c>
      <c r="FF54" s="157"/>
      <c r="FG54" s="310">
        <f>SUMIF(Master_Data!$AK$4:$AK$145,CONCATENATE($C54,$FP$3),Master_Data!$R$4:$R$145)+SUMIF(Master_Data!$AK$152:$AK$864,CONCATENATE($C54,$FP$3),Master_Data!$R$152:$R$864)</f>
        <v>0</v>
      </c>
      <c r="FH54" s="310">
        <f>SUMIF(Master_Data!$AK$4:$AK$145,CONCATENATE($C54,$FP$3),Master_Data!$Q$4:$Q$145)+SUMIF(Master_Data!$AK$152:$AK$864,CONCATENATE($C54,$FP$3),Master_Data!$Q$152:$Q$864)</f>
        <v>0</v>
      </c>
      <c r="FI54" s="310">
        <f>SUMIF(Master_Data!$AK$4:$AK$145,CONCATENATE($C54,$FP$3),Master_Data!$U$4:$U$145)+SUMIF(Master_Data!$AK$152:$AK$864,CONCATENATE($C54,$FP$3),Master_Data!$U$152:$U$864)</f>
        <v>0</v>
      </c>
      <c r="FJ54" s="310">
        <f>SUMIF(Master_Data!$AK$4:$AK$145,CONCATENATE($C54,$FP$3),Master_Data!$S$4:$S$145)+SUMIF(Master_Data!$AK$152:$AK$864,CONCATENATE($C54,$FP$3),Master_Data!$S$152:$S$864)</f>
        <v>0</v>
      </c>
      <c r="FK54" s="39">
        <f>SUMIF(Master_Data!$AK$152:$AK$915,CONCATENATE($C54,FP$3),Master_Data!$T$152:$T$915)</f>
        <v>0</v>
      </c>
      <c r="FL54" s="230">
        <f t="shared" si="90"/>
        <v>0</v>
      </c>
      <c r="FM54" s="230">
        <f t="shared" si="12"/>
        <v>0</v>
      </c>
      <c r="FN54" s="23"/>
      <c r="FO54" s="358" t="str">
        <f t="shared" si="80"/>
        <v>PERTIWI LENGGARA AGROMAS, PTOKT</v>
      </c>
      <c r="FP54" s="24"/>
      <c r="FQ54" s="415"/>
      <c r="FR54" s="109">
        <f t="shared" si="91"/>
        <v>0</v>
      </c>
      <c r="FS54" s="109">
        <f>FM54</f>
        <v>0</v>
      </c>
      <c r="FT54" s="420"/>
      <c r="FU54" s="109">
        <f>SUMIF(Bill_Out!$Q$610:$Q$675,CONCATENATE($C54,$GG$3),Bill_Out!$N$610:$N$675)</f>
        <v>0</v>
      </c>
      <c r="FV54" s="109">
        <f>SUMIF(Bill_Out!$Q$610:$Q$675,CONCATENATE($C54,$GG$3),Bill_Out!$O$610:$O$675)</f>
        <v>0</v>
      </c>
      <c r="FW54" s="157"/>
      <c r="FX54" s="512">
        <f>SUMIF(Master_Data!$AK$4:$AK$145,CONCATENATE($C54,$GG$3),Master_Data!$R$4:$R$145)+SUMIF(Master_Data!$AK$152:$AK$864,CONCATENATE($C54,$GG$3),Master_Data!$R$152:$R$864)</f>
        <v>0</v>
      </c>
      <c r="FY54" s="512">
        <f>SUMIF(Master_Data!$AK$4:$AK$145,CONCATENATE($C54,$GG$3),Master_Data!$Q$4:$Q$145)+SUMIF(Master_Data!$AK$152:$AK$864,CONCATENATE($C54,$GG$3),Master_Data!$Q$152:$Q$864)</f>
        <v>0</v>
      </c>
      <c r="FZ54" s="512">
        <f>SUMIF(Master_Data!$AK$4:$AK$145,CONCATENATE($C54,$GG$3),Master_Data!$U$4:$U$145)+SUMIF(Master_Data!$AK$152:$AK$864,CONCATENATE($C54,$GG$3),Master_Data!$U$152:$U$864)</f>
        <v>0</v>
      </c>
      <c r="GA54" s="310">
        <f>SUMIF(Master_Data!$AK$4:$AK$145,CONCATENATE($C54,$GG$3),Master_Data!$S$4:$S$145)+SUMIF(Master_Data!$AK$152:$AK$864,CONCATENATE($C54,$GG$3),Master_Data!$S$152:$S$864)</f>
        <v>0</v>
      </c>
      <c r="GB54" s="39">
        <f>SUMIF(Master_Data!$AK$152:$AK$915,CONCATENATE($C54,GG$3),Master_Data!$T$152:$T$915)</f>
        <v>0</v>
      </c>
      <c r="GC54" s="230">
        <f t="shared" si="93"/>
        <v>0</v>
      </c>
      <c r="GD54" s="230">
        <f t="shared" si="14"/>
        <v>0</v>
      </c>
      <c r="GE54" s="23"/>
      <c r="GF54" s="358" t="str">
        <f t="shared" si="81"/>
        <v>PERTIWI LENGGARA AGROMAS, PTNOV</v>
      </c>
      <c r="GG54" s="24"/>
      <c r="GH54" s="415"/>
      <c r="GI54" s="109">
        <f t="shared" si="70"/>
        <v>0</v>
      </c>
      <c r="GJ54" s="109">
        <f t="shared" si="71"/>
        <v>0</v>
      </c>
      <c r="GK54" s="423"/>
      <c r="GL54" s="109">
        <f>SUMIF(Bill_Out!$Q$679:$Q$756,CONCATENATE($C54,$GX$3),Bill_Out!$N$679:$N$756)</f>
        <v>0</v>
      </c>
      <c r="GM54" s="109">
        <f>SUMIF(Bill_Out!$Q$679:$Q$756,CONCATENATE($C54,$GX$3),Bill_Out!$O$679:$O$756)</f>
        <v>0</v>
      </c>
      <c r="GN54" s="157"/>
      <c r="GO54" s="512">
        <f>SUMIF(Master_Data!$AK$4:$AK$145,CONCATENATE($C54,$GX$3),Master_Data!$R$4:$R$145)+SUMIF(Master_Data!$AK$152:$AK$864,CONCATENATE($C54,$GX$3),Master_Data!$R$152:$R$864)</f>
        <v>0</v>
      </c>
      <c r="GP54" s="512">
        <f>SUMIF(Master_Data!$AK$4:$AK$145,CONCATENATE($C54,$GX$3),Master_Data!$Q$4:$Q$145)+SUMIF(Master_Data!$AK$152:$AK$864,CONCATENATE($C54,$GX$3),Master_Data!$Q$152:$Q$864)</f>
        <v>0</v>
      </c>
      <c r="GQ54" s="512">
        <f>SUMIF(Master_Data!$AK$4:$AK$145,CONCATENATE($C54,$GX$3),Master_Data!$U$4:$U$145)+SUMIF(Master_Data!$AK$152:$AK$864,CONCATENATE($C54,$GX$3),Master_Data!$U$152:$U$864)</f>
        <v>0</v>
      </c>
      <c r="GR54" s="310">
        <f>SUMIF(Master_Data!$AK$4:$AK$145,CONCATENATE($C54,$GX$3),Master_Data!$S$4:$S$145)+SUMIF(Master_Data!$AK$152:$AK$864,CONCATENATE($C54,$GX$3),Master_Data!$S$152:$S$864)</f>
        <v>0</v>
      </c>
      <c r="GS54" s="39">
        <f>SUMIF(Master_Data!$AK$152:$AK$864,CONCATENATE($C54,GX$3),Master_Data!$T$152:$T$864)</f>
        <v>0</v>
      </c>
      <c r="GT54" s="534">
        <f t="shared" si="44"/>
        <v>0</v>
      </c>
      <c r="GU54" s="310">
        <f t="shared" si="16"/>
        <v>0</v>
      </c>
      <c r="GV54" s="23"/>
      <c r="GW54" s="358" t="str">
        <f t="shared" si="87"/>
        <v>PERTIWI LENGGARA AGROMAS, PTDES</v>
      </c>
      <c r="GX54" s="24"/>
    </row>
    <row r="55" spans="1:206" s="19" customFormat="1">
      <c r="A55" s="328" t="s">
        <v>403</v>
      </c>
      <c r="B55" s="236" t="str">
        <f t="shared" si="18"/>
        <v>PERUM LEMBAGA PENYELENGGARA PELAYANAN NAVIGASI PENERBANGAN INDONESIAJAN</v>
      </c>
      <c r="C55" s="11" t="s">
        <v>639</v>
      </c>
      <c r="D55" s="23"/>
      <c r="E55" s="109">
        <f>SUMIF(Master_Data!$D45:$D$145,CONCATENATE(C55),Master_Data!M45:M870)</f>
        <v>0</v>
      </c>
      <c r="F55" s="109">
        <f>SUMIF(Master_Data!$D52:$D$145,CONCATENATE(C55),Master_Data!N52:N241)</f>
        <v>9784813.5</v>
      </c>
      <c r="G55" s="31"/>
      <c r="H55" s="109">
        <f>SUMIF(Bill_Out!$Q$3:$Q$65,CONCATENATE($C55,$S$3),Bill_Out!$N$3:$N$65)</f>
        <v>0</v>
      </c>
      <c r="I55" s="88">
        <f>SUMIF(Bill_Out!$Q$3:$Q$65,CONCATENATE($C55,$S$3),Bill_Out!$O$3:$O$65)</f>
        <v>0</v>
      </c>
      <c r="J55" s="157"/>
      <c r="K55" s="29"/>
      <c r="L55" s="44"/>
      <c r="M55" s="230">
        <f>SUMIF(Master_Data!$AK50:$AK$145,CONCATENATE(C55,$S$3),Master_Data!U50:U360)+SUMIF(Master_Data!$AK366:$AK$864,CONCATENATE(C55,$S$3),Master_Data!U366:U1149)</f>
        <v>8895285</v>
      </c>
      <c r="N55" s="310">
        <f>SUMIF(Master_Data!$AK$4:$AK$145,CONCATENATE(C55,$S$3),Master_Data!$S$4:$S$145)+SUMIF(Master_Data!$AK$150:$AK$864,CONCATENATE(C55,$S$3),Master_Data!$S$150:$S$864)</f>
        <v>-889528.5</v>
      </c>
      <c r="O55" s="310">
        <f>SUMIF(Master_Data!$AK$4:$AK$145,CONCATENATE(C55,$S$3),Master_Data!$T$4:$T$145)+SUMIF(Master_Data!$AK$150:$AK$864,CONCATENATE(C55,$S$3),Master_Data!$T$150:$T$864)</f>
        <v>0</v>
      </c>
      <c r="P55" s="230">
        <f t="shared" si="19"/>
        <v>0</v>
      </c>
      <c r="Q55" s="230">
        <f t="shared" si="20"/>
        <v>0</v>
      </c>
      <c r="R55" s="23"/>
      <c r="S55" s="24"/>
      <c r="T55" s="31"/>
      <c r="U55" s="109">
        <f t="shared" si="94"/>
        <v>0</v>
      </c>
      <c r="V55" s="109">
        <f t="shared" si="95"/>
        <v>0</v>
      </c>
      <c r="W55" s="31"/>
      <c r="X55" s="109">
        <f>SUMIF(Bill_Out!$Q$67:$Q$132,CONCATENATE($C55,$AJ$3),Bill_Out!$N$67:$N$132)</f>
        <v>0</v>
      </c>
      <c r="Y55" s="109">
        <f>SUMIF(Bill_Out!$Q$67:$Q$132,CONCATENATE($C55,$AJ$3),Bill_Out!$O$67:$O$132)</f>
        <v>0</v>
      </c>
      <c r="Z55" s="157"/>
      <c r="AA55" s="230">
        <f>SUMIF(Master_Data!$AK$4:$AK$145,CONCATENATE(C55,$AJ$3),Master_Data!$R$4:$R$145)+SUMIF(Master_Data!$AK$152:$AK$850,CONCATENATE(C55,$AJ$3),Master_Data!$R$152:$R$850)</f>
        <v>0</v>
      </c>
      <c r="AB55" s="230">
        <f>SUMIF(Master_Data!$AK$4:$AK$145,CONCATENATE(C55,$AJ$3),Master_Data!$Q$4:$Q$145)+SUMIF(Master_Data!$AK$152:$AK$850,CONCATENATE(C55,$AJ$3),Master_Data!$Q$152:$Q$850)</f>
        <v>0</v>
      </c>
      <c r="AC55" s="230">
        <f>SUMIF(Master_Data!$AK$4:$AK$145,CONCATENATE(C55,$AJ$3),Master_Data!$U$4:$U$145)+SUMIF(Master_Data!$AK$152:$AK$850,CONCATENATE(C55,$AJ$3),Master_Data!$U$152:$U$850)</f>
        <v>0</v>
      </c>
      <c r="AD55" s="310">
        <f ca="1">SUMIF(Master_Data!$AK$4:$AK$145,CONCATENATE(C55,$AJ$3),Master_Data!$S$4:$S$145)+SUMIF(Master_Data!$AK$152:$AK$864,CONCATENATE(C55,$AJ$3),Master_Data!$S$152:$S$850)</f>
        <v>0</v>
      </c>
      <c r="AE55" s="310">
        <f>SUMIF(Master_Data!$AK$4:$AK$145,CONCATENATE(C55,$AJ$3),Master_Data!$T$4:$T$145)+SUMIF(Master_Data!$AK$152:$AK$864,CONCATENATE(C55,$AJ$3),Master_Data!$T$152:$T$864)</f>
        <v>0</v>
      </c>
      <c r="AF55" s="230">
        <f t="shared" si="63"/>
        <v>0</v>
      </c>
      <c r="AG55" s="230">
        <f t="shared" ca="1" si="64"/>
        <v>0</v>
      </c>
      <c r="AH55" s="23"/>
      <c r="AI55" s="235" t="str">
        <f t="shared" si="86"/>
        <v>PERUM LEMBAGA PENYELENGGARA PELAYANAN NAVIGASI PENERBANGAN INDONESIAFEB</v>
      </c>
      <c r="AJ55" s="24"/>
      <c r="AK55" s="31"/>
      <c r="AL55" s="109">
        <f t="shared" si="65"/>
        <v>0</v>
      </c>
      <c r="AM55" s="109">
        <f t="shared" ca="1" si="66"/>
        <v>0</v>
      </c>
      <c r="AN55" s="31"/>
      <c r="AO55" s="109">
        <f>SUMIF(Bill_Out!$Q$134:$Q$188,CONCATENATE($C55,$BA$3),Bill_Out!$N$134:$N$188)</f>
        <v>0</v>
      </c>
      <c r="AP55" s="109">
        <f>SUMIF(Bill_Out!$Q$134:$Q$188,CONCATENATE($C55,$BA$3),Bill_Out!$O$134:$O$188)</f>
        <v>0</v>
      </c>
      <c r="AQ55" s="157"/>
      <c r="AR55" s="230">
        <f>SUMIF(Master_Data!$AK$4:$AK$145,CONCATENATE(C55,$BA$3),Master_Data!$R$4:$R$145)+SUMIF(Master_Data!$AK$152:$AK$864,CONCATENATE(C55,$BA$3),Master_Data!$R$152:$R$864)</f>
        <v>0</v>
      </c>
      <c r="AS55" s="230">
        <f>SUMIF(Master_Data!$AK$4:$AK$145,CONCATENATE(C55,$BA$3),Master_Data!$Q$4:$Q$145)+SUMIF(Master_Data!$AK$152:$AK$864,CONCATENATE(C55,$BA$3),Master_Data!$Q$152:$Q$864)</f>
        <v>0</v>
      </c>
      <c r="AT55" s="230">
        <f>SUMIF(Master_Data!$AK$4:$AK$145,CONCATENATE(C55,$BA$3),Master_Data!$U$4:$U$145)+SUMIF(Master_Data!$AK$152:$AK$864,CONCATENATE(C55,$BA$3),Master_Data!$U$152:$U$864)</f>
        <v>0</v>
      </c>
      <c r="AU55" s="230">
        <f ca="1">SUMIF(Master_Data!$AK$4:$AK$145,CONCATENATE(C55,$BA$3),Master_Data!$S$4:$S$145)+SUMIF(Master_Data!$AK$152:$AK$864,CONCATENATE(C55,$BA$3),Master_Data!$S$152:$S$850)</f>
        <v>0</v>
      </c>
      <c r="AV55" s="39">
        <f>SUMIF(Master_Data!$AK$152:$AK$864,CONCATENATE($C55,BA$3),Master_Data!$T$152:$T$864)</f>
        <v>0</v>
      </c>
      <c r="AW55" s="230">
        <f t="shared" si="57"/>
        <v>0</v>
      </c>
      <c r="AX55" s="230">
        <f t="shared" ca="1" si="58"/>
        <v>0</v>
      </c>
      <c r="AY55" s="23"/>
      <c r="AZ55" s="235" t="str">
        <f t="shared" si="21"/>
        <v>PERUM LEMBAGA PENYELENGGARA PELAYANAN NAVIGASI PENERBANGAN INDONESIAMAR</v>
      </c>
      <c r="BA55" s="24"/>
      <c r="BB55" s="31"/>
      <c r="BC55" s="109">
        <f t="shared" si="22"/>
        <v>0</v>
      </c>
      <c r="BD55" s="109">
        <f t="shared" ca="1" si="23"/>
        <v>0</v>
      </c>
      <c r="BE55" s="31"/>
      <c r="BF55" s="109">
        <f>SUMIF(Bill_Out!$Q$192:$Q$258,CONCATENATE($C55,$BR$3),Bill_Out!$N$192:$N$258)</f>
        <v>0</v>
      </c>
      <c r="BG55" s="109">
        <f>SUMIF(Bill_Out!$Q$192:$Q$258,CONCATENATE($C55,$BR$3),Bill_Out!$O$192:$O$258)</f>
        <v>0</v>
      </c>
      <c r="BH55" s="157"/>
      <c r="BI55" s="230">
        <f>SUMIF(Master_Data!$AK$4:$AK$145,CONCATENATE(C55,$BR$3),Master_Data!$R$4:$R$145)+SUMIF(Master_Data!$AK$152:$AK$864,CONCATENATE(C55,$BR$3),Master_Data!$R$152:$R$864)</f>
        <v>0</v>
      </c>
      <c r="BJ55" s="230">
        <f>SUMIF(Master_Data!$AK$4:$AK$145,CONCATENATE(C55,$BR$3),Master_Data!$Q$4:$Q$145)+SUMIF(Master_Data!$AK$152:$AK$864,CONCATENATE(C55,$BR$3),Master_Data!$Q$152:$Q$864)</f>
        <v>0</v>
      </c>
      <c r="BK55" s="230">
        <f>SUMIF(Master_Data!$AK$4:$AK$145,CONCATENATE(C55,$BR$3),Master_Data!$U$4:$U$145)+SUMIF(Master_Data!$AK$152:$AK$864,CONCATENATE(C55,$BR$3),Master_Data!$U$152:$U$864)</f>
        <v>0</v>
      </c>
      <c r="BL55" s="230">
        <f>SUMIF(Master_Data!$AK$4:$AK$145,CONCATENATE(C55,$BR$3),Master_Data!$S$4:$S$145)+SUMIF(Master_Data!$AK$152:$AK$864,CONCATENATE(C55,$BR$3),Master_Data!$S$152:$S$864)</f>
        <v>0</v>
      </c>
      <c r="BM55" s="39">
        <f>SUMIF(Master_Data!$AK$152:$AK$864,CONCATENATE($C55,BR$3),Master_Data!$T$152:$T$864)</f>
        <v>0</v>
      </c>
      <c r="BN55" s="230">
        <f t="shared" si="24"/>
        <v>0</v>
      </c>
      <c r="BO55" s="230">
        <f t="shared" ca="1" si="25"/>
        <v>0</v>
      </c>
      <c r="BP55" s="23"/>
      <c r="BQ55" s="909" t="str">
        <f t="shared" si="26"/>
        <v>PERUM LEMBAGA PENYELENGGARA PELAYANAN NAVIGASI PENERBANGAN INDONESIAAPR</v>
      </c>
      <c r="BR55" s="24"/>
      <c r="BS55" s="31"/>
      <c r="BT55" s="109">
        <f t="shared" si="78"/>
        <v>0</v>
      </c>
      <c r="BU55" s="109">
        <f t="shared" ca="1" si="79"/>
        <v>0</v>
      </c>
      <c r="BV55" s="31"/>
      <c r="BW55" s="109">
        <f>SUMIF(Bill_Out!$Q$263:$Q$314,CONCATENATE($C55,$CI$3),Bill_Out!$N$263:$N$314)</f>
        <v>0</v>
      </c>
      <c r="BX55" s="109">
        <f>SUMIF(Bill_Out!$Q$263:$Q$314,CONCATENATE($C55,$CI$3),Bill_Out!$O$263:$O$314)</f>
        <v>0</v>
      </c>
      <c r="BY55" s="157"/>
      <c r="BZ55" s="310">
        <f>SUMIF(Master_Data!$AK$4:$AK$145,CONCATENATE(C55,$CI$3),Master_Data!$R$4:$R$145)+SUMIF(Master_Data!$AK$152:$AK$864,CONCATENATE(C55,$CI$3),Master_Data!$R$152:$R$864)</f>
        <v>0</v>
      </c>
      <c r="CA55" s="310">
        <f>SUMIF(Master_Data!$AK$4:$AK$145,CONCATENATE(C55,$CI$3),Master_Data!$Q$4:$Q$145)+SUMIF(Master_Data!$AK$152:$AK$864,CONCATENATE(C55,$CI$3),Master_Data!$Q$152:$Q$864)</f>
        <v>0</v>
      </c>
      <c r="CB55" s="310">
        <f>SUMIF(Master_Data!$AK$4:$AK$145,CONCATENATE(C55,$CI$3),Master_Data!$U$4:$U$145)+SUMIF(Master_Data!$AK$152:$AK$864,CONCATENATE(C55,$CI$3),Master_Data!$U$152:$U$864)</f>
        <v>0</v>
      </c>
      <c r="CC55" s="230">
        <f>SUMIF(Master_Data!$AK$4:$AK$145,CONCATENATE(C55,$CI$3),Master_Data!$S$4:$S$145)+SUMIF(Master_Data!$AK$152:$AK$864,CONCATENATE(C55,$CI$3),Master_Data!$S$152:$S$864)</f>
        <v>0</v>
      </c>
      <c r="CD55" s="39">
        <f>SUMIF(Master_Data!$AK$152:$AK$864,CONCATENATE($C55,CI$3),Master_Data!$T$152:$T$864)</f>
        <v>0</v>
      </c>
      <c r="CE55" s="310">
        <f t="shared" si="27"/>
        <v>0</v>
      </c>
      <c r="CF55" s="230">
        <f t="shared" ca="1" si="28"/>
        <v>0</v>
      </c>
      <c r="CG55" s="23"/>
      <c r="CH55" s="235" t="str">
        <f t="shared" si="29"/>
        <v>PERUM LEMBAGA PENYELENGGARA PELAYANAN NAVIGASI PENERBANGAN INDONESIAMEI</v>
      </c>
      <c r="CI55" s="24"/>
      <c r="CJ55" s="31"/>
      <c r="CK55" s="109">
        <f t="shared" si="30"/>
        <v>0</v>
      </c>
      <c r="CL55" s="238">
        <f t="shared" ca="1" si="31"/>
        <v>0</v>
      </c>
      <c r="CM55" s="31"/>
      <c r="CN55" s="238">
        <f>SUMIF(Bill_Out!$Q$318:$Q$371,CONCATENATE($C55,$CZ$3),Bill_Out!$N$318:$N$371)</f>
        <v>0</v>
      </c>
      <c r="CO55" s="238">
        <f>SUMIF(Bill_Out!$Q$318:$Q$371,CONCATENATE($C55,$CZ$3),Bill_Out!$O$318:$O$371)</f>
        <v>0</v>
      </c>
      <c r="CP55" s="157"/>
      <c r="CQ55" s="230">
        <f>SUMIF(Master_Data!$AK$4:$AK$145,CONCATENATE($C55,$CZ$3),Master_Data!$R$4:$R$145)+SUMIF(Master_Data!$AK$152:$AK$864,CONCATENATE($C55,$CZ$3),Master_Data!$R$152:$R$864)</f>
        <v>0</v>
      </c>
      <c r="CR55" s="230">
        <f>SUMIF(Master_Data!$AK$4:$AK$145,CONCATENATE($C55,$CZ$3),Master_Data!$Q$4:$Q$145)+SUMIF(Master_Data!$AK$152:$AK$864,CONCATENATE($C55,$CZ$3),Master_Data!$Q$152:$Q$864)</f>
        <v>0</v>
      </c>
      <c r="CS55" s="230">
        <f>SUMIF(Master_Data!$AK$4:$AK$145,CONCATENATE($C55,$CZ$3),Master_Data!$U$4:$U$145)+SUMIF(Master_Data!$AK$152:$AK$864,CONCATENATE($C55,$CZ$3),Master_Data!$U$152:$U$864)</f>
        <v>0</v>
      </c>
      <c r="CT55" s="230">
        <f ca="1">SUMIF(Master_Data!$AK$4:$AK$145,CONCATENATE(C55,$CZ$3),Master_Data!$S$4:$S$145)+SUMIF(Master_Data!$AK$152:$AK$915,CONCATENATE(C55,$CZ$3),Master_Data!$S$152:$S$864)</f>
        <v>0</v>
      </c>
      <c r="CU55" s="1010">
        <f>SUMIF(Master_Data!$AK$4:$AK$145,CONCATENATE(C55,$CZ$3),Master_Data!$T$4:$T$145)+SUMIF(Master_Data!$AK$152:$AK$864,CONCATENATE(C55,$CZ$3),Master_Data!$T$152:$T$864)</f>
        <v>0</v>
      </c>
      <c r="CV55" s="230">
        <f t="shared" si="32"/>
        <v>0</v>
      </c>
      <c r="CW55" s="230">
        <f t="shared" ca="1" si="33"/>
        <v>0</v>
      </c>
      <c r="CX55" s="23"/>
      <c r="CY55" s="1007" t="str">
        <f t="shared" si="6"/>
        <v>PERUM LEMBAGA PENYELENGGARA PELAYANAN NAVIGASI PENERBANGAN INDONESIAJUN</v>
      </c>
      <c r="CZ55" s="24"/>
      <c r="DA55" s="31"/>
      <c r="DB55" s="109">
        <f t="shared" si="34"/>
        <v>0</v>
      </c>
      <c r="DC55" s="109">
        <f t="shared" ca="1" si="35"/>
        <v>0</v>
      </c>
      <c r="DD55" s="31"/>
      <c r="DE55" s="109">
        <f>SUMIF(Bill_Out!$Q$375:$Q$422,CONCATENATE($C55,$DQ$3),Bill_Out!$N$375:$N$422)</f>
        <v>0</v>
      </c>
      <c r="DF55" s="109">
        <f>SUMIF(Bill_Out!$Q$375:$Q$422,CONCATENATE($C55,$DQ$3),Bill_Out!$O$375:$O$422)</f>
        <v>0</v>
      </c>
      <c r="DG55" s="157"/>
      <c r="DH55" s="310">
        <f>SUMIF(Master_Data!$AK$4:$AK$145,CONCATENATE($C55,$DQ$3),Master_Data!$R$4:$R$145)+SUMIF(Master_Data!$AK$152:$AK$864,CONCATENATE($C55,$DQ$3),Master_Data!$R$152:$R$864)</f>
        <v>0</v>
      </c>
      <c r="DI55" s="310">
        <f>SUMIF(Master_Data!$AK$4:$AK$145,CONCATENATE($C55,$DQ$3),Master_Data!$Q$4:$Q$145)+SUMIF(Master_Data!$AK$152:$AK$864,CONCATENATE($C55,$DQ$3),Master_Data!$Q$152:$Q$864)</f>
        <v>0</v>
      </c>
      <c r="DJ55" s="310">
        <f>SUMIF(Master_Data!$AK$4:$AK$145,CONCATENATE($C55,$DQ$3),Master_Data!$U$4:$U$145)+SUMIF(Master_Data!$AK$152:$AK$864,CONCATENATE($C55,$DQ$3),Master_Data!$U$152:$U$864)</f>
        <v>0</v>
      </c>
      <c r="DK55" s="310">
        <f>SUMIF(Master_Data!$AK$4:$AK$145,CONCATENATE($C55,$DQ$3),Master_Data!$S$4:$S$145)+SUMIF(Master_Data!$AK$152:$AK$864,CONCATENATE($C55,$DQ$3),Master_Data!$S$152:$S$864)</f>
        <v>0</v>
      </c>
      <c r="DL55" s="39">
        <f>SUMIF(Master_Data!$AK$152:$AK$915,CONCATENATE($C55,DQ$3),Master_Data!$T$152:$T$915)</f>
        <v>0</v>
      </c>
      <c r="DM55" s="230">
        <f t="shared" si="67"/>
        <v>0</v>
      </c>
      <c r="DN55" s="230">
        <f t="shared" ca="1" si="68"/>
        <v>0</v>
      </c>
      <c r="DO55" s="23"/>
      <c r="DP55" s="358" t="str">
        <f t="shared" si="9"/>
        <v>PERUM LEMBAGA PENYELENGGARA PELAYANAN NAVIGASI PENERBANGAN INDONESIAJUL</v>
      </c>
      <c r="DQ55" s="24"/>
      <c r="DR55" s="392"/>
      <c r="DS55" s="109">
        <f t="shared" si="36"/>
        <v>0</v>
      </c>
      <c r="DT55" s="109">
        <f t="shared" ca="1" si="37"/>
        <v>0</v>
      </c>
      <c r="DU55" s="31"/>
      <c r="DV55" s="109">
        <f>SUMIF(Bill_Out!$Q$426:$Q$472,CONCATENATE($C55,$EH$3),Bill_Out!$N$426:$N$472)</f>
        <v>0</v>
      </c>
      <c r="DW55" s="109">
        <f>SUMIF(Bill_Out!$Q$426:$Q$472,CONCATENATE($C55,$EH$3),Bill_Out!$O$426:$O$472)</f>
        <v>0</v>
      </c>
      <c r="DX55" s="157"/>
      <c r="DY55" s="310">
        <f>SUMIF(Master_Data!$AK$4:$AK$145,CONCATENATE($C55,$EH$3),Master_Data!$R$4:$R$145)+SUMIF(Master_Data!$AK$152:$AK$864,CONCATENATE($C55,$EH$3),Master_Data!$R$152:$R$864)</f>
        <v>0</v>
      </c>
      <c r="DZ55" s="310">
        <f>SUMIF(Master_Data!$AK$4:$AK$145,CONCATENATE($C55,$EH$3),Master_Data!$Q$4:$Q$145)+SUMIF(Master_Data!$AK$152:$AK$864,CONCATENATE($C55,$EH$3),Master_Data!$Q$152:$Q$864)</f>
        <v>0</v>
      </c>
      <c r="EA55" s="310">
        <f>SUMIF(Master_Data!$AK$4:$AK$145,CONCATENATE($C55,$EH$3),Master_Data!$U$4:$U$145)+SUMIF(Master_Data!$AK$152:$AK$864,CONCATENATE($C55,$EH$3),Master_Data!$U$152:$U$864)</f>
        <v>0</v>
      </c>
      <c r="EB55" s="310">
        <f>SUMIF(Master_Data!$AK$4:$AK$145,CONCATENATE($C55,$EH$3),Master_Data!$S$4:$S$145)+SUMIF(Master_Data!$AK$152:$AK$864,CONCATENATE($C55,$EH$3),Master_Data!$S$152:$S$864)</f>
        <v>0</v>
      </c>
      <c r="EC55" s="39">
        <f>SUMIF(Master_Data!$AK$152:$AK$915,CONCATENATE($C55,EH$3),Master_Data!$T$152:$T$915)</f>
        <v>0</v>
      </c>
      <c r="ED55" s="310">
        <f t="shared" si="38"/>
        <v>0</v>
      </c>
      <c r="EE55" s="230">
        <f t="shared" ca="1" si="39"/>
        <v>0</v>
      </c>
      <c r="EF55" s="23"/>
      <c r="EG55" s="358" t="str">
        <f t="shared" si="10"/>
        <v>PERUM LEMBAGA PENYELENGGARA PELAYANAN NAVIGASI PENERBANGAN INDONESIAAGS</v>
      </c>
      <c r="EH55" s="24"/>
      <c r="EI55" s="392"/>
      <c r="EJ55" s="109">
        <f t="shared" si="47"/>
        <v>0</v>
      </c>
      <c r="EK55" s="109">
        <f t="shared" ca="1" si="48"/>
        <v>0</v>
      </c>
      <c r="EL55" s="84"/>
      <c r="EM55" s="109">
        <f>SUMIF(Bill_Out!$Q$476:$Q$530,CONCATENATE($C55,$EY$3),Bill_Out!$N$476:$N$530)</f>
        <v>0</v>
      </c>
      <c r="EN55" s="109">
        <f>SUMIF(Bill_Out!$Q$476:$Q$530,CONCATENATE($C55,$EY$3),Bill_Out!$O$476:$O$530)</f>
        <v>0</v>
      </c>
      <c r="EO55" s="309"/>
      <c r="EP55" s="310">
        <f>SUMIF(Master_Data!$AK$4:$AK$145,CONCATENATE($C55,$EY$3),Master_Data!$R$4:$R$145)+SUMIF(Master_Data!$AK$152:$AK$864,CONCATENATE($C55,$EY$3),Master_Data!$R$152:$R$864)</f>
        <v>0</v>
      </c>
      <c r="EQ55" s="310">
        <f>SUMIF(Master_Data!$AK$4:$AK$145,CONCATENATE($C55,$EY$3),Master_Data!$Q$4:$Q$145)+SUMIF(Master_Data!$AK$152:$AK$864,CONCATENATE($C55,$EY$3),Master_Data!$Q$152:$Q$864)</f>
        <v>0</v>
      </c>
      <c r="ER55" s="310">
        <f>SUMIF(Master_Data!$AK$4:$AK$145,CONCATENATE($C55,$EY$3),Master_Data!$U$4:$U$145)+SUMIF(Master_Data!$AK$152:$AK$864,CONCATENATE($C55,$EY$3),Master_Data!$U$152:$U$864)</f>
        <v>0</v>
      </c>
      <c r="ES55" s="310">
        <f>SUMIF(Master_Data!$AK$4:$AK$145,CONCATENATE($C55,$EY$3),Master_Data!$S$4:$S$145)+SUMIF(Master_Data!$AK$152:$AK$864,CONCATENATE($C55,$EY$3),Master_Data!$S$152:$S$864)</f>
        <v>0</v>
      </c>
      <c r="ET55" s="39">
        <f>SUMIF(Master_Data!$AK$152:$AK$915,CONCATENATE($C55,EY$3),Master_Data!$T$152:$T$915)</f>
        <v>0</v>
      </c>
      <c r="EU55" s="310">
        <f t="shared" si="49"/>
        <v>0</v>
      </c>
      <c r="EV55" s="230"/>
      <c r="EW55" s="84"/>
      <c r="EX55" s="358" t="str">
        <f t="shared" si="11"/>
        <v>PERUM LEMBAGA PENYELENGGARA PELAYANAN NAVIGASI PENERBANGAN INDONESIASEP</v>
      </c>
      <c r="EY55" s="24"/>
      <c r="EZ55" s="415"/>
      <c r="FA55" s="109">
        <f>EU55</f>
        <v>0</v>
      </c>
      <c r="FB55" s="109">
        <f>EV55</f>
        <v>0</v>
      </c>
      <c r="FC55" s="420"/>
      <c r="FD55" s="109">
        <f>SUMIF(Bill_Out!$Q$534:$Q$606,CONCATENATE($C55,$FP$3),Bill_Out!$N$534:$N$606)</f>
        <v>0</v>
      </c>
      <c r="FE55" s="109">
        <f>SUMIF(Bill_Out!$Q$534:$Q$606,CONCATENATE($C55,$FP$3),Bill_Out!$O$534:$O$606)</f>
        <v>0</v>
      </c>
      <c r="FF55" s="157"/>
      <c r="FG55" s="310">
        <f>SUMIF(Master_Data!$AK$4:$AK$145,CONCATENATE($C55,$FP$3),Master_Data!$R$4:$R$145)+SUMIF(Master_Data!$AK$152:$AK$864,CONCATENATE($C55,$FP$3),Master_Data!$R$152:$R$864)</f>
        <v>0</v>
      </c>
      <c r="FH55" s="310">
        <f>SUMIF(Master_Data!$AK$4:$AK$145,CONCATENATE($C55,$FP$3),Master_Data!$Q$4:$Q$145)+SUMIF(Master_Data!$AK$152:$AK$864,CONCATENATE($C55,$FP$3),Master_Data!$Q$152:$Q$864)</f>
        <v>0</v>
      </c>
      <c r="FI55" s="310">
        <f>SUMIF(Master_Data!$AK$4:$AK$145,CONCATENATE($C55,$FP$3),Master_Data!$U$4:$U$145)+SUMIF(Master_Data!$AK$152:$AK$864,CONCATENATE($C55,$FP$3),Master_Data!$U$152:$U$864)</f>
        <v>0</v>
      </c>
      <c r="FJ55" s="310">
        <f>SUMIF(Master_Data!$AK$4:$AK$145,CONCATENATE($C55,$FP$3),Master_Data!$S$4:$S$145)+SUMIF(Master_Data!$AK$152:$AK$864,CONCATENATE($C55,$FP$3),Master_Data!$S$152:$S$864)</f>
        <v>0</v>
      </c>
      <c r="FK55" s="39">
        <f>SUMIF(Master_Data!$AK$152:$AK$915,CONCATENATE($C55,FP$3),Master_Data!$T$152:$T$915)</f>
        <v>0</v>
      </c>
      <c r="FL55" s="230">
        <f>FA55+FD55-FG55+FH55</f>
        <v>0</v>
      </c>
      <c r="FM55" s="230">
        <f t="shared" si="12"/>
        <v>0</v>
      </c>
      <c r="FN55" s="23"/>
      <c r="FO55" s="358" t="str">
        <f t="shared" si="80"/>
        <v>PERUM LEMBAGA PENYELENGGARA PELAYANAN NAVIGASI PENERBANGAN INDONESIAOKT</v>
      </c>
      <c r="FP55" s="24"/>
      <c r="FQ55" s="415"/>
      <c r="FR55" s="109">
        <f>FL55</f>
        <v>0</v>
      </c>
      <c r="FS55" s="109">
        <f>FM55</f>
        <v>0</v>
      </c>
      <c r="FT55" s="420"/>
      <c r="FU55" s="109">
        <f>SUMIF(Bill_Out!$Q$610:$Q$675,CONCATENATE($C55,$GG$3),Bill_Out!$N$610:$N$675)</f>
        <v>0</v>
      </c>
      <c r="FV55" s="109">
        <f>SUMIF(Bill_Out!$Q$610:$Q$675,CONCATENATE($C55,$GG$3),Bill_Out!$O$610:$O$675)</f>
        <v>0</v>
      </c>
      <c r="FW55" s="157"/>
      <c r="FX55" s="512">
        <f>SUMIF(Master_Data!$AK$4:$AK$145,CONCATENATE($C55,$GG$3),Master_Data!$R$4:$R$145)+SUMIF(Master_Data!$AK$152:$AK$864,CONCATENATE($C55,$GG$3),Master_Data!$R$152:$R$864)</f>
        <v>0</v>
      </c>
      <c r="FY55" s="512">
        <f>SUMIF(Master_Data!$AK$4:$AK$145,CONCATENATE($C55,$GG$3),Master_Data!$Q$4:$Q$145)+SUMIF(Master_Data!$AK$152:$AK$864,CONCATENATE($C55,$GG$3),Master_Data!$Q$152:$Q$864)</f>
        <v>0</v>
      </c>
      <c r="FZ55" s="512">
        <f>SUMIF(Master_Data!$AK$4:$AK$145,CONCATENATE($C55,$GG$3),Master_Data!$U$4:$U$145)+SUMIF(Master_Data!$AK$152:$AK$864,CONCATENATE($C55,$GG$3),Master_Data!$U$152:$U$864)</f>
        <v>0</v>
      </c>
      <c r="GA55" s="310">
        <f>SUMIF(Master_Data!$AK$4:$AK$145,CONCATENATE($C55,$GG$3),Master_Data!$S$4:$S$145)+SUMIF(Master_Data!$AK$152:$AK$864,CONCATENATE($C55,$GG$3),Master_Data!$S$152:$S$864)</f>
        <v>0</v>
      </c>
      <c r="GB55" s="39">
        <f>SUMIF(Master_Data!$AK$152:$AK$915,CONCATENATE($C55,GG$3),Master_Data!$T$152:$T$915)</f>
        <v>0</v>
      </c>
      <c r="GC55" s="230">
        <f>FR55+FU55-FX55+FY55</f>
        <v>0</v>
      </c>
      <c r="GD55" s="230">
        <f t="shared" si="14"/>
        <v>0</v>
      </c>
      <c r="GE55" s="23"/>
      <c r="GF55" s="358" t="str">
        <f t="shared" si="81"/>
        <v>PERUM LEMBAGA PENYELENGGARA PELAYANAN NAVIGASI PENERBANGAN INDONESIANOV</v>
      </c>
      <c r="GG55" s="24"/>
      <c r="GH55" s="415"/>
      <c r="GI55" s="109">
        <f t="shared" si="70"/>
        <v>0</v>
      </c>
      <c r="GJ55" s="109">
        <f t="shared" si="71"/>
        <v>0</v>
      </c>
      <c r="GK55" s="423"/>
      <c r="GL55" s="109">
        <f>SUMIF(Bill_Out!$Q$679:$Q$756,CONCATENATE($C55,$GX$3),Bill_Out!$N$679:$N$756)</f>
        <v>0</v>
      </c>
      <c r="GM55" s="109">
        <f>SUMIF(Bill_Out!$Q$679:$Q$756,CONCATENATE($C55,$GX$3),Bill_Out!$O$679:$O$756)</f>
        <v>0</v>
      </c>
      <c r="GN55" s="157"/>
      <c r="GO55" s="512">
        <f>SUMIF(Master_Data!$AK$4:$AK$145,CONCATENATE($C55,$GX$3),Master_Data!$R$4:$R$145)+SUMIF(Master_Data!$AK$152:$AK$864,CONCATENATE($C55,$GX$3),Master_Data!$R$152:$R$864)</f>
        <v>0</v>
      </c>
      <c r="GP55" s="512">
        <f>SUMIF(Master_Data!$AK$4:$AK$145,CONCATENATE($C55,$GX$3),Master_Data!$Q$4:$Q$145)+SUMIF(Master_Data!$AK$152:$AK$864,CONCATENATE($C55,$GX$3),Master_Data!$Q$152:$Q$864)</f>
        <v>0</v>
      </c>
      <c r="GQ55" s="512">
        <f>SUMIF(Master_Data!$AK$4:$AK$145,CONCATENATE($C55,$GX$3),Master_Data!$U$4:$U$145)+SUMIF(Master_Data!$AK$152:$AK$864,CONCATENATE($C55,$GX$3),Master_Data!$U$152:$U$864)</f>
        <v>0</v>
      </c>
      <c r="GR55" s="310">
        <f>SUMIF(Master_Data!$AK$4:$AK$145,CONCATENATE($C55,$GX$3),Master_Data!$S$4:$S$145)+SUMIF(Master_Data!$AK$152:$AK$864,CONCATENATE($C55,$GX$3),Master_Data!$S$152:$S$864)</f>
        <v>0</v>
      </c>
      <c r="GS55" s="39">
        <f>SUMIF(Master_Data!$AK$152:$AK$864,CONCATENATE($C55,GX$3),Master_Data!$T$152:$T$864)</f>
        <v>0</v>
      </c>
      <c r="GT55" s="534">
        <f t="shared" si="44"/>
        <v>0</v>
      </c>
      <c r="GU55" s="310">
        <f t="shared" si="16"/>
        <v>0</v>
      </c>
      <c r="GV55" s="23"/>
      <c r="GW55" s="358" t="str">
        <f t="shared" si="87"/>
        <v>PERUM LEMBAGA PENYELENGGARA PELAYANAN NAVIGASI PENERBANGAN INDONESIADES</v>
      </c>
      <c r="GX55" s="24"/>
    </row>
    <row r="56" spans="1:206" s="19" customFormat="1">
      <c r="A56" s="21" t="s">
        <v>345</v>
      </c>
      <c r="B56" s="236" t="str">
        <f t="shared" si="18"/>
        <v>PETROSEA, PTJAN</v>
      </c>
      <c r="C56" s="8" t="s">
        <v>136</v>
      </c>
      <c r="D56" s="23" t="s">
        <v>318</v>
      </c>
      <c r="E56" s="109">
        <f>SUMIF(Master_Data!$D46:$D$145,CONCATENATE(C56),Master_Data!M46:M871)</f>
        <v>0</v>
      </c>
      <c r="F56" s="109">
        <f>SUMIF(Master_Data!$D53:$D$145,CONCATENATE(C56),Master_Data!N53:N242)</f>
        <v>222750000</v>
      </c>
      <c r="G56" s="31"/>
      <c r="H56" s="109">
        <f>SUMIF(Bill_Out!$Q$3:$Q$65,CONCATENATE($C56,$S$3),Bill_Out!$N$3:$N$65)</f>
        <v>0</v>
      </c>
      <c r="I56" s="88" t="e">
        <f>SUMIF(Bill_Out!$Q$3:$Q$65,CONCATENATE($C56,$S$3),Bill_Out!$O$3:$O$65)</f>
        <v>#VALUE!</v>
      </c>
      <c r="J56" s="157"/>
      <c r="K56" s="29"/>
      <c r="L56" s="44"/>
      <c r="M56" s="230">
        <f>SUMIF(Master_Data!$AK52:$AK$145,CONCATENATE(C56,$S$3),Master_Data!U52:U361)+SUMIF(Master_Data!$AK412:$AK$864,CONCATENATE(C56,$S$3),Master_Data!U412:U1150)</f>
        <v>189540000</v>
      </c>
      <c r="N56" s="310">
        <f>SUMIF(Master_Data!$AK$4:$AK$145,CONCATENATE(C56,$S$3),Master_Data!$S$4:$S$145)+SUMIF(Master_Data!$AK$150:$AK$864,CONCATENATE(C56,$S$3),Master_Data!$S$150:$S$864)</f>
        <v>0</v>
      </c>
      <c r="O56" s="310">
        <f>SUMIF(Master_Data!$AK$4:$AK$145,CONCATENATE(C56,$S$3),Master_Data!$T$4:$T$145)+SUMIF(Master_Data!$AK$150:$AK$864,CONCATENATE(C56,$S$3),Master_Data!$T$150:$T$864)</f>
        <v>-3510000</v>
      </c>
      <c r="P56" s="230">
        <f t="shared" si="19"/>
        <v>0</v>
      </c>
      <c r="Q56" s="230" t="e">
        <f t="shared" si="20"/>
        <v>#VALUE!</v>
      </c>
      <c r="R56" s="23"/>
      <c r="S56" s="24"/>
      <c r="T56" s="31"/>
      <c r="U56" s="109">
        <f t="shared" si="94"/>
        <v>0</v>
      </c>
      <c r="V56" s="109" t="e">
        <f t="shared" si="95"/>
        <v>#VALUE!</v>
      </c>
      <c r="W56" s="31"/>
      <c r="X56" s="109">
        <f>SUMIF(Bill_Out!$Q$67:$Q$132,CONCATENATE($C56,$AJ$3),Bill_Out!$N$67:$N$132)</f>
        <v>0</v>
      </c>
      <c r="Y56" s="109" t="e">
        <f>SUMIF(Bill_Out!$Q$67:$Q$132,CONCATENATE($C56,$AJ$3),Bill_Out!$O$67:$O$132)</f>
        <v>#VALUE!</v>
      </c>
      <c r="Z56" s="157"/>
      <c r="AA56" s="230">
        <f>SUMIF(Master_Data!$AK$4:$AK$145,CONCATENATE(C56,$AJ$3),Master_Data!$R$4:$R$145)+SUMIF(Master_Data!$AK$152:$AK$850,CONCATENATE(C56,$AJ$3),Master_Data!$R$152:$R$850)</f>
        <v>0</v>
      </c>
      <c r="AB56" s="230">
        <f>SUMIF(Master_Data!$AK$4:$AK$145,CONCATENATE(C56,$AJ$3),Master_Data!$Q$4:$Q$145)+SUMIF(Master_Data!$AK$152:$AK$850,CONCATENATE(C56,$AJ$3),Master_Data!$Q$152:$Q$850)</f>
        <v>0</v>
      </c>
      <c r="AC56" s="230">
        <f>SUMIF(Master_Data!$AK$4:$AK$145,CONCATENATE(C56,$AJ$3),Master_Data!$U$4:$U$145)+SUMIF(Master_Data!$AK$152:$AK$850,CONCATENATE(C56,$AJ$3),Master_Data!$U$152:$U$850)</f>
        <v>165240000</v>
      </c>
      <c r="AD56" s="310">
        <f ca="1">SUMIF(Master_Data!$AK$4:$AK$145,CONCATENATE(C56,$AJ$3),Master_Data!$S$4:$S$145)+SUMIF(Master_Data!$AK$152:$AK$864,CONCATENATE(C56,$AJ$3),Master_Data!$S$152:$S$850)</f>
        <v>0</v>
      </c>
      <c r="AE56" s="310">
        <f>SUMIF(Master_Data!$AK$4:$AK$145,CONCATENATE(C56,$AJ$3),Master_Data!$T$4:$T$145)+SUMIF(Master_Data!$AK$152:$AK$864,CONCATENATE(C56,$AJ$3),Master_Data!$T$152:$T$864)</f>
        <v>-3060000</v>
      </c>
      <c r="AF56" s="230">
        <f t="shared" si="63"/>
        <v>0</v>
      </c>
      <c r="AG56" s="230" t="e">
        <f t="shared" ca="1" si="64"/>
        <v>#VALUE!</v>
      </c>
      <c r="AH56" s="23"/>
      <c r="AI56" s="235" t="str">
        <f t="shared" si="86"/>
        <v>PETROSEA, PTFEB</v>
      </c>
      <c r="AJ56" s="24"/>
      <c r="AK56" s="31"/>
      <c r="AL56" s="109">
        <f t="shared" si="65"/>
        <v>0</v>
      </c>
      <c r="AM56" s="109" t="e">
        <f t="shared" ca="1" si="66"/>
        <v>#VALUE!</v>
      </c>
      <c r="AN56" s="31"/>
      <c r="AO56" s="109">
        <f>SUMIF(Bill_Out!$Q$134:$Q$188,CONCATENATE($C56,$BA$3),Bill_Out!$N$134:$N$188)</f>
        <v>0</v>
      </c>
      <c r="AP56" s="109" t="e">
        <f>SUMIF(Bill_Out!$Q$134:$Q$188,CONCATENATE($C56,$BA$3),Bill_Out!$O$134:$O$188)</f>
        <v>#VALUE!</v>
      </c>
      <c r="AQ56" s="157"/>
      <c r="AR56" s="230">
        <f>SUMIF(Master_Data!$AK$4:$AK$145,CONCATENATE(C56,$BA$3),Master_Data!$R$4:$R$145)+SUMIF(Master_Data!$AK$152:$AK$864,CONCATENATE(C56,$BA$3),Master_Data!$R$152:$R$864)</f>
        <v>0</v>
      </c>
      <c r="AS56" s="230">
        <f>SUMIF(Master_Data!$AK$4:$AK$145,CONCATENATE(C56,$BA$3),Master_Data!$Q$4:$Q$145)+SUMIF(Master_Data!$AK$152:$AK$864,CONCATENATE(C56,$BA$3),Master_Data!$Q$152:$Q$864)</f>
        <v>0</v>
      </c>
      <c r="AT56" s="230">
        <f>SUMIF(Master_Data!$AK$4:$AK$145,CONCATENATE(C56,$BA$3),Master_Data!$U$4:$U$145)+SUMIF(Master_Data!$AK$152:$AK$864,CONCATENATE(C56,$BA$3),Master_Data!$U$152:$U$864)</f>
        <v>136080000</v>
      </c>
      <c r="AU56" s="230">
        <f ca="1">SUMIF(Master_Data!$AK$4:$AK$145,CONCATENATE(C56,$BA$3),Master_Data!$S$4:$S$145)+SUMIF(Master_Data!$AK$152:$AK$864,CONCATENATE(C56,$BA$3),Master_Data!$S$152:$S$850)</f>
        <v>0</v>
      </c>
      <c r="AV56" s="39">
        <f>SUMIF(Master_Data!$AK$152:$AK$864,CONCATENATE($C56,BA$3),Master_Data!$T$152:$T$864)</f>
        <v>-2520000</v>
      </c>
      <c r="AW56" s="230">
        <f t="shared" si="57"/>
        <v>0</v>
      </c>
      <c r="AX56" s="230" t="e">
        <f t="shared" ca="1" si="58"/>
        <v>#VALUE!</v>
      </c>
      <c r="AY56" s="23"/>
      <c r="AZ56" s="235" t="str">
        <f t="shared" si="21"/>
        <v>PETROSEA, PTMAR</v>
      </c>
      <c r="BA56" s="24"/>
      <c r="BB56" s="31"/>
      <c r="BC56" s="109">
        <f t="shared" si="22"/>
        <v>0</v>
      </c>
      <c r="BD56" s="109" t="e">
        <f t="shared" ca="1" si="23"/>
        <v>#VALUE!</v>
      </c>
      <c r="BE56" s="31"/>
      <c r="BF56" s="109">
        <f>SUMIF(Bill_Out!$Q$192:$Q$258,CONCATENATE($C56,$BR$3),Bill_Out!$N$192:$N$258)</f>
        <v>0</v>
      </c>
      <c r="BG56" s="109" t="e">
        <f>SUMIF(Bill_Out!$Q$192:$Q$258,CONCATENATE($C56,$BR$3),Bill_Out!$O$192:$O$258)</f>
        <v>#VALUE!</v>
      </c>
      <c r="BH56" s="157"/>
      <c r="BI56" s="230">
        <f>SUMIF(Master_Data!$AK$4:$AK$145,CONCATENATE(C56,$BR$3),Master_Data!$R$4:$R$145)+SUMIF(Master_Data!$AK$152:$AK$864,CONCATENATE(C56,$BR$3),Master_Data!$R$152:$R$864)</f>
        <v>0</v>
      </c>
      <c r="BJ56" s="230">
        <f>SUMIF(Master_Data!$AK$4:$AK$145,CONCATENATE(C56,$BR$3),Master_Data!$Q$4:$Q$145)+SUMIF(Master_Data!$AK$152:$AK$864,CONCATENATE(C56,$BR$3),Master_Data!$Q$152:$Q$864)</f>
        <v>0</v>
      </c>
      <c r="BK56" s="230">
        <f>SUMIF(Master_Data!$AK$4:$AK$145,CONCATENATE(C56,$BR$3),Master_Data!$U$4:$U$145)+SUMIF(Master_Data!$AK$152:$AK$864,CONCATENATE(C56,$BR$3),Master_Data!$U$152:$U$864)</f>
        <v>136080000</v>
      </c>
      <c r="BL56" s="230">
        <f>SUMIF(Master_Data!$AK$4:$AK$145,CONCATENATE(C56,$BR$3),Master_Data!$S$4:$S$145)+SUMIF(Master_Data!$AK$152:$AK$864,CONCATENATE(C56,$BR$3),Master_Data!$S$152:$S$864)</f>
        <v>0</v>
      </c>
      <c r="BM56" s="39">
        <f>SUMIF(Master_Data!$AK$152:$AK$864,CONCATENATE($C56,BR$3),Master_Data!$T$152:$T$864)</f>
        <v>-2520000</v>
      </c>
      <c r="BN56" s="230">
        <f t="shared" si="24"/>
        <v>0</v>
      </c>
      <c r="BO56" s="230" t="e">
        <f t="shared" ca="1" si="25"/>
        <v>#VALUE!</v>
      </c>
      <c r="BP56" s="23"/>
      <c r="BQ56" s="909" t="str">
        <f t="shared" si="26"/>
        <v>PETROSEA, PTAPR</v>
      </c>
      <c r="BR56" s="24"/>
      <c r="BS56" s="31"/>
      <c r="BT56" s="109">
        <f t="shared" si="78"/>
        <v>0</v>
      </c>
      <c r="BU56" s="109" t="e">
        <f t="shared" ca="1" si="79"/>
        <v>#VALUE!</v>
      </c>
      <c r="BV56" s="31"/>
      <c r="BW56" s="109">
        <f>SUMIF(Bill_Out!$Q$263:$Q$314,CONCATENATE($C56,$CI$3),Bill_Out!$N$263:$N$314)</f>
        <v>0</v>
      </c>
      <c r="BX56" s="109" t="e">
        <f>SUMIF(Bill_Out!$Q$263:$Q$314,CONCATENATE($C56,$CI$3),Bill_Out!$O$263:$O$314)</f>
        <v>#VALUE!</v>
      </c>
      <c r="BY56" s="157"/>
      <c r="BZ56" s="310">
        <f>SUMIF(Master_Data!$AK$4:$AK$145,CONCATENATE(C56,$CI$3),Master_Data!$R$4:$R$145)+SUMIF(Master_Data!$AK$152:$AK$864,CONCATENATE(C56,$CI$3),Master_Data!$R$152:$R$864)</f>
        <v>0</v>
      </c>
      <c r="CA56" s="310">
        <f>SUMIF(Master_Data!$AK$4:$AK$145,CONCATENATE(C56,$CI$3),Master_Data!$Q$4:$Q$145)+SUMIF(Master_Data!$AK$152:$AK$864,CONCATENATE(C56,$CI$3),Master_Data!$Q$152:$Q$864)</f>
        <v>0</v>
      </c>
      <c r="CB56" s="310">
        <f>SUMIF(Master_Data!$AK$4:$AK$145,CONCATENATE(C56,$CI$3),Master_Data!$U$4:$U$145)+SUMIF(Master_Data!$AK$152:$AK$864,CONCATENATE(C56,$CI$3),Master_Data!$U$152:$U$864)</f>
        <v>138240000</v>
      </c>
      <c r="CC56" s="230">
        <f>SUMIF(Master_Data!$AK$4:$AK$145,CONCATENATE(C56,$CI$3),Master_Data!$S$4:$S$145)+SUMIF(Master_Data!$AK$152:$AK$864,CONCATENATE(C56,$CI$3),Master_Data!$S$152:$S$864)</f>
        <v>0</v>
      </c>
      <c r="CD56" s="39">
        <f>SUMIF(Master_Data!$AK$152:$AK$864,CONCATENATE($C56,CI$3),Master_Data!$T$152:$T$864)</f>
        <v>-2560000</v>
      </c>
      <c r="CE56" s="310">
        <f t="shared" si="27"/>
        <v>0</v>
      </c>
      <c r="CF56" s="230" t="e">
        <f t="shared" ca="1" si="28"/>
        <v>#VALUE!</v>
      </c>
      <c r="CG56" s="23"/>
      <c r="CH56" s="235" t="str">
        <f t="shared" si="29"/>
        <v>PETROSEA, PTMEI</v>
      </c>
      <c r="CI56" s="24"/>
      <c r="CJ56" s="31"/>
      <c r="CK56" s="109">
        <f t="shared" si="30"/>
        <v>0</v>
      </c>
      <c r="CL56" s="238" t="e">
        <f t="shared" ca="1" si="31"/>
        <v>#VALUE!</v>
      </c>
      <c r="CM56" s="31"/>
      <c r="CN56" s="238">
        <f>SUMIF(Bill_Out!$Q$318:$Q$371,CONCATENATE($C56,$CZ$3),Bill_Out!$N$318:$N$371)</f>
        <v>0</v>
      </c>
      <c r="CO56" s="238" t="e">
        <f>SUMIF(Bill_Out!$Q$318:$Q$371,CONCATENATE($C56,$CZ$3),Bill_Out!$O$318:$O$371)</f>
        <v>#VALUE!</v>
      </c>
      <c r="CP56" s="157"/>
      <c r="CQ56" s="230">
        <f>SUMIF(Master_Data!$AK$4:$AK$145,CONCATENATE($C56,$CZ$3),Master_Data!$R$4:$R$145)+SUMIF(Master_Data!$AK$152:$AK$864,CONCATENATE($C56,$CZ$3),Master_Data!$R$152:$R$864)</f>
        <v>0</v>
      </c>
      <c r="CR56" s="230">
        <f>SUMIF(Master_Data!$AK$4:$AK$145,CONCATENATE($C56,$CZ$3),Master_Data!$Q$4:$Q$145)+SUMIF(Master_Data!$AK$152:$AK$864,CONCATENATE($C56,$CZ$3),Master_Data!$Q$152:$Q$864)</f>
        <v>0</v>
      </c>
      <c r="CS56" s="230">
        <f>SUMIF(Master_Data!$AK$4:$AK$145,CONCATENATE($C56,$CZ$3),Master_Data!$U$4:$U$145)+SUMIF(Master_Data!$AK$152:$AK$864,CONCATENATE($C56,$CZ$3),Master_Data!$U$152:$U$864)</f>
        <v>98010000</v>
      </c>
      <c r="CT56" s="230">
        <f ca="1">SUMIF(Master_Data!$AK$4:$AK$145,CONCATENATE(C56,$CZ$3),Master_Data!$S$4:$S$145)+SUMIF(Master_Data!$AK$152:$AK$915,CONCATENATE(C56,$CZ$3),Master_Data!$S$152:$S$864)</f>
        <v>0</v>
      </c>
      <c r="CU56" s="1010">
        <f>SUMIF(Master_Data!$AK$4:$AK$145,CONCATENATE(C56,$CZ$3),Master_Data!$T$4:$T$145)+SUMIF(Master_Data!$AK$152:$AK$864,CONCATENATE(C56,$CZ$3),Master_Data!$T$152:$T$864)</f>
        <v>-1815000</v>
      </c>
      <c r="CV56" s="230">
        <f t="shared" si="32"/>
        <v>0</v>
      </c>
      <c r="CW56" s="230" t="e">
        <f t="shared" ca="1" si="33"/>
        <v>#VALUE!</v>
      </c>
      <c r="CX56" s="23"/>
      <c r="CY56" s="1007" t="str">
        <f t="shared" si="6"/>
        <v>PETROSEA, PTJUN</v>
      </c>
      <c r="CZ56" s="24"/>
      <c r="DA56" s="31"/>
      <c r="DB56" s="109">
        <f t="shared" si="34"/>
        <v>0</v>
      </c>
      <c r="DC56" s="109" t="e">
        <f t="shared" ca="1" si="35"/>
        <v>#VALUE!</v>
      </c>
      <c r="DD56" s="31"/>
      <c r="DE56" s="109">
        <f>SUMIF(Bill_Out!$Q$375:$Q$422,CONCATENATE($C56,$DQ$3),Bill_Out!$N$375:$N$422)</f>
        <v>0</v>
      </c>
      <c r="DF56" s="109" t="e">
        <f>SUMIF(Bill_Out!$Q$375:$Q$422,CONCATENATE($C56,$DQ$3),Bill_Out!$O$375:$O$422)</f>
        <v>#VALUE!</v>
      </c>
      <c r="DG56" s="157"/>
      <c r="DH56" s="310">
        <f>SUMIF(Master_Data!$AK$4:$AK$145,CONCATENATE($C56,$DQ$3),Master_Data!$R$4:$R$145)+SUMIF(Master_Data!$AK$152:$AK$864,CONCATENATE($C56,$DQ$3),Master_Data!$R$152:$R$864)</f>
        <v>0</v>
      </c>
      <c r="DI56" s="310">
        <f>SUMIF(Master_Data!$AK$4:$AK$145,CONCATENATE($C56,$DQ$3),Master_Data!$Q$4:$Q$145)+SUMIF(Master_Data!$AK$152:$AK$864,CONCATENATE($C56,$DQ$3),Master_Data!$Q$152:$Q$864)</f>
        <v>0</v>
      </c>
      <c r="DJ56" s="310">
        <f>SUMIF(Master_Data!$AK$4:$AK$145,CONCATENATE($C56,$DQ$3),Master_Data!$U$4:$U$145)+SUMIF(Master_Data!$AK$152:$AK$864,CONCATENATE($C56,$DQ$3),Master_Data!$U$152:$U$864)</f>
        <v>106920000</v>
      </c>
      <c r="DK56" s="310">
        <f>SUMIF(Master_Data!$AK$4:$AK$145,CONCATENATE($C56,$DQ$3),Master_Data!$S$4:$S$145)+SUMIF(Master_Data!$AK$152:$AK$864,CONCATENATE($C56,$DQ$3),Master_Data!$S$152:$S$864)</f>
        <v>0</v>
      </c>
      <c r="DL56" s="39">
        <f>SUMIF(Master_Data!$AK$152:$AK$915,CONCATENATE($C56,DQ$3),Master_Data!$T$152:$T$915)</f>
        <v>-1980000</v>
      </c>
      <c r="DM56" s="230">
        <f t="shared" si="67"/>
        <v>0</v>
      </c>
      <c r="DN56" s="230" t="e">
        <f t="shared" ca="1" si="68"/>
        <v>#VALUE!</v>
      </c>
      <c r="DO56" s="23"/>
      <c r="DP56" s="358" t="str">
        <f t="shared" si="9"/>
        <v>PETROSEA, PTJUL</v>
      </c>
      <c r="DQ56" s="24"/>
      <c r="DR56" s="392"/>
      <c r="DS56" s="109">
        <f t="shared" si="36"/>
        <v>0</v>
      </c>
      <c r="DT56" s="109" t="e">
        <f t="shared" ca="1" si="37"/>
        <v>#VALUE!</v>
      </c>
      <c r="DU56" s="31"/>
      <c r="DV56" s="109">
        <f>SUMIF(Bill_Out!$Q$426:$Q$472,CONCATENATE($C56,$EH$3),Bill_Out!$N$426:$N$472)</f>
        <v>0</v>
      </c>
      <c r="DW56" s="109" t="e">
        <f>SUMIF(Bill_Out!$Q$426:$Q$472,CONCATENATE($C56,$EH$3),Bill_Out!$O$426:$O$472)</f>
        <v>#VALUE!</v>
      </c>
      <c r="DX56" s="157"/>
      <c r="DY56" s="310">
        <f>SUMIF(Master_Data!$AK$4:$AK$145,CONCATENATE($C56,$EH$3),Master_Data!$R$4:$R$145)+SUMIF(Master_Data!$AK$152:$AK$864,CONCATENATE($C56,$EH$3),Master_Data!$R$152:$R$864)</f>
        <v>0</v>
      </c>
      <c r="DZ56" s="310">
        <f>SUMIF(Master_Data!$AK$4:$AK$145,CONCATENATE($C56,$EH$3),Master_Data!$Q$4:$Q$145)+SUMIF(Master_Data!$AK$152:$AK$864,CONCATENATE($C56,$EH$3),Master_Data!$Q$152:$Q$864)</f>
        <v>0</v>
      </c>
      <c r="EA56" s="310">
        <f>SUMIF(Master_Data!$AK$4:$AK$145,CONCATENATE($C56,$EH$3),Master_Data!$U$4:$U$145)+SUMIF(Master_Data!$AK$152:$AK$864,CONCATENATE($C56,$EH$3),Master_Data!$U$152:$U$864)</f>
        <v>106920000</v>
      </c>
      <c r="EB56" s="310">
        <f>SUMIF(Master_Data!$AK$4:$AK$145,CONCATENATE($C56,$EH$3),Master_Data!$S$4:$S$145)+SUMIF(Master_Data!$AK$152:$AK$864,CONCATENATE($C56,$EH$3),Master_Data!$S$152:$S$864)</f>
        <v>0</v>
      </c>
      <c r="EC56" s="39">
        <f>SUMIF(Master_Data!$AK$152:$AK$915,CONCATENATE($C56,EH$3),Master_Data!$T$152:$T$915)</f>
        <v>-1980000</v>
      </c>
      <c r="ED56" s="310">
        <f t="shared" si="38"/>
        <v>0</v>
      </c>
      <c r="EE56" s="230" t="e">
        <f t="shared" ca="1" si="39"/>
        <v>#VALUE!</v>
      </c>
      <c r="EF56" s="23"/>
      <c r="EG56" s="358" t="str">
        <f t="shared" si="10"/>
        <v>PETROSEA, PTAGS</v>
      </c>
      <c r="EH56" s="387"/>
      <c r="EI56" s="403"/>
      <c r="EJ56" s="109">
        <f t="shared" si="47"/>
        <v>0</v>
      </c>
      <c r="EK56" s="109" t="e">
        <f t="shared" ca="1" si="48"/>
        <v>#VALUE!</v>
      </c>
      <c r="EL56" s="84"/>
      <c r="EM56" s="109">
        <f>SUMIF(Bill_Out!$Q$476:$Q$530,CONCATENATE($C56,$EY$3),Bill_Out!$N$476:$N$530)</f>
        <v>0</v>
      </c>
      <c r="EN56" s="109">
        <f>SUMIF(Bill_Out!$Q$476:$Q$530,CONCATENATE($C56,$EY$3),Bill_Out!$O$476:$O$530)</f>
        <v>0</v>
      </c>
      <c r="EO56" s="309"/>
      <c r="EP56" s="310">
        <f>SUMIF(Master_Data!$AK$4:$AK$145,CONCATENATE($C56,$EY$3),Master_Data!$R$4:$R$145)+SUMIF(Master_Data!$AK$152:$AK$864,CONCATENATE($C56,$EY$3),Master_Data!$R$152:$R$864)</f>
        <v>0</v>
      </c>
      <c r="EQ56" s="310">
        <f>SUMIF(Master_Data!$AK$4:$AK$145,CONCATENATE($C56,$EY$3),Master_Data!$Q$4:$Q$145)+SUMIF(Master_Data!$AK$152:$AK$864,CONCATENATE($C56,$EY$3),Master_Data!$Q$152:$Q$864)</f>
        <v>0</v>
      </c>
      <c r="ER56" s="310">
        <f>SUMIF(Master_Data!$AK$4:$AK$145,CONCATENATE($C56,$EY$3),Master_Data!$U$4:$U$145)+SUMIF(Master_Data!$AK$152:$AK$864,CONCATENATE($C56,$EY$3),Master_Data!$U$152:$U$864)</f>
        <v>53460000</v>
      </c>
      <c r="ES56" s="310">
        <f>SUMIF(Master_Data!$AK$4:$AK$145,CONCATENATE($C56,$EY$3),Master_Data!$S$4:$S$145)+SUMIF(Master_Data!$AK$152:$AK$864,CONCATENATE($C56,$EY$3),Master_Data!$S$152:$S$864)</f>
        <v>0</v>
      </c>
      <c r="ET56" s="39">
        <f>SUMIF(Master_Data!$AK$152:$AK$915,CONCATENATE($C56,EY$3),Master_Data!$T$152:$T$915)</f>
        <v>-990000</v>
      </c>
      <c r="EU56" s="310">
        <f t="shared" si="49"/>
        <v>0</v>
      </c>
      <c r="EV56" s="230"/>
      <c r="EW56" s="84"/>
      <c r="EX56" s="358" t="str">
        <f t="shared" si="11"/>
        <v>PETROSEA, PTSEP</v>
      </c>
      <c r="EY56" s="403"/>
      <c r="EZ56" s="416"/>
      <c r="FA56" s="109">
        <f t="shared" si="88"/>
        <v>0</v>
      </c>
      <c r="FB56" s="109">
        <f t="shared" si="96"/>
        <v>0</v>
      </c>
      <c r="FC56" s="420"/>
      <c r="FD56" s="109">
        <f>SUMIF(Bill_Out!$Q$534:$Q$606,CONCATENATE($C56,$FP$3),Bill_Out!$N$534:$N$606)</f>
        <v>0</v>
      </c>
      <c r="FE56" s="109" t="e">
        <f>SUMIF(Bill_Out!$Q$534:$Q$606,CONCATENATE($C56,$FP$3),Bill_Out!$O$534:$O$606)</f>
        <v>#VALUE!</v>
      </c>
      <c r="FF56" s="157"/>
      <c r="FG56" s="310">
        <f>SUMIF(Master_Data!$AK$4:$AK$145,CONCATENATE($C56,$FP$3),Master_Data!$R$4:$R$145)+SUMIF(Master_Data!$AK$152:$AK$864,CONCATENATE($C56,$FP$3),Master_Data!$R$152:$R$864)</f>
        <v>0</v>
      </c>
      <c r="FH56" s="310">
        <f>SUMIF(Master_Data!$AK$4:$AK$145,CONCATENATE($C56,$FP$3),Master_Data!$Q$4:$Q$145)+SUMIF(Master_Data!$AK$152:$AK$864,CONCATENATE($C56,$FP$3),Master_Data!$Q$152:$Q$864)</f>
        <v>0</v>
      </c>
      <c r="FI56" s="310">
        <f>SUMIF(Master_Data!$AK$4:$AK$145,CONCATENATE($C56,$FP$3),Master_Data!$U$4:$U$145)+SUMIF(Master_Data!$AK$152:$AK$864,CONCATENATE($C56,$FP$3),Master_Data!$U$152:$U$864)</f>
        <v>0</v>
      </c>
      <c r="FJ56" s="310">
        <f>SUMIF(Master_Data!$AK$4:$AK$145,CONCATENATE($C56,$FP$3),Master_Data!$S$4:$S$145)+SUMIF(Master_Data!$AK$152:$AK$864,CONCATENATE($C56,$FP$3),Master_Data!$S$152:$S$864)</f>
        <v>0</v>
      </c>
      <c r="FK56" s="39">
        <f>SUMIF(Master_Data!$AK$152:$AK$915,CONCATENATE($C56,FP$3),Master_Data!$T$152:$T$915)</f>
        <v>0</v>
      </c>
      <c r="FL56" s="230">
        <f t="shared" si="90"/>
        <v>0</v>
      </c>
      <c r="FM56" s="230" t="e">
        <f t="shared" si="12"/>
        <v>#VALUE!</v>
      </c>
      <c r="FN56" s="23"/>
      <c r="FO56" s="358" t="str">
        <f t="shared" si="80"/>
        <v>PETROSEA, PTOKT</v>
      </c>
      <c r="FP56" s="403"/>
      <c r="FQ56" s="416"/>
      <c r="FR56" s="109">
        <f>FL56</f>
        <v>0</v>
      </c>
      <c r="FS56" s="109" t="e">
        <f>FM56</f>
        <v>#VALUE!</v>
      </c>
      <c r="FT56" s="420"/>
      <c r="FU56" s="109">
        <f>SUMIF(Bill_Out!$Q$610:$Q$675,CONCATENATE($C56,$GG$3),Bill_Out!$N$610:$N$675)</f>
        <v>0</v>
      </c>
      <c r="FV56" s="109" t="e">
        <f>SUMIF(Bill_Out!$Q$610:$Q$675,CONCATENATE($C56,$GG$3),Bill_Out!$O$610:$O$675)</f>
        <v>#VALUE!</v>
      </c>
      <c r="FW56" s="157"/>
      <c r="FX56" s="512">
        <f>SUMIF(Master_Data!$AK$4:$AK$145,CONCATENATE($C56,$GG$3),Master_Data!$R$4:$R$145)+SUMIF(Master_Data!$AK$152:$AK$864,CONCATENATE($C56,$GG$3),Master_Data!$R$152:$R$864)</f>
        <v>0</v>
      </c>
      <c r="FY56" s="512">
        <f>SUMIF(Master_Data!$AK$4:$AK$145,CONCATENATE($C56,$GG$3),Master_Data!$Q$4:$Q$145)+SUMIF(Master_Data!$AK$152:$AK$864,CONCATENATE($C56,$GG$3),Master_Data!$Q$152:$Q$864)</f>
        <v>0</v>
      </c>
      <c r="FZ56" s="512">
        <f>SUMIF(Master_Data!$AK$4:$AK$145,CONCATENATE($C56,$GG$3),Master_Data!$U$4:$U$145)+SUMIF(Master_Data!$AK$152:$AK$864,CONCATENATE($C56,$GG$3),Master_Data!$U$152:$U$864)</f>
        <v>0</v>
      </c>
      <c r="GA56" s="310">
        <f>SUMIF(Master_Data!$AK$4:$AK$145,CONCATENATE($C56,$GG$3),Master_Data!$S$4:$S$145)+SUMIF(Master_Data!$AK$152:$AK$864,CONCATENATE($C56,$GG$3),Master_Data!$S$152:$S$864)</f>
        <v>0</v>
      </c>
      <c r="GB56" s="39">
        <f>SUMIF(Master_Data!$AK$152:$AK$915,CONCATENATE($C56,GG$3),Master_Data!$T$152:$T$915)</f>
        <v>0</v>
      </c>
      <c r="GC56" s="230">
        <f>FR56+FU56-FX56+FY56</f>
        <v>0</v>
      </c>
      <c r="GD56" s="230" t="e">
        <f t="shared" si="14"/>
        <v>#VALUE!</v>
      </c>
      <c r="GE56" s="23"/>
      <c r="GF56" s="358" t="str">
        <f t="shared" si="81"/>
        <v>PETROSEA, PTNOV</v>
      </c>
      <c r="GG56" s="403"/>
      <c r="GH56" s="416" t="s">
        <v>618</v>
      </c>
      <c r="GI56" s="109">
        <f t="shared" si="70"/>
        <v>0</v>
      </c>
      <c r="GJ56" s="109" t="e">
        <f t="shared" si="71"/>
        <v>#VALUE!</v>
      </c>
      <c r="GK56" s="423"/>
      <c r="GL56" s="109">
        <f>SUMIF(Bill_Out!$Q$679:$Q$756,CONCATENATE($C56,$GX$3),Bill_Out!$N$679:$N$756)</f>
        <v>0</v>
      </c>
      <c r="GM56" s="109" t="e">
        <f>SUMIF(Bill_Out!$Q$679:$Q$756,CONCATENATE($C56,$GX$3),Bill_Out!$O$679:$O$756)</f>
        <v>#VALUE!</v>
      </c>
      <c r="GN56" s="157"/>
      <c r="GO56" s="512">
        <f>SUMIF(Master_Data!$AK$4:$AK$145,CONCATENATE($C56,$GX$3),Master_Data!$R$4:$R$145)+SUMIF(Master_Data!$AK$152:$AK$864,CONCATENATE($C56,$GX$3),Master_Data!$R$152:$R$864)</f>
        <v>0</v>
      </c>
      <c r="GP56" s="512">
        <f>SUMIF(Master_Data!$AK$4:$AK$145,CONCATENATE($C56,$GX$3),Master_Data!$Q$4:$Q$145)+SUMIF(Master_Data!$AK$152:$AK$864,CONCATENATE($C56,$GX$3),Master_Data!$Q$152:$Q$864)</f>
        <v>0</v>
      </c>
      <c r="GQ56" s="512">
        <f>SUMIF(Master_Data!$AK$4:$AK$145,CONCATENATE($C56,$GX$3),Master_Data!$U$4:$U$145)+SUMIF(Master_Data!$AK$152:$AK$864,CONCATENATE($C56,$GX$3),Master_Data!$U$152:$U$864)</f>
        <v>0</v>
      </c>
      <c r="GR56" s="310">
        <f>SUMIF(Master_Data!$AK$4:$AK$145,CONCATENATE($C56,$GX$3),Master_Data!$S$4:$S$145)+SUMIF(Master_Data!$AK$152:$AK$864,CONCATENATE($C56,$GX$3),Master_Data!$S$152:$S$864)</f>
        <v>0</v>
      </c>
      <c r="GS56" s="39">
        <f>SUMIF(Master_Data!$AK$152:$AK$864,CONCATENATE($C56,GX$3),Master_Data!$T$152:$T$864)</f>
        <v>0</v>
      </c>
      <c r="GT56" s="534">
        <f t="shared" si="44"/>
        <v>0</v>
      </c>
      <c r="GU56" s="310" t="e">
        <f t="shared" si="16"/>
        <v>#VALUE!</v>
      </c>
      <c r="GV56" s="23"/>
      <c r="GW56" s="358" t="str">
        <f t="shared" si="87"/>
        <v>PETROSEA, PTDES</v>
      </c>
      <c r="GX56" s="403"/>
    </row>
    <row r="57" spans="1:206" s="19" customFormat="1">
      <c r="A57" s="328" t="s">
        <v>423</v>
      </c>
      <c r="B57" s="236" t="str">
        <f t="shared" si="18"/>
        <v>POCA JARINGAN SAMANDHAU, PTJAN</v>
      </c>
      <c r="C57" s="8" t="s">
        <v>212</v>
      </c>
      <c r="D57" s="23" t="s">
        <v>319</v>
      </c>
      <c r="E57" s="109">
        <f>SUMIF(Master_Data!$D47:$D$145,CONCATENATE(C57),Master_Data!M47:M914)</f>
        <v>0</v>
      </c>
      <c r="F57" s="109">
        <f>SUMIF(Master_Data!$D54:$D$145,CONCATENATE(C57),Master_Data!N54:N243)</f>
        <v>33900000</v>
      </c>
      <c r="G57" s="31"/>
      <c r="H57" s="109">
        <f>SUMIF(Bill_Out!$Q$3:$Q$65,CONCATENATE($C57,$S$3),Bill_Out!$N$3:$N$65)</f>
        <v>0</v>
      </c>
      <c r="I57" s="88">
        <f>SUMIF(Bill_Out!$Q$3:$Q$65,CONCATENATE($C57,$S$3),Bill_Out!$O$3:$O$65)</f>
        <v>0</v>
      </c>
      <c r="J57" s="157"/>
      <c r="K57" s="29"/>
      <c r="L57" s="44"/>
      <c r="M57" s="230">
        <f>SUMIF(Master_Data!$AK53:$AK$145,CONCATENATE(C57,$S$3),Master_Data!U53:U362)+SUMIF(Master_Data!$AK413:$AK$864,CONCATENATE(C57,$S$3),Master_Data!U413:U1151)</f>
        <v>5000000</v>
      </c>
      <c r="N57" s="310">
        <f>SUMIF(Master_Data!$AK$4:$AK$145,CONCATENATE(C57,$S$3),Master_Data!$S$4:$S$145)+SUMIF(Master_Data!$AK$150:$AK$864,CONCATENATE(C57,$S$3),Master_Data!$S$150:$S$864)</f>
        <v>0</v>
      </c>
      <c r="O57" s="310">
        <f>SUMIF(Master_Data!$AK$4:$AK$145,CONCATENATE(C57,$S$3),Master_Data!$T$4:$T$145)+SUMIF(Master_Data!$AK$150:$AK$864,CONCATENATE(C57,$S$3),Master_Data!$T$150:$T$864)</f>
        <v>0</v>
      </c>
      <c r="P57" s="230">
        <f t="shared" si="19"/>
        <v>0</v>
      </c>
      <c r="Q57" s="230">
        <f t="shared" si="20"/>
        <v>28900000</v>
      </c>
      <c r="R57" s="23"/>
      <c r="S57" s="24"/>
      <c r="T57" s="31"/>
      <c r="U57" s="109">
        <f t="shared" si="94"/>
        <v>0</v>
      </c>
      <c r="V57" s="109">
        <f t="shared" si="95"/>
        <v>28900000</v>
      </c>
      <c r="W57" s="31"/>
      <c r="X57" s="109">
        <f>SUMIF(Bill_Out!$Q$67:$Q$132,CONCATENATE($C57,$AJ$3),Bill_Out!$N$67:$N$132)</f>
        <v>0</v>
      </c>
      <c r="Y57" s="109">
        <f>SUMIF(Bill_Out!$Q$67:$Q$132,CONCATENATE($C57,$AJ$3),Bill_Out!$O$67:$O$132)</f>
        <v>0</v>
      </c>
      <c r="Z57" s="157"/>
      <c r="AA57" s="230">
        <f>SUMIF(Master_Data!$AK$4:$AK$145,CONCATENATE(C57,$AJ$3),Master_Data!$R$4:$R$145)+SUMIF(Master_Data!$AK$152:$AK$850,CONCATENATE(C57,$AJ$3),Master_Data!$R$152:$R$850)</f>
        <v>0</v>
      </c>
      <c r="AB57" s="230">
        <f>SUMIF(Master_Data!$AK$4:$AK$145,CONCATENATE(C57,$AJ$3),Master_Data!$Q$4:$Q$145)+SUMIF(Master_Data!$AK$152:$AK$850,CONCATENATE(C57,$AJ$3),Master_Data!$Q$152:$Q$850)</f>
        <v>0</v>
      </c>
      <c r="AC57" s="230">
        <f>SUMIF(Master_Data!$AK$4:$AK$145,CONCATENATE(C57,$AJ$3),Master_Data!$U$4:$U$145)+SUMIF(Master_Data!$AK$152:$AK$850,CONCATENATE(C57,$AJ$3),Master_Data!$U$152:$U$850)</f>
        <v>5000000</v>
      </c>
      <c r="AD57" s="310">
        <f ca="1">SUMIF(Master_Data!$AK$4:$AK$145,CONCATENATE(C57,$AJ$3),Master_Data!$S$4:$S$145)+SUMIF(Master_Data!$AK$152:$AK$864,CONCATENATE(C57,$AJ$3),Master_Data!$S$152:$S$850)</f>
        <v>0</v>
      </c>
      <c r="AE57" s="310">
        <f>SUMIF(Master_Data!$AK$4:$AK$145,CONCATENATE(C57,$AJ$3),Master_Data!$T$4:$T$145)+SUMIF(Master_Data!$AK$152:$AK$864,CONCATENATE(C57,$AJ$3),Master_Data!$T$152:$T$864)</f>
        <v>0</v>
      </c>
      <c r="AF57" s="230">
        <f t="shared" si="63"/>
        <v>0</v>
      </c>
      <c r="AG57" s="230">
        <f t="shared" ca="1" si="64"/>
        <v>23900000</v>
      </c>
      <c r="AH57" s="23"/>
      <c r="AI57" s="235" t="str">
        <f t="shared" si="86"/>
        <v>POCA JARINGAN SAMANDHAU, PTFEB</v>
      </c>
      <c r="AJ57" s="24"/>
      <c r="AK57" s="31"/>
      <c r="AL57" s="109">
        <f t="shared" si="65"/>
        <v>0</v>
      </c>
      <c r="AM57" s="109">
        <f t="shared" ca="1" si="66"/>
        <v>23900000</v>
      </c>
      <c r="AN57" s="31"/>
      <c r="AO57" s="109">
        <f>SUMIF(Bill_Out!$Q$134:$Q$188,CONCATENATE($C57,$BA$3),Bill_Out!$N$134:$N$188)</f>
        <v>0</v>
      </c>
      <c r="AP57" s="109">
        <f>SUMIF(Bill_Out!$Q$134:$Q$188,CONCATENATE($C57,$BA$3),Bill_Out!$O$134:$O$188)</f>
        <v>0</v>
      </c>
      <c r="AQ57" s="157"/>
      <c r="AR57" s="230">
        <f>SUMIF(Master_Data!$AK$4:$AK$145,CONCATENATE(C57,$BA$3),Master_Data!$R$4:$R$145)+SUMIF(Master_Data!$AK$152:$AK$864,CONCATENATE(C57,$BA$3),Master_Data!$R$152:$R$864)</f>
        <v>0</v>
      </c>
      <c r="AS57" s="230">
        <f>SUMIF(Master_Data!$AK$4:$AK$145,CONCATENATE(C57,$BA$3),Master_Data!$Q$4:$Q$145)+SUMIF(Master_Data!$AK$152:$AK$864,CONCATENATE(C57,$BA$3),Master_Data!$Q$152:$Q$864)</f>
        <v>0</v>
      </c>
      <c r="AT57" s="230">
        <f>SUMIF(Master_Data!$AK$4:$AK$145,CONCATENATE(C57,$BA$3),Master_Data!$U$4:$U$145)+SUMIF(Master_Data!$AK$152:$AK$864,CONCATENATE(C57,$BA$3),Master_Data!$U$152:$U$864)</f>
        <v>10000000</v>
      </c>
      <c r="AU57" s="230">
        <f ca="1">SUMIF(Master_Data!$AK$4:$AK$145,CONCATENATE(C57,$BA$3),Master_Data!$S$4:$S$145)+SUMIF(Master_Data!$AK$152:$AK$864,CONCATENATE(C57,$BA$3),Master_Data!$S$152:$S$850)</f>
        <v>0</v>
      </c>
      <c r="AV57" s="39">
        <f>SUMIF(Master_Data!$AK$152:$AK$864,CONCATENATE($C57,BA$3),Master_Data!$T$152:$T$864)</f>
        <v>0</v>
      </c>
      <c r="AW57" s="230">
        <f t="shared" si="57"/>
        <v>0</v>
      </c>
      <c r="AX57" s="230">
        <f t="shared" ca="1" si="58"/>
        <v>13900000</v>
      </c>
      <c r="AY57" s="23"/>
      <c r="AZ57" s="235" t="str">
        <f t="shared" si="21"/>
        <v>POCA JARINGAN SAMANDHAU, PTMAR</v>
      </c>
      <c r="BA57" s="24"/>
      <c r="BB57" s="31"/>
      <c r="BC57" s="109">
        <f t="shared" si="22"/>
        <v>0</v>
      </c>
      <c r="BD57" s="109">
        <f t="shared" ca="1" si="23"/>
        <v>13900000</v>
      </c>
      <c r="BE57" s="31"/>
      <c r="BF57" s="109">
        <f>SUMIF(Bill_Out!$Q$192:$Q$258,CONCATENATE($C57,$BR$3),Bill_Out!$N$192:$N$258)</f>
        <v>0</v>
      </c>
      <c r="BG57" s="109">
        <f>SUMIF(Bill_Out!$Q$192:$Q$258,CONCATENATE($C57,$BR$3),Bill_Out!$O$192:$O$258)</f>
        <v>0</v>
      </c>
      <c r="BH57" s="157"/>
      <c r="BI57" s="230">
        <f>SUMIF(Master_Data!$AK$4:$AK$145,CONCATENATE(C57,$BR$3),Master_Data!$R$4:$R$145)+SUMIF(Master_Data!$AK$152:$AK$864,CONCATENATE(C57,$BR$3),Master_Data!$R$152:$R$864)</f>
        <v>0</v>
      </c>
      <c r="BJ57" s="230">
        <f>SUMIF(Master_Data!$AK$4:$AK$145,CONCATENATE(C57,$BR$3),Master_Data!$Q$4:$Q$145)+SUMIF(Master_Data!$AK$152:$AK$864,CONCATENATE(C57,$BR$3),Master_Data!$Q$152:$Q$864)</f>
        <v>0</v>
      </c>
      <c r="BK57" s="230">
        <f>SUMIF(Master_Data!$AK$4:$AK$145,CONCATENATE(C57,$BR$3),Master_Data!$U$4:$U$145)+SUMIF(Master_Data!$AK$152:$AK$864,CONCATENATE(C57,$BR$3),Master_Data!$U$152:$U$864)</f>
        <v>8900000</v>
      </c>
      <c r="BL57" s="230">
        <f>SUMIF(Master_Data!$AK$4:$AK$145,CONCATENATE(C57,$BR$3),Master_Data!$S$4:$S$145)+SUMIF(Master_Data!$AK$152:$AK$864,CONCATENATE(C57,$BR$3),Master_Data!$S$152:$S$864)</f>
        <v>0</v>
      </c>
      <c r="BM57" s="39">
        <f>SUMIF(Master_Data!$AK$152:$AK$864,CONCATENATE($C57,BR$3),Master_Data!$T$152:$T$864)</f>
        <v>0</v>
      </c>
      <c r="BN57" s="230">
        <f t="shared" si="24"/>
        <v>0</v>
      </c>
      <c r="BO57" s="230">
        <f t="shared" ca="1" si="25"/>
        <v>5000000</v>
      </c>
      <c r="BP57" s="23"/>
      <c r="BQ57" s="909" t="str">
        <f t="shared" si="26"/>
        <v>POCA JARINGAN SAMANDHAU, PTAPR</v>
      </c>
      <c r="BR57" s="24"/>
      <c r="BS57" s="31"/>
      <c r="BT57" s="109">
        <f t="shared" si="78"/>
        <v>0</v>
      </c>
      <c r="BU57" s="109">
        <f t="shared" ca="1" si="79"/>
        <v>5000000</v>
      </c>
      <c r="BV57" s="31"/>
      <c r="BW57" s="109">
        <f>SUMIF(Bill_Out!$Q$263:$Q$314,CONCATENATE($C57,$CI$3),Bill_Out!$N$263:$N$314)</f>
        <v>0</v>
      </c>
      <c r="BX57" s="109">
        <f>SUMIF(Bill_Out!$Q$263:$Q$314,CONCATENATE($C57,$CI$3),Bill_Out!$O$263:$O$314)</f>
        <v>0</v>
      </c>
      <c r="BY57" s="157"/>
      <c r="BZ57" s="310">
        <f>SUMIF(Master_Data!$AK$4:$AK$145,CONCATENATE(C57,$CI$3),Master_Data!$R$4:$R$145)+SUMIF(Master_Data!$AK$152:$AK$864,CONCATENATE(C57,$CI$3),Master_Data!$R$152:$R$864)</f>
        <v>0</v>
      </c>
      <c r="CA57" s="310">
        <f>SUMIF(Master_Data!$AK$4:$AK$145,CONCATENATE(C57,$CI$3),Master_Data!$Q$4:$Q$145)+SUMIF(Master_Data!$AK$152:$AK$864,CONCATENATE(C57,$CI$3),Master_Data!$Q$152:$Q$864)</f>
        <v>0</v>
      </c>
      <c r="CB57" s="310">
        <f>SUMIF(Master_Data!$AK$4:$AK$145,CONCATENATE(C57,$CI$3),Master_Data!$U$4:$U$145)+SUMIF(Master_Data!$AK$152:$AK$864,CONCATENATE(C57,$CI$3),Master_Data!$U$152:$U$864)</f>
        <v>5000000</v>
      </c>
      <c r="CC57" s="230">
        <f>SUMIF(Master_Data!$AK$4:$AK$145,CONCATENATE(C57,$CI$3),Master_Data!$S$4:$S$145)+SUMIF(Master_Data!$AK$152:$AK$864,CONCATENATE(C57,$CI$3),Master_Data!$S$152:$S$864)</f>
        <v>0</v>
      </c>
      <c r="CD57" s="39">
        <f>SUMIF(Master_Data!$AK$152:$AK$864,CONCATENATE($C57,CI$3),Master_Data!$T$152:$T$864)</f>
        <v>0</v>
      </c>
      <c r="CE57" s="310">
        <f t="shared" si="27"/>
        <v>0</v>
      </c>
      <c r="CF57" s="230">
        <f t="shared" ca="1" si="28"/>
        <v>0</v>
      </c>
      <c r="CG57" s="23"/>
      <c r="CH57" s="235" t="str">
        <f t="shared" si="29"/>
        <v>POCA JARINGAN SAMANDHAU, PTMEI</v>
      </c>
      <c r="CI57" s="24"/>
      <c r="CJ57" s="31"/>
      <c r="CK57" s="109">
        <f t="shared" si="30"/>
        <v>0</v>
      </c>
      <c r="CL57" s="238">
        <f t="shared" ca="1" si="31"/>
        <v>0</v>
      </c>
      <c r="CM57" s="31"/>
      <c r="CN57" s="238">
        <f>SUMIF(Bill_Out!$Q$318:$Q$371,CONCATENATE($C57,$CZ$3),Bill_Out!$N$318:$N$371)</f>
        <v>0</v>
      </c>
      <c r="CO57" s="238">
        <f>SUMIF(Bill_Out!$Q$318:$Q$371,CONCATENATE($C57,$CZ$3),Bill_Out!$O$318:$O$371)</f>
        <v>0</v>
      </c>
      <c r="CP57" s="157"/>
      <c r="CQ57" s="230">
        <f>SUMIF(Master_Data!$AK$4:$AK$145,CONCATENATE($C57,$CZ$3),Master_Data!$R$4:$R$145)+SUMIF(Master_Data!$AK$152:$AK$864,CONCATENATE($C57,$CZ$3),Master_Data!$R$152:$R$864)</f>
        <v>0</v>
      </c>
      <c r="CR57" s="230">
        <f>SUMIF(Master_Data!$AK$4:$AK$145,CONCATENATE($C57,$CZ$3),Master_Data!$Q$4:$Q$145)+SUMIF(Master_Data!$AK$152:$AK$864,CONCATENATE($C57,$CZ$3),Master_Data!$Q$152:$Q$864)</f>
        <v>0</v>
      </c>
      <c r="CS57" s="230">
        <f>SUMIF(Master_Data!$AK$4:$AK$145,CONCATENATE($C57,$CZ$3),Master_Data!$U$4:$U$145)+SUMIF(Master_Data!$AK$152:$AK$864,CONCATENATE($C57,$CZ$3),Master_Data!$U$152:$U$864)</f>
        <v>0</v>
      </c>
      <c r="CT57" s="230">
        <f ca="1">SUMIF(Master_Data!$AK$4:$AK$145,CONCATENATE(C57,$CZ$3),Master_Data!$S$4:$S$145)+SUMIF(Master_Data!$AK$152:$AK$915,CONCATENATE(C57,$CZ$3),Master_Data!$S$152:$S$864)</f>
        <v>0</v>
      </c>
      <c r="CU57" s="1010">
        <f>SUMIF(Master_Data!$AK$4:$AK$145,CONCATENATE(C57,$CZ$3),Master_Data!$T$4:$T$145)+SUMIF(Master_Data!$AK$152:$AK$864,CONCATENATE(C57,$CZ$3),Master_Data!$T$152:$T$864)</f>
        <v>0</v>
      </c>
      <c r="CV57" s="230">
        <f t="shared" si="32"/>
        <v>0</v>
      </c>
      <c r="CW57" s="230">
        <f t="shared" ca="1" si="33"/>
        <v>0</v>
      </c>
      <c r="CX57" s="23"/>
      <c r="CY57" s="1007" t="str">
        <f t="shared" si="6"/>
        <v>POCA JARINGAN SAMANDHAU, PTJUN</v>
      </c>
      <c r="CZ57" s="24"/>
      <c r="DA57" s="31"/>
      <c r="DB57" s="109">
        <f t="shared" si="34"/>
        <v>0</v>
      </c>
      <c r="DC57" s="109">
        <f t="shared" ca="1" si="35"/>
        <v>0</v>
      </c>
      <c r="DD57" s="31"/>
      <c r="DE57" s="109">
        <f>SUMIF(Bill_Out!$Q$375:$Q$422,CONCATENATE($C57,$DQ$3),Bill_Out!$N$375:$N$422)</f>
        <v>0</v>
      </c>
      <c r="DF57" s="109">
        <f>SUMIF(Bill_Out!$Q$375:$Q$422,CONCATENATE($C57,$DQ$3),Bill_Out!$O$375:$O$422)</f>
        <v>0</v>
      </c>
      <c r="DG57" s="157"/>
      <c r="DH57" s="310">
        <f>SUMIF(Master_Data!$AK$4:$AK$145,CONCATENATE($C57,$DQ$3),Master_Data!$R$4:$R$145)+SUMIF(Master_Data!$AK$152:$AK$864,CONCATENATE($C57,$DQ$3),Master_Data!$R$152:$R$864)</f>
        <v>0</v>
      </c>
      <c r="DI57" s="310">
        <f>SUMIF(Master_Data!$AK$4:$AK$145,CONCATENATE($C57,$DQ$3),Master_Data!$Q$4:$Q$145)+SUMIF(Master_Data!$AK$152:$AK$864,CONCATENATE($C57,$DQ$3),Master_Data!$Q$152:$Q$864)</f>
        <v>0</v>
      </c>
      <c r="DJ57" s="310">
        <f>SUMIF(Master_Data!$AK$4:$AK$145,CONCATENATE($C57,$DQ$3),Master_Data!$U$4:$U$145)+SUMIF(Master_Data!$AK$152:$AK$864,CONCATENATE($C57,$DQ$3),Master_Data!$U$152:$U$864)</f>
        <v>0</v>
      </c>
      <c r="DK57" s="310">
        <f>SUMIF(Master_Data!$AK$4:$AK$145,CONCATENATE($C57,$DQ$3),Master_Data!$S$4:$S$145)+SUMIF(Master_Data!$AK$152:$AK$864,CONCATENATE($C57,$DQ$3),Master_Data!$S$152:$S$864)</f>
        <v>0</v>
      </c>
      <c r="DL57" s="39">
        <f>SUMIF(Master_Data!$AK$152:$AK$915,CONCATENATE($C57,DQ$3),Master_Data!$T$152:$T$915)</f>
        <v>0</v>
      </c>
      <c r="DM57" s="230">
        <f t="shared" si="67"/>
        <v>0</v>
      </c>
      <c r="DN57" s="230">
        <f t="shared" ca="1" si="68"/>
        <v>0</v>
      </c>
      <c r="DO57" s="23"/>
      <c r="DP57" s="358" t="str">
        <f t="shared" si="9"/>
        <v>POCA JARINGAN SAMANDHAU, PTJUL</v>
      </c>
      <c r="DQ57" s="24"/>
      <c r="DR57" s="392"/>
      <c r="DS57" s="109">
        <f t="shared" si="36"/>
        <v>0</v>
      </c>
      <c r="DT57" s="109">
        <f t="shared" ca="1" si="37"/>
        <v>0</v>
      </c>
      <c r="DU57" s="31"/>
      <c r="DV57" s="109">
        <f>SUMIF(Bill_Out!$Q$426:$Q$472,CONCATENATE($C57,$EH$3),Bill_Out!$N$426:$N$472)</f>
        <v>0</v>
      </c>
      <c r="DW57" s="109">
        <f>SUMIF(Bill_Out!$Q$426:$Q$472,CONCATENATE($C57,$EH$3),Bill_Out!$O$426:$O$472)</f>
        <v>0</v>
      </c>
      <c r="DX57" s="157"/>
      <c r="DY57" s="310">
        <f>SUMIF(Master_Data!$AK$4:$AK$145,CONCATENATE($C57,$EH$3),Master_Data!$R$4:$R$145)+SUMIF(Master_Data!$AK$152:$AK$864,CONCATENATE($C57,$EH$3),Master_Data!$R$152:$R$864)</f>
        <v>0</v>
      </c>
      <c r="DZ57" s="310">
        <f>SUMIF(Master_Data!$AK$4:$AK$145,CONCATENATE($C57,$EH$3),Master_Data!$Q$4:$Q$145)+SUMIF(Master_Data!$AK$152:$AK$864,CONCATENATE($C57,$EH$3),Master_Data!$Q$152:$Q$864)</f>
        <v>0</v>
      </c>
      <c r="EA57" s="310">
        <f>SUMIF(Master_Data!$AK$4:$AK$145,CONCATENATE($C57,$EH$3),Master_Data!$U$4:$U$145)+SUMIF(Master_Data!$AK$152:$AK$864,CONCATENATE($C57,$EH$3),Master_Data!$U$152:$U$864)</f>
        <v>0</v>
      </c>
      <c r="EB57" s="310">
        <f>SUMIF(Master_Data!$AK$4:$AK$145,CONCATENATE($C57,$EH$3),Master_Data!$S$4:$S$145)+SUMIF(Master_Data!$AK$152:$AK$864,CONCATENATE($C57,$EH$3),Master_Data!$S$152:$S$864)</f>
        <v>0</v>
      </c>
      <c r="EC57" s="39">
        <f>SUMIF(Master_Data!$AK$152:$AK$915,CONCATENATE($C57,EH$3),Master_Data!$T$152:$T$915)</f>
        <v>0</v>
      </c>
      <c r="ED57" s="310">
        <f t="shared" si="38"/>
        <v>0</v>
      </c>
      <c r="EE57" s="230">
        <f t="shared" ca="1" si="39"/>
        <v>0</v>
      </c>
      <c r="EF57" s="23"/>
      <c r="EG57" s="358" t="str">
        <f t="shared" si="10"/>
        <v>POCA JARINGAN SAMANDHAU, PTAGS</v>
      </c>
      <c r="EH57" s="387"/>
      <c r="EI57" s="403"/>
      <c r="EJ57" s="109">
        <f t="shared" si="47"/>
        <v>0</v>
      </c>
      <c r="EK57" s="109">
        <f t="shared" ca="1" si="48"/>
        <v>0</v>
      </c>
      <c r="EL57" s="84"/>
      <c r="EM57" s="109">
        <f>SUMIF(Bill_Out!$Q$476:$Q$530,CONCATENATE($C57,$EY$3),Bill_Out!$N$476:$N$530)</f>
        <v>0</v>
      </c>
      <c r="EN57" s="109">
        <f>SUMIF(Bill_Out!$Q$476:$Q$530,CONCATENATE($C57,$EY$3),Bill_Out!$O$476:$O$530)</f>
        <v>0</v>
      </c>
      <c r="EO57" s="309"/>
      <c r="EP57" s="310">
        <f>SUMIF(Master_Data!$AK$4:$AK$145,CONCATENATE($C57,$EY$3),Master_Data!$R$4:$R$145)+SUMIF(Master_Data!$AK$152:$AK$864,CONCATENATE($C57,$EY$3),Master_Data!$R$152:$R$864)</f>
        <v>0</v>
      </c>
      <c r="EQ57" s="310">
        <f>SUMIF(Master_Data!$AK$4:$AK$145,CONCATENATE($C57,$EY$3),Master_Data!$Q$4:$Q$145)+SUMIF(Master_Data!$AK$152:$AK$864,CONCATENATE($C57,$EY$3),Master_Data!$Q$152:$Q$864)</f>
        <v>0</v>
      </c>
      <c r="ER57" s="310">
        <f>SUMIF(Master_Data!$AK$4:$AK$145,CONCATENATE($C57,$EY$3),Master_Data!$U$4:$U$145)+SUMIF(Master_Data!$AK$152:$AK$864,CONCATENATE($C57,$EY$3),Master_Data!$U$152:$U$864)</f>
        <v>0</v>
      </c>
      <c r="ES57" s="310">
        <f>SUMIF(Master_Data!$AK$4:$AK$145,CONCATENATE($C57,$EY$3),Master_Data!$S$4:$S$145)+SUMIF(Master_Data!$AK$152:$AK$864,CONCATENATE($C57,$EY$3),Master_Data!$S$152:$S$864)</f>
        <v>0</v>
      </c>
      <c r="ET57" s="39">
        <f>SUMIF(Master_Data!$AK$152:$AK$915,CONCATENATE($C57,EY$3),Master_Data!$T$152:$T$915)</f>
        <v>0</v>
      </c>
      <c r="EU57" s="310">
        <f t="shared" si="49"/>
        <v>0</v>
      </c>
      <c r="EV57" s="230"/>
      <c r="EW57" s="84"/>
      <c r="EX57" s="358" t="str">
        <f t="shared" si="11"/>
        <v>POCA JARINGAN SAMANDHAU, PTSEP</v>
      </c>
      <c r="EY57" s="403"/>
      <c r="EZ57" s="416"/>
      <c r="FA57" s="109">
        <f>EU57</f>
        <v>0</v>
      </c>
      <c r="FB57" s="109">
        <f>EV57</f>
        <v>0</v>
      </c>
      <c r="FC57" s="420"/>
      <c r="FD57" s="109">
        <f>SUMIF(Bill_Out!$Q$534:$Q$606,CONCATENATE($C57,$FP$3),Bill_Out!$N$534:$N$606)</f>
        <v>0</v>
      </c>
      <c r="FE57" s="109">
        <f>SUMIF(Bill_Out!$Q$534:$Q$606,CONCATENATE($C57,$FP$3),Bill_Out!$O$534:$O$606)</f>
        <v>0</v>
      </c>
      <c r="FF57" s="157"/>
      <c r="FG57" s="310">
        <f>SUMIF(Master_Data!$AK$4:$AK$145,CONCATENATE($C57,$FP$3),Master_Data!$R$4:$R$145)+SUMIF(Master_Data!$AK$152:$AK$864,CONCATENATE($C57,$FP$3),Master_Data!$R$152:$R$864)</f>
        <v>0</v>
      </c>
      <c r="FH57" s="310">
        <f>SUMIF(Master_Data!$AK$4:$AK$145,CONCATENATE($C57,$FP$3),Master_Data!$Q$4:$Q$145)+SUMIF(Master_Data!$AK$152:$AK$864,CONCATENATE($C57,$FP$3),Master_Data!$Q$152:$Q$864)</f>
        <v>0</v>
      </c>
      <c r="FI57" s="310">
        <f>SUMIF(Master_Data!$AK$4:$AK$145,CONCATENATE($C57,$FP$3),Master_Data!$U$4:$U$145)+SUMIF(Master_Data!$AK$152:$AK$864,CONCATENATE($C57,$FP$3),Master_Data!$U$152:$U$864)</f>
        <v>0</v>
      </c>
      <c r="FJ57" s="310">
        <f>SUMIF(Master_Data!$AK$4:$AK$145,CONCATENATE($C57,$FP$3),Master_Data!$S$4:$S$145)+SUMIF(Master_Data!$AK$152:$AK$864,CONCATENATE($C57,$FP$3),Master_Data!$S$152:$S$864)</f>
        <v>0</v>
      </c>
      <c r="FK57" s="39">
        <f>SUMIF(Master_Data!$AK$152:$AK$915,CONCATENATE($C57,FP$3),Master_Data!$T$152:$T$915)</f>
        <v>0</v>
      </c>
      <c r="FL57" s="230">
        <f>FA57+FD57-FG57+FH57</f>
        <v>0</v>
      </c>
      <c r="FM57" s="230">
        <f t="shared" si="12"/>
        <v>0</v>
      </c>
      <c r="FN57" s="23"/>
      <c r="FO57" s="358" t="str">
        <f t="shared" si="80"/>
        <v>POCA JARINGAN SAMANDHAU, PTOKT</v>
      </c>
      <c r="FP57" s="403"/>
      <c r="FQ57" s="416"/>
      <c r="FR57" s="109">
        <f>FL57</f>
        <v>0</v>
      </c>
      <c r="FS57" s="109">
        <f>FM57</f>
        <v>0</v>
      </c>
      <c r="FT57" s="420"/>
      <c r="FU57" s="109">
        <f>SUMIF(Bill_Out!$Q$610:$Q$675,CONCATENATE($C57,$GG$3),Bill_Out!$N$610:$N$675)</f>
        <v>0</v>
      </c>
      <c r="FV57" s="109">
        <f>SUMIF(Bill_Out!$Q$610:$Q$675,CONCATENATE($C57,$GG$3),Bill_Out!$O$610:$O$675)</f>
        <v>0</v>
      </c>
      <c r="FW57" s="157"/>
      <c r="FX57" s="512">
        <f>SUMIF(Master_Data!$AK$4:$AK$145,CONCATENATE($C57,$GG$3),Master_Data!$R$4:$R$145)+SUMIF(Master_Data!$AK$152:$AK$864,CONCATENATE($C57,$GG$3),Master_Data!$R$152:$R$864)</f>
        <v>0</v>
      </c>
      <c r="FY57" s="512">
        <f>SUMIF(Master_Data!$AK$4:$AK$145,CONCATENATE($C57,$GG$3),Master_Data!$Q$4:$Q$145)+SUMIF(Master_Data!$AK$152:$AK$864,CONCATENATE($C57,$GG$3),Master_Data!$Q$152:$Q$864)</f>
        <v>0</v>
      </c>
      <c r="FZ57" s="512">
        <f>SUMIF(Master_Data!$AK$4:$AK$145,CONCATENATE($C57,$GG$3),Master_Data!$U$4:$U$145)+SUMIF(Master_Data!$AK$152:$AK$864,CONCATENATE($C57,$GG$3),Master_Data!$U$152:$U$864)</f>
        <v>0</v>
      </c>
      <c r="GA57" s="310">
        <f>SUMIF(Master_Data!$AK$4:$AK$145,CONCATENATE($C57,$GG$3),Master_Data!$S$4:$S$145)+SUMIF(Master_Data!$AK$152:$AK$864,CONCATENATE($C57,$GG$3),Master_Data!$S$152:$S$864)</f>
        <v>0</v>
      </c>
      <c r="GB57" s="39">
        <f>SUMIF(Master_Data!$AK$152:$AK$915,CONCATENATE($C57,GG$3),Master_Data!$T$152:$T$915)</f>
        <v>0</v>
      </c>
      <c r="GC57" s="230">
        <f>FR57+FU57-FX57+FY57</f>
        <v>0</v>
      </c>
      <c r="GD57" s="230">
        <f t="shared" si="14"/>
        <v>0</v>
      </c>
      <c r="GE57" s="23"/>
      <c r="GF57" s="358" t="str">
        <f t="shared" si="81"/>
        <v>POCA JARINGAN SAMANDHAU, PTNOV</v>
      </c>
      <c r="GG57" s="403"/>
      <c r="GH57" s="416"/>
      <c r="GI57" s="109">
        <f t="shared" si="70"/>
        <v>0</v>
      </c>
      <c r="GJ57" s="109">
        <f t="shared" si="71"/>
        <v>0</v>
      </c>
      <c r="GK57" s="423"/>
      <c r="GL57" s="109">
        <f>SUMIF(Bill_Out!$Q$679:$Q$756,CONCATENATE($C57,$GX$3),Bill_Out!$N$679:$N$756)</f>
        <v>0</v>
      </c>
      <c r="GM57" s="109">
        <f>SUMIF(Bill_Out!$Q$679:$Q$756,CONCATENATE($C57,$GX$3),Bill_Out!$O$679:$O$756)</f>
        <v>0</v>
      </c>
      <c r="GN57" s="157"/>
      <c r="GO57" s="512">
        <f>SUMIF(Master_Data!$AK$4:$AK$145,CONCATENATE($C57,$GX$3),Master_Data!$R$4:$R$145)+SUMIF(Master_Data!$AK$152:$AK$864,CONCATENATE($C57,$GX$3),Master_Data!$R$152:$R$864)</f>
        <v>0</v>
      </c>
      <c r="GP57" s="512">
        <f>SUMIF(Master_Data!$AK$4:$AK$145,CONCATENATE($C57,$GX$3),Master_Data!$Q$4:$Q$145)+SUMIF(Master_Data!$AK$152:$AK$864,CONCATENATE($C57,$GX$3),Master_Data!$Q$152:$Q$864)</f>
        <v>0</v>
      </c>
      <c r="GQ57" s="512">
        <f>SUMIF(Master_Data!$AK$4:$AK$145,CONCATENATE($C57,$GX$3),Master_Data!$U$4:$U$145)+SUMIF(Master_Data!$AK$152:$AK$864,CONCATENATE($C57,$GX$3),Master_Data!$U$152:$U$864)</f>
        <v>0</v>
      </c>
      <c r="GR57" s="310">
        <f>SUMIF(Master_Data!$AK$4:$AK$145,CONCATENATE($C57,$GX$3),Master_Data!$S$4:$S$145)+SUMIF(Master_Data!$AK$152:$AK$864,CONCATENATE($C57,$GX$3),Master_Data!$S$152:$S$864)</f>
        <v>0</v>
      </c>
      <c r="GS57" s="39">
        <f>SUMIF(Master_Data!$AK$152:$AK$864,CONCATENATE($C57,GX$3),Master_Data!$T$152:$T$864)</f>
        <v>0</v>
      </c>
      <c r="GT57" s="534">
        <f t="shared" si="44"/>
        <v>0</v>
      </c>
      <c r="GU57" s="310">
        <f t="shared" si="16"/>
        <v>0</v>
      </c>
      <c r="GV57" s="23"/>
      <c r="GW57" s="358" t="str">
        <f t="shared" si="87"/>
        <v>POCA JARINGAN SAMANDHAU, PTDES</v>
      </c>
      <c r="GX57" s="403"/>
    </row>
    <row r="58" spans="1:206" s="19" customFormat="1">
      <c r="A58" s="21" t="s">
        <v>424</v>
      </c>
      <c r="B58" s="236" t="str">
        <f t="shared" si="18"/>
        <v>PUNCAK KEEMASAN LUMBUNG DUNIA, PTJAN</v>
      </c>
      <c r="C58" s="8" t="s">
        <v>764</v>
      </c>
      <c r="D58" s="23"/>
      <c r="E58" s="109">
        <f>SUMIF(Master_Data!$D48:$D$145,CONCATENATE(C58),Master_Data!M48:M915)</f>
        <v>0</v>
      </c>
      <c r="F58" s="109">
        <f>SUMIF(Master_Data!$D55:$D$145,CONCATENATE(C58),Master_Data!N55:N244)</f>
        <v>50600000</v>
      </c>
      <c r="G58" s="31"/>
      <c r="H58" s="109">
        <f>SUMIF(Bill_Out!$Q$3:$Q$65,CONCATENATE($C58,$S$3),Bill_Out!$N$3:$N$65)</f>
        <v>0</v>
      </c>
      <c r="I58" s="88" t="e">
        <f>SUMIF(Bill_Out!$Q$3:$Q$65,CONCATENATE($C58,$S$3),Bill_Out!$O$3:$O$65)</f>
        <v>#VALUE!</v>
      </c>
      <c r="J58" s="157"/>
      <c r="K58" s="29"/>
      <c r="L58" s="44"/>
      <c r="M58" s="230">
        <f>SUMIF(Master_Data!$AK54:$AK$145,CONCATENATE(C58,$S$3),Master_Data!U54:U363)+SUMIF(Master_Data!$AK414:$AK$864,CONCATENATE(C58,$S$3),Master_Data!U414:U1152)</f>
        <v>0</v>
      </c>
      <c r="N58" s="310">
        <f>SUMIF(Master_Data!$AK$4:$AK$145,CONCATENATE(C58,$S$3),Master_Data!$S$4:$S$145)+SUMIF(Master_Data!$AK$150:$AK$864,CONCATENATE(C58,$S$3),Master_Data!$S$150:$S$864)</f>
        <v>0</v>
      </c>
      <c r="O58" s="310">
        <f>SUMIF(Master_Data!$AK$4:$AK$145,CONCATENATE(C58,$S$3),Master_Data!$T$4:$T$145)+SUMIF(Master_Data!$AK$150:$AK$864,CONCATENATE(C58,$S$3),Master_Data!$T$150:$T$864)</f>
        <v>0</v>
      </c>
      <c r="P58" s="230">
        <f t="shared" si="19"/>
        <v>0</v>
      </c>
      <c r="Q58" s="230" t="e">
        <f t="shared" si="20"/>
        <v>#VALUE!</v>
      </c>
      <c r="R58" s="23"/>
      <c r="S58" s="24"/>
      <c r="T58" s="31"/>
      <c r="U58" s="109">
        <f t="shared" si="94"/>
        <v>0</v>
      </c>
      <c r="V58" s="109" t="e">
        <f t="shared" si="95"/>
        <v>#VALUE!</v>
      </c>
      <c r="W58" s="31"/>
      <c r="X58" s="109">
        <f>SUMIF(Bill_Out!$Q$67:$Q$132,CONCATENATE($C58,$AJ$3),Bill_Out!$N$67:$N$132)</f>
        <v>0</v>
      </c>
      <c r="Y58" s="109" t="e">
        <f>SUMIF(Bill_Out!$Q$67:$Q$132,CONCATENATE($C58,$AJ$3),Bill_Out!$O$67:$O$132)</f>
        <v>#VALUE!</v>
      </c>
      <c r="Z58" s="157"/>
      <c r="AA58" s="230">
        <f>SUMIF(Master_Data!$AK$4:$AK$145,CONCATENATE(C58,$AJ$3),Master_Data!$R$4:$R$145)+SUMIF(Master_Data!$AK$152:$AK$850,CONCATENATE(C58,$AJ$3),Master_Data!$R$152:$R$850)</f>
        <v>0</v>
      </c>
      <c r="AB58" s="230">
        <f>SUMIF(Master_Data!$AK$4:$AK$145,CONCATENATE(C58,$AJ$3),Master_Data!$Q$4:$Q$145)+SUMIF(Master_Data!$AK$152:$AK$850,CONCATENATE(C58,$AJ$3),Master_Data!$Q$152:$Q$850)</f>
        <v>0</v>
      </c>
      <c r="AC58" s="230">
        <f>SUMIF(Master_Data!$AK$4:$AK$145,CONCATENATE(C58,$AJ$3),Master_Data!$U$4:$U$145)+SUMIF(Master_Data!$AK$152:$AK$850,CONCATENATE(C58,$AJ$3),Master_Data!$U$152:$U$850)</f>
        <v>74520000</v>
      </c>
      <c r="AD58" s="310">
        <f ca="1">SUMIF(Master_Data!$AK$4:$AK$145,CONCATENATE(C58,$AJ$3),Master_Data!$S$4:$S$145)+SUMIF(Master_Data!$AK$152:$AK$864,CONCATENATE(C58,$AJ$3),Master_Data!$S$152:$S$850)</f>
        <v>0</v>
      </c>
      <c r="AE58" s="310">
        <f>SUMIF(Master_Data!$AK$4:$AK$145,CONCATENATE(C58,$AJ$3),Master_Data!$T$4:$T$145)+SUMIF(Master_Data!$AK$152:$AK$864,CONCATENATE(C58,$AJ$3),Master_Data!$T$152:$T$864)</f>
        <v>-1380000</v>
      </c>
      <c r="AF58" s="230">
        <f t="shared" si="63"/>
        <v>0</v>
      </c>
      <c r="AG58" s="230" t="e">
        <f t="shared" ca="1" si="64"/>
        <v>#VALUE!</v>
      </c>
      <c r="AH58" s="23"/>
      <c r="AI58" s="235" t="str">
        <f t="shared" si="86"/>
        <v>PUNCAK KEEMASAN LUMBUNG DUNIA, PTFEB</v>
      </c>
      <c r="AJ58" s="24"/>
      <c r="AK58" s="31"/>
      <c r="AL58" s="109">
        <f t="shared" si="65"/>
        <v>0</v>
      </c>
      <c r="AM58" s="109" t="e">
        <f t="shared" ca="1" si="66"/>
        <v>#VALUE!</v>
      </c>
      <c r="AN58" s="31"/>
      <c r="AO58" s="109">
        <f>SUMIF(Bill_Out!$Q$134:$Q$188,CONCATENATE($C58,$BA$3),Bill_Out!$N$134:$N$188)</f>
        <v>0</v>
      </c>
      <c r="AP58" s="109">
        <f>SUMIF(Bill_Out!$Q$134:$Q$188,CONCATENATE($C58,$BA$3),Bill_Out!$O$134:$O$188)</f>
        <v>0</v>
      </c>
      <c r="AQ58" s="157"/>
      <c r="AR58" s="230">
        <f>SUMIF(Master_Data!$AK$4:$AK$145,CONCATENATE(C58,$BA$3),Master_Data!$R$4:$R$145)+SUMIF(Master_Data!$AK$152:$AK$864,CONCATENATE(C58,$BA$3),Master_Data!$R$152:$R$864)</f>
        <v>0</v>
      </c>
      <c r="AS58" s="230">
        <f>SUMIF(Master_Data!$AK$4:$AK$145,CONCATENATE(C58,$BA$3),Master_Data!$Q$4:$Q$145)+SUMIF(Master_Data!$AK$152:$AK$864,CONCATENATE(C58,$BA$3),Master_Data!$Q$152:$Q$864)</f>
        <v>0</v>
      </c>
      <c r="AT58" s="230">
        <f>SUMIF(Master_Data!$AK$4:$AK$145,CONCATENATE(C58,$BA$3),Master_Data!$U$4:$U$145)+SUMIF(Master_Data!$AK$152:$AK$864,CONCATENATE(C58,$BA$3),Master_Data!$U$152:$U$864)</f>
        <v>24840000</v>
      </c>
      <c r="AU58" s="230">
        <f ca="1">SUMIF(Master_Data!$AK$4:$AK$145,CONCATENATE(C58,$BA$3),Master_Data!$S$4:$S$145)+SUMIF(Master_Data!$AK$152:$AK$864,CONCATENATE(C58,$BA$3),Master_Data!$S$152:$S$850)</f>
        <v>0</v>
      </c>
      <c r="AV58" s="39">
        <f>SUMIF(Master_Data!$AK$152:$AK$864,CONCATENATE($C58,BA$3),Master_Data!$T$152:$T$864)</f>
        <v>-460000</v>
      </c>
      <c r="AW58" s="230">
        <f t="shared" si="57"/>
        <v>0</v>
      </c>
      <c r="AX58" s="230" t="e">
        <f t="shared" ca="1" si="58"/>
        <v>#VALUE!</v>
      </c>
      <c r="AY58" s="23"/>
      <c r="AZ58" s="235" t="str">
        <f t="shared" si="21"/>
        <v>PUNCAK KEEMASAN LUMBUNG DUNIA, PTMAR</v>
      </c>
      <c r="BA58" s="24"/>
      <c r="BB58" s="31"/>
      <c r="BC58" s="109">
        <f t="shared" si="22"/>
        <v>0</v>
      </c>
      <c r="BD58" s="109" t="e">
        <f t="shared" ca="1" si="23"/>
        <v>#VALUE!</v>
      </c>
      <c r="BE58" s="31"/>
      <c r="BF58" s="109">
        <f>SUMIF(Bill_Out!$Q$192:$Q$258,CONCATENATE($C58,$BR$3),Bill_Out!$N$192:$N$258)</f>
        <v>0</v>
      </c>
      <c r="BG58" s="109" t="e">
        <f>SUMIF(Bill_Out!$Q$192:$Q$258,CONCATENATE($C58,$BR$3),Bill_Out!$O$192:$O$258)</f>
        <v>#VALUE!</v>
      </c>
      <c r="BH58" s="157"/>
      <c r="BI58" s="230">
        <f>SUMIF(Master_Data!$AK$4:$AK$145,CONCATENATE(C58,$BR$3),Master_Data!$R$4:$R$145)+SUMIF(Master_Data!$AK$152:$AK$864,CONCATENATE(C58,$BR$3),Master_Data!$R$152:$R$864)</f>
        <v>0</v>
      </c>
      <c r="BJ58" s="230">
        <f>SUMIF(Master_Data!$AK$4:$AK$145,CONCATENATE(C58,$BR$3),Master_Data!$Q$4:$Q$145)+SUMIF(Master_Data!$AK$152:$AK$864,CONCATENATE(C58,$BR$3),Master_Data!$Q$152:$Q$864)</f>
        <v>0</v>
      </c>
      <c r="BK58" s="230">
        <f>SUMIF(Master_Data!$AK$4:$AK$145,CONCATENATE(C58,$BR$3),Master_Data!$U$4:$U$145)+SUMIF(Master_Data!$AK$152:$AK$864,CONCATENATE(C58,$BR$3),Master_Data!$U$152:$U$864)</f>
        <v>24840000</v>
      </c>
      <c r="BL58" s="230">
        <f>SUMIF(Master_Data!$AK$4:$AK$145,CONCATENATE(C58,$BR$3),Master_Data!$S$4:$S$145)+SUMIF(Master_Data!$AK$152:$AK$864,CONCATENATE(C58,$BR$3),Master_Data!$S$152:$S$864)</f>
        <v>0</v>
      </c>
      <c r="BM58" s="39">
        <f>SUMIF(Master_Data!$AK$152:$AK$864,CONCATENATE($C58,BR$3),Master_Data!$T$152:$T$864)</f>
        <v>-460000</v>
      </c>
      <c r="BN58" s="230">
        <f t="shared" si="24"/>
        <v>0</v>
      </c>
      <c r="BO58" s="230" t="e">
        <f t="shared" ca="1" si="25"/>
        <v>#VALUE!</v>
      </c>
      <c r="BP58" s="23"/>
      <c r="BQ58" s="909" t="str">
        <f t="shared" si="26"/>
        <v>PUNCAK KEEMASAN LUMBUNG DUNIA, PTAPR</v>
      </c>
      <c r="BR58" s="24"/>
      <c r="BS58" s="31"/>
      <c r="BT58" s="109">
        <f t="shared" si="78"/>
        <v>0</v>
      </c>
      <c r="BU58" s="109" t="e">
        <f t="shared" ca="1" si="79"/>
        <v>#VALUE!</v>
      </c>
      <c r="BV58" s="31"/>
      <c r="BW58" s="109">
        <f>SUMIF(Bill_Out!$Q$263:$Q$314,CONCATENATE($C58,$CI$3),Bill_Out!$N$263:$N$314)</f>
        <v>0</v>
      </c>
      <c r="BX58" s="109" t="e">
        <f>SUMIF(Bill_Out!$Q$263:$Q$314,CONCATENATE($C58,$CI$3),Bill_Out!$O$263:$O$314)</f>
        <v>#VALUE!</v>
      </c>
      <c r="BY58" s="157"/>
      <c r="BZ58" s="310">
        <f>SUMIF(Master_Data!$AK$4:$AK$145,CONCATENATE(C58,$CI$3),Master_Data!$R$4:$R$145)+SUMIF(Master_Data!$AK$152:$AK$864,CONCATENATE(C58,$CI$3),Master_Data!$R$152:$R$864)</f>
        <v>0</v>
      </c>
      <c r="CA58" s="310">
        <f>SUMIF(Master_Data!$AK$4:$AK$145,CONCATENATE(C58,$CI$3),Master_Data!$Q$4:$Q$145)+SUMIF(Master_Data!$AK$152:$AK$864,CONCATENATE(C58,$CI$3),Master_Data!$Q$152:$Q$864)</f>
        <v>0</v>
      </c>
      <c r="CB58" s="310">
        <f>SUMIF(Master_Data!$AK$4:$AK$145,CONCATENATE(C58,$CI$3),Master_Data!$U$4:$U$145)+SUMIF(Master_Data!$AK$152:$AK$864,CONCATENATE(C58,$CI$3),Master_Data!$U$152:$U$864)</f>
        <v>24840000</v>
      </c>
      <c r="CC58" s="230">
        <f>SUMIF(Master_Data!$AK$4:$AK$145,CONCATENATE(C58,$CI$3),Master_Data!$S$4:$S$145)+SUMIF(Master_Data!$AK$152:$AK$864,CONCATENATE(C58,$CI$3),Master_Data!$S$152:$S$864)</f>
        <v>0</v>
      </c>
      <c r="CD58" s="39">
        <f>SUMIF(Master_Data!$AK$152:$AK$864,CONCATENATE($C58,CI$3),Master_Data!$T$152:$T$864)</f>
        <v>-460000</v>
      </c>
      <c r="CE58" s="310">
        <f t="shared" si="27"/>
        <v>0</v>
      </c>
      <c r="CF58" s="230" t="e">
        <f t="shared" ca="1" si="28"/>
        <v>#VALUE!</v>
      </c>
      <c r="CG58" s="23"/>
      <c r="CH58" s="235" t="str">
        <f t="shared" si="29"/>
        <v>PUNCAK KEEMASAN LUMBUNG DUNIA, PTMEI</v>
      </c>
      <c r="CI58" s="24"/>
      <c r="CJ58" s="31"/>
      <c r="CK58" s="109">
        <f t="shared" si="30"/>
        <v>0</v>
      </c>
      <c r="CL58" s="238" t="e">
        <f t="shared" ca="1" si="31"/>
        <v>#VALUE!</v>
      </c>
      <c r="CM58" s="31"/>
      <c r="CN58" s="238">
        <f>SUMIF(Bill_Out!$Q$318:$Q$371,CONCATENATE($C58,$CZ$3),Bill_Out!$N$318:$N$371)</f>
        <v>0</v>
      </c>
      <c r="CO58" s="238" t="e">
        <f>SUMIF(Bill_Out!$Q$318:$Q$371,CONCATENATE($C58,$CZ$3),Bill_Out!$O$318:$O$371)</f>
        <v>#VALUE!</v>
      </c>
      <c r="CP58" s="157"/>
      <c r="CQ58" s="230">
        <f>SUMIF(Master_Data!$AK$4:$AK$145,CONCATENATE($C58,$CZ$3),Master_Data!$R$4:$R$145)+SUMIF(Master_Data!$AK$152:$AK$864,CONCATENATE($C58,$CZ$3),Master_Data!$R$152:$R$864)</f>
        <v>0</v>
      </c>
      <c r="CR58" s="230">
        <f>SUMIF(Master_Data!$AK$4:$AK$145,CONCATENATE($C58,$CZ$3),Master_Data!$Q$4:$Q$145)+SUMIF(Master_Data!$AK$152:$AK$864,CONCATENATE($C58,$CZ$3),Master_Data!$Q$152:$Q$864)</f>
        <v>0</v>
      </c>
      <c r="CS58" s="230">
        <f>SUMIF(Master_Data!$AK$4:$AK$145,CONCATENATE($C58,$CZ$3),Master_Data!$U$4:$U$145)+SUMIF(Master_Data!$AK$152:$AK$864,CONCATENATE($C58,$CZ$3),Master_Data!$U$152:$U$864)</f>
        <v>24840000</v>
      </c>
      <c r="CT58" s="230">
        <f ca="1">SUMIF(Master_Data!$AK$4:$AK$145,CONCATENATE(C58,$CZ$3),Master_Data!$S$4:$S$145)+SUMIF(Master_Data!$AK$152:$AK$915,CONCATENATE(C58,$CZ$3),Master_Data!$S$152:$S$864)</f>
        <v>0</v>
      </c>
      <c r="CU58" s="1010">
        <f>SUMIF(Master_Data!$AK$4:$AK$145,CONCATENATE(C58,$CZ$3),Master_Data!$T$4:$T$145)+SUMIF(Master_Data!$AK$152:$AK$864,CONCATENATE(C58,$CZ$3),Master_Data!$T$152:$T$864)</f>
        <v>-460000</v>
      </c>
      <c r="CV58" s="230">
        <f t="shared" si="32"/>
        <v>0</v>
      </c>
      <c r="CW58" s="230" t="e">
        <f t="shared" ca="1" si="33"/>
        <v>#VALUE!</v>
      </c>
      <c r="CX58" s="23"/>
      <c r="CY58" s="1007" t="str">
        <f t="shared" si="6"/>
        <v>PUNCAK KEEMASAN LUMBUNG DUNIA, PTJUN</v>
      </c>
      <c r="CZ58" s="24"/>
      <c r="DA58" s="31"/>
      <c r="DB58" s="109">
        <f t="shared" si="34"/>
        <v>0</v>
      </c>
      <c r="DC58" s="109" t="e">
        <f t="shared" ca="1" si="35"/>
        <v>#VALUE!</v>
      </c>
      <c r="DD58" s="31"/>
      <c r="DE58" s="109">
        <f>SUMIF(Bill_Out!$Q$375:$Q$422,CONCATENATE($C58,$DQ$3),Bill_Out!$N$375:$N$422)</f>
        <v>0</v>
      </c>
      <c r="DF58" s="109" t="e">
        <f>SUMIF(Bill_Out!$Q$375:$Q$422,CONCATENATE($C58,$DQ$3),Bill_Out!$O$375:$O$422)</f>
        <v>#VALUE!</v>
      </c>
      <c r="DG58" s="157"/>
      <c r="DH58" s="310">
        <f>SUMIF(Master_Data!$AK$4:$AK$145,CONCATENATE($C58,$DQ$3),Master_Data!$R$4:$R$145)+SUMIF(Master_Data!$AK$152:$AK$864,CONCATENATE($C58,$DQ$3),Master_Data!$R$152:$R$864)</f>
        <v>0</v>
      </c>
      <c r="DI58" s="310">
        <f>SUMIF(Master_Data!$AK$4:$AK$145,CONCATENATE($C58,$DQ$3),Master_Data!$Q$4:$Q$145)+SUMIF(Master_Data!$AK$152:$AK$864,CONCATENATE($C58,$DQ$3),Master_Data!$Q$152:$Q$864)</f>
        <v>0</v>
      </c>
      <c r="DJ58" s="310">
        <f>SUMIF(Master_Data!$AK$4:$AK$145,CONCATENATE($C58,$DQ$3),Master_Data!$U$4:$U$145)+SUMIF(Master_Data!$AK$152:$AK$864,CONCATENATE($C58,$DQ$3),Master_Data!$U$152:$U$864)</f>
        <v>24840000</v>
      </c>
      <c r="DK58" s="310">
        <f>SUMIF(Master_Data!$AK$4:$AK$145,CONCATENATE($C58,$DQ$3),Master_Data!$S$4:$S$145)+SUMIF(Master_Data!$AK$152:$AK$864,CONCATENATE($C58,$DQ$3),Master_Data!$S$152:$S$864)</f>
        <v>0</v>
      </c>
      <c r="DL58" s="39">
        <f>SUMIF(Master_Data!$AK$152:$AK$915,CONCATENATE($C58,DQ$3),Master_Data!$T$152:$T$915)</f>
        <v>-460000</v>
      </c>
      <c r="DM58" s="230">
        <f t="shared" si="67"/>
        <v>0</v>
      </c>
      <c r="DN58" s="230" t="e">
        <f t="shared" ca="1" si="68"/>
        <v>#VALUE!</v>
      </c>
      <c r="DO58" s="23"/>
      <c r="DP58" s="358" t="str">
        <f t="shared" si="9"/>
        <v>PUNCAK KEEMASAN LUMBUNG DUNIA, PTJUL</v>
      </c>
      <c r="DQ58" s="24"/>
      <c r="DR58" s="392"/>
      <c r="DS58" s="109">
        <f t="shared" si="36"/>
        <v>0</v>
      </c>
      <c r="DT58" s="109" t="e">
        <f t="shared" ca="1" si="37"/>
        <v>#VALUE!</v>
      </c>
      <c r="DU58" s="31"/>
      <c r="DV58" s="109">
        <f>SUMIF(Bill_Out!$Q$426:$Q$472,CONCATENATE($C58,$EH$3),Bill_Out!$N$426:$N$472)</f>
        <v>0</v>
      </c>
      <c r="DW58" s="109" t="e">
        <f>SUMIF(Bill_Out!$Q$426:$Q$472,CONCATENATE($C58,$EH$3),Bill_Out!$O$426:$O$472)</f>
        <v>#VALUE!</v>
      </c>
      <c r="DX58" s="157"/>
      <c r="DY58" s="310">
        <f>SUMIF(Master_Data!$AK$4:$AK$145,CONCATENATE($C58,$EH$3),Master_Data!$R$4:$R$145)+SUMIF(Master_Data!$AK$152:$AK$864,CONCATENATE($C58,$EH$3),Master_Data!$R$152:$R$864)</f>
        <v>0</v>
      </c>
      <c r="DZ58" s="310">
        <f>SUMIF(Master_Data!$AK$4:$AK$145,CONCATENATE($C58,$EH$3),Master_Data!$Q$4:$Q$145)+SUMIF(Master_Data!$AK$152:$AK$864,CONCATENATE($C58,$EH$3),Master_Data!$Q$152:$Q$864)</f>
        <v>0</v>
      </c>
      <c r="EA58" s="310">
        <f>SUMIF(Master_Data!$AK$4:$AK$145,CONCATENATE($C58,$EH$3),Master_Data!$U$4:$U$145)+SUMIF(Master_Data!$AK$152:$AK$864,CONCATENATE($C58,$EH$3),Master_Data!$U$152:$U$864)</f>
        <v>24840000</v>
      </c>
      <c r="EB58" s="310">
        <f>SUMIF(Master_Data!$AK$4:$AK$145,CONCATENATE($C58,$EH$3),Master_Data!$S$4:$S$145)+SUMIF(Master_Data!$AK$152:$AK$864,CONCATENATE($C58,$EH$3),Master_Data!$S$152:$S$864)</f>
        <v>0</v>
      </c>
      <c r="EC58" s="39">
        <f>SUMIF(Master_Data!$AK$152:$AK$915,CONCATENATE($C58,EH$3),Master_Data!$T$152:$T$915)</f>
        <v>-460000</v>
      </c>
      <c r="ED58" s="310">
        <f t="shared" si="38"/>
        <v>0</v>
      </c>
      <c r="EE58" s="230" t="e">
        <f t="shared" ca="1" si="39"/>
        <v>#VALUE!</v>
      </c>
      <c r="EF58" s="23"/>
      <c r="EG58" s="358" t="str">
        <f t="shared" si="10"/>
        <v>PUNCAK KEEMASAN LUMBUNG DUNIA, PTAGS</v>
      </c>
      <c r="EH58" s="24"/>
      <c r="EI58" s="392"/>
      <c r="EJ58" s="109">
        <f t="shared" si="47"/>
        <v>0</v>
      </c>
      <c r="EK58" s="109" t="e">
        <f t="shared" ca="1" si="48"/>
        <v>#VALUE!</v>
      </c>
      <c r="EL58" s="84"/>
      <c r="EM58" s="109">
        <f>SUMIF(Bill_Out!$Q$476:$Q$530,CONCATENATE($C58,$EY$3),Bill_Out!$N$476:$N$530)</f>
        <v>0</v>
      </c>
      <c r="EN58" s="109">
        <f>SUMIF(Bill_Out!$Q$476:$Q$530,CONCATENATE($C58,$EY$3),Bill_Out!$O$476:$O$530)</f>
        <v>0</v>
      </c>
      <c r="EO58" s="309"/>
      <c r="EP58" s="310">
        <f>SUMIF(Master_Data!$AK$4:$AK$145,CONCATENATE($C58,$EY$3),Master_Data!$R$4:$R$145)+SUMIF(Master_Data!$AK$152:$AK$864,CONCATENATE($C58,$EY$3),Master_Data!$R$152:$R$864)</f>
        <v>0</v>
      </c>
      <c r="EQ58" s="310">
        <f>SUMIF(Master_Data!$AK$4:$AK$145,CONCATENATE($C58,$EY$3),Master_Data!$Q$4:$Q$145)+SUMIF(Master_Data!$AK$152:$AK$864,CONCATENATE($C58,$EY$3),Master_Data!$Q$152:$Q$864)</f>
        <v>0</v>
      </c>
      <c r="ER58" s="310">
        <f>SUMIF(Master_Data!$AK$4:$AK$145,CONCATENATE($C58,$EY$3),Master_Data!$U$4:$U$145)+SUMIF(Master_Data!$AK$152:$AK$864,CONCATENATE($C58,$EY$3),Master_Data!$U$152:$U$864)</f>
        <v>37800000</v>
      </c>
      <c r="ES58" s="310">
        <f>SUMIF(Master_Data!$AK$4:$AK$145,CONCATENATE($C58,$EY$3),Master_Data!$S$4:$S$145)+SUMIF(Master_Data!$AK$152:$AK$864,CONCATENATE($C58,$EY$3),Master_Data!$S$152:$S$864)</f>
        <v>0</v>
      </c>
      <c r="ET58" s="39">
        <f>SUMIF(Master_Data!$AK$152:$AK$915,CONCATENATE($C58,EY$3),Master_Data!$T$152:$T$915)</f>
        <v>-700000</v>
      </c>
      <c r="EU58" s="310">
        <f t="shared" si="49"/>
        <v>0</v>
      </c>
      <c r="EV58" s="230"/>
      <c r="EW58" s="84"/>
      <c r="EX58" s="358" t="str">
        <f t="shared" si="11"/>
        <v>PUNCAK KEEMASAN LUMBUNG DUNIA, PTSEP</v>
      </c>
      <c r="EY58" s="24"/>
      <c r="EZ58" s="415"/>
      <c r="FA58" s="109">
        <f t="shared" si="88"/>
        <v>0</v>
      </c>
      <c r="FB58" s="109">
        <f t="shared" si="96"/>
        <v>0</v>
      </c>
      <c r="FC58" s="420"/>
      <c r="FD58" s="109">
        <f>SUMIF(Bill_Out!$Q$534:$Q$606,CONCATENATE($C58,$FP$3),Bill_Out!$N$534:$N$606)</f>
        <v>0</v>
      </c>
      <c r="FE58" s="109" t="e">
        <f>SUMIF(Bill_Out!$Q$534:$Q$606,CONCATENATE($C58,$FP$3),Bill_Out!$O$534:$O$606)</f>
        <v>#VALUE!</v>
      </c>
      <c r="FF58" s="157"/>
      <c r="FG58" s="310">
        <f>SUMIF(Master_Data!$AK$4:$AK$145,CONCATENATE($C58,$FP$3),Master_Data!$R$4:$R$145)+SUMIF(Master_Data!$AK$152:$AK$864,CONCATENATE($C58,$FP$3),Master_Data!$R$152:$R$864)</f>
        <v>0</v>
      </c>
      <c r="FH58" s="310">
        <f>SUMIF(Master_Data!$AK$4:$AK$145,CONCATENATE($C58,$FP$3),Master_Data!$Q$4:$Q$145)+SUMIF(Master_Data!$AK$152:$AK$864,CONCATENATE($C58,$FP$3),Master_Data!$Q$152:$Q$864)</f>
        <v>0</v>
      </c>
      <c r="FI58" s="310">
        <f>SUMIF(Master_Data!$AK$4:$AK$145,CONCATENATE($C58,$FP$3),Master_Data!$U$4:$U$145)+SUMIF(Master_Data!$AK$152:$AK$864,CONCATENATE($C58,$FP$3),Master_Data!$U$152:$U$864)</f>
        <v>0</v>
      </c>
      <c r="FJ58" s="310">
        <f>SUMIF(Master_Data!$AK$4:$AK$145,CONCATENATE($C58,$FP$3),Master_Data!$S$4:$S$145)+SUMIF(Master_Data!$AK$152:$AK$864,CONCATENATE($C58,$FP$3),Master_Data!$S$152:$S$864)</f>
        <v>0</v>
      </c>
      <c r="FK58" s="39">
        <f>SUMIF(Master_Data!$AK$152:$AK$915,CONCATENATE($C58,FP$3),Master_Data!$T$152:$T$915)</f>
        <v>0</v>
      </c>
      <c r="FL58" s="230">
        <f t="shared" si="90"/>
        <v>0</v>
      </c>
      <c r="FM58" s="230" t="e">
        <f t="shared" si="12"/>
        <v>#VALUE!</v>
      </c>
      <c r="FN58" s="23"/>
      <c r="FO58" s="358" t="str">
        <f t="shared" si="80"/>
        <v>PUNCAK KEEMASAN LUMBUNG DUNIA, PTOKT</v>
      </c>
      <c r="FP58" s="24"/>
      <c r="FQ58" s="415"/>
      <c r="FR58" s="109">
        <f t="shared" ref="FR58:FR65" si="97">FL58</f>
        <v>0</v>
      </c>
      <c r="FS58" s="109" t="e">
        <f t="shared" ref="FS58:FS65" si="98">FM58</f>
        <v>#VALUE!</v>
      </c>
      <c r="FT58" s="420"/>
      <c r="FU58" s="109">
        <f>SUMIF(Bill_Out!$Q$610:$Q$675,CONCATENATE($C58,$GG$3),Bill_Out!$N$610:$N$675)</f>
        <v>0</v>
      </c>
      <c r="FV58" s="109">
        <f>SUMIF(Bill_Out!$Q$610:$Q$675,CONCATENATE($C58,$GG$3),Bill_Out!$O$610:$O$675)</f>
        <v>0</v>
      </c>
      <c r="FW58" s="157"/>
      <c r="FX58" s="512">
        <f>SUMIF(Master_Data!$AK$4:$AK$145,CONCATENATE($C58,$GG$3),Master_Data!$R$4:$R$145)+SUMIF(Master_Data!$AK$152:$AK$864,CONCATENATE($C58,$GG$3),Master_Data!$R$152:$R$864)</f>
        <v>0</v>
      </c>
      <c r="FY58" s="512">
        <f>SUMIF(Master_Data!$AK$4:$AK$145,CONCATENATE($C58,$GG$3),Master_Data!$Q$4:$Q$145)+SUMIF(Master_Data!$AK$152:$AK$864,CONCATENATE($C58,$GG$3),Master_Data!$Q$152:$Q$864)</f>
        <v>0</v>
      </c>
      <c r="FZ58" s="512">
        <f>SUMIF(Master_Data!$AK$4:$AK$145,CONCATENATE($C58,$GG$3),Master_Data!$U$4:$U$145)+SUMIF(Master_Data!$AK$152:$AK$864,CONCATENATE($C58,$GG$3),Master_Data!$U$152:$U$864)</f>
        <v>0</v>
      </c>
      <c r="GA58" s="310">
        <f>SUMIF(Master_Data!$AK$4:$AK$145,CONCATENATE($C58,$GG$3),Master_Data!$S$4:$S$145)+SUMIF(Master_Data!$AK$152:$AK$864,CONCATENATE($C58,$GG$3),Master_Data!$S$152:$S$864)</f>
        <v>0</v>
      </c>
      <c r="GB58" s="39">
        <f>SUMIF(Master_Data!$AK$152:$AK$915,CONCATENATE($C58,GG$3),Master_Data!$T$152:$T$915)</f>
        <v>0</v>
      </c>
      <c r="GC58" s="230">
        <f t="shared" ref="GC58:GC65" si="99">FR58+FU58-FX58+FY58</f>
        <v>0</v>
      </c>
      <c r="GD58" s="230" t="e">
        <f t="shared" si="14"/>
        <v>#VALUE!</v>
      </c>
      <c r="GE58" s="23"/>
      <c r="GF58" s="358" t="str">
        <f t="shared" si="81"/>
        <v>PUNCAK KEEMASAN LUMBUNG DUNIA, PTNOV</v>
      </c>
      <c r="GG58" s="24"/>
      <c r="GH58" s="415" t="s">
        <v>511</v>
      </c>
      <c r="GI58" s="109">
        <f t="shared" si="70"/>
        <v>0</v>
      </c>
      <c r="GJ58" s="109" t="e">
        <f t="shared" si="71"/>
        <v>#VALUE!</v>
      </c>
      <c r="GK58" s="423"/>
      <c r="GL58" s="109">
        <f>SUMIF(Bill_Out!$Q$679:$Q$756,CONCATENATE($C58,$GX$3),Bill_Out!$N$679:$N$756)</f>
        <v>0</v>
      </c>
      <c r="GM58" s="109">
        <f>SUMIF(Bill_Out!$Q$679:$Q$756,CONCATENATE($C58,$GX$3),Bill_Out!$O$679:$O$756)</f>
        <v>0</v>
      </c>
      <c r="GN58" s="157"/>
      <c r="GO58" s="512">
        <f>SUMIF(Master_Data!$AK$4:$AK$145,CONCATENATE($C58,$GX$3),Master_Data!$R$4:$R$145)+SUMIF(Master_Data!$AK$152:$AK$864,CONCATENATE($C58,$GX$3),Master_Data!$R$152:$R$864)</f>
        <v>0</v>
      </c>
      <c r="GP58" s="512">
        <f>SUMIF(Master_Data!$AK$4:$AK$145,CONCATENATE($C58,$GX$3),Master_Data!$Q$4:$Q$145)+SUMIF(Master_Data!$AK$152:$AK$864,CONCATENATE($C58,$GX$3),Master_Data!$Q$152:$Q$864)</f>
        <v>0</v>
      </c>
      <c r="GQ58" s="512">
        <f>SUMIF(Master_Data!$AK$4:$AK$145,CONCATENATE($C58,$GX$3),Master_Data!$U$4:$U$145)+SUMIF(Master_Data!$AK$152:$AK$864,CONCATENATE($C58,$GX$3),Master_Data!$U$152:$U$864)</f>
        <v>0</v>
      </c>
      <c r="GR58" s="310">
        <f>SUMIF(Master_Data!$AK$4:$AK$145,CONCATENATE($C58,$GX$3),Master_Data!$S$4:$S$145)+SUMIF(Master_Data!$AK$152:$AK$864,CONCATENATE($C58,$GX$3),Master_Data!$S$152:$S$864)</f>
        <v>0</v>
      </c>
      <c r="GS58" s="39">
        <f>SUMIF(Master_Data!$AK$152:$AK$864,CONCATENATE($C58,GX$3),Master_Data!$T$152:$T$864)</f>
        <v>0</v>
      </c>
      <c r="GT58" s="534">
        <f t="shared" si="44"/>
        <v>0</v>
      </c>
      <c r="GU58" s="310" t="e">
        <f t="shared" si="16"/>
        <v>#VALUE!</v>
      </c>
      <c r="GV58" s="23"/>
      <c r="GW58" s="358" t="str">
        <f t="shared" si="87"/>
        <v>PUNCAK KEEMASAN LUMBUNG DUNIA, PTDES</v>
      </c>
      <c r="GX58" s="24"/>
    </row>
    <row r="59" spans="1:206" s="19" customFormat="1">
      <c r="A59" s="328" t="s">
        <v>425</v>
      </c>
      <c r="B59" s="236" t="str">
        <f t="shared" si="18"/>
        <v>REALITA JAYA MANDIRI, PTJAN</v>
      </c>
      <c r="C59" s="8" t="s">
        <v>213</v>
      </c>
      <c r="D59" s="23" t="s">
        <v>320</v>
      </c>
      <c r="E59" s="109">
        <f>SUMIF(Master_Data!$D49:$D$145,CONCATENATE(C59),Master_Data!M49:M917)</f>
        <v>0</v>
      </c>
      <c r="F59" s="109">
        <f>SUMIF(Master_Data!$D56:$D$145,CONCATENATE(C59),Master_Data!N56:N245)</f>
        <v>101750000</v>
      </c>
      <c r="G59" s="31"/>
      <c r="H59" s="109">
        <f>SUMIF(Bill_Out!$Q$3:$Q$65,CONCATENATE($C59,$S$3),Bill_Out!$N$3:$N$65)</f>
        <v>0</v>
      </c>
      <c r="I59" s="88">
        <f>SUMIF(Bill_Out!$Q$3:$Q$65,CONCATENATE($C59,$S$3),Bill_Out!$O$3:$O$65)</f>
        <v>0</v>
      </c>
      <c r="J59" s="157"/>
      <c r="K59" s="29"/>
      <c r="L59" s="44"/>
      <c r="M59" s="230">
        <f>SUMIF(Master_Data!$AK55:$AK$145,CONCATENATE(C59,$S$3),Master_Data!U55:U364)+SUMIF(Master_Data!$AK434:$AK$864,CONCATENATE(C59,$S$3),Master_Data!U434:U1153)</f>
        <v>0</v>
      </c>
      <c r="N59" s="310">
        <f>SUMIF(Master_Data!$AK$4:$AK$145,CONCATENATE(C59,$S$3),Master_Data!$S$4:$S$145)+SUMIF(Master_Data!$AK$150:$AK$864,CONCATENATE(C59,$S$3),Master_Data!$S$150:$S$864)</f>
        <v>0</v>
      </c>
      <c r="O59" s="310">
        <f>SUMIF(Master_Data!$AK$4:$AK$145,CONCATENATE(C59,$S$3),Master_Data!$T$4:$T$145)+SUMIF(Master_Data!$AK$150:$AK$864,CONCATENATE(C59,$S$3),Master_Data!$T$150:$T$864)</f>
        <v>0</v>
      </c>
      <c r="P59" s="230">
        <f t="shared" si="19"/>
        <v>0</v>
      </c>
      <c r="Q59" s="230">
        <f t="shared" si="20"/>
        <v>101750000</v>
      </c>
      <c r="R59" s="23"/>
      <c r="S59" s="24"/>
      <c r="T59" s="31"/>
      <c r="U59" s="109">
        <f t="shared" si="94"/>
        <v>0</v>
      </c>
      <c r="V59" s="109">
        <f t="shared" si="95"/>
        <v>101750000</v>
      </c>
      <c r="W59" s="31"/>
      <c r="X59" s="109">
        <f>SUMIF(Bill_Out!$Q$67:$Q$132,CONCATENATE($C59,$AJ$3),Bill_Out!$N$67:$N$132)</f>
        <v>0</v>
      </c>
      <c r="Y59" s="109">
        <f>SUMIF(Bill_Out!$Q$67:$Q$132,CONCATENATE($C59,$AJ$3),Bill_Out!$O$67:$O$132)</f>
        <v>0</v>
      </c>
      <c r="Z59" s="157"/>
      <c r="AA59" s="230">
        <f>SUMIF(Master_Data!$AK$4:$AK$145,CONCATENATE(C59,$AJ$3),Master_Data!$R$4:$R$145)+SUMIF(Master_Data!$AK$152:$AK$850,CONCATENATE(C59,$AJ$3),Master_Data!$R$152:$R$850)</f>
        <v>0</v>
      </c>
      <c r="AB59" s="230">
        <f>SUMIF(Master_Data!$AK$4:$AK$145,CONCATENATE(C59,$AJ$3),Master_Data!$Q$4:$Q$145)+SUMIF(Master_Data!$AK$152:$AK$850,CONCATENATE(C59,$AJ$3),Master_Data!$Q$152:$Q$850)</f>
        <v>0</v>
      </c>
      <c r="AC59" s="230">
        <f>SUMIF(Master_Data!$AK$4:$AK$145,CONCATENATE(C59,$AJ$3),Master_Data!$U$4:$U$145)+SUMIF(Master_Data!$AK$152:$AK$850,CONCATENATE(C59,$AJ$3),Master_Data!$U$152:$U$850)</f>
        <v>0</v>
      </c>
      <c r="AD59" s="310">
        <f ca="1">SUMIF(Master_Data!$AK$4:$AK$145,CONCATENATE(C59,$AJ$3),Master_Data!$S$4:$S$145)+SUMIF(Master_Data!$AK$152:$AK$864,CONCATENATE(C59,$AJ$3),Master_Data!$S$152:$S$850)</f>
        <v>0</v>
      </c>
      <c r="AE59" s="310">
        <f>SUMIF(Master_Data!$AK$4:$AK$145,CONCATENATE(C59,$AJ$3),Master_Data!$T$4:$T$145)+SUMIF(Master_Data!$AK$152:$AK$864,CONCATENATE(C59,$AJ$3),Master_Data!$T$152:$T$864)</f>
        <v>0</v>
      </c>
      <c r="AF59" s="230">
        <f t="shared" si="63"/>
        <v>0</v>
      </c>
      <c r="AG59" s="230">
        <f t="shared" ca="1" si="64"/>
        <v>101750000</v>
      </c>
      <c r="AH59" s="23"/>
      <c r="AI59" s="235" t="str">
        <f t="shared" si="86"/>
        <v>REALITA JAYA MANDIRI, PTFEB</v>
      </c>
      <c r="AJ59" s="24"/>
      <c r="AK59" s="31"/>
      <c r="AL59" s="109">
        <f t="shared" si="65"/>
        <v>0</v>
      </c>
      <c r="AM59" s="109">
        <f t="shared" ca="1" si="66"/>
        <v>101750000</v>
      </c>
      <c r="AN59" s="31"/>
      <c r="AO59" s="109">
        <f>SUMIF(Bill_Out!$Q$134:$Q$188,CONCATENATE($C59,$BA$3),Bill_Out!$N$134:$N$188)</f>
        <v>0</v>
      </c>
      <c r="AP59" s="109">
        <f>SUMIF(Bill_Out!$Q$134:$Q$188,CONCATENATE($C59,$BA$3),Bill_Out!$O$134:$O$188)</f>
        <v>0</v>
      </c>
      <c r="AQ59" s="157"/>
      <c r="AR59" s="230">
        <f>SUMIF(Master_Data!$AK$4:$AK$145,CONCATENATE(C59,$BA$3),Master_Data!$R$4:$R$145)+SUMIF(Master_Data!$AK$152:$AK$864,CONCATENATE(C59,$BA$3),Master_Data!$R$152:$R$864)</f>
        <v>0</v>
      </c>
      <c r="AS59" s="230">
        <f>SUMIF(Master_Data!$AK$4:$AK$145,CONCATENATE(C59,$BA$3),Master_Data!$Q$4:$Q$145)+SUMIF(Master_Data!$AK$152:$AK$864,CONCATENATE(C59,$BA$3),Master_Data!$Q$152:$Q$864)</f>
        <v>0</v>
      </c>
      <c r="AT59" s="230">
        <f>SUMIF(Master_Data!$AK$4:$AK$145,CONCATENATE(C59,$BA$3),Master_Data!$U$4:$U$145)+SUMIF(Master_Data!$AK$152:$AK$864,CONCATENATE(C59,$BA$3),Master_Data!$U$152:$U$864)</f>
        <v>0</v>
      </c>
      <c r="AU59" s="230">
        <f ca="1">SUMIF(Master_Data!$AK$4:$AK$145,CONCATENATE(C59,$BA$3),Master_Data!$S$4:$S$145)+SUMIF(Master_Data!$AK$152:$AK$864,CONCATENATE(C59,$BA$3),Master_Data!$S$152:$S$850)</f>
        <v>0</v>
      </c>
      <c r="AV59" s="39">
        <f>SUMIF(Master_Data!$AK$152:$AK$864,CONCATENATE($C59,BA$3),Master_Data!$T$152:$T$864)</f>
        <v>0</v>
      </c>
      <c r="AW59" s="230">
        <f t="shared" si="57"/>
        <v>0</v>
      </c>
      <c r="AX59" s="230">
        <f t="shared" ca="1" si="58"/>
        <v>101750000</v>
      </c>
      <c r="AY59" s="23"/>
      <c r="AZ59" s="235" t="str">
        <f t="shared" si="21"/>
        <v>REALITA JAYA MANDIRI, PTMAR</v>
      </c>
      <c r="BA59" s="24"/>
      <c r="BB59" s="31"/>
      <c r="BC59" s="109">
        <f t="shared" si="22"/>
        <v>0</v>
      </c>
      <c r="BD59" s="109">
        <f t="shared" ca="1" si="23"/>
        <v>101750000</v>
      </c>
      <c r="BE59" s="31"/>
      <c r="BF59" s="109">
        <f>SUMIF(Bill_Out!$Q$192:$Q$258,CONCATENATE($C59,$BR$3),Bill_Out!$N$192:$N$258)</f>
        <v>0</v>
      </c>
      <c r="BG59" s="109">
        <f>SUMIF(Bill_Out!$Q$192:$Q$258,CONCATENATE($C59,$BR$3),Bill_Out!$O$192:$O$258)</f>
        <v>0</v>
      </c>
      <c r="BH59" s="157"/>
      <c r="BI59" s="230">
        <f>SUMIF(Master_Data!$AK$4:$AK$145,CONCATENATE(C59,$BR$3),Master_Data!$R$4:$R$145)+SUMIF(Master_Data!$AK$152:$AK$864,CONCATENATE(C59,$BR$3),Master_Data!$R$152:$R$864)</f>
        <v>0</v>
      </c>
      <c r="BJ59" s="230">
        <f>SUMIF(Master_Data!$AK$4:$AK$145,CONCATENATE(C59,$BR$3),Master_Data!$Q$4:$Q$145)+SUMIF(Master_Data!$AK$152:$AK$864,CONCATENATE(C59,$BR$3),Master_Data!$Q$152:$Q$864)</f>
        <v>0</v>
      </c>
      <c r="BK59" s="230">
        <f>SUMIF(Master_Data!$AK$4:$AK$145,CONCATENATE(C59,$BR$3),Master_Data!$U$4:$U$145)+SUMIF(Master_Data!$AK$152:$AK$864,CONCATENATE(C59,$BR$3),Master_Data!$U$152:$U$864)</f>
        <v>0</v>
      </c>
      <c r="BL59" s="230">
        <f>SUMIF(Master_Data!$AK$4:$AK$145,CONCATENATE(C59,$BR$3),Master_Data!$S$4:$S$145)+SUMIF(Master_Data!$AK$152:$AK$864,CONCATENATE(C59,$BR$3),Master_Data!$S$152:$S$864)</f>
        <v>0</v>
      </c>
      <c r="BM59" s="39">
        <f>SUMIF(Master_Data!$AK$152:$AK$864,CONCATENATE($C59,BR$3),Master_Data!$T$152:$T$864)</f>
        <v>0</v>
      </c>
      <c r="BN59" s="230">
        <f t="shared" si="24"/>
        <v>0</v>
      </c>
      <c r="BO59" s="230">
        <f t="shared" ca="1" si="25"/>
        <v>101750000</v>
      </c>
      <c r="BP59" s="23"/>
      <c r="BQ59" s="909" t="str">
        <f t="shared" si="26"/>
        <v>REALITA JAYA MANDIRI, PTAPR</v>
      </c>
      <c r="BR59" s="24"/>
      <c r="BS59" s="31"/>
      <c r="BT59" s="109">
        <f t="shared" si="78"/>
        <v>0</v>
      </c>
      <c r="BU59" s="109">
        <f t="shared" ca="1" si="79"/>
        <v>101750000</v>
      </c>
      <c r="BV59" s="31"/>
      <c r="BW59" s="109">
        <f>SUMIF(Bill_Out!$Q$263:$Q$314,CONCATENATE($C59,$CI$3),Bill_Out!$N$263:$N$314)</f>
        <v>0</v>
      </c>
      <c r="BX59" s="109">
        <f>SUMIF(Bill_Out!$Q$263:$Q$314,CONCATENATE($C59,$CI$3),Bill_Out!$O$263:$O$314)</f>
        <v>0</v>
      </c>
      <c r="BY59" s="157"/>
      <c r="BZ59" s="310">
        <f>SUMIF(Master_Data!$AK$4:$AK$145,CONCATENATE(C59,$CI$3),Master_Data!$R$4:$R$145)+SUMIF(Master_Data!$AK$152:$AK$864,CONCATENATE(C59,$CI$3),Master_Data!$R$152:$R$864)</f>
        <v>0</v>
      </c>
      <c r="CA59" s="310">
        <f>SUMIF(Master_Data!$AK$4:$AK$145,CONCATENATE(C59,$CI$3),Master_Data!$Q$4:$Q$145)+SUMIF(Master_Data!$AK$152:$AK$864,CONCATENATE(C59,$CI$3),Master_Data!$Q$152:$Q$864)</f>
        <v>0</v>
      </c>
      <c r="CB59" s="310">
        <f>SUMIF(Master_Data!$AK$4:$AK$145,CONCATENATE(C59,$CI$3),Master_Data!$U$4:$U$145)+SUMIF(Master_Data!$AK$152:$AK$864,CONCATENATE(C59,$CI$3),Master_Data!$U$152:$U$864)</f>
        <v>0</v>
      </c>
      <c r="CC59" s="230">
        <f>SUMIF(Master_Data!$AK$4:$AK$145,CONCATENATE(C59,$CI$3),Master_Data!$S$4:$S$145)+SUMIF(Master_Data!$AK$152:$AK$864,CONCATENATE(C59,$CI$3),Master_Data!$S$152:$S$864)</f>
        <v>0</v>
      </c>
      <c r="CD59" s="39">
        <f>SUMIF(Master_Data!$AK$152:$AK$864,CONCATENATE($C59,CI$3),Master_Data!$T$152:$T$864)</f>
        <v>0</v>
      </c>
      <c r="CE59" s="310">
        <f t="shared" si="27"/>
        <v>0</v>
      </c>
      <c r="CF59" s="230">
        <f t="shared" ca="1" si="28"/>
        <v>101750000</v>
      </c>
      <c r="CG59" s="23"/>
      <c r="CH59" s="235" t="str">
        <f t="shared" si="29"/>
        <v>REALITA JAYA MANDIRI, PTMEI</v>
      </c>
      <c r="CI59" s="24"/>
      <c r="CJ59" s="31"/>
      <c r="CK59" s="109">
        <f t="shared" si="30"/>
        <v>0</v>
      </c>
      <c r="CL59" s="238">
        <f t="shared" ca="1" si="31"/>
        <v>101750000</v>
      </c>
      <c r="CM59" s="31"/>
      <c r="CN59" s="238">
        <f>SUMIF(Bill_Out!$Q$318:$Q$371,CONCATENATE($C59,$CZ$3),Bill_Out!$N$318:$N$371)</f>
        <v>0</v>
      </c>
      <c r="CO59" s="238">
        <f>SUMIF(Bill_Out!$Q$318:$Q$371,CONCATENATE($C59,$CZ$3),Bill_Out!$O$318:$O$371)</f>
        <v>0</v>
      </c>
      <c r="CP59" s="157"/>
      <c r="CQ59" s="230">
        <f>SUMIF(Master_Data!$AK$4:$AK$145,CONCATENATE($C59,$CZ$3),Master_Data!$R$4:$R$145)+SUMIF(Master_Data!$AK$152:$AK$864,CONCATENATE($C59,$CZ$3),Master_Data!$R$152:$R$864)</f>
        <v>0</v>
      </c>
      <c r="CR59" s="230">
        <f>SUMIF(Master_Data!$AK$4:$AK$145,CONCATENATE($C59,$CZ$3),Master_Data!$Q$4:$Q$145)+SUMIF(Master_Data!$AK$152:$AK$864,CONCATENATE($C59,$CZ$3),Master_Data!$Q$152:$Q$864)</f>
        <v>0</v>
      </c>
      <c r="CS59" s="230">
        <f>SUMIF(Master_Data!$AK$4:$AK$145,CONCATENATE($C59,$CZ$3),Master_Data!$U$4:$U$145)+SUMIF(Master_Data!$AK$152:$AK$864,CONCATENATE($C59,$CZ$3),Master_Data!$U$152:$U$864)</f>
        <v>0</v>
      </c>
      <c r="CT59" s="230">
        <f ca="1">SUMIF(Master_Data!$AK$4:$AK$145,CONCATENATE(C59,$CZ$3),Master_Data!$S$4:$S$145)+SUMIF(Master_Data!$AK$152:$AK$915,CONCATENATE(C59,$CZ$3),Master_Data!$S$152:$S$864)</f>
        <v>0</v>
      </c>
      <c r="CU59" s="1010">
        <f>SUMIF(Master_Data!$AK$4:$AK$145,CONCATENATE(C59,$CZ$3),Master_Data!$T$4:$T$145)+SUMIF(Master_Data!$AK$152:$AK$864,CONCATENATE(C59,$CZ$3),Master_Data!$T$152:$T$864)</f>
        <v>0</v>
      </c>
      <c r="CV59" s="230">
        <f t="shared" si="32"/>
        <v>0</v>
      </c>
      <c r="CW59" s="230">
        <f t="shared" ca="1" si="33"/>
        <v>101750000</v>
      </c>
      <c r="CX59" s="23"/>
      <c r="CY59" s="1007" t="str">
        <f t="shared" si="6"/>
        <v>REALITA JAYA MANDIRI, PTJUN</v>
      </c>
      <c r="CZ59" s="24"/>
      <c r="DA59" s="31"/>
      <c r="DB59" s="109">
        <f t="shared" si="34"/>
        <v>0</v>
      </c>
      <c r="DC59" s="109">
        <f t="shared" ca="1" si="35"/>
        <v>101750000</v>
      </c>
      <c r="DD59" s="31"/>
      <c r="DE59" s="109">
        <f>SUMIF(Bill_Out!$Q$375:$Q$422,CONCATENATE($C59,$DQ$3),Bill_Out!$N$375:$N$422)</f>
        <v>0</v>
      </c>
      <c r="DF59" s="109">
        <f>SUMIF(Bill_Out!$Q$375:$Q$422,CONCATENATE($C59,$DQ$3),Bill_Out!$O$375:$O$422)</f>
        <v>0</v>
      </c>
      <c r="DG59" s="157"/>
      <c r="DH59" s="310">
        <f>SUMIF(Master_Data!$AK$4:$AK$145,CONCATENATE($C59,$DQ$3),Master_Data!$R$4:$R$145)+SUMIF(Master_Data!$AK$152:$AK$864,CONCATENATE($C59,$DQ$3),Master_Data!$R$152:$R$864)</f>
        <v>0</v>
      </c>
      <c r="DI59" s="310">
        <f>SUMIF(Master_Data!$AK$4:$AK$145,CONCATENATE($C59,$DQ$3),Master_Data!$Q$4:$Q$145)+SUMIF(Master_Data!$AK$152:$AK$864,CONCATENATE($C59,$DQ$3),Master_Data!$Q$152:$Q$864)</f>
        <v>0</v>
      </c>
      <c r="DJ59" s="310">
        <f>SUMIF(Master_Data!$AK$4:$AK$145,CONCATENATE($C59,$DQ$3),Master_Data!$U$4:$U$145)+SUMIF(Master_Data!$AK$152:$AK$864,CONCATENATE($C59,$DQ$3),Master_Data!$U$152:$U$864)</f>
        <v>0</v>
      </c>
      <c r="DK59" s="310">
        <f>SUMIF(Master_Data!$AK$4:$AK$145,CONCATENATE($C59,$DQ$3),Master_Data!$S$4:$S$145)+SUMIF(Master_Data!$AK$152:$AK$864,CONCATENATE($C59,$DQ$3),Master_Data!$S$152:$S$864)</f>
        <v>0</v>
      </c>
      <c r="DL59" s="39">
        <f>SUMIF(Master_Data!$AK$152:$AK$915,CONCATENATE($C59,DQ$3),Master_Data!$T$152:$T$915)</f>
        <v>0</v>
      </c>
      <c r="DM59" s="230">
        <f t="shared" si="67"/>
        <v>0</v>
      </c>
      <c r="DN59" s="230">
        <f t="shared" ca="1" si="68"/>
        <v>101750000</v>
      </c>
      <c r="DO59" s="23"/>
      <c r="DP59" s="358" t="str">
        <f t="shared" si="9"/>
        <v>REALITA JAYA MANDIRI, PTJUL</v>
      </c>
      <c r="DQ59" s="24"/>
      <c r="DR59" s="392"/>
      <c r="DS59" s="109">
        <f t="shared" si="36"/>
        <v>0</v>
      </c>
      <c r="DT59" s="109">
        <f t="shared" ca="1" si="37"/>
        <v>101750000</v>
      </c>
      <c r="DU59" s="31"/>
      <c r="DV59" s="109">
        <f>SUMIF(Bill_Out!$Q$426:$Q$472,CONCATENATE($C59,$EH$3),Bill_Out!$N$426:$N$472)</f>
        <v>0</v>
      </c>
      <c r="DW59" s="109">
        <f>SUMIF(Bill_Out!$Q$426:$Q$472,CONCATENATE($C59,$EH$3),Bill_Out!$O$426:$O$472)</f>
        <v>0</v>
      </c>
      <c r="DX59" s="157"/>
      <c r="DY59" s="310">
        <f>SUMIF(Master_Data!$AK$4:$AK$145,CONCATENATE($C59,$EH$3),Master_Data!$R$4:$R$145)+SUMIF(Master_Data!$AK$152:$AK$864,CONCATENATE($C59,$EH$3),Master_Data!$R$152:$R$864)</f>
        <v>0</v>
      </c>
      <c r="DZ59" s="310">
        <f>SUMIF(Master_Data!$AK$4:$AK$145,CONCATENATE($C59,$EH$3),Master_Data!$Q$4:$Q$145)+SUMIF(Master_Data!$AK$152:$AK$864,CONCATENATE($C59,$EH$3),Master_Data!$Q$152:$Q$864)</f>
        <v>0</v>
      </c>
      <c r="EA59" s="310">
        <f>SUMIF(Master_Data!$AK$4:$AK$145,CONCATENATE($C59,$EH$3),Master_Data!$U$4:$U$145)+SUMIF(Master_Data!$AK$152:$AK$864,CONCATENATE($C59,$EH$3),Master_Data!$U$152:$U$864)</f>
        <v>0</v>
      </c>
      <c r="EB59" s="310">
        <f>SUMIF(Master_Data!$AK$4:$AK$145,CONCATENATE($C59,$EH$3),Master_Data!$S$4:$S$145)+SUMIF(Master_Data!$AK$152:$AK$864,CONCATENATE($C59,$EH$3),Master_Data!$S$152:$S$864)</f>
        <v>0</v>
      </c>
      <c r="EC59" s="39">
        <f>SUMIF(Master_Data!$AK$152:$AK$915,CONCATENATE($C59,EH$3),Master_Data!$T$152:$T$915)</f>
        <v>0</v>
      </c>
      <c r="ED59" s="310">
        <f t="shared" si="38"/>
        <v>0</v>
      </c>
      <c r="EE59" s="230">
        <f t="shared" ca="1" si="39"/>
        <v>101750000</v>
      </c>
      <c r="EF59" s="23"/>
      <c r="EG59" s="358" t="str">
        <f t="shared" si="10"/>
        <v>REALITA JAYA MANDIRI, PTAGS</v>
      </c>
      <c r="EH59" s="24"/>
      <c r="EI59" s="392"/>
      <c r="EJ59" s="109">
        <f t="shared" si="47"/>
        <v>0</v>
      </c>
      <c r="EK59" s="109">
        <f t="shared" ca="1" si="48"/>
        <v>101750000</v>
      </c>
      <c r="EL59" s="84"/>
      <c r="EM59" s="109">
        <f>SUMIF(Bill_Out!$Q$476:$Q$530,CONCATENATE($C59,$EY$3),Bill_Out!$N$476:$N$530)</f>
        <v>0</v>
      </c>
      <c r="EN59" s="109">
        <f>SUMIF(Bill_Out!$Q$476:$Q$530,CONCATENATE($C59,$EY$3),Bill_Out!$O$476:$O$530)</f>
        <v>0</v>
      </c>
      <c r="EO59" s="309"/>
      <c r="EP59" s="310">
        <f>SUMIF(Master_Data!$AK$4:$AK$145,CONCATENATE($C59,$EY$3),Master_Data!$R$4:$R$145)+SUMIF(Master_Data!$AK$152:$AK$864,CONCATENATE($C59,$EY$3),Master_Data!$R$152:$R$864)</f>
        <v>0</v>
      </c>
      <c r="EQ59" s="310">
        <f>SUMIF(Master_Data!$AK$4:$AK$145,CONCATENATE($C59,$EY$3),Master_Data!$Q$4:$Q$145)+SUMIF(Master_Data!$AK$152:$AK$864,CONCATENATE($C59,$EY$3),Master_Data!$Q$152:$Q$864)</f>
        <v>0</v>
      </c>
      <c r="ER59" s="310">
        <f>SUMIF(Master_Data!$AK$4:$AK$145,CONCATENATE($C59,$EY$3),Master_Data!$U$4:$U$145)+SUMIF(Master_Data!$AK$152:$AK$864,CONCATENATE($C59,$EY$3),Master_Data!$U$152:$U$864)</f>
        <v>0</v>
      </c>
      <c r="ES59" s="310">
        <f>SUMIF(Master_Data!$AK$4:$AK$145,CONCATENATE($C59,$EY$3),Master_Data!$S$4:$S$145)+SUMIF(Master_Data!$AK$152:$AK$864,CONCATENATE($C59,$EY$3),Master_Data!$S$152:$S$864)</f>
        <v>0</v>
      </c>
      <c r="ET59" s="39">
        <f>SUMIF(Master_Data!$AK$152:$AK$915,CONCATENATE($C59,EY$3),Master_Data!$T$152:$T$915)</f>
        <v>0</v>
      </c>
      <c r="EU59" s="310">
        <f t="shared" si="49"/>
        <v>0</v>
      </c>
      <c r="EV59" s="230"/>
      <c r="EW59" s="84"/>
      <c r="EX59" s="358" t="str">
        <f t="shared" si="11"/>
        <v>REALITA JAYA MANDIRI, PTSEP</v>
      </c>
      <c r="EY59" s="24"/>
      <c r="EZ59" s="415"/>
      <c r="FA59" s="109">
        <f t="shared" si="88"/>
        <v>0</v>
      </c>
      <c r="FB59" s="109">
        <f t="shared" si="96"/>
        <v>0</v>
      </c>
      <c r="FC59" s="420"/>
      <c r="FD59" s="109">
        <f>SUMIF(Bill_Out!$Q$534:$Q$606,CONCATENATE($C59,$FP$3),Bill_Out!$N$534:$N$606)</f>
        <v>0</v>
      </c>
      <c r="FE59" s="109">
        <f>SUMIF(Bill_Out!$Q$534:$Q$606,CONCATENATE($C59,$FP$3),Bill_Out!$O$534:$O$606)</f>
        <v>0</v>
      </c>
      <c r="FF59" s="157"/>
      <c r="FG59" s="310">
        <f>SUMIF(Master_Data!$AK$4:$AK$145,CONCATENATE($C59,$FP$3),Master_Data!$R$4:$R$145)+SUMIF(Master_Data!$AK$152:$AK$864,CONCATENATE($C59,$FP$3),Master_Data!$R$152:$R$864)</f>
        <v>0</v>
      </c>
      <c r="FH59" s="310">
        <f>SUMIF(Master_Data!$AK$4:$AK$145,CONCATENATE($C59,$FP$3),Master_Data!$Q$4:$Q$145)+SUMIF(Master_Data!$AK$152:$AK$864,CONCATENATE($C59,$FP$3),Master_Data!$Q$152:$Q$864)</f>
        <v>0</v>
      </c>
      <c r="FI59" s="310">
        <f>SUMIF(Master_Data!$AK$4:$AK$145,CONCATENATE($C59,$FP$3),Master_Data!$U$4:$U$145)+SUMIF(Master_Data!$AK$152:$AK$864,CONCATENATE($C59,$FP$3),Master_Data!$U$152:$U$864)</f>
        <v>0</v>
      </c>
      <c r="FJ59" s="310">
        <f>SUMIF(Master_Data!$AK$4:$AK$145,CONCATENATE($C59,$FP$3),Master_Data!$S$4:$S$145)+SUMIF(Master_Data!$AK$152:$AK$864,CONCATENATE($C59,$FP$3),Master_Data!$S$152:$S$864)</f>
        <v>0</v>
      </c>
      <c r="FK59" s="39">
        <f>SUMIF(Master_Data!$AK$152:$AK$915,CONCATENATE($C59,FP$3),Master_Data!$T$152:$T$915)</f>
        <v>0</v>
      </c>
      <c r="FL59" s="230">
        <f t="shared" si="90"/>
        <v>0</v>
      </c>
      <c r="FM59" s="230">
        <f t="shared" si="12"/>
        <v>0</v>
      </c>
      <c r="FN59" s="23"/>
      <c r="FO59" s="358" t="str">
        <f t="shared" si="80"/>
        <v>REALITA JAYA MANDIRI, PTOKT</v>
      </c>
      <c r="FP59" s="24"/>
      <c r="FQ59" s="415"/>
      <c r="FR59" s="109">
        <f t="shared" si="97"/>
        <v>0</v>
      </c>
      <c r="FS59" s="109">
        <f t="shared" si="98"/>
        <v>0</v>
      </c>
      <c r="FT59" s="420"/>
      <c r="FU59" s="109">
        <f>SUMIF(Bill_Out!$Q$610:$Q$675,CONCATENATE($C59,$GG$3),Bill_Out!$N$610:$N$675)</f>
        <v>0</v>
      </c>
      <c r="FV59" s="109">
        <f>SUMIF(Bill_Out!$Q$610:$Q$675,CONCATENATE($C59,$GG$3),Bill_Out!$O$610:$O$675)</f>
        <v>0</v>
      </c>
      <c r="FW59" s="157"/>
      <c r="FX59" s="512">
        <f>SUMIF(Master_Data!$AK$4:$AK$145,CONCATENATE($C59,$GG$3),Master_Data!$R$4:$R$145)+SUMIF(Master_Data!$AK$152:$AK$864,CONCATENATE($C59,$GG$3),Master_Data!$R$152:$R$864)</f>
        <v>0</v>
      </c>
      <c r="FY59" s="512">
        <f>SUMIF(Master_Data!$AK$4:$AK$145,CONCATENATE($C59,$GG$3),Master_Data!$Q$4:$Q$145)+SUMIF(Master_Data!$AK$152:$AK$864,CONCATENATE($C59,$GG$3),Master_Data!$Q$152:$Q$864)</f>
        <v>0</v>
      </c>
      <c r="FZ59" s="512">
        <f>SUMIF(Master_Data!$AK$4:$AK$145,CONCATENATE($C59,$GG$3),Master_Data!$U$4:$U$145)+SUMIF(Master_Data!$AK$152:$AK$864,CONCATENATE($C59,$GG$3),Master_Data!$U$152:$U$864)</f>
        <v>0</v>
      </c>
      <c r="GA59" s="310">
        <f>SUMIF(Master_Data!$AK$4:$AK$145,CONCATENATE($C59,$GG$3),Master_Data!$S$4:$S$145)+SUMIF(Master_Data!$AK$152:$AK$864,CONCATENATE($C59,$GG$3),Master_Data!$S$152:$S$864)</f>
        <v>0</v>
      </c>
      <c r="GB59" s="39">
        <f>SUMIF(Master_Data!$AK$152:$AK$915,CONCATENATE($C59,GG$3),Master_Data!$T$152:$T$915)</f>
        <v>0</v>
      </c>
      <c r="GC59" s="230">
        <f t="shared" si="99"/>
        <v>0</v>
      </c>
      <c r="GD59" s="230">
        <f t="shared" si="14"/>
        <v>0</v>
      </c>
      <c r="GE59" s="23"/>
      <c r="GF59" s="358" t="str">
        <f t="shared" si="81"/>
        <v>REALITA JAYA MANDIRI, PTNOV</v>
      </c>
      <c r="GG59" s="24"/>
      <c r="GH59" s="415" t="s">
        <v>320</v>
      </c>
      <c r="GI59" s="109">
        <f t="shared" si="70"/>
        <v>0</v>
      </c>
      <c r="GJ59" s="109">
        <f t="shared" si="71"/>
        <v>0</v>
      </c>
      <c r="GK59" s="423"/>
      <c r="GL59" s="109">
        <f>SUMIF(Bill_Out!$Q$679:$Q$756,CONCATENATE($C59,$GX$3),Bill_Out!$N$679:$N$756)</f>
        <v>0</v>
      </c>
      <c r="GM59" s="109">
        <f>SUMIF(Bill_Out!$Q$679:$Q$756,CONCATENATE($C59,$GX$3),Bill_Out!$O$679:$O$756)</f>
        <v>0</v>
      </c>
      <c r="GN59" s="157"/>
      <c r="GO59" s="512">
        <f>SUMIF(Master_Data!$AK$4:$AK$145,CONCATENATE($C59,$GX$3),Master_Data!$R$4:$R$145)+SUMIF(Master_Data!$AK$152:$AK$864,CONCATENATE($C59,$GX$3),Master_Data!$R$152:$R$864)</f>
        <v>0</v>
      </c>
      <c r="GP59" s="512">
        <f>SUMIF(Master_Data!$AK$4:$AK$145,CONCATENATE($C59,$GX$3),Master_Data!$Q$4:$Q$145)+SUMIF(Master_Data!$AK$152:$AK$864,CONCATENATE($C59,$GX$3),Master_Data!$Q$152:$Q$864)</f>
        <v>0</v>
      </c>
      <c r="GQ59" s="512">
        <f>SUMIF(Master_Data!$AK$4:$AK$145,CONCATENATE($C59,$GX$3),Master_Data!$U$4:$U$145)+SUMIF(Master_Data!$AK$152:$AK$864,CONCATENATE($C59,$GX$3),Master_Data!$U$152:$U$864)</f>
        <v>0</v>
      </c>
      <c r="GR59" s="310">
        <f>SUMIF(Master_Data!$AK$4:$AK$145,CONCATENATE($C59,$GX$3),Master_Data!$S$4:$S$145)+SUMIF(Master_Data!$AK$152:$AK$864,CONCATENATE($C59,$GX$3),Master_Data!$S$152:$S$864)</f>
        <v>0</v>
      </c>
      <c r="GS59" s="39">
        <f>SUMIF(Master_Data!$AK$152:$AK$864,CONCATENATE($C59,GX$3),Master_Data!$T$152:$T$864)</f>
        <v>0</v>
      </c>
      <c r="GT59" s="534">
        <f t="shared" si="44"/>
        <v>0</v>
      </c>
      <c r="GU59" s="310">
        <f t="shared" si="16"/>
        <v>0</v>
      </c>
      <c r="GV59" s="23"/>
      <c r="GW59" s="358" t="str">
        <f t="shared" si="87"/>
        <v>REALITA JAYA MANDIRI, PTDES</v>
      </c>
      <c r="GX59" s="24"/>
    </row>
    <row r="60" spans="1:206" s="19" customFormat="1">
      <c r="A60" s="21" t="s">
        <v>429</v>
      </c>
      <c r="B60" s="236" t="str">
        <f t="shared" si="18"/>
        <v>RIUNG MITRA LESTARI, PTJAN</v>
      </c>
      <c r="C60" s="8" t="s">
        <v>445</v>
      </c>
      <c r="D60" s="23"/>
      <c r="E60" s="109">
        <f>SUMIF(Master_Data!$D50:$D$145,CONCATENATE(C60),Master_Data!M50:M918)</f>
        <v>0</v>
      </c>
      <c r="F60" s="109">
        <f>SUMIF(Master_Data!$D57:$D$145,CONCATENATE(C60),Master_Data!N57:N246)</f>
        <v>22000000</v>
      </c>
      <c r="G60" s="31"/>
      <c r="H60" s="109">
        <f>SUMIF(Bill_Out!$Q$3:$Q$65,CONCATENATE($C60,$S$3),Bill_Out!$N$3:$N$65)</f>
        <v>0</v>
      </c>
      <c r="I60" s="88" t="e">
        <f>SUMIF(Bill_Out!$Q$3:$Q$65,CONCATENATE($C60,$S$3),Bill_Out!$O$3:$O$65)</f>
        <v>#VALUE!</v>
      </c>
      <c r="J60" s="157"/>
      <c r="K60" s="29"/>
      <c r="L60" s="44"/>
      <c r="M60" s="230">
        <f>SUMIF(Master_Data!$AK56:$AK$145,CONCATENATE(C60,$S$3),Master_Data!U56:U365)+SUMIF(Master_Data!$AK435:$AK$864,CONCATENATE(C60,$S$3),Master_Data!U435:U1366)</f>
        <v>22000000</v>
      </c>
      <c r="N60" s="310">
        <f>SUMIF(Master_Data!$AK$4:$AK$145,CONCATENATE(C60,$S$3),Master_Data!$S$4:$S$145)+SUMIF(Master_Data!$AK$150:$AK$864,CONCATENATE(C60,$S$3),Master_Data!$S$150:$S$864)</f>
        <v>0</v>
      </c>
      <c r="O60" s="310">
        <f>SUMIF(Master_Data!$AK$4:$AK$145,CONCATENATE(C60,$S$3),Master_Data!$T$4:$T$145)+SUMIF(Master_Data!$AK$150:$AK$864,CONCATENATE(C60,$S$3),Master_Data!$T$150:$T$864)</f>
        <v>0</v>
      </c>
      <c r="P60" s="230">
        <f t="shared" si="19"/>
        <v>0</v>
      </c>
      <c r="Q60" s="230" t="e">
        <f t="shared" si="20"/>
        <v>#VALUE!</v>
      </c>
      <c r="R60" s="23"/>
      <c r="S60" s="24"/>
      <c r="T60" s="31"/>
      <c r="U60" s="109">
        <f t="shared" si="94"/>
        <v>0</v>
      </c>
      <c r="V60" s="109" t="e">
        <f t="shared" si="95"/>
        <v>#VALUE!</v>
      </c>
      <c r="W60" s="31"/>
      <c r="X60" s="109">
        <f>SUMIF(Bill_Out!$Q$67:$Q$132,CONCATENATE($C60,$AJ$3),Bill_Out!$N$67:$N$132)</f>
        <v>0</v>
      </c>
      <c r="Y60" s="109" t="e">
        <f>SUMIF(Bill_Out!$Q$67:$Q$132,CONCATENATE($C60,$AJ$3),Bill_Out!$O$67:$O$132)</f>
        <v>#VALUE!</v>
      </c>
      <c r="Z60" s="157"/>
      <c r="AA60" s="230">
        <f>SUMIF(Master_Data!$AK$4:$AK$145,CONCATENATE(C60,$AJ$3),Master_Data!$R$4:$R$145)+SUMIF(Master_Data!$AK$152:$AK$850,CONCATENATE(C60,$AJ$3),Master_Data!$R$152:$R$850)</f>
        <v>0</v>
      </c>
      <c r="AB60" s="230">
        <f>SUMIF(Master_Data!$AK$4:$AK$145,CONCATENATE(C60,$AJ$3),Master_Data!$Q$4:$Q$145)+SUMIF(Master_Data!$AK$152:$AK$850,CONCATENATE(C60,$AJ$3),Master_Data!$Q$152:$Q$850)</f>
        <v>0</v>
      </c>
      <c r="AC60" s="230">
        <f>SUMIF(Master_Data!$AK$4:$AK$145,CONCATENATE(C60,$AJ$3),Master_Data!$U$4:$U$145)+SUMIF(Master_Data!$AK$152:$AK$850,CONCATENATE(C60,$AJ$3),Master_Data!$U$152:$U$850)</f>
        <v>11000000</v>
      </c>
      <c r="AD60" s="310">
        <f ca="1">SUMIF(Master_Data!$AK$4:$AK$145,CONCATENATE(C60,$AJ$3),Master_Data!$S$4:$S$145)+SUMIF(Master_Data!$AK$152:$AK$864,CONCATENATE(C60,$AJ$3),Master_Data!$S$152:$S$850)</f>
        <v>0</v>
      </c>
      <c r="AE60" s="310">
        <f>SUMIF(Master_Data!$AK$4:$AK$145,CONCATENATE(C60,$AJ$3),Master_Data!$T$4:$T$145)+SUMIF(Master_Data!$AK$152:$AK$864,CONCATENATE(C60,$AJ$3),Master_Data!$T$152:$T$864)</f>
        <v>0</v>
      </c>
      <c r="AF60" s="230">
        <f t="shared" si="63"/>
        <v>0</v>
      </c>
      <c r="AG60" s="230" t="e">
        <f t="shared" ca="1" si="64"/>
        <v>#VALUE!</v>
      </c>
      <c r="AH60" s="23"/>
      <c r="AI60" s="235" t="str">
        <f t="shared" si="86"/>
        <v>RIUNG MITRA LESTARI, PTFEB</v>
      </c>
      <c r="AJ60" s="24"/>
      <c r="AK60" s="31"/>
      <c r="AL60" s="109">
        <f t="shared" si="65"/>
        <v>0</v>
      </c>
      <c r="AM60" s="109" t="e">
        <f t="shared" ca="1" si="66"/>
        <v>#VALUE!</v>
      </c>
      <c r="AN60" s="31"/>
      <c r="AO60" s="109">
        <f>SUMIF(Bill_Out!$Q$134:$Q$188,CONCATENATE($C60,$BA$3),Bill_Out!$N$134:$N$188)</f>
        <v>0</v>
      </c>
      <c r="AP60" s="109" t="e">
        <f>SUMIF(Bill_Out!$Q$134:$Q$188,CONCATENATE($C60,$BA$3),Bill_Out!$O$134:$O$188)</f>
        <v>#VALUE!</v>
      </c>
      <c r="AQ60" s="157"/>
      <c r="AR60" s="230">
        <f>SUMIF(Master_Data!$AK$4:$AK$145,CONCATENATE(C60,$BA$3),Master_Data!$R$4:$R$145)+SUMIF(Master_Data!$AK$152:$AK$864,CONCATENATE(C60,$BA$3),Master_Data!$R$152:$R$864)</f>
        <v>0</v>
      </c>
      <c r="AS60" s="230">
        <f>SUMIF(Master_Data!$AK$4:$AK$145,CONCATENATE(C60,$BA$3),Master_Data!$Q$4:$Q$145)+SUMIF(Master_Data!$AK$152:$AK$864,CONCATENATE(C60,$BA$3),Master_Data!$Q$152:$Q$864)</f>
        <v>0</v>
      </c>
      <c r="AT60" s="230">
        <f>SUMIF(Master_Data!$AK$4:$AK$145,CONCATENATE(C60,$BA$3),Master_Data!$U$4:$U$145)+SUMIF(Master_Data!$AK$152:$AK$864,CONCATENATE(C60,$BA$3),Master_Data!$U$152:$U$864)</f>
        <v>0</v>
      </c>
      <c r="AU60" s="230">
        <f ca="1">SUMIF(Master_Data!$AK$4:$AK$145,CONCATENATE(C60,$BA$3),Master_Data!$S$4:$S$145)+SUMIF(Master_Data!$AK$152:$AK$864,CONCATENATE(C60,$BA$3),Master_Data!$S$152:$S$850)</f>
        <v>0</v>
      </c>
      <c r="AV60" s="39">
        <f>SUMIF(Master_Data!$AK$152:$AK$864,CONCATENATE($C60,BA$3),Master_Data!$T$152:$T$864)</f>
        <v>0</v>
      </c>
      <c r="AW60" s="230">
        <f t="shared" si="57"/>
        <v>0</v>
      </c>
      <c r="AX60" s="230" t="e">
        <f t="shared" ca="1" si="58"/>
        <v>#VALUE!</v>
      </c>
      <c r="AY60" s="23"/>
      <c r="AZ60" s="235" t="str">
        <f t="shared" si="21"/>
        <v>RIUNG MITRA LESTARI, PTMAR</v>
      </c>
      <c r="BA60" s="24"/>
      <c r="BB60" s="31"/>
      <c r="BC60" s="109">
        <f t="shared" si="22"/>
        <v>0</v>
      </c>
      <c r="BD60" s="109" t="e">
        <f t="shared" ca="1" si="23"/>
        <v>#VALUE!</v>
      </c>
      <c r="BE60" s="31"/>
      <c r="BF60" s="109">
        <f>SUMIF(Bill_Out!$Q$192:$Q$258,CONCATENATE($C60,$BR$3),Bill_Out!$N$192:$N$258)</f>
        <v>0</v>
      </c>
      <c r="BG60" s="109" t="e">
        <f>SUMIF(Bill_Out!$Q$192:$Q$258,CONCATENATE($C60,$BR$3),Bill_Out!$O$192:$O$258)</f>
        <v>#VALUE!</v>
      </c>
      <c r="BH60" s="157"/>
      <c r="BI60" s="230">
        <f>SUMIF(Master_Data!$AK$4:$AK$145,CONCATENATE(C60,$BR$3),Master_Data!$R$4:$R$145)+SUMIF(Master_Data!$AK$152:$AK$864,CONCATENATE(C60,$BR$3),Master_Data!$R$152:$R$864)</f>
        <v>0</v>
      </c>
      <c r="BJ60" s="230">
        <f>SUMIF(Master_Data!$AK$4:$AK$145,CONCATENATE(C60,$BR$3),Master_Data!$Q$4:$Q$145)+SUMIF(Master_Data!$AK$152:$AK$864,CONCATENATE(C60,$BR$3),Master_Data!$Q$152:$Q$864)</f>
        <v>0</v>
      </c>
      <c r="BK60" s="230">
        <f>SUMIF(Master_Data!$AK$4:$AK$145,CONCATENATE(C60,$BR$3),Master_Data!$U$4:$U$145)+SUMIF(Master_Data!$AK$152:$AK$864,CONCATENATE(C60,$BR$3),Master_Data!$U$152:$U$864)</f>
        <v>22000000</v>
      </c>
      <c r="BL60" s="230">
        <f>SUMIF(Master_Data!$AK$4:$AK$145,CONCATENATE(C60,$BR$3),Master_Data!$S$4:$S$145)+SUMIF(Master_Data!$AK$152:$AK$864,CONCATENATE(C60,$BR$3),Master_Data!$S$152:$S$864)</f>
        <v>0</v>
      </c>
      <c r="BM60" s="39">
        <f>SUMIF(Master_Data!$AK$152:$AK$864,CONCATENATE($C60,BR$3),Master_Data!$T$152:$T$864)</f>
        <v>0</v>
      </c>
      <c r="BN60" s="230">
        <f t="shared" si="24"/>
        <v>0</v>
      </c>
      <c r="BO60" s="230" t="e">
        <f t="shared" ca="1" si="25"/>
        <v>#VALUE!</v>
      </c>
      <c r="BP60" s="23"/>
      <c r="BQ60" s="909" t="str">
        <f t="shared" si="26"/>
        <v>RIUNG MITRA LESTARI, PTAPR</v>
      </c>
      <c r="BR60" s="24"/>
      <c r="BS60" s="31"/>
      <c r="BT60" s="109">
        <f t="shared" si="78"/>
        <v>0</v>
      </c>
      <c r="BU60" s="109" t="e">
        <f t="shared" ca="1" si="79"/>
        <v>#VALUE!</v>
      </c>
      <c r="BV60" s="31"/>
      <c r="BW60" s="109">
        <f>SUMIF(Bill_Out!$Q$263:$Q$314,CONCATENATE($C60,$CI$3),Bill_Out!$N$263:$N$314)</f>
        <v>0</v>
      </c>
      <c r="BX60" s="109" t="e">
        <f>SUMIF(Bill_Out!$Q$263:$Q$314,CONCATENATE($C60,$CI$3),Bill_Out!$O$263:$O$314)</f>
        <v>#VALUE!</v>
      </c>
      <c r="BY60" s="157"/>
      <c r="BZ60" s="310">
        <f>SUMIF(Master_Data!$AK$4:$AK$145,CONCATENATE(C60,$CI$3),Master_Data!$R$4:$R$145)+SUMIF(Master_Data!$AK$152:$AK$864,CONCATENATE(C60,$CI$3),Master_Data!$R$152:$R$864)</f>
        <v>0</v>
      </c>
      <c r="CA60" s="310">
        <f>SUMIF(Master_Data!$AK$4:$AK$145,CONCATENATE(C60,$CI$3),Master_Data!$Q$4:$Q$145)+SUMIF(Master_Data!$AK$152:$AK$864,CONCATENATE(C60,$CI$3),Master_Data!$Q$152:$Q$864)</f>
        <v>0</v>
      </c>
      <c r="CB60" s="310">
        <f>SUMIF(Master_Data!$AK$4:$AK$145,CONCATENATE(C60,$CI$3),Master_Data!$U$4:$U$145)+SUMIF(Master_Data!$AK$152:$AK$864,CONCATENATE(C60,$CI$3),Master_Data!$U$152:$U$864)</f>
        <v>0</v>
      </c>
      <c r="CC60" s="230">
        <f>SUMIF(Master_Data!$AK$4:$AK$145,CONCATENATE(C60,$CI$3),Master_Data!$S$4:$S$145)+SUMIF(Master_Data!$AK$152:$AK$864,CONCATENATE(C60,$CI$3),Master_Data!$S$152:$S$864)</f>
        <v>0</v>
      </c>
      <c r="CD60" s="39">
        <f>SUMIF(Master_Data!$AK$152:$AK$864,CONCATENATE($C60,CI$3),Master_Data!$T$152:$T$864)</f>
        <v>0</v>
      </c>
      <c r="CE60" s="310">
        <f t="shared" si="27"/>
        <v>0</v>
      </c>
      <c r="CF60" s="230" t="e">
        <f t="shared" ca="1" si="28"/>
        <v>#VALUE!</v>
      </c>
      <c r="CG60" s="23"/>
      <c r="CH60" s="235" t="str">
        <f t="shared" si="29"/>
        <v>RIUNG MITRA LESTARI, PTMEI</v>
      </c>
      <c r="CI60" s="24"/>
      <c r="CJ60" s="31"/>
      <c r="CK60" s="109">
        <f t="shared" si="30"/>
        <v>0</v>
      </c>
      <c r="CL60" s="238" t="e">
        <f t="shared" ca="1" si="31"/>
        <v>#VALUE!</v>
      </c>
      <c r="CM60" s="31"/>
      <c r="CN60" s="238">
        <f>SUMIF(Bill_Out!$Q$318:$Q$371,CONCATENATE($C60,$CZ$3),Bill_Out!$N$318:$N$371)</f>
        <v>0</v>
      </c>
      <c r="CO60" s="238" t="e">
        <f>SUMIF(Bill_Out!$Q$318:$Q$371,CONCATENATE($C60,$CZ$3),Bill_Out!$O$318:$O$371)</f>
        <v>#VALUE!</v>
      </c>
      <c r="CP60" s="157"/>
      <c r="CQ60" s="230">
        <f>SUMIF(Master_Data!$AK$4:$AK$145,CONCATENATE($C60,$CZ$3),Master_Data!$R$4:$R$145)+SUMIF(Master_Data!$AK$152:$AK$864,CONCATENATE($C60,$CZ$3),Master_Data!$R$152:$R$864)</f>
        <v>0</v>
      </c>
      <c r="CR60" s="230">
        <f>SUMIF(Master_Data!$AK$4:$AK$145,CONCATENATE($C60,$CZ$3),Master_Data!$Q$4:$Q$145)+SUMIF(Master_Data!$AK$152:$AK$864,CONCATENATE($C60,$CZ$3),Master_Data!$Q$152:$Q$864)</f>
        <v>0</v>
      </c>
      <c r="CS60" s="230">
        <f>SUMIF(Master_Data!$AK$4:$AK$145,CONCATENATE($C60,$CZ$3),Master_Data!$U$4:$U$145)+SUMIF(Master_Data!$AK$152:$AK$864,CONCATENATE($C60,$CZ$3),Master_Data!$U$152:$U$864)</f>
        <v>22000000</v>
      </c>
      <c r="CT60" s="230">
        <f ca="1">SUMIF(Master_Data!$AK$4:$AK$145,CONCATENATE(C60,$CZ$3),Master_Data!$S$4:$S$145)+SUMIF(Master_Data!$AK$152:$AK$915,CONCATENATE(C60,$CZ$3),Master_Data!$S$152:$S$864)</f>
        <v>0</v>
      </c>
      <c r="CU60" s="1010">
        <f>SUMIF(Master_Data!$AK$4:$AK$145,CONCATENATE(C60,$CZ$3),Master_Data!$T$4:$T$145)+SUMIF(Master_Data!$AK$152:$AK$864,CONCATENATE(C60,$CZ$3),Master_Data!$T$152:$T$864)</f>
        <v>0</v>
      </c>
      <c r="CV60" s="230">
        <f t="shared" si="32"/>
        <v>0</v>
      </c>
      <c r="CW60" s="230" t="e">
        <f t="shared" ca="1" si="33"/>
        <v>#VALUE!</v>
      </c>
      <c r="CX60" s="23"/>
      <c r="CY60" s="1007" t="str">
        <f t="shared" si="6"/>
        <v>RIUNG MITRA LESTARI, PTJUN</v>
      </c>
      <c r="CZ60" s="24"/>
      <c r="DA60" s="31"/>
      <c r="DB60" s="109">
        <f t="shared" si="34"/>
        <v>0</v>
      </c>
      <c r="DC60" s="109" t="e">
        <f t="shared" ca="1" si="35"/>
        <v>#VALUE!</v>
      </c>
      <c r="DD60" s="31"/>
      <c r="DE60" s="109">
        <f>SUMIF(Bill_Out!$Q$375:$Q$422,CONCATENATE($C60,$DQ$3),Bill_Out!$N$375:$N$422)</f>
        <v>0</v>
      </c>
      <c r="DF60" s="109" t="e">
        <f>SUMIF(Bill_Out!$Q$375:$Q$422,CONCATENATE($C60,$DQ$3),Bill_Out!$O$375:$O$422)</f>
        <v>#VALUE!</v>
      </c>
      <c r="DG60" s="157"/>
      <c r="DH60" s="310">
        <f>SUMIF(Master_Data!$AK$4:$AK$145,CONCATENATE($C60,$DQ$3),Master_Data!$R$4:$R$145)+SUMIF(Master_Data!$AK$152:$AK$864,CONCATENATE($C60,$DQ$3),Master_Data!$R$152:$R$864)</f>
        <v>0</v>
      </c>
      <c r="DI60" s="310">
        <f>SUMIF(Master_Data!$AK$4:$AK$145,CONCATENATE($C60,$DQ$3),Master_Data!$Q$4:$Q$145)+SUMIF(Master_Data!$AK$152:$AK$864,CONCATENATE($C60,$DQ$3),Master_Data!$Q$152:$Q$864)</f>
        <v>0</v>
      </c>
      <c r="DJ60" s="310">
        <f>SUMIF(Master_Data!$AK$4:$AK$145,CONCATENATE($C60,$DQ$3),Master_Data!$U$4:$U$145)+SUMIF(Master_Data!$AK$152:$AK$864,CONCATENATE($C60,$DQ$3),Master_Data!$U$152:$U$864)</f>
        <v>17966667</v>
      </c>
      <c r="DK60" s="310">
        <f>SUMIF(Master_Data!$AK$4:$AK$145,CONCATENATE($C60,$DQ$3),Master_Data!$S$4:$S$145)+SUMIF(Master_Data!$AK$152:$AK$864,CONCATENATE($C60,$DQ$3),Master_Data!$S$152:$S$864)</f>
        <v>0</v>
      </c>
      <c r="DL60" s="39">
        <f>SUMIF(Master_Data!$AK$152:$AK$915,CONCATENATE($C60,DQ$3),Master_Data!$T$152:$T$915)</f>
        <v>0</v>
      </c>
      <c r="DM60" s="230">
        <f t="shared" si="67"/>
        <v>0</v>
      </c>
      <c r="DN60" s="230" t="e">
        <f t="shared" ca="1" si="68"/>
        <v>#VALUE!</v>
      </c>
      <c r="DO60" s="23"/>
      <c r="DP60" s="358" t="str">
        <f t="shared" si="9"/>
        <v>RIUNG MITRA LESTARI, PTJUL</v>
      </c>
      <c r="DQ60" s="24"/>
      <c r="DR60" s="392"/>
      <c r="DS60" s="109">
        <f t="shared" si="36"/>
        <v>0</v>
      </c>
      <c r="DT60" s="109" t="e">
        <f t="shared" ca="1" si="37"/>
        <v>#VALUE!</v>
      </c>
      <c r="DU60" s="31"/>
      <c r="DV60" s="109">
        <f>SUMIF(Bill_Out!$Q$426:$Q$472,CONCATENATE($C60,$EH$3),Bill_Out!$N$426:$N$472)</f>
        <v>0</v>
      </c>
      <c r="DW60" s="109">
        <f>SUMIF(Bill_Out!$Q$426:$Q$472,CONCATENATE($C60,$EH$3),Bill_Out!$O$426:$O$472)</f>
        <v>0</v>
      </c>
      <c r="DX60" s="157"/>
      <c r="DY60" s="310">
        <f>SUMIF(Master_Data!$AK$4:$AK$145,CONCATENATE($C60,$EH$3),Master_Data!$R$4:$R$145)+SUMIF(Master_Data!$AK$152:$AK$864,CONCATENATE($C60,$EH$3),Master_Data!$R$152:$R$864)</f>
        <v>0</v>
      </c>
      <c r="DZ60" s="310">
        <f>SUMIF(Master_Data!$AK$4:$AK$145,CONCATENATE($C60,$EH$3),Master_Data!$Q$4:$Q$145)+SUMIF(Master_Data!$AK$152:$AK$864,CONCATENATE($C60,$EH$3),Master_Data!$Q$152:$Q$864)</f>
        <v>0</v>
      </c>
      <c r="EA60" s="310">
        <f>SUMIF(Master_Data!$AK$4:$AK$145,CONCATENATE($C60,$EH$3),Master_Data!$U$4:$U$145)+SUMIF(Master_Data!$AK$152:$AK$864,CONCATENATE($C60,$EH$3),Master_Data!$U$152:$U$864)</f>
        <v>0</v>
      </c>
      <c r="EB60" s="310">
        <f>SUMIF(Master_Data!$AK$4:$AK$145,CONCATENATE($C60,$EH$3),Master_Data!$S$4:$S$145)+SUMIF(Master_Data!$AK$152:$AK$864,CONCATENATE($C60,$EH$3),Master_Data!$S$152:$S$864)</f>
        <v>0</v>
      </c>
      <c r="EC60" s="39">
        <f>SUMIF(Master_Data!$AK$152:$AK$915,CONCATENATE($C60,EH$3),Master_Data!$T$152:$T$915)</f>
        <v>0</v>
      </c>
      <c r="ED60" s="310">
        <f t="shared" si="38"/>
        <v>0</v>
      </c>
      <c r="EE60" s="230" t="e">
        <f t="shared" ca="1" si="39"/>
        <v>#VALUE!</v>
      </c>
      <c r="EF60" s="23"/>
      <c r="EG60" s="358" t="str">
        <f t="shared" si="10"/>
        <v>RIUNG MITRA LESTARI, PTAGS</v>
      </c>
      <c r="EH60" s="24"/>
      <c r="EI60" s="392"/>
      <c r="EJ60" s="109">
        <f t="shared" si="47"/>
        <v>0</v>
      </c>
      <c r="EK60" s="109" t="e">
        <f t="shared" ca="1" si="48"/>
        <v>#VALUE!</v>
      </c>
      <c r="EL60" s="84"/>
      <c r="EM60" s="109">
        <f>SUMIF(Bill_Out!$Q$476:$Q$530,CONCATENATE($C60,$EY$3),Bill_Out!$N$476:$N$530)</f>
        <v>0</v>
      </c>
      <c r="EN60" s="109">
        <f>SUMIF(Bill_Out!$Q$476:$Q$530,CONCATENATE($C60,$EY$3),Bill_Out!$O$476:$O$530)</f>
        <v>0</v>
      </c>
      <c r="EO60" s="309"/>
      <c r="EP60" s="310">
        <f>SUMIF(Master_Data!$AK$4:$AK$145,CONCATENATE($C60,$EY$3),Master_Data!$R$4:$R$145)+SUMIF(Master_Data!$AK$152:$AK$864,CONCATENATE($C60,$EY$3),Master_Data!$R$152:$R$864)</f>
        <v>0</v>
      </c>
      <c r="EQ60" s="310">
        <f>SUMIF(Master_Data!$AK$4:$AK$145,CONCATENATE($C60,$EY$3),Master_Data!$Q$4:$Q$145)+SUMIF(Master_Data!$AK$152:$AK$864,CONCATENATE($C60,$EY$3),Master_Data!$Q$152:$Q$864)</f>
        <v>0</v>
      </c>
      <c r="ER60" s="310">
        <f>SUMIF(Master_Data!$AK$4:$AK$145,CONCATENATE($C60,$EY$3),Master_Data!$U$4:$U$145)+SUMIF(Master_Data!$AK$152:$AK$864,CONCATENATE($C60,$EY$3),Master_Data!$U$152:$U$864)</f>
        <v>0</v>
      </c>
      <c r="ES60" s="310">
        <f>SUMIF(Master_Data!$AK$4:$AK$145,CONCATENATE($C60,$EY$3),Master_Data!$S$4:$S$145)+SUMIF(Master_Data!$AK$152:$AK$864,CONCATENATE($C60,$EY$3),Master_Data!$S$152:$S$864)</f>
        <v>0</v>
      </c>
      <c r="ET60" s="39">
        <f>SUMIF(Master_Data!$AK$152:$AK$915,CONCATENATE($C60,EY$3),Master_Data!$T$152:$T$915)</f>
        <v>0</v>
      </c>
      <c r="EU60" s="310">
        <f t="shared" si="49"/>
        <v>0</v>
      </c>
      <c r="EV60" s="230"/>
      <c r="EW60" s="84"/>
      <c r="EX60" s="358" t="str">
        <f t="shared" si="11"/>
        <v>RIUNG MITRA LESTARI, PTSEP</v>
      </c>
      <c r="EY60" s="24"/>
      <c r="EZ60" s="415"/>
      <c r="FA60" s="109">
        <f t="shared" si="88"/>
        <v>0</v>
      </c>
      <c r="FB60" s="109">
        <f t="shared" si="96"/>
        <v>0</v>
      </c>
      <c r="FC60" s="420"/>
      <c r="FD60" s="109">
        <f>SUMIF(Bill_Out!$Q$534:$Q$606,CONCATENATE($C60,$FP$3),Bill_Out!$N$534:$N$606)</f>
        <v>0</v>
      </c>
      <c r="FE60" s="109" t="e">
        <f>SUMIF(Bill_Out!$Q$534:$Q$606,CONCATENATE($C60,$FP$3),Bill_Out!$O$534:$O$606)</f>
        <v>#VALUE!</v>
      </c>
      <c r="FF60" s="157"/>
      <c r="FG60" s="310">
        <f>SUMIF(Master_Data!$AK$4:$AK$145,CONCATENATE($C60,$FP$3),Master_Data!$R$4:$R$145)+SUMIF(Master_Data!$AK$152:$AK$864,CONCATENATE($C60,$FP$3),Master_Data!$R$152:$R$864)</f>
        <v>0</v>
      </c>
      <c r="FH60" s="310">
        <f>SUMIF(Master_Data!$AK$4:$AK$145,CONCATENATE($C60,$FP$3),Master_Data!$Q$4:$Q$145)+SUMIF(Master_Data!$AK$152:$AK$864,CONCATENATE($C60,$FP$3),Master_Data!$Q$152:$Q$864)</f>
        <v>0</v>
      </c>
      <c r="FI60" s="310">
        <f>SUMIF(Master_Data!$AK$4:$AK$145,CONCATENATE($C60,$FP$3),Master_Data!$U$4:$U$145)+SUMIF(Master_Data!$AK$152:$AK$864,CONCATENATE($C60,$FP$3),Master_Data!$U$152:$U$864)</f>
        <v>0</v>
      </c>
      <c r="FJ60" s="310">
        <f>SUMIF(Master_Data!$AK$4:$AK$145,CONCATENATE($C60,$FP$3),Master_Data!$S$4:$S$145)+SUMIF(Master_Data!$AK$152:$AK$864,CONCATENATE($C60,$FP$3),Master_Data!$S$152:$S$864)</f>
        <v>0</v>
      </c>
      <c r="FK60" s="39">
        <f>SUMIF(Master_Data!$AK$152:$AK$915,CONCATENATE($C60,FP$3),Master_Data!$T$152:$T$915)</f>
        <v>0</v>
      </c>
      <c r="FL60" s="230">
        <f t="shared" si="90"/>
        <v>0</v>
      </c>
      <c r="FM60" s="230" t="e">
        <f t="shared" si="12"/>
        <v>#VALUE!</v>
      </c>
      <c r="FN60" s="23"/>
      <c r="FO60" s="358" t="str">
        <f t="shared" si="80"/>
        <v>RIUNG MITRA LESTARI, PTOKT</v>
      </c>
      <c r="FP60" s="24"/>
      <c r="FQ60" s="415"/>
      <c r="FR60" s="109">
        <f t="shared" si="97"/>
        <v>0</v>
      </c>
      <c r="FS60" s="109" t="e">
        <f t="shared" si="98"/>
        <v>#VALUE!</v>
      </c>
      <c r="FT60" s="420"/>
      <c r="FU60" s="109">
        <f>SUMIF(Bill_Out!$Q$610:$Q$675,CONCATENATE($C60,$GG$3),Bill_Out!$N$610:$N$675)</f>
        <v>0</v>
      </c>
      <c r="FV60" s="109" t="e">
        <f>SUMIF(Bill_Out!$Q$610:$Q$675,CONCATENATE($C60,$GG$3),Bill_Out!$O$610:$O$675)</f>
        <v>#VALUE!</v>
      </c>
      <c r="FW60" s="157"/>
      <c r="FX60" s="512">
        <f>SUMIF(Master_Data!$AK$4:$AK$145,CONCATENATE($C60,$GG$3),Master_Data!$R$4:$R$145)+SUMIF(Master_Data!$AK$152:$AK$864,CONCATENATE($C60,$GG$3),Master_Data!$R$152:$R$864)</f>
        <v>0</v>
      </c>
      <c r="FY60" s="512">
        <f>SUMIF(Master_Data!$AK$4:$AK$145,CONCATENATE($C60,$GG$3),Master_Data!$Q$4:$Q$145)+SUMIF(Master_Data!$AK$152:$AK$864,CONCATENATE($C60,$GG$3),Master_Data!$Q$152:$Q$864)</f>
        <v>0</v>
      </c>
      <c r="FZ60" s="512">
        <f>SUMIF(Master_Data!$AK$4:$AK$145,CONCATENATE($C60,$GG$3),Master_Data!$U$4:$U$145)+SUMIF(Master_Data!$AK$152:$AK$864,CONCATENATE($C60,$GG$3),Master_Data!$U$152:$U$864)</f>
        <v>11000000</v>
      </c>
      <c r="GA60" s="310">
        <f>SUMIF(Master_Data!$AK$4:$AK$145,CONCATENATE($C60,$GG$3),Master_Data!$S$4:$S$145)+SUMIF(Master_Data!$AK$152:$AK$864,CONCATENATE($C60,$GG$3),Master_Data!$S$152:$S$864)</f>
        <v>0</v>
      </c>
      <c r="GB60" s="39">
        <f>SUMIF(Master_Data!$AK$152:$AK$915,CONCATENATE($C60,GG$3),Master_Data!$T$152:$T$915)</f>
        <v>0</v>
      </c>
      <c r="GC60" s="230">
        <f t="shared" si="99"/>
        <v>0</v>
      </c>
      <c r="GD60" s="230" t="e">
        <f t="shared" si="14"/>
        <v>#VALUE!</v>
      </c>
      <c r="GE60" s="23"/>
      <c r="GF60" s="358" t="str">
        <f t="shared" si="81"/>
        <v>RIUNG MITRA LESTARI, PTNOV</v>
      </c>
      <c r="GG60" s="24"/>
      <c r="GH60" s="415" t="s">
        <v>298</v>
      </c>
      <c r="GI60" s="109">
        <f t="shared" si="70"/>
        <v>0</v>
      </c>
      <c r="GJ60" s="109" t="e">
        <f t="shared" si="71"/>
        <v>#VALUE!</v>
      </c>
      <c r="GK60" s="423"/>
      <c r="GL60" s="109">
        <f>SUMIF(Bill_Out!$Q$679:$Q$756,CONCATENATE($C60,$GX$3),Bill_Out!$N$679:$N$756)</f>
        <v>0</v>
      </c>
      <c r="GM60" s="109" t="e">
        <f>SUMIF(Bill_Out!$Q$679:$Q$756,CONCATENATE($C60,$GX$3),Bill_Out!$O$679:$O$756)</f>
        <v>#VALUE!</v>
      </c>
      <c r="GN60" s="157"/>
      <c r="GO60" s="512">
        <f>SUMIF(Master_Data!$AK$4:$AK$145,CONCATENATE($C60,$GX$3),Master_Data!$R$4:$R$145)+SUMIF(Master_Data!$AK$152:$AK$864,CONCATENATE($C60,$GX$3),Master_Data!$R$152:$R$864)</f>
        <v>0</v>
      </c>
      <c r="GP60" s="512">
        <f>SUMIF(Master_Data!$AK$4:$AK$145,CONCATENATE($C60,$GX$3),Master_Data!$Q$4:$Q$145)+SUMIF(Master_Data!$AK$152:$AK$864,CONCATENATE($C60,$GX$3),Master_Data!$Q$152:$Q$864)</f>
        <v>0</v>
      </c>
      <c r="GQ60" s="512">
        <f>SUMIF(Master_Data!$AK$4:$AK$145,CONCATENATE($C60,$GX$3),Master_Data!$U$4:$U$145)+SUMIF(Master_Data!$AK$152:$AK$864,CONCATENATE($C60,$GX$3),Master_Data!$U$152:$U$864)</f>
        <v>0</v>
      </c>
      <c r="GR60" s="310">
        <f>SUMIF(Master_Data!$AK$4:$AK$145,CONCATENATE($C60,$GX$3),Master_Data!$S$4:$S$145)+SUMIF(Master_Data!$AK$152:$AK$864,CONCATENATE($C60,$GX$3),Master_Data!$S$152:$S$864)</f>
        <v>0</v>
      </c>
      <c r="GS60" s="39">
        <f>SUMIF(Master_Data!$AK$152:$AK$864,CONCATENATE($C60,GX$3),Master_Data!$T$152:$T$864)</f>
        <v>0</v>
      </c>
      <c r="GT60" s="534">
        <f t="shared" si="44"/>
        <v>0</v>
      </c>
      <c r="GU60" s="310" t="e">
        <f t="shared" si="16"/>
        <v>#VALUE!</v>
      </c>
      <c r="GV60" s="23"/>
      <c r="GW60" s="358" t="str">
        <f t="shared" si="87"/>
        <v>RIUNG MITRA LESTARI, PTDES</v>
      </c>
      <c r="GX60" s="24"/>
    </row>
    <row r="61" spans="1:206" s="19" customFormat="1">
      <c r="A61" s="328" t="s">
        <v>454</v>
      </c>
      <c r="B61" s="236" t="str">
        <f t="shared" si="18"/>
        <v>ROKA LANE ASIA, PTJAN</v>
      </c>
      <c r="C61" s="8" t="s">
        <v>1623</v>
      </c>
      <c r="D61" s="23"/>
      <c r="E61" s="109">
        <f>SUMIF(Master_Data!$D52:$D$145,CONCATENATE(C61),Master_Data!M52:M919)</f>
        <v>0</v>
      </c>
      <c r="F61" s="109">
        <f>SUMIF(Master_Data!$D58:$D$145,CONCATENATE(C61),Master_Data!N58:N318)</f>
        <v>0</v>
      </c>
      <c r="G61" s="31"/>
      <c r="H61" s="109">
        <f>SUMIF(Bill_Out!$Q$3:$Q$65,CONCATENATE($C61,$S$3),Bill_Out!$N$3:$N$65)</f>
        <v>0</v>
      </c>
      <c r="I61" s="88" t="e">
        <f>SUMIF(Bill_Out!$Q$3:$Q$65,CONCATENATE($C61,$S$3),Bill_Out!$O$3:$O$65)</f>
        <v>#VALUE!</v>
      </c>
      <c r="J61" s="157"/>
      <c r="K61" s="29"/>
      <c r="L61" s="44"/>
      <c r="M61" s="230">
        <f>SUMIF(Master_Data!$AK57:$AK$145,CONCATENATE(C61,$S$3),Master_Data!U57:U366)+SUMIF(Master_Data!$AK448:$AK$864,CONCATENATE(C61,$S$3),Master_Data!U448:U1370)</f>
        <v>64800000</v>
      </c>
      <c r="N61" s="310">
        <f>SUMIF(Master_Data!$AK$4:$AK$145,CONCATENATE(C61,$S$3),Master_Data!$S$4:$S$145)+SUMIF(Master_Data!$AK$150:$AK$864,CONCATENATE(C61,$S$3),Master_Data!$S$150:$S$864)</f>
        <v>0</v>
      </c>
      <c r="O61" s="310">
        <f>SUMIF(Master_Data!$AK$4:$AK$145,CONCATENATE(C61,$S$3),Master_Data!$T$4:$T$145)+SUMIF(Master_Data!$AK$150:$AK$864,CONCATENATE(C61,$S$3),Master_Data!$T$150:$T$864)</f>
        <v>-1200000</v>
      </c>
      <c r="P61" s="230">
        <f t="shared" si="19"/>
        <v>0</v>
      </c>
      <c r="Q61" s="230" t="e">
        <f t="shared" si="20"/>
        <v>#VALUE!</v>
      </c>
      <c r="R61" s="23"/>
      <c r="S61" s="24"/>
      <c r="T61" s="31"/>
      <c r="U61" s="109">
        <f t="shared" si="94"/>
        <v>0</v>
      </c>
      <c r="V61" s="109" t="e">
        <f t="shared" si="95"/>
        <v>#VALUE!</v>
      </c>
      <c r="W61" s="31"/>
      <c r="X61" s="109">
        <f>SUMIF(Bill_Out!$Q$67:$Q$132,CONCATENATE($C61,$AJ$3),Bill_Out!$N$67:$N$132)</f>
        <v>0</v>
      </c>
      <c r="Y61" s="109" t="e">
        <f>SUMIF(Bill_Out!$Q$67:$Q$132,CONCATENATE($C61,$AJ$3),Bill_Out!$O$67:$O$132)</f>
        <v>#VALUE!</v>
      </c>
      <c r="Z61" s="157"/>
      <c r="AA61" s="230">
        <f>SUMIF(Master_Data!$AK$4:$AK$145,CONCATENATE(C61,$AJ$3),Master_Data!$R$4:$R$145)+SUMIF(Master_Data!$AK$152:$AK$850,CONCATENATE(C61,$AJ$3),Master_Data!$R$152:$R$850)</f>
        <v>0</v>
      </c>
      <c r="AB61" s="230">
        <f>SUMIF(Master_Data!$AK$4:$AK$145,CONCATENATE(C61,$AJ$3),Master_Data!$Q$4:$Q$145)+SUMIF(Master_Data!$AK$152:$AK$850,CONCATENATE(C61,$AJ$3),Master_Data!$Q$152:$Q$850)</f>
        <v>0</v>
      </c>
      <c r="AC61" s="230">
        <f>SUMIF(Master_Data!$AK$4:$AK$145,CONCATENATE(C61,$AJ$3),Master_Data!$U$4:$U$145)+SUMIF(Master_Data!$AK$152:$AK$850,CONCATENATE(C61,$AJ$3),Master_Data!$U$152:$U$850)</f>
        <v>0</v>
      </c>
      <c r="AD61" s="310">
        <f ca="1">SUMIF(Master_Data!$AK$4:$AK$145,CONCATENATE(C61,$AJ$3),Master_Data!$S$4:$S$145)+SUMIF(Master_Data!$AK$152:$AK$864,CONCATENATE(C61,$AJ$3),Master_Data!$S$152:$S$850)</f>
        <v>0</v>
      </c>
      <c r="AE61" s="310">
        <f>SUMIF(Master_Data!$AK$4:$AK$145,CONCATENATE(C61,$AJ$3),Master_Data!$T$4:$T$145)+SUMIF(Master_Data!$AK$152:$AK$864,CONCATENATE(C61,$AJ$3),Master_Data!$T$152:$T$864)</f>
        <v>0</v>
      </c>
      <c r="AF61" s="230">
        <f t="shared" si="63"/>
        <v>0</v>
      </c>
      <c r="AG61" s="230" t="e">
        <f t="shared" ca="1" si="64"/>
        <v>#VALUE!</v>
      </c>
      <c r="AH61" s="23"/>
      <c r="AI61" s="235" t="str">
        <f t="shared" si="86"/>
        <v>ROKA LANE ASIA, PTFEB</v>
      </c>
      <c r="AJ61" s="24"/>
      <c r="AK61" s="31"/>
      <c r="AL61" s="109">
        <f t="shared" si="65"/>
        <v>0</v>
      </c>
      <c r="AM61" s="109" t="e">
        <f t="shared" ca="1" si="66"/>
        <v>#VALUE!</v>
      </c>
      <c r="AN61" s="31"/>
      <c r="AO61" s="109">
        <f>SUMIF(Bill_Out!$Q$134:$Q$188,CONCATENATE($C61,$BA$3),Bill_Out!$N$134:$N$188)</f>
        <v>0</v>
      </c>
      <c r="AP61" s="109" t="e">
        <f>SUMIF(Bill_Out!$Q$134:$Q$188,CONCATENATE($C61,$BA$3),Bill_Out!$O$134:$O$188)</f>
        <v>#VALUE!</v>
      </c>
      <c r="AQ61" s="157"/>
      <c r="AR61" s="230">
        <f>SUMIF(Master_Data!$AK$4:$AK$145,CONCATENATE(C61,$BA$3),Master_Data!$R$4:$R$145)+SUMIF(Master_Data!$AK$152:$AK$864,CONCATENATE(C61,$BA$3),Master_Data!$R$152:$R$864)</f>
        <v>0</v>
      </c>
      <c r="AS61" s="230">
        <f>SUMIF(Master_Data!$AK$4:$AK$145,CONCATENATE(C61,$BA$3),Master_Data!$Q$4:$Q$145)+SUMIF(Master_Data!$AK$152:$AK$864,CONCATENATE(C61,$BA$3),Master_Data!$Q$152:$Q$864)</f>
        <v>0</v>
      </c>
      <c r="AT61" s="230">
        <f>SUMIF(Master_Data!$AK$4:$AK$145,CONCATENATE(C61,$BA$3),Master_Data!$U$4:$U$145)+SUMIF(Master_Data!$AK$152:$AK$864,CONCATENATE(C61,$BA$3),Master_Data!$U$152:$U$864)</f>
        <v>47520000</v>
      </c>
      <c r="AU61" s="230">
        <f ca="1">SUMIF(Master_Data!$AK$4:$AK$145,CONCATENATE(C61,$BA$3),Master_Data!$S$4:$S$145)+SUMIF(Master_Data!$AK$152:$AK$864,CONCATENATE(C61,$BA$3),Master_Data!$S$152:$S$850)</f>
        <v>0</v>
      </c>
      <c r="AV61" s="39">
        <f>SUMIF(Master_Data!$AK$152:$AK$864,CONCATENATE($C61,BA$3),Master_Data!$T$152:$T$864)</f>
        <v>-880000</v>
      </c>
      <c r="AW61" s="230">
        <f t="shared" si="57"/>
        <v>0</v>
      </c>
      <c r="AX61" s="230" t="e">
        <f t="shared" ca="1" si="58"/>
        <v>#VALUE!</v>
      </c>
      <c r="AY61" s="23"/>
      <c r="AZ61" s="235" t="str">
        <f t="shared" si="21"/>
        <v>ROKA LANE ASIA, PTMAR</v>
      </c>
      <c r="BA61" s="24"/>
      <c r="BB61" s="31"/>
      <c r="BC61" s="109">
        <f t="shared" si="22"/>
        <v>0</v>
      </c>
      <c r="BD61" s="109" t="e">
        <f t="shared" ca="1" si="23"/>
        <v>#VALUE!</v>
      </c>
      <c r="BE61" s="31"/>
      <c r="BF61" s="109">
        <f>SUMIF(Bill_Out!$Q$192:$Q$258,CONCATENATE($C61,$BR$3),Bill_Out!$N$192:$N$258)</f>
        <v>0</v>
      </c>
      <c r="BG61" s="109" t="e">
        <f>SUMIF(Bill_Out!$Q$192:$Q$258,CONCATENATE($C61,$BR$3),Bill_Out!$O$192:$O$258)</f>
        <v>#VALUE!</v>
      </c>
      <c r="BH61" s="157"/>
      <c r="BI61" s="230">
        <f>SUMIF(Master_Data!$AK$4:$AK$145,CONCATENATE(C61,$BR$3),Master_Data!$R$4:$R$145)+SUMIF(Master_Data!$AK$152:$AK$864,CONCATENATE(C61,$BR$3),Master_Data!$R$152:$R$864)</f>
        <v>0</v>
      </c>
      <c r="BJ61" s="230">
        <f>SUMIF(Master_Data!$AK$4:$AK$145,CONCATENATE(C61,$BR$3),Master_Data!$Q$4:$Q$145)+SUMIF(Master_Data!$AK$152:$AK$864,CONCATENATE(C61,$BR$3),Master_Data!$Q$152:$Q$864)</f>
        <v>0</v>
      </c>
      <c r="BK61" s="230">
        <f>SUMIF(Master_Data!$AK$4:$AK$145,CONCATENATE(C61,$BR$3),Master_Data!$U$4:$U$145)+SUMIF(Master_Data!$AK$152:$AK$864,CONCATENATE(C61,$BR$3),Master_Data!$U$152:$U$864)</f>
        <v>0</v>
      </c>
      <c r="BL61" s="230">
        <f>SUMIF(Master_Data!$AK$4:$AK$145,CONCATENATE(C61,$BR$3),Master_Data!$S$4:$S$145)+SUMIF(Master_Data!$AK$152:$AK$864,CONCATENATE(C61,$BR$3),Master_Data!$S$152:$S$864)</f>
        <v>0</v>
      </c>
      <c r="BM61" s="39">
        <f>SUMIF(Master_Data!$AK$152:$AK$864,CONCATENATE($C61,BR$3),Master_Data!$T$152:$T$864)</f>
        <v>0</v>
      </c>
      <c r="BN61" s="230">
        <f t="shared" si="24"/>
        <v>0</v>
      </c>
      <c r="BO61" s="230" t="e">
        <f t="shared" ca="1" si="25"/>
        <v>#VALUE!</v>
      </c>
      <c r="BP61" s="23"/>
      <c r="BQ61" s="909" t="str">
        <f t="shared" si="26"/>
        <v>ROKA LANE ASIA, PTAPR</v>
      </c>
      <c r="BR61" s="24"/>
      <c r="BS61" s="31"/>
      <c r="BT61" s="109">
        <f t="shared" si="78"/>
        <v>0</v>
      </c>
      <c r="BU61" s="109" t="e">
        <f t="shared" ca="1" si="79"/>
        <v>#VALUE!</v>
      </c>
      <c r="BV61" s="31"/>
      <c r="BW61" s="109">
        <f>SUMIF(Bill_Out!$Q$263:$Q$314,CONCATENATE($C61,$CI$3),Bill_Out!$N$263:$N$314)</f>
        <v>0</v>
      </c>
      <c r="BX61" s="109" t="e">
        <f>SUMIF(Bill_Out!$Q$263:$Q$314,CONCATENATE($C61,$CI$3),Bill_Out!$O$263:$O$314)</f>
        <v>#VALUE!</v>
      </c>
      <c r="BY61" s="157"/>
      <c r="BZ61" s="310">
        <f>SUMIF(Master_Data!$AK$4:$AK$145,CONCATENATE(C61,$CI$3),Master_Data!$R$4:$R$145)+SUMIF(Master_Data!$AK$152:$AK$864,CONCATENATE(C61,$CI$3),Master_Data!$R$152:$R$864)</f>
        <v>0</v>
      </c>
      <c r="CA61" s="310">
        <f>SUMIF(Master_Data!$AK$4:$AK$145,CONCATENATE(C61,$CI$3),Master_Data!$Q$4:$Q$145)+SUMIF(Master_Data!$AK$152:$AK$864,CONCATENATE(C61,$CI$3),Master_Data!$Q$152:$Q$864)</f>
        <v>0</v>
      </c>
      <c r="CB61" s="310">
        <f>SUMIF(Master_Data!$AK$4:$AK$145,CONCATENATE(C61,$CI$3),Master_Data!$U$4:$U$145)+SUMIF(Master_Data!$AK$152:$AK$864,CONCATENATE(C61,$CI$3),Master_Data!$U$152:$U$864)</f>
        <v>23760000</v>
      </c>
      <c r="CC61" s="230">
        <f>SUMIF(Master_Data!$AK$4:$AK$145,CONCATENATE(C61,$CI$3),Master_Data!$S$4:$S$145)+SUMIF(Master_Data!$AK$152:$AK$864,CONCATENATE(C61,$CI$3),Master_Data!$S$152:$S$864)</f>
        <v>0</v>
      </c>
      <c r="CD61" s="39">
        <f>SUMIF(Master_Data!$AK$152:$AK$864,CONCATENATE($C61,CI$3),Master_Data!$T$152:$T$864)</f>
        <v>-440000</v>
      </c>
      <c r="CE61" s="310">
        <f t="shared" si="27"/>
        <v>0</v>
      </c>
      <c r="CF61" s="230" t="e">
        <f t="shared" ca="1" si="28"/>
        <v>#VALUE!</v>
      </c>
      <c r="CG61" s="23"/>
      <c r="CH61" s="235" t="str">
        <f t="shared" si="29"/>
        <v>ROKA LANE ASIA, PTMEI</v>
      </c>
      <c r="CI61" s="24"/>
      <c r="CJ61" s="31"/>
      <c r="CK61" s="109">
        <f t="shared" si="30"/>
        <v>0</v>
      </c>
      <c r="CL61" s="238" t="e">
        <f t="shared" ca="1" si="31"/>
        <v>#VALUE!</v>
      </c>
      <c r="CM61" s="31"/>
      <c r="CN61" s="238">
        <f>SUMIF(Bill_Out!$Q$318:$Q$371,CONCATENATE($C61,$CZ$3),Bill_Out!$N$318:$N$371)</f>
        <v>0</v>
      </c>
      <c r="CO61" s="238" t="e">
        <f>SUMIF(Bill_Out!$Q$318:$Q$371,CONCATENATE($C61,$CZ$3),Bill_Out!$O$318:$O$371)</f>
        <v>#VALUE!</v>
      </c>
      <c r="CP61" s="157"/>
      <c r="CQ61" s="230">
        <f>SUMIF(Master_Data!$AK$4:$AK$145,CONCATENATE($C61,$CZ$3),Master_Data!$R$4:$R$145)+SUMIF(Master_Data!$AK$152:$AK$864,CONCATENATE($C61,$CZ$3),Master_Data!$R$152:$R$864)</f>
        <v>0</v>
      </c>
      <c r="CR61" s="230">
        <f>SUMIF(Master_Data!$AK$4:$AK$145,CONCATENATE($C61,$CZ$3),Master_Data!$Q$4:$Q$145)+SUMIF(Master_Data!$AK$152:$AK$864,CONCATENATE($C61,$CZ$3),Master_Data!$Q$152:$Q$864)</f>
        <v>0</v>
      </c>
      <c r="CS61" s="230">
        <f>SUMIF(Master_Data!$AK$4:$AK$145,CONCATENATE($C61,$CZ$3),Master_Data!$U$4:$U$145)+SUMIF(Master_Data!$AK$152:$AK$864,CONCATENATE($C61,$CZ$3),Master_Data!$U$152:$U$864)</f>
        <v>23760000</v>
      </c>
      <c r="CT61" s="230">
        <f ca="1">SUMIF(Master_Data!$AK$4:$AK$145,CONCATENATE(C61,$CZ$3),Master_Data!$S$4:$S$145)+SUMIF(Master_Data!$AK$152:$AK$915,CONCATENATE(C61,$CZ$3),Master_Data!$S$152:$S$864)</f>
        <v>0</v>
      </c>
      <c r="CU61" s="1010">
        <f>SUMIF(Master_Data!$AK$4:$AK$145,CONCATENATE(C61,$CZ$3),Master_Data!$T$4:$T$145)+SUMIF(Master_Data!$AK$152:$AK$864,CONCATENATE(C61,$CZ$3),Master_Data!$T$152:$T$864)</f>
        <v>-440000</v>
      </c>
      <c r="CV61" s="230">
        <f t="shared" si="32"/>
        <v>0</v>
      </c>
      <c r="CW61" s="230" t="e">
        <f t="shared" ca="1" si="33"/>
        <v>#VALUE!</v>
      </c>
      <c r="CX61" s="23"/>
      <c r="CY61" s="1007" t="str">
        <f t="shared" si="6"/>
        <v>ROKA LANE ASIA, PTJUN</v>
      </c>
      <c r="CZ61" s="24"/>
      <c r="DA61" s="31"/>
      <c r="DB61" s="109">
        <f t="shared" si="34"/>
        <v>0</v>
      </c>
      <c r="DC61" s="109" t="e">
        <f t="shared" ca="1" si="35"/>
        <v>#VALUE!</v>
      </c>
      <c r="DD61" s="31"/>
      <c r="DE61" s="109">
        <f>SUMIF(Bill_Out!$Q$375:$Q$422,CONCATENATE($C61,$DQ$3),Bill_Out!$N$375:$N$422)</f>
        <v>0</v>
      </c>
      <c r="DF61" s="109" t="e">
        <f>SUMIF(Bill_Out!$Q$375:$Q$422,CONCATENATE($C61,$DQ$3),Bill_Out!$O$375:$O$422)</f>
        <v>#VALUE!</v>
      </c>
      <c r="DG61" s="157"/>
      <c r="DH61" s="310">
        <f>SUMIF(Master_Data!$AK$4:$AK$145,CONCATENATE($C61,$DQ$3),Master_Data!$R$4:$R$145)+SUMIF(Master_Data!$AK$152:$AK$864,CONCATENATE($C61,$DQ$3),Master_Data!$R$152:$R$864)</f>
        <v>0</v>
      </c>
      <c r="DI61" s="310">
        <f>SUMIF(Master_Data!$AK$4:$AK$145,CONCATENATE($C61,$DQ$3),Master_Data!$Q$4:$Q$145)+SUMIF(Master_Data!$AK$152:$AK$864,CONCATENATE($C61,$DQ$3),Master_Data!$Q$152:$Q$864)</f>
        <v>0</v>
      </c>
      <c r="DJ61" s="310">
        <f>SUMIF(Master_Data!$AK$4:$AK$145,CONCATENATE($C61,$DQ$3),Master_Data!$U$4:$U$145)+SUMIF(Master_Data!$AK$152:$AK$864,CONCATENATE($C61,$DQ$3),Master_Data!$U$152:$U$864)</f>
        <v>23760000</v>
      </c>
      <c r="DK61" s="310">
        <f>SUMIF(Master_Data!$AK$4:$AK$145,CONCATENATE($C61,$DQ$3),Master_Data!$S$4:$S$145)+SUMIF(Master_Data!$AK$152:$AK$864,CONCATENATE($C61,$DQ$3),Master_Data!$S$152:$S$864)</f>
        <v>0</v>
      </c>
      <c r="DL61" s="39">
        <f>SUMIF(Master_Data!$AK$152:$AK$915,CONCATENATE($C61,DQ$3),Master_Data!$T$152:$T$915)</f>
        <v>-440000</v>
      </c>
      <c r="DM61" s="230">
        <f t="shared" si="67"/>
        <v>0</v>
      </c>
      <c r="DN61" s="230" t="e">
        <f t="shared" ca="1" si="68"/>
        <v>#VALUE!</v>
      </c>
      <c r="DO61" s="23"/>
      <c r="DP61" s="358" t="str">
        <f t="shared" si="9"/>
        <v>ROKA LANE ASIA, PTJUL</v>
      </c>
      <c r="DQ61" s="24"/>
      <c r="DR61" s="392"/>
      <c r="DS61" s="109">
        <f t="shared" si="36"/>
        <v>0</v>
      </c>
      <c r="DT61" s="109" t="e">
        <f t="shared" ca="1" si="37"/>
        <v>#VALUE!</v>
      </c>
      <c r="DU61" s="31"/>
      <c r="DV61" s="109">
        <f>SUMIF(Bill_Out!$Q$426:$Q$472,CONCATENATE($C61,$EH$3),Bill_Out!$N$426:$N$472)</f>
        <v>0</v>
      </c>
      <c r="DW61" s="109">
        <f>SUMIF(Bill_Out!$Q$426:$Q$472,CONCATENATE($C61,$EH$3),Bill_Out!$O$426:$O$472)</f>
        <v>0</v>
      </c>
      <c r="DX61" s="157"/>
      <c r="DY61" s="310">
        <f>SUMIF(Master_Data!$AK$4:$AK$145,CONCATENATE($C61,$EH$3),Master_Data!$R$4:$R$145)+SUMIF(Master_Data!$AK$152:$AK$864,CONCATENATE($C61,$EH$3),Master_Data!$R$152:$R$864)</f>
        <v>0</v>
      </c>
      <c r="DZ61" s="310">
        <f>SUMIF(Master_Data!$AK$4:$AK$145,CONCATENATE($C61,$EH$3),Master_Data!$Q$4:$Q$145)+SUMIF(Master_Data!$AK$152:$AK$864,CONCATENATE($C61,$EH$3),Master_Data!$Q$152:$Q$864)</f>
        <v>0</v>
      </c>
      <c r="EA61" s="310">
        <f>SUMIF(Master_Data!$AK$4:$AK$145,CONCATENATE($C61,$EH$3),Master_Data!$U$4:$U$145)+SUMIF(Master_Data!$AK$152:$AK$864,CONCATENATE($C61,$EH$3),Master_Data!$U$152:$U$864)</f>
        <v>12672000</v>
      </c>
      <c r="EB61" s="310">
        <f>SUMIF(Master_Data!$AK$4:$AK$145,CONCATENATE($C61,$EH$3),Master_Data!$S$4:$S$145)+SUMIF(Master_Data!$AK$152:$AK$864,CONCATENATE($C61,$EH$3),Master_Data!$S$152:$S$864)</f>
        <v>0</v>
      </c>
      <c r="EC61" s="39">
        <f>SUMIF(Master_Data!$AK$152:$AK$915,CONCATENATE($C61,EH$3),Master_Data!$T$152:$T$915)</f>
        <v>-234666.6666</v>
      </c>
      <c r="ED61" s="310">
        <f t="shared" si="38"/>
        <v>0</v>
      </c>
      <c r="EE61" s="230" t="e">
        <f t="shared" ca="1" si="39"/>
        <v>#VALUE!</v>
      </c>
      <c r="EF61" s="23"/>
      <c r="EG61" s="358" t="str">
        <f t="shared" si="10"/>
        <v>ROKA LANE ASIA, PTAGS</v>
      </c>
      <c r="EH61" s="24"/>
      <c r="EI61" s="392"/>
      <c r="EJ61" s="109">
        <f t="shared" si="47"/>
        <v>0</v>
      </c>
      <c r="EK61" s="109" t="e">
        <f t="shared" ca="1" si="48"/>
        <v>#VALUE!</v>
      </c>
      <c r="EL61" s="84"/>
      <c r="EM61" s="109">
        <f>SUMIF(Bill_Out!$Q$476:$Q$530,CONCATENATE($C61,$EY$3),Bill_Out!$N$476:$N$530)</f>
        <v>0</v>
      </c>
      <c r="EN61" s="109">
        <f>SUMIF(Bill_Out!$Q$476:$Q$530,CONCATENATE($C61,$EY$3),Bill_Out!$O$476:$O$530)</f>
        <v>0</v>
      </c>
      <c r="EO61" s="309"/>
      <c r="EP61" s="310">
        <f>SUMIF(Master_Data!$AK$4:$AK$145,CONCATENATE($C61,$EY$3),Master_Data!$R$4:$R$145)+SUMIF(Master_Data!$AK$152:$AK$864,CONCATENATE($C61,$EY$3),Master_Data!$R$152:$R$864)</f>
        <v>0</v>
      </c>
      <c r="EQ61" s="310">
        <f>SUMIF(Master_Data!$AK$4:$AK$145,CONCATENATE($C61,$EY$3),Master_Data!$Q$4:$Q$145)+SUMIF(Master_Data!$AK$152:$AK$864,CONCATENATE($C61,$EY$3),Master_Data!$Q$152:$Q$864)</f>
        <v>0</v>
      </c>
      <c r="ER61" s="310">
        <f>SUMIF(Master_Data!$AK$4:$AK$145,CONCATENATE($C61,$EY$3),Master_Data!$U$4:$U$145)+SUMIF(Master_Data!$AK$152:$AK$864,CONCATENATE($C61,$EY$3),Master_Data!$U$152:$U$864)</f>
        <v>0</v>
      </c>
      <c r="ES61" s="310">
        <f>SUMIF(Master_Data!$AK$4:$AK$145,CONCATENATE($C61,$EY$3),Master_Data!$S$4:$S$145)+SUMIF(Master_Data!$AK$152:$AK$864,CONCATENATE($C61,$EY$3),Master_Data!$S$152:$S$864)</f>
        <v>0</v>
      </c>
      <c r="ET61" s="39">
        <f>SUMIF(Master_Data!$AK$152:$AK$915,CONCATENATE($C61,EY$3),Master_Data!$T$152:$T$915)</f>
        <v>0</v>
      </c>
      <c r="EU61" s="310">
        <f t="shared" si="49"/>
        <v>0</v>
      </c>
      <c r="EV61" s="230"/>
      <c r="EW61" s="84"/>
      <c r="EX61" s="358" t="str">
        <f t="shared" si="11"/>
        <v>ROKA LANE ASIA, PTSEP</v>
      </c>
      <c r="EY61" s="24"/>
      <c r="EZ61" s="415"/>
      <c r="FA61" s="109"/>
      <c r="FB61" s="109"/>
      <c r="FC61" s="420"/>
      <c r="FD61" s="109"/>
      <c r="FE61" s="109"/>
      <c r="FF61" s="157"/>
      <c r="FG61" s="310"/>
      <c r="FH61" s="310"/>
      <c r="FI61" s="310"/>
      <c r="FJ61" s="310"/>
      <c r="FK61" s="39">
        <f>SUMIF(Master_Data!$AK$152:$AK$915,CONCATENATE($C61,FP$3),Master_Data!$T$152:$T$915)</f>
        <v>0</v>
      </c>
      <c r="FL61" s="230"/>
      <c r="FM61" s="230">
        <f t="shared" si="12"/>
        <v>0</v>
      </c>
      <c r="FN61" s="23"/>
      <c r="FO61" s="358"/>
      <c r="FP61" s="24"/>
      <c r="FQ61" s="415"/>
      <c r="FR61" s="109"/>
      <c r="FS61" s="109"/>
      <c r="FT61" s="420"/>
      <c r="FU61" s="109"/>
      <c r="FV61" s="109"/>
      <c r="FW61" s="157"/>
      <c r="FX61" s="512"/>
      <c r="FY61" s="512"/>
      <c r="FZ61" s="512"/>
      <c r="GA61" s="310"/>
      <c r="GB61" s="39">
        <f>SUMIF(Master_Data!$AK$152:$AK$915,CONCATENATE($C61,GG$3),Master_Data!$T$152:$T$915)</f>
        <v>0</v>
      </c>
      <c r="GC61" s="230"/>
      <c r="GD61" s="230">
        <f t="shared" si="14"/>
        <v>0</v>
      </c>
      <c r="GE61" s="23"/>
      <c r="GF61" s="358"/>
      <c r="GG61" s="24"/>
      <c r="GH61" s="415"/>
      <c r="GI61" s="109">
        <f t="shared" si="70"/>
        <v>0</v>
      </c>
      <c r="GJ61" s="109">
        <f t="shared" si="71"/>
        <v>0</v>
      </c>
      <c r="GK61" s="423"/>
      <c r="GL61" s="109">
        <f>SUMIF(Bill_Out!$Q$679:$Q$756,CONCATENATE($C61,$GX$3),Bill_Out!$N$679:$N$756)</f>
        <v>0</v>
      </c>
      <c r="GM61" s="109">
        <f>SUMIF(Bill_Out!$Q$679:$Q$756,CONCATENATE($C61,$GX$3),Bill_Out!$O$679:$O$756)</f>
        <v>0</v>
      </c>
      <c r="GN61" s="157"/>
      <c r="GO61" s="512">
        <f>SUMIF(Master_Data!$AK$4:$AK$145,CONCATENATE($C61,$GX$3),Master_Data!$R$4:$R$145)+SUMIF(Master_Data!$AK$152:$AK$864,CONCATENATE($C61,$GX$3),Master_Data!$R$152:$R$864)</f>
        <v>0</v>
      </c>
      <c r="GP61" s="512">
        <f>SUMIF(Master_Data!$AK$4:$AK$145,CONCATENATE($C61,$GX$3),Master_Data!$Q$4:$Q$145)+SUMIF(Master_Data!$AK$152:$AK$864,CONCATENATE($C61,$GX$3),Master_Data!$Q$152:$Q$864)</f>
        <v>0</v>
      </c>
      <c r="GQ61" s="512">
        <f>SUMIF(Master_Data!$AK$4:$AK$145,CONCATENATE($C61,$GX$3),Master_Data!$U$4:$U$145)+SUMIF(Master_Data!$AK$152:$AK$864,CONCATENATE($C61,$GX$3),Master_Data!$U$152:$U$864)</f>
        <v>0</v>
      </c>
      <c r="GR61" s="310">
        <f>SUMIF(Master_Data!$AK$4:$AK$145,CONCATENATE($C61,$GX$3),Master_Data!$S$4:$S$145)+SUMIF(Master_Data!$AK$152:$AK$864,CONCATENATE($C61,$GX$3),Master_Data!$S$152:$S$864)</f>
        <v>0</v>
      </c>
      <c r="GS61" s="39">
        <f>SUMIF(Master_Data!$AK$152:$AK$864,CONCATENATE($C61,GX$3),Master_Data!$T$152:$T$864)</f>
        <v>0</v>
      </c>
      <c r="GT61" s="534">
        <f t="shared" si="44"/>
        <v>0</v>
      </c>
      <c r="GU61" s="310">
        <f t="shared" si="16"/>
        <v>0</v>
      </c>
      <c r="GV61" s="23"/>
      <c r="GW61" s="358" t="str">
        <f t="shared" si="87"/>
        <v>ROKA LANE ASIA, PTDES</v>
      </c>
      <c r="GX61" s="24"/>
    </row>
    <row r="62" spans="1:206" s="19" customFormat="1">
      <c r="A62" s="21" t="s">
        <v>455</v>
      </c>
      <c r="B62" s="236" t="str">
        <f t="shared" si="18"/>
        <v>SAMSUNG ELECTRONICS INDONESIA, PTJAN</v>
      </c>
      <c r="C62" s="8" t="s">
        <v>130</v>
      </c>
      <c r="D62" s="23" t="s">
        <v>321</v>
      </c>
      <c r="E62" s="109">
        <f>SUMIF(Master_Data!$D53:$D$145,CONCATENATE(C62),Master_Data!M53:M920)</f>
        <v>0</v>
      </c>
      <c r="F62" s="109">
        <f>SUMIF(Master_Data!$D59:$D$145,CONCATENATE(C62),Master_Data!N59:N319)</f>
        <v>0</v>
      </c>
      <c r="G62" s="31"/>
      <c r="H62" s="109">
        <f>SUMIF(Bill_Out!$Q$3:$Q$65,CONCATENATE($C62,$S$3),Bill_Out!$N$3:$N$65)</f>
        <v>0</v>
      </c>
      <c r="I62" s="88">
        <f>SUMIF(Bill_Out!$Q$3:$Q$65,CONCATENATE($C62,$S$3),Bill_Out!$O$3:$O$65)</f>
        <v>0</v>
      </c>
      <c r="J62" s="157"/>
      <c r="K62" s="29"/>
      <c r="L62" s="44"/>
      <c r="M62" s="230">
        <f>SUMIF(Master_Data!$AK58:$AK$145,CONCATENATE(C62,$S$3),Master_Data!U58:U412)+SUMIF(Master_Data!$AK449:$AK$864,CONCATENATE(C62,$S$3),Master_Data!U449:U1371)</f>
        <v>0</v>
      </c>
      <c r="N62" s="310">
        <f>SUMIF(Master_Data!$AK$4:$AK$145,CONCATENATE(C62,$S$3),Master_Data!$S$4:$S$145)+SUMIF(Master_Data!$AK$150:$AK$864,CONCATENATE(C62,$S$3),Master_Data!$S$150:$S$864)</f>
        <v>0</v>
      </c>
      <c r="O62" s="310">
        <f>SUMIF(Master_Data!$AK$4:$AK$145,CONCATENATE(C62,$S$3),Master_Data!$T$4:$T$145)+SUMIF(Master_Data!$AK$150:$AK$864,CONCATENATE(C62,$S$3),Master_Data!$T$150:$T$864)</f>
        <v>0</v>
      </c>
      <c r="P62" s="230">
        <f t="shared" si="19"/>
        <v>0</v>
      </c>
      <c r="Q62" s="230">
        <f t="shared" si="20"/>
        <v>0</v>
      </c>
      <c r="R62" s="23"/>
      <c r="S62" s="24"/>
      <c r="T62" s="31"/>
      <c r="U62" s="109">
        <f t="shared" si="94"/>
        <v>0</v>
      </c>
      <c r="V62" s="109">
        <f t="shared" si="95"/>
        <v>0</v>
      </c>
      <c r="W62" s="31"/>
      <c r="X62" s="109">
        <f>SUMIF(Bill_Out!$Q$67:$Q$132,CONCATENATE($C62,$AJ$3),Bill_Out!$N$67:$N$132)</f>
        <v>0</v>
      </c>
      <c r="Y62" s="109">
        <f>SUMIF(Bill_Out!$Q$67:$Q$132,CONCATENATE($C62,$AJ$3),Bill_Out!$O$67:$O$132)</f>
        <v>0</v>
      </c>
      <c r="Z62" s="157"/>
      <c r="AA62" s="230">
        <f>SUMIF(Master_Data!$AK$4:$AK$145,CONCATENATE(C62,$AJ$3),Master_Data!$R$4:$R$145)+SUMIF(Master_Data!$AK$152:$AK$850,CONCATENATE(C62,$AJ$3),Master_Data!$R$152:$R$850)</f>
        <v>0</v>
      </c>
      <c r="AB62" s="230">
        <f>SUMIF(Master_Data!$AK$4:$AK$145,CONCATENATE(C62,$AJ$3),Master_Data!$Q$4:$Q$145)+SUMIF(Master_Data!$AK$152:$AK$850,CONCATENATE(C62,$AJ$3),Master_Data!$Q$152:$Q$850)</f>
        <v>0</v>
      </c>
      <c r="AC62" s="230">
        <f>SUMIF(Master_Data!$AK$4:$AK$145,CONCATENATE(C62,$AJ$3),Master_Data!$U$4:$U$145)+SUMIF(Master_Data!$AK$152:$AK$850,CONCATENATE(C62,$AJ$3),Master_Data!$U$152:$U$850)</f>
        <v>0</v>
      </c>
      <c r="AD62" s="310">
        <f ca="1">SUMIF(Master_Data!$AK$4:$AK$145,CONCATENATE(C62,$AJ$3),Master_Data!$S$4:$S$145)+SUMIF(Master_Data!$AK$152:$AK$864,CONCATENATE(C62,$AJ$3),Master_Data!$S$152:$S$850)</f>
        <v>0</v>
      </c>
      <c r="AE62" s="310">
        <f>SUMIF(Master_Data!$AK$4:$AK$145,CONCATENATE(C62,$AJ$3),Master_Data!$T$4:$T$145)+SUMIF(Master_Data!$AK$152:$AK$864,CONCATENATE(C62,$AJ$3),Master_Data!$T$152:$T$864)</f>
        <v>0</v>
      </c>
      <c r="AF62" s="230">
        <f t="shared" si="63"/>
        <v>0</v>
      </c>
      <c r="AG62" s="230">
        <f t="shared" ca="1" si="64"/>
        <v>0</v>
      </c>
      <c r="AH62" s="23"/>
      <c r="AI62" s="235" t="str">
        <f t="shared" si="86"/>
        <v>SAMSUNG ELECTRONICS INDONESIA, PTFEB</v>
      </c>
      <c r="AJ62" s="24"/>
      <c r="AK62" s="31"/>
      <c r="AL62" s="109">
        <f t="shared" si="65"/>
        <v>0</v>
      </c>
      <c r="AM62" s="109">
        <f t="shared" ca="1" si="66"/>
        <v>0</v>
      </c>
      <c r="AN62" s="31"/>
      <c r="AO62" s="109">
        <f>SUMIF(Bill_Out!$Q$134:$Q$188,CONCATENATE($C62,$BA$3),Bill_Out!$N$134:$N$188)</f>
        <v>0</v>
      </c>
      <c r="AP62" s="109">
        <f>SUMIF(Bill_Out!$Q$134:$Q$188,CONCATENATE($C62,$BA$3),Bill_Out!$O$134:$O$188)</f>
        <v>0</v>
      </c>
      <c r="AQ62" s="157"/>
      <c r="AR62" s="230">
        <f>SUMIF(Master_Data!$AK$4:$AK$145,CONCATENATE(C62,$BA$3),Master_Data!$R$4:$R$145)+SUMIF(Master_Data!$AK$152:$AK$864,CONCATENATE(C62,$BA$3),Master_Data!$R$152:$R$864)</f>
        <v>0</v>
      </c>
      <c r="AS62" s="230">
        <f>SUMIF(Master_Data!$AK$4:$AK$145,CONCATENATE(C62,$BA$3),Master_Data!$Q$4:$Q$145)+SUMIF(Master_Data!$AK$152:$AK$864,CONCATENATE(C62,$BA$3),Master_Data!$Q$152:$Q$864)</f>
        <v>0</v>
      </c>
      <c r="AT62" s="230">
        <f>SUMIF(Master_Data!$AK$4:$AK$145,CONCATENATE(C62,$BA$3),Master_Data!$U$4:$U$145)+SUMIF(Master_Data!$AK$152:$AK$864,CONCATENATE(C62,$BA$3),Master_Data!$U$152:$U$864)</f>
        <v>0</v>
      </c>
      <c r="AU62" s="230">
        <f ca="1">SUMIF(Master_Data!$AK$4:$AK$145,CONCATENATE(C62,$BA$3),Master_Data!$S$4:$S$145)+SUMIF(Master_Data!$AK$152:$AK$864,CONCATENATE(C62,$BA$3),Master_Data!$S$152:$S$850)</f>
        <v>0</v>
      </c>
      <c r="AV62" s="39">
        <f>SUMIF(Master_Data!$AK$152:$AK$864,CONCATENATE($C62,BA$3),Master_Data!$T$152:$T$864)</f>
        <v>0</v>
      </c>
      <c r="AW62" s="230">
        <f t="shared" si="57"/>
        <v>0</v>
      </c>
      <c r="AX62" s="230">
        <f t="shared" ca="1" si="58"/>
        <v>0</v>
      </c>
      <c r="AY62" s="23"/>
      <c r="AZ62" s="235" t="str">
        <f t="shared" si="21"/>
        <v>SAMSUNG ELECTRONICS INDONESIA, PTMAR</v>
      </c>
      <c r="BA62" s="24"/>
      <c r="BB62" s="31"/>
      <c r="BC62" s="109">
        <f t="shared" si="22"/>
        <v>0</v>
      </c>
      <c r="BD62" s="109">
        <f t="shared" ca="1" si="23"/>
        <v>0</v>
      </c>
      <c r="BE62" s="31"/>
      <c r="BF62" s="109">
        <f>SUMIF(Bill_Out!$Q$192:$Q$258,CONCATENATE($C62,$BR$3),Bill_Out!$N$192:$N$258)</f>
        <v>0</v>
      </c>
      <c r="BG62" s="109">
        <f>SUMIF(Bill_Out!$Q$192:$Q$258,CONCATENATE($C62,$BR$3),Bill_Out!$O$192:$O$258)</f>
        <v>0</v>
      </c>
      <c r="BH62" s="157"/>
      <c r="BI62" s="230">
        <f>SUMIF(Master_Data!$AK$4:$AK$145,CONCATENATE(C62,$BR$3),Master_Data!$R$4:$R$145)+SUMIF(Master_Data!$AK$152:$AK$864,CONCATENATE(C62,$BR$3),Master_Data!$R$152:$R$864)</f>
        <v>0</v>
      </c>
      <c r="BJ62" s="230">
        <f>SUMIF(Master_Data!$AK$4:$AK$145,CONCATENATE(C62,$BR$3),Master_Data!$Q$4:$Q$145)+SUMIF(Master_Data!$AK$152:$AK$864,CONCATENATE(C62,$BR$3),Master_Data!$Q$152:$Q$864)</f>
        <v>0</v>
      </c>
      <c r="BK62" s="230">
        <f>SUMIF(Master_Data!$AK$4:$AK$145,CONCATENATE(C62,$BR$3),Master_Data!$U$4:$U$145)+SUMIF(Master_Data!$AK$152:$AK$864,CONCATENATE(C62,$BR$3),Master_Data!$U$152:$U$864)</f>
        <v>0</v>
      </c>
      <c r="BL62" s="230">
        <f>SUMIF(Master_Data!$AK$4:$AK$145,CONCATENATE(C62,$BR$3),Master_Data!$S$4:$S$145)+SUMIF(Master_Data!$AK$152:$AK$864,CONCATENATE(C62,$BR$3),Master_Data!$S$152:$S$864)</f>
        <v>0</v>
      </c>
      <c r="BM62" s="39">
        <f>SUMIF(Master_Data!$AK$152:$AK$864,CONCATENATE($C62,BR$3),Master_Data!$T$152:$T$864)</f>
        <v>0</v>
      </c>
      <c r="BN62" s="230">
        <f t="shared" si="24"/>
        <v>0</v>
      </c>
      <c r="BO62" s="230">
        <f t="shared" ca="1" si="25"/>
        <v>0</v>
      </c>
      <c r="BP62" s="23"/>
      <c r="BQ62" s="909" t="str">
        <f t="shared" si="26"/>
        <v>SAMSUNG ELECTRONICS INDONESIA, PTAPR</v>
      </c>
      <c r="BR62" s="24"/>
      <c r="BS62" s="31"/>
      <c r="BT62" s="109">
        <f t="shared" si="78"/>
        <v>0</v>
      </c>
      <c r="BU62" s="109">
        <f t="shared" ca="1" si="79"/>
        <v>0</v>
      </c>
      <c r="BV62" s="31"/>
      <c r="BW62" s="109">
        <f>SUMIF(Bill_Out!$Q$263:$Q$314,CONCATENATE($C62,$CI$3),Bill_Out!$N$263:$N$314)</f>
        <v>0</v>
      </c>
      <c r="BX62" s="109">
        <f>SUMIF(Bill_Out!$Q$263:$Q$314,CONCATENATE($C62,$CI$3),Bill_Out!$O$263:$O$314)</f>
        <v>0</v>
      </c>
      <c r="BY62" s="157"/>
      <c r="BZ62" s="310">
        <f>SUMIF(Master_Data!$AK$4:$AK$145,CONCATENATE(C62,$CI$3),Master_Data!$R$4:$R$145)+SUMIF(Master_Data!$AK$152:$AK$864,CONCATENATE(C62,$CI$3),Master_Data!$R$152:$R$864)</f>
        <v>0</v>
      </c>
      <c r="CA62" s="310">
        <f>SUMIF(Master_Data!$AK$4:$AK$145,CONCATENATE(C62,$CI$3),Master_Data!$Q$4:$Q$145)+SUMIF(Master_Data!$AK$152:$AK$864,CONCATENATE(C62,$CI$3),Master_Data!$Q$152:$Q$864)</f>
        <v>0</v>
      </c>
      <c r="CB62" s="310">
        <f>SUMIF(Master_Data!$AK$4:$AK$145,CONCATENATE(C62,$CI$3),Master_Data!$U$4:$U$145)+SUMIF(Master_Data!$AK$152:$AK$864,CONCATENATE(C62,$CI$3),Master_Data!$U$152:$U$864)</f>
        <v>0</v>
      </c>
      <c r="CC62" s="230">
        <f>SUMIF(Master_Data!$AK$4:$AK$145,CONCATENATE(C62,$CI$3),Master_Data!$S$4:$S$145)+SUMIF(Master_Data!$AK$152:$AK$864,CONCATENATE(C62,$CI$3),Master_Data!$S$152:$S$864)</f>
        <v>0</v>
      </c>
      <c r="CD62" s="39">
        <f>SUMIF(Master_Data!$AK$152:$AK$864,CONCATENATE($C62,CI$3),Master_Data!$T$152:$T$864)</f>
        <v>0</v>
      </c>
      <c r="CE62" s="310">
        <f t="shared" si="27"/>
        <v>0</v>
      </c>
      <c r="CF62" s="230">
        <f t="shared" ca="1" si="28"/>
        <v>0</v>
      </c>
      <c r="CG62" s="23"/>
      <c r="CH62" s="235" t="str">
        <f t="shared" si="29"/>
        <v>SAMSUNG ELECTRONICS INDONESIA, PTMEI</v>
      </c>
      <c r="CI62" s="24"/>
      <c r="CJ62" s="31"/>
      <c r="CK62" s="109">
        <f t="shared" si="30"/>
        <v>0</v>
      </c>
      <c r="CL62" s="238">
        <f t="shared" ca="1" si="31"/>
        <v>0</v>
      </c>
      <c r="CM62" s="31"/>
      <c r="CN62" s="238">
        <f>SUMIF(Bill_Out!$Q$318:$Q$371,CONCATENATE($C62,$CZ$3),Bill_Out!$N$318:$N$371)</f>
        <v>0</v>
      </c>
      <c r="CO62" s="238">
        <f>SUMIF(Bill_Out!$Q$318:$Q$371,CONCATENATE($C62,$CZ$3),Bill_Out!$O$318:$O$371)</f>
        <v>0</v>
      </c>
      <c r="CP62" s="157"/>
      <c r="CQ62" s="230">
        <f>SUMIF(Master_Data!$AK$4:$AK$145,CONCATENATE($C62,$CZ$3),Master_Data!$R$4:$R$145)+SUMIF(Master_Data!$AK$152:$AK$864,CONCATENATE($C62,$CZ$3),Master_Data!$R$152:$R$864)</f>
        <v>0</v>
      </c>
      <c r="CR62" s="230">
        <f>SUMIF(Master_Data!$AK$4:$AK$145,CONCATENATE($C62,$CZ$3),Master_Data!$Q$4:$Q$145)+SUMIF(Master_Data!$AK$152:$AK$864,CONCATENATE($C62,$CZ$3),Master_Data!$Q$152:$Q$864)</f>
        <v>0</v>
      </c>
      <c r="CS62" s="230">
        <f>SUMIF(Master_Data!$AK$4:$AK$145,CONCATENATE($C62,$CZ$3),Master_Data!$U$4:$U$145)+SUMIF(Master_Data!$AK$152:$AK$864,CONCATENATE($C62,$CZ$3),Master_Data!$U$152:$U$864)</f>
        <v>0</v>
      </c>
      <c r="CT62" s="230">
        <f ca="1">SUMIF(Master_Data!$AK$4:$AK$145,CONCATENATE(C62,$CZ$3),Master_Data!$S$4:$S$145)+SUMIF(Master_Data!$AK$152:$AK$915,CONCATENATE(C62,$CZ$3),Master_Data!$S$152:$S$864)</f>
        <v>0</v>
      </c>
      <c r="CU62" s="1010">
        <f>SUMIF(Master_Data!$AK$4:$AK$145,CONCATENATE(C62,$CZ$3),Master_Data!$T$4:$T$145)+SUMIF(Master_Data!$AK$152:$AK$864,CONCATENATE(C62,$CZ$3),Master_Data!$T$152:$T$864)</f>
        <v>0</v>
      </c>
      <c r="CV62" s="230">
        <f t="shared" si="32"/>
        <v>0</v>
      </c>
      <c r="CW62" s="230">
        <f t="shared" ca="1" si="33"/>
        <v>0</v>
      </c>
      <c r="CX62" s="23"/>
      <c r="CY62" s="1007" t="str">
        <f t="shared" si="6"/>
        <v>SAMSUNG ELECTRONICS INDONESIA, PTJUN</v>
      </c>
      <c r="CZ62" s="24"/>
      <c r="DA62" s="31"/>
      <c r="DB62" s="109">
        <f t="shared" si="34"/>
        <v>0</v>
      </c>
      <c r="DC62" s="109">
        <f t="shared" ca="1" si="35"/>
        <v>0</v>
      </c>
      <c r="DD62" s="31"/>
      <c r="DE62" s="109">
        <f>SUMIF(Bill_Out!$Q$375:$Q$422,CONCATENATE($C62,$DQ$3),Bill_Out!$N$375:$N$422)</f>
        <v>0</v>
      </c>
      <c r="DF62" s="109">
        <f>SUMIF(Bill_Out!$Q$375:$Q$422,CONCATENATE($C62,$DQ$3),Bill_Out!$O$375:$O$422)</f>
        <v>0</v>
      </c>
      <c r="DG62" s="157"/>
      <c r="DH62" s="310">
        <f>SUMIF(Master_Data!$AK$4:$AK$145,CONCATENATE($C62,$DQ$3),Master_Data!$R$4:$R$145)+SUMIF(Master_Data!$AK$152:$AK$864,CONCATENATE($C62,$DQ$3),Master_Data!$R$152:$R$864)</f>
        <v>0</v>
      </c>
      <c r="DI62" s="310">
        <f>SUMIF(Master_Data!$AK$4:$AK$145,CONCATENATE($C62,$DQ$3),Master_Data!$Q$4:$Q$145)+SUMIF(Master_Data!$AK$152:$AK$864,CONCATENATE($C62,$DQ$3),Master_Data!$Q$152:$Q$864)</f>
        <v>0</v>
      </c>
      <c r="DJ62" s="310">
        <f>SUMIF(Master_Data!$AK$4:$AK$145,CONCATENATE($C62,$DQ$3),Master_Data!$U$4:$U$145)+SUMIF(Master_Data!$AK$152:$AK$864,CONCATENATE($C62,$DQ$3),Master_Data!$U$152:$U$864)</f>
        <v>0</v>
      </c>
      <c r="DK62" s="310">
        <f>SUMIF(Master_Data!$AK$4:$AK$145,CONCATENATE($C62,$DQ$3),Master_Data!$S$4:$S$145)+SUMIF(Master_Data!$AK$152:$AK$864,CONCATENATE($C62,$DQ$3),Master_Data!$S$152:$S$864)</f>
        <v>0</v>
      </c>
      <c r="DL62" s="39">
        <f>SUMIF(Master_Data!$AK$152:$AK$915,CONCATENATE($C62,DQ$3),Master_Data!$T$152:$T$915)</f>
        <v>0</v>
      </c>
      <c r="DM62" s="230">
        <f t="shared" si="67"/>
        <v>0</v>
      </c>
      <c r="DN62" s="230">
        <f t="shared" ca="1" si="68"/>
        <v>0</v>
      </c>
      <c r="DO62" s="23"/>
      <c r="DP62" s="358" t="str">
        <f t="shared" si="9"/>
        <v>SAMSUNG ELECTRONICS INDONESIA, PTJUL</v>
      </c>
      <c r="DQ62" s="24"/>
      <c r="DR62" s="392"/>
      <c r="DS62" s="109">
        <f t="shared" si="36"/>
        <v>0</v>
      </c>
      <c r="DT62" s="109">
        <f t="shared" ca="1" si="37"/>
        <v>0</v>
      </c>
      <c r="DU62" s="31"/>
      <c r="DV62" s="109">
        <f>SUMIF(Bill_Out!$Q$426:$Q$472,CONCATENATE($C62,$EH$3),Bill_Out!$N$426:$N$472)</f>
        <v>0</v>
      </c>
      <c r="DW62" s="109">
        <f>SUMIF(Bill_Out!$Q$426:$Q$472,CONCATENATE($C62,$EH$3),Bill_Out!$O$426:$O$472)</f>
        <v>0</v>
      </c>
      <c r="DX62" s="157"/>
      <c r="DY62" s="310">
        <f>SUMIF(Master_Data!$AK$4:$AK$145,CONCATENATE($C62,$EH$3),Master_Data!$R$4:$R$145)+SUMIF(Master_Data!$AK$152:$AK$864,CONCATENATE($C62,$EH$3),Master_Data!$R$152:$R$864)</f>
        <v>0</v>
      </c>
      <c r="DZ62" s="310">
        <f>SUMIF(Master_Data!$AK$4:$AK$145,CONCATENATE($C62,$EH$3),Master_Data!$Q$4:$Q$145)+SUMIF(Master_Data!$AK$152:$AK$864,CONCATENATE($C62,$EH$3),Master_Data!$Q$152:$Q$864)</f>
        <v>0</v>
      </c>
      <c r="EA62" s="310">
        <f>SUMIF(Master_Data!$AK$4:$AK$145,CONCATENATE($C62,$EH$3),Master_Data!$U$4:$U$145)+SUMIF(Master_Data!$AK$152:$AK$864,CONCATENATE($C62,$EH$3),Master_Data!$U$152:$U$864)</f>
        <v>0</v>
      </c>
      <c r="EB62" s="310">
        <f>SUMIF(Master_Data!$AK$4:$AK$145,CONCATENATE($C62,$EH$3),Master_Data!$S$4:$S$145)+SUMIF(Master_Data!$AK$152:$AK$864,CONCATENATE($C62,$EH$3),Master_Data!$S$152:$S$864)</f>
        <v>0</v>
      </c>
      <c r="EC62" s="39">
        <f>SUMIF(Master_Data!$AK$152:$AK$915,CONCATENATE($C62,EH$3),Master_Data!$T$152:$T$915)</f>
        <v>0</v>
      </c>
      <c r="ED62" s="310">
        <f t="shared" si="38"/>
        <v>0</v>
      </c>
      <c r="EE62" s="230">
        <f t="shared" ca="1" si="39"/>
        <v>0</v>
      </c>
      <c r="EF62" s="23"/>
      <c r="EG62" s="358" t="str">
        <f t="shared" si="10"/>
        <v>SAMSUNG ELECTRONICS INDONESIA, PTAGS</v>
      </c>
      <c r="EH62" s="24"/>
      <c r="EI62" s="392"/>
      <c r="EJ62" s="109">
        <f t="shared" si="47"/>
        <v>0</v>
      </c>
      <c r="EK62" s="109">
        <f t="shared" ca="1" si="48"/>
        <v>0</v>
      </c>
      <c r="EL62" s="84"/>
      <c r="EM62" s="109">
        <f>SUMIF(Bill_Out!$Q$476:$Q$530,CONCATENATE($C62,$EY$3),Bill_Out!$N$476:$N$530)</f>
        <v>0</v>
      </c>
      <c r="EN62" s="109">
        <f>SUMIF(Bill_Out!$Q$476:$Q$530,CONCATENATE($C62,$EY$3),Bill_Out!$O$476:$O$530)</f>
        <v>0</v>
      </c>
      <c r="EO62" s="309"/>
      <c r="EP62" s="310">
        <f>SUMIF(Master_Data!$AK$4:$AK$145,CONCATENATE($C62,$EY$3),Master_Data!$R$4:$R$145)+SUMIF(Master_Data!$AK$152:$AK$864,CONCATENATE($C62,$EY$3),Master_Data!$R$152:$R$864)</f>
        <v>0</v>
      </c>
      <c r="EQ62" s="310">
        <f>SUMIF(Master_Data!$AK$4:$AK$145,CONCATENATE($C62,$EY$3),Master_Data!$Q$4:$Q$145)+SUMIF(Master_Data!$AK$152:$AK$864,CONCATENATE($C62,$EY$3),Master_Data!$Q$152:$Q$864)</f>
        <v>0</v>
      </c>
      <c r="ER62" s="310">
        <f>SUMIF(Master_Data!$AK$4:$AK$145,CONCATENATE($C62,$EY$3),Master_Data!$U$4:$U$145)+SUMIF(Master_Data!$AK$152:$AK$864,CONCATENATE($C62,$EY$3),Master_Data!$U$152:$U$864)</f>
        <v>0</v>
      </c>
      <c r="ES62" s="310">
        <f>SUMIF(Master_Data!$AK$4:$AK$145,CONCATENATE($C62,$EY$3),Master_Data!$S$4:$S$145)+SUMIF(Master_Data!$AK$152:$AK$864,CONCATENATE($C62,$EY$3),Master_Data!$S$152:$S$864)</f>
        <v>0</v>
      </c>
      <c r="ET62" s="39">
        <f>SUMIF(Master_Data!$AK$152:$AK$915,CONCATENATE($C62,EY$3),Master_Data!$T$152:$T$915)</f>
        <v>0</v>
      </c>
      <c r="EU62" s="310">
        <f t="shared" si="49"/>
        <v>0</v>
      </c>
      <c r="EV62" s="230"/>
      <c r="EW62" s="84"/>
      <c r="EX62" s="358" t="str">
        <f t="shared" si="11"/>
        <v>SAMSUNG ELECTRONICS INDONESIA, PTSEP</v>
      </c>
      <c r="EY62" s="24"/>
      <c r="EZ62" s="415"/>
      <c r="FA62" s="109">
        <f t="shared" si="88"/>
        <v>0</v>
      </c>
      <c r="FB62" s="109">
        <f t="shared" si="96"/>
        <v>0</v>
      </c>
      <c r="FC62" s="420"/>
      <c r="FD62" s="109">
        <f>SUMIF(Bill_Out!$Q$534:$Q$606,CONCATENATE($C62,$FP$3),Bill_Out!$N$534:$N$606)</f>
        <v>0</v>
      </c>
      <c r="FE62" s="109">
        <f>SUMIF(Bill_Out!$Q$534:$Q$606,CONCATENATE($C62,$FP$3),Bill_Out!$O$534:$O$606)</f>
        <v>0</v>
      </c>
      <c r="FF62" s="157"/>
      <c r="FG62" s="310">
        <f>SUMIF(Master_Data!$AK$4:$AK$145,CONCATENATE($C62,$FP$3),Master_Data!$R$4:$R$145)+SUMIF(Master_Data!$AK$152:$AK$864,CONCATENATE($C62,$FP$3),Master_Data!$R$152:$R$864)</f>
        <v>0</v>
      </c>
      <c r="FH62" s="310">
        <f>SUMIF(Master_Data!$AK$4:$AK$145,CONCATENATE($C62,$FP$3),Master_Data!$Q$4:$Q$145)+SUMIF(Master_Data!$AK$152:$AK$864,CONCATENATE($C62,$FP$3),Master_Data!$Q$152:$Q$864)</f>
        <v>0</v>
      </c>
      <c r="FI62" s="310">
        <f>SUMIF(Master_Data!$AK$4:$AK$145,CONCATENATE($C62,$FP$3),Master_Data!$U$4:$U$145)+SUMIF(Master_Data!$AK$152:$AK$864,CONCATENATE($C62,$FP$3),Master_Data!$U$152:$U$864)</f>
        <v>0</v>
      </c>
      <c r="FJ62" s="310">
        <f>SUMIF(Master_Data!$AK$4:$AK$145,CONCATENATE($C62,$FP$3),Master_Data!$S$4:$S$145)+SUMIF(Master_Data!$AK$152:$AK$864,CONCATENATE($C62,$FP$3),Master_Data!$S$152:$S$864)</f>
        <v>0</v>
      </c>
      <c r="FK62" s="39">
        <f>SUMIF(Master_Data!$AK$152:$AK$915,CONCATENATE($C62,FP$3),Master_Data!$T$152:$T$915)</f>
        <v>0</v>
      </c>
      <c r="FL62" s="230">
        <f t="shared" si="90"/>
        <v>0</v>
      </c>
      <c r="FM62" s="230">
        <f t="shared" si="12"/>
        <v>0</v>
      </c>
      <c r="FN62" s="23"/>
      <c r="FO62" s="358" t="str">
        <f t="shared" ref="FO62:FO72" si="100">CONCATENATE($C62,$FP$3)</f>
        <v>SAMSUNG ELECTRONICS INDONESIA, PTOKT</v>
      </c>
      <c r="FP62" s="24"/>
      <c r="FQ62" s="415"/>
      <c r="FR62" s="109">
        <f t="shared" si="97"/>
        <v>0</v>
      </c>
      <c r="FS62" s="109">
        <f t="shared" si="98"/>
        <v>0</v>
      </c>
      <c r="FT62" s="420"/>
      <c r="FU62" s="109">
        <f>SUMIF(Bill_Out!$Q$610:$Q$675,CONCATENATE($C62,$GG$3),Bill_Out!$N$610:$N$675)</f>
        <v>0</v>
      </c>
      <c r="FV62" s="109">
        <f>SUMIF(Bill_Out!$Q$610:$Q$675,CONCATENATE($C62,$GG$3),Bill_Out!$O$610:$O$675)</f>
        <v>0</v>
      </c>
      <c r="FW62" s="157"/>
      <c r="FX62" s="512">
        <f>SUMIF(Master_Data!$AK$4:$AK$145,CONCATENATE($C62,$GG$3),Master_Data!$R$4:$R$145)+SUMIF(Master_Data!$AK$152:$AK$864,CONCATENATE($C62,$GG$3),Master_Data!$R$152:$R$864)</f>
        <v>0</v>
      </c>
      <c r="FY62" s="512">
        <f>SUMIF(Master_Data!$AK$4:$AK$145,CONCATENATE($C62,$GG$3),Master_Data!$Q$4:$Q$145)+SUMIF(Master_Data!$AK$152:$AK$864,CONCATENATE($C62,$GG$3),Master_Data!$Q$152:$Q$864)</f>
        <v>0</v>
      </c>
      <c r="FZ62" s="512">
        <f>SUMIF(Master_Data!$AK$4:$AK$145,CONCATENATE($C62,$GG$3),Master_Data!$U$4:$U$145)+SUMIF(Master_Data!$AK$152:$AK$864,CONCATENATE($C62,$GG$3),Master_Data!$U$152:$U$864)</f>
        <v>0</v>
      </c>
      <c r="GA62" s="310">
        <f>SUMIF(Master_Data!$AK$4:$AK$145,CONCATENATE($C62,$GG$3),Master_Data!$S$4:$S$145)+SUMIF(Master_Data!$AK$152:$AK$864,CONCATENATE($C62,$GG$3),Master_Data!$S$152:$S$864)</f>
        <v>0</v>
      </c>
      <c r="GB62" s="39">
        <f>SUMIF(Master_Data!$AK$152:$AK$915,CONCATENATE($C62,GG$3),Master_Data!$T$152:$T$915)</f>
        <v>0</v>
      </c>
      <c r="GC62" s="230">
        <f t="shared" si="99"/>
        <v>0</v>
      </c>
      <c r="GD62" s="230">
        <f t="shared" si="14"/>
        <v>0</v>
      </c>
      <c r="GE62" s="23"/>
      <c r="GF62" s="358" t="str">
        <f t="shared" ref="GF62:GF72" si="101">CONCATENATE($C62,$GG$3)</f>
        <v>SAMSUNG ELECTRONICS INDONESIA, PTNOV</v>
      </c>
      <c r="GG62" s="24"/>
      <c r="GH62" s="415"/>
      <c r="GI62" s="109">
        <f t="shared" si="70"/>
        <v>0</v>
      </c>
      <c r="GJ62" s="109">
        <f t="shared" si="71"/>
        <v>0</v>
      </c>
      <c r="GK62" s="423"/>
      <c r="GL62" s="109">
        <f>SUMIF(Bill_Out!$Q$679:$Q$756,CONCATENATE($C62,$GX$3),Bill_Out!$N$679:$N$756)</f>
        <v>0</v>
      </c>
      <c r="GM62" s="109">
        <f>SUMIF(Bill_Out!$Q$679:$Q$756,CONCATENATE($C62,$GX$3),Bill_Out!$O$679:$O$756)</f>
        <v>0</v>
      </c>
      <c r="GN62" s="157"/>
      <c r="GO62" s="512">
        <f>SUMIF(Master_Data!$AK$4:$AK$145,CONCATENATE($C62,$GX$3),Master_Data!$R$4:$R$145)+SUMIF(Master_Data!$AK$152:$AK$864,CONCATENATE($C62,$GX$3),Master_Data!$R$152:$R$864)</f>
        <v>0</v>
      </c>
      <c r="GP62" s="512">
        <f>SUMIF(Master_Data!$AK$4:$AK$145,CONCATENATE($C62,$GX$3),Master_Data!$Q$4:$Q$145)+SUMIF(Master_Data!$AK$152:$AK$864,CONCATENATE($C62,$GX$3),Master_Data!$Q$152:$Q$864)</f>
        <v>0</v>
      </c>
      <c r="GQ62" s="512">
        <f>SUMIF(Master_Data!$AK$4:$AK$145,CONCATENATE($C62,$GX$3),Master_Data!$U$4:$U$145)+SUMIF(Master_Data!$AK$152:$AK$864,CONCATENATE($C62,$GX$3),Master_Data!$U$152:$U$864)</f>
        <v>0</v>
      </c>
      <c r="GR62" s="310">
        <f>SUMIF(Master_Data!$AK$4:$AK$145,CONCATENATE($C62,$GX$3),Master_Data!$S$4:$S$145)+SUMIF(Master_Data!$AK$152:$AK$864,CONCATENATE($C62,$GX$3),Master_Data!$S$152:$S$864)</f>
        <v>0</v>
      </c>
      <c r="GS62" s="39">
        <f>SUMIF(Master_Data!$AK$152:$AK$864,CONCATENATE($C62,GX$3),Master_Data!$T$152:$T$864)</f>
        <v>0</v>
      </c>
      <c r="GT62" s="534">
        <f t="shared" si="44"/>
        <v>0</v>
      </c>
      <c r="GU62" s="310">
        <f t="shared" si="16"/>
        <v>0</v>
      </c>
      <c r="GV62" s="23"/>
      <c r="GW62" s="358" t="str">
        <f t="shared" si="87"/>
        <v>SAMSUNG ELECTRONICS INDONESIA, PTDES</v>
      </c>
      <c r="GX62" s="24"/>
    </row>
    <row r="63" spans="1:206" s="19" customFormat="1">
      <c r="A63" s="328" t="s">
        <v>604</v>
      </c>
      <c r="B63" s="236" t="str">
        <f t="shared" si="18"/>
        <v>SARANA MANDIRI UTAMA, PTJAN</v>
      </c>
      <c r="C63" s="8" t="s">
        <v>215</v>
      </c>
      <c r="D63" s="23" t="s">
        <v>322</v>
      </c>
      <c r="E63" s="109">
        <f>SUMIF(Master_Data!$D54:$D$145,CONCATENATE(C63),Master_Data!M54:M921)</f>
        <v>99</v>
      </c>
      <c r="F63" s="109">
        <f>SUMIF(Master_Data!$D60:$D$145,CONCATENATE(C63),Master_Data!N60:N320)</f>
        <v>0</v>
      </c>
      <c r="G63" s="31"/>
      <c r="H63" s="109">
        <f>SUMIF(Bill_Out!$Q$3:$Q$65,CONCATENATE($C63,$S$3),Bill_Out!$N$3:$N$65)</f>
        <v>0</v>
      </c>
      <c r="I63" s="88">
        <f>SUMIF(Bill_Out!$Q$3:$Q$65,CONCATENATE($C63,$S$3),Bill_Out!$O$3:$O$65)</f>
        <v>0</v>
      </c>
      <c r="J63" s="157"/>
      <c r="K63" s="29"/>
      <c r="L63" s="44"/>
      <c r="M63" s="230">
        <f>SUMIF(Master_Data!$AK59:$AK$145,CONCATENATE(C63,$S$3),Master_Data!U59:U413)+SUMIF(Master_Data!$AK450:$AK$864,CONCATENATE(C63,$S$3),Master_Data!U450:U1372)</f>
        <v>0</v>
      </c>
      <c r="N63" s="310">
        <f>SUMIF(Master_Data!$AK$4:$AK$145,CONCATENATE(C63,$S$3),Master_Data!$S$4:$S$145)+SUMIF(Master_Data!$AK$150:$AK$864,CONCATENATE(C63,$S$3),Master_Data!$S$150:$S$864)</f>
        <v>0</v>
      </c>
      <c r="O63" s="310">
        <f>SUMIF(Master_Data!$AK$4:$AK$145,CONCATENATE(C63,$S$3),Master_Data!$T$4:$T$145)+SUMIF(Master_Data!$AK$150:$AK$864,CONCATENATE(C63,$S$3),Master_Data!$T$150:$T$864)</f>
        <v>0</v>
      </c>
      <c r="P63" s="230">
        <f t="shared" si="19"/>
        <v>99</v>
      </c>
      <c r="Q63" s="230">
        <f t="shared" si="20"/>
        <v>0</v>
      </c>
      <c r="R63" s="23"/>
      <c r="S63" s="24"/>
      <c r="T63" s="31"/>
      <c r="U63" s="109">
        <f t="shared" si="94"/>
        <v>99</v>
      </c>
      <c r="V63" s="109">
        <f t="shared" si="95"/>
        <v>0</v>
      </c>
      <c r="W63" s="31"/>
      <c r="X63" s="109">
        <f>SUMIF(Bill_Out!$Q$67:$Q$132,CONCATENATE($C63,$AJ$3),Bill_Out!$N$67:$N$132)</f>
        <v>0</v>
      </c>
      <c r="Y63" s="109">
        <f>SUMIF(Bill_Out!$Q$67:$Q$132,CONCATENATE($C63,$AJ$3),Bill_Out!$O$67:$O$132)</f>
        <v>0</v>
      </c>
      <c r="Z63" s="157"/>
      <c r="AA63" s="230">
        <f>SUMIF(Master_Data!$AK$4:$AK$145,CONCATENATE(C63,$AJ$3),Master_Data!$R$4:$R$145)+SUMIF(Master_Data!$AK$152:$AK$850,CONCATENATE(C63,$AJ$3),Master_Data!$R$152:$R$850)</f>
        <v>0</v>
      </c>
      <c r="AB63" s="230">
        <f>SUMIF(Master_Data!$AK$4:$AK$145,CONCATENATE(C63,$AJ$3),Master_Data!$Q$4:$Q$145)+SUMIF(Master_Data!$AK$152:$AK$850,CONCATENATE(C63,$AJ$3),Master_Data!$Q$152:$Q$850)</f>
        <v>0</v>
      </c>
      <c r="AC63" s="230">
        <f>SUMIF(Master_Data!$AK$4:$AK$145,CONCATENATE(C63,$AJ$3),Master_Data!$U$4:$U$145)+SUMIF(Master_Data!$AK$152:$AK$850,CONCATENATE(C63,$AJ$3),Master_Data!$U$152:$U$850)</f>
        <v>0</v>
      </c>
      <c r="AD63" s="310">
        <f ca="1">SUMIF(Master_Data!$AK$4:$AK$145,CONCATENATE(C63,$AJ$3),Master_Data!$S$4:$S$145)+SUMIF(Master_Data!$AK$152:$AK$864,CONCATENATE(C63,$AJ$3),Master_Data!$S$152:$S$850)</f>
        <v>0</v>
      </c>
      <c r="AE63" s="310">
        <f>SUMIF(Master_Data!$AK$4:$AK$145,CONCATENATE(C63,$AJ$3),Master_Data!$T$4:$T$145)+SUMIF(Master_Data!$AK$152:$AK$864,CONCATENATE(C63,$AJ$3),Master_Data!$T$152:$T$864)</f>
        <v>0</v>
      </c>
      <c r="AF63" s="230">
        <f t="shared" si="63"/>
        <v>99</v>
      </c>
      <c r="AG63" s="230">
        <f t="shared" ca="1" si="64"/>
        <v>0</v>
      </c>
      <c r="AH63" s="23"/>
      <c r="AI63" s="235" t="str">
        <f t="shared" si="86"/>
        <v>SARANA MANDIRI UTAMA, PTFEB</v>
      </c>
      <c r="AJ63" s="24"/>
      <c r="AK63" s="31"/>
      <c r="AL63" s="109">
        <f t="shared" si="65"/>
        <v>99</v>
      </c>
      <c r="AM63" s="109">
        <f t="shared" ca="1" si="66"/>
        <v>0</v>
      </c>
      <c r="AN63" s="31"/>
      <c r="AO63" s="109">
        <f>SUMIF(Bill_Out!$Q$134:$Q$188,CONCATENATE($C63,$BA$3),Bill_Out!$N$134:$N$188)</f>
        <v>0</v>
      </c>
      <c r="AP63" s="109">
        <f>SUMIF(Bill_Out!$Q$134:$Q$188,CONCATENATE($C63,$BA$3),Bill_Out!$O$134:$O$188)</f>
        <v>0</v>
      </c>
      <c r="AQ63" s="157"/>
      <c r="AR63" s="230">
        <f>SUMIF(Master_Data!$AK$4:$AK$145,CONCATENATE(C63,$BA$3),Master_Data!$R$4:$R$145)+SUMIF(Master_Data!$AK$152:$AK$864,CONCATENATE(C63,$BA$3),Master_Data!$R$152:$R$864)</f>
        <v>0</v>
      </c>
      <c r="AS63" s="230">
        <f>SUMIF(Master_Data!$AK$4:$AK$145,CONCATENATE(C63,$BA$3),Master_Data!$Q$4:$Q$145)+SUMIF(Master_Data!$AK$152:$AK$864,CONCATENATE(C63,$BA$3),Master_Data!$Q$152:$Q$864)</f>
        <v>0</v>
      </c>
      <c r="AT63" s="230">
        <f>SUMIF(Master_Data!$AK$4:$AK$145,CONCATENATE(C63,$BA$3),Master_Data!$U$4:$U$145)+SUMIF(Master_Data!$AK$152:$AK$864,CONCATENATE(C63,$BA$3),Master_Data!$U$152:$U$864)</f>
        <v>0</v>
      </c>
      <c r="AU63" s="230">
        <f ca="1">SUMIF(Master_Data!$AK$4:$AK$145,CONCATENATE(C63,$BA$3),Master_Data!$S$4:$S$145)+SUMIF(Master_Data!$AK$152:$AK$864,CONCATENATE(C63,$BA$3),Master_Data!$S$152:$S$850)</f>
        <v>0</v>
      </c>
      <c r="AV63" s="39">
        <f>SUMIF(Master_Data!$AK$152:$AK$864,CONCATENATE($C63,BA$3),Master_Data!$T$152:$T$864)</f>
        <v>0</v>
      </c>
      <c r="AW63" s="230">
        <f t="shared" si="57"/>
        <v>99</v>
      </c>
      <c r="AX63" s="230">
        <f t="shared" ca="1" si="58"/>
        <v>0</v>
      </c>
      <c r="AY63" s="23"/>
      <c r="AZ63" s="235" t="str">
        <f t="shared" si="21"/>
        <v>SARANA MANDIRI UTAMA, PTMAR</v>
      </c>
      <c r="BA63" s="24"/>
      <c r="BB63" s="31"/>
      <c r="BC63" s="109">
        <f t="shared" si="22"/>
        <v>99</v>
      </c>
      <c r="BD63" s="109">
        <f t="shared" ca="1" si="23"/>
        <v>0</v>
      </c>
      <c r="BE63" s="31"/>
      <c r="BF63" s="109">
        <f>SUMIF(Bill_Out!$Q$192:$Q$258,CONCATENATE($C63,$BR$3),Bill_Out!$N$192:$N$258)</f>
        <v>0</v>
      </c>
      <c r="BG63" s="109">
        <f>SUMIF(Bill_Out!$Q$192:$Q$258,CONCATENATE($C63,$BR$3),Bill_Out!$O$192:$O$258)</f>
        <v>0</v>
      </c>
      <c r="BH63" s="157"/>
      <c r="BI63" s="230">
        <f>SUMIF(Master_Data!$AK$4:$AK$145,CONCATENATE(C63,$BR$3),Master_Data!$R$4:$R$145)+SUMIF(Master_Data!$AK$152:$AK$864,CONCATENATE(C63,$BR$3),Master_Data!$R$152:$R$864)</f>
        <v>0</v>
      </c>
      <c r="BJ63" s="230">
        <f>SUMIF(Master_Data!$AK$4:$AK$145,CONCATENATE(C63,$BR$3),Master_Data!$Q$4:$Q$145)+SUMIF(Master_Data!$AK$152:$AK$864,CONCATENATE(C63,$BR$3),Master_Data!$Q$152:$Q$864)</f>
        <v>0</v>
      </c>
      <c r="BK63" s="230">
        <f>SUMIF(Master_Data!$AK$4:$AK$145,CONCATENATE(C63,$BR$3),Master_Data!$U$4:$U$145)+SUMIF(Master_Data!$AK$152:$AK$864,CONCATENATE(C63,$BR$3),Master_Data!$U$152:$U$864)</f>
        <v>0</v>
      </c>
      <c r="BL63" s="230">
        <f>SUMIF(Master_Data!$AK$4:$AK$145,CONCATENATE(C63,$BR$3),Master_Data!$S$4:$S$145)+SUMIF(Master_Data!$AK$152:$AK$864,CONCATENATE(C63,$BR$3),Master_Data!$S$152:$S$864)</f>
        <v>0</v>
      </c>
      <c r="BM63" s="39">
        <f>SUMIF(Master_Data!$AK$152:$AK$864,CONCATENATE($C63,BR$3),Master_Data!$T$152:$T$864)</f>
        <v>0</v>
      </c>
      <c r="BN63" s="230">
        <f t="shared" si="24"/>
        <v>99</v>
      </c>
      <c r="BO63" s="230">
        <f t="shared" ca="1" si="25"/>
        <v>0</v>
      </c>
      <c r="BP63" s="23"/>
      <c r="BQ63" s="909" t="str">
        <f t="shared" si="26"/>
        <v>SARANA MANDIRI UTAMA, PTAPR</v>
      </c>
      <c r="BR63" s="24"/>
      <c r="BS63" s="31"/>
      <c r="BT63" s="109">
        <f t="shared" si="78"/>
        <v>99</v>
      </c>
      <c r="BU63" s="109">
        <f t="shared" ca="1" si="79"/>
        <v>0</v>
      </c>
      <c r="BV63" s="31"/>
      <c r="BW63" s="109">
        <f>SUMIF(Bill_Out!$Q$263:$Q$314,CONCATENATE($C63,$CI$3),Bill_Out!$N$263:$N$314)</f>
        <v>0</v>
      </c>
      <c r="BX63" s="109">
        <f>SUMIF(Bill_Out!$Q$263:$Q$314,CONCATENATE($C63,$CI$3),Bill_Out!$O$263:$O$314)</f>
        <v>0</v>
      </c>
      <c r="BY63" s="157"/>
      <c r="BZ63" s="310">
        <f>SUMIF(Master_Data!$AK$4:$AK$145,CONCATENATE(C63,$CI$3),Master_Data!$R$4:$R$145)+SUMIF(Master_Data!$AK$152:$AK$864,CONCATENATE(C63,$CI$3),Master_Data!$R$152:$R$864)</f>
        <v>0</v>
      </c>
      <c r="CA63" s="310">
        <f>SUMIF(Master_Data!$AK$4:$AK$145,CONCATENATE(C63,$CI$3),Master_Data!$Q$4:$Q$145)+SUMIF(Master_Data!$AK$152:$AK$864,CONCATENATE(C63,$CI$3),Master_Data!$Q$152:$Q$864)</f>
        <v>0</v>
      </c>
      <c r="CB63" s="310">
        <f>SUMIF(Master_Data!$AK$4:$AK$145,CONCATENATE(C63,$CI$3),Master_Data!$U$4:$U$145)+SUMIF(Master_Data!$AK$152:$AK$864,CONCATENATE(C63,$CI$3),Master_Data!$U$152:$U$864)</f>
        <v>0</v>
      </c>
      <c r="CC63" s="230">
        <f>SUMIF(Master_Data!$AK$4:$AK$145,CONCATENATE(C63,$CI$3),Master_Data!$S$4:$S$145)+SUMIF(Master_Data!$AK$152:$AK$864,CONCATENATE(C63,$CI$3),Master_Data!$S$152:$S$864)</f>
        <v>0</v>
      </c>
      <c r="CD63" s="39">
        <f>SUMIF(Master_Data!$AK$152:$AK$864,CONCATENATE($C63,CI$3),Master_Data!$T$152:$T$864)</f>
        <v>0</v>
      </c>
      <c r="CE63" s="310">
        <f t="shared" si="27"/>
        <v>99</v>
      </c>
      <c r="CF63" s="230">
        <f t="shared" ca="1" si="28"/>
        <v>0</v>
      </c>
      <c r="CG63" s="23"/>
      <c r="CH63" s="235" t="str">
        <f t="shared" si="29"/>
        <v>SARANA MANDIRI UTAMA, PTMEI</v>
      </c>
      <c r="CI63" s="24"/>
      <c r="CJ63" s="31"/>
      <c r="CK63" s="109">
        <f t="shared" si="30"/>
        <v>99</v>
      </c>
      <c r="CL63" s="238">
        <f t="shared" ca="1" si="31"/>
        <v>0</v>
      </c>
      <c r="CM63" s="31"/>
      <c r="CN63" s="238">
        <f>SUMIF(Bill_Out!$Q$318:$Q$371,CONCATENATE($C63,$CZ$3),Bill_Out!$N$318:$N$371)</f>
        <v>0</v>
      </c>
      <c r="CO63" s="238">
        <f>SUMIF(Bill_Out!$Q$318:$Q$371,CONCATENATE($C63,$CZ$3),Bill_Out!$O$318:$O$371)</f>
        <v>0</v>
      </c>
      <c r="CP63" s="157"/>
      <c r="CQ63" s="230">
        <f>SUMIF(Master_Data!$AK$4:$AK$145,CONCATENATE($C63,$CZ$3),Master_Data!$R$4:$R$145)+SUMIF(Master_Data!$AK$152:$AK$864,CONCATENATE($C63,$CZ$3),Master_Data!$R$152:$R$864)</f>
        <v>0</v>
      </c>
      <c r="CR63" s="230">
        <f>SUMIF(Master_Data!$AK$4:$AK$145,CONCATENATE($C63,$CZ$3),Master_Data!$Q$4:$Q$145)+SUMIF(Master_Data!$AK$152:$AK$864,CONCATENATE($C63,$CZ$3),Master_Data!$Q$152:$Q$864)</f>
        <v>0</v>
      </c>
      <c r="CS63" s="230">
        <f>SUMIF(Master_Data!$AK$4:$AK$145,CONCATENATE($C63,$CZ$3),Master_Data!$U$4:$U$145)+SUMIF(Master_Data!$AK$152:$AK$864,CONCATENATE($C63,$CZ$3),Master_Data!$U$152:$U$864)</f>
        <v>0</v>
      </c>
      <c r="CT63" s="230">
        <f ca="1">SUMIF(Master_Data!$AK$4:$AK$145,CONCATENATE(C63,$CZ$3),Master_Data!$S$4:$S$145)+SUMIF(Master_Data!$AK$152:$AK$915,CONCATENATE(C63,$CZ$3),Master_Data!$S$152:$S$864)</f>
        <v>0</v>
      </c>
      <c r="CU63" s="1010">
        <f>SUMIF(Master_Data!$AK$4:$AK$145,CONCATENATE(C63,$CZ$3),Master_Data!$T$4:$T$145)+SUMIF(Master_Data!$AK$152:$AK$864,CONCATENATE(C63,$CZ$3),Master_Data!$T$152:$T$864)</f>
        <v>0</v>
      </c>
      <c r="CV63" s="230">
        <f t="shared" si="32"/>
        <v>99</v>
      </c>
      <c r="CW63" s="230">
        <f t="shared" ca="1" si="33"/>
        <v>0</v>
      </c>
      <c r="CX63" s="23"/>
      <c r="CY63" s="1007" t="str">
        <f t="shared" si="6"/>
        <v>SARANA MANDIRI UTAMA, PTJUN</v>
      </c>
      <c r="CZ63" s="24"/>
      <c r="DA63" s="31"/>
      <c r="DB63" s="109">
        <f t="shared" si="34"/>
        <v>99</v>
      </c>
      <c r="DC63" s="109">
        <f t="shared" ca="1" si="35"/>
        <v>0</v>
      </c>
      <c r="DD63" s="31"/>
      <c r="DE63" s="109">
        <f>SUMIF(Bill_Out!$Q$375:$Q$422,CONCATENATE($C63,$DQ$3),Bill_Out!$N$375:$N$422)</f>
        <v>0</v>
      </c>
      <c r="DF63" s="109">
        <f>SUMIF(Bill_Out!$Q$375:$Q$422,CONCATENATE($C63,$DQ$3),Bill_Out!$O$375:$O$422)</f>
        <v>0</v>
      </c>
      <c r="DG63" s="157"/>
      <c r="DH63" s="310">
        <f>SUMIF(Master_Data!$AK$4:$AK$145,CONCATENATE($C63,$DQ$3),Master_Data!$R$4:$R$145)+SUMIF(Master_Data!$AK$152:$AK$864,CONCATENATE($C63,$DQ$3),Master_Data!$R$152:$R$864)</f>
        <v>0</v>
      </c>
      <c r="DI63" s="310">
        <f>SUMIF(Master_Data!$AK$4:$AK$145,CONCATENATE($C63,$DQ$3),Master_Data!$Q$4:$Q$145)+SUMIF(Master_Data!$AK$152:$AK$864,CONCATENATE($C63,$DQ$3),Master_Data!$Q$152:$Q$864)</f>
        <v>0</v>
      </c>
      <c r="DJ63" s="310">
        <f>SUMIF(Master_Data!$AK$4:$AK$145,CONCATENATE($C63,$DQ$3),Master_Data!$U$4:$U$145)+SUMIF(Master_Data!$AK$152:$AK$864,CONCATENATE($C63,$DQ$3),Master_Data!$U$152:$U$864)</f>
        <v>0</v>
      </c>
      <c r="DK63" s="310">
        <f>SUMIF(Master_Data!$AK$4:$AK$145,CONCATENATE($C63,$DQ$3),Master_Data!$S$4:$S$145)+SUMIF(Master_Data!$AK$152:$AK$864,CONCATENATE($C63,$DQ$3),Master_Data!$S$152:$S$864)</f>
        <v>0</v>
      </c>
      <c r="DL63" s="39">
        <f>SUMIF(Master_Data!$AK$152:$AK$915,CONCATENATE($C63,DQ$3),Master_Data!$T$152:$T$915)</f>
        <v>0</v>
      </c>
      <c r="DM63" s="230">
        <f t="shared" si="67"/>
        <v>99</v>
      </c>
      <c r="DN63" s="230">
        <f t="shared" ca="1" si="68"/>
        <v>0</v>
      </c>
      <c r="DO63" s="23"/>
      <c r="DP63" s="358" t="str">
        <f t="shared" si="9"/>
        <v>SARANA MANDIRI UTAMA, PTJUL</v>
      </c>
      <c r="DQ63" s="24"/>
      <c r="DR63" s="392"/>
      <c r="DS63" s="109">
        <f t="shared" si="36"/>
        <v>99</v>
      </c>
      <c r="DT63" s="109">
        <f t="shared" ca="1" si="37"/>
        <v>0</v>
      </c>
      <c r="DU63" s="31"/>
      <c r="DV63" s="109">
        <f>SUMIF(Bill_Out!$Q$426:$Q$472,CONCATENATE($C63,$EH$3),Bill_Out!$N$426:$N$472)</f>
        <v>0</v>
      </c>
      <c r="DW63" s="109">
        <f>SUMIF(Bill_Out!$Q$426:$Q$472,CONCATENATE($C63,$EH$3),Bill_Out!$O$426:$O$472)</f>
        <v>0</v>
      </c>
      <c r="DX63" s="157"/>
      <c r="DY63" s="310">
        <f>SUMIF(Master_Data!$AK$4:$AK$145,CONCATENATE($C63,$EH$3),Master_Data!$R$4:$R$145)+SUMIF(Master_Data!$AK$152:$AK$864,CONCATENATE($C63,$EH$3),Master_Data!$R$152:$R$864)</f>
        <v>0</v>
      </c>
      <c r="DZ63" s="310">
        <f>SUMIF(Master_Data!$AK$4:$AK$145,CONCATENATE($C63,$EH$3),Master_Data!$Q$4:$Q$145)+SUMIF(Master_Data!$AK$152:$AK$864,CONCATENATE($C63,$EH$3),Master_Data!$Q$152:$Q$864)</f>
        <v>0</v>
      </c>
      <c r="EA63" s="310">
        <f>SUMIF(Master_Data!$AK$4:$AK$145,CONCATENATE($C63,$EH$3),Master_Data!$U$4:$U$145)+SUMIF(Master_Data!$AK$152:$AK$864,CONCATENATE($C63,$EH$3),Master_Data!$U$152:$U$864)</f>
        <v>0</v>
      </c>
      <c r="EB63" s="310">
        <f>SUMIF(Master_Data!$AK$4:$AK$145,CONCATENATE($C63,$EH$3),Master_Data!$S$4:$S$145)+SUMIF(Master_Data!$AK$152:$AK$864,CONCATENATE($C63,$EH$3),Master_Data!$S$152:$S$864)</f>
        <v>0</v>
      </c>
      <c r="EC63" s="39">
        <f>SUMIF(Master_Data!$AK$152:$AK$915,CONCATENATE($C63,EH$3),Master_Data!$T$152:$T$915)</f>
        <v>0</v>
      </c>
      <c r="ED63" s="310">
        <f t="shared" si="38"/>
        <v>99</v>
      </c>
      <c r="EE63" s="230">
        <f t="shared" ca="1" si="39"/>
        <v>0</v>
      </c>
      <c r="EF63" s="23"/>
      <c r="EG63" s="358" t="str">
        <f t="shared" si="10"/>
        <v>SARANA MANDIRI UTAMA, PTAGS</v>
      </c>
      <c r="EH63" s="24"/>
      <c r="EI63" s="392"/>
      <c r="EJ63" s="109">
        <f t="shared" si="47"/>
        <v>99</v>
      </c>
      <c r="EK63" s="109">
        <f t="shared" ca="1" si="48"/>
        <v>0</v>
      </c>
      <c r="EL63" s="84"/>
      <c r="EM63" s="109">
        <f>SUMIF(Bill_Out!$Q$476:$Q$530,CONCATENATE($C63,$EY$3),Bill_Out!$N$476:$N$530)</f>
        <v>0</v>
      </c>
      <c r="EN63" s="109">
        <f>SUMIF(Bill_Out!$Q$476:$Q$530,CONCATENATE($C63,$EY$3),Bill_Out!$O$476:$O$530)</f>
        <v>0</v>
      </c>
      <c r="EO63" s="309"/>
      <c r="EP63" s="310">
        <f>SUMIF(Master_Data!$AK$4:$AK$145,CONCATENATE($C63,$EY$3),Master_Data!$R$4:$R$145)+SUMIF(Master_Data!$AK$152:$AK$864,CONCATENATE($C63,$EY$3),Master_Data!$R$152:$R$864)</f>
        <v>0</v>
      </c>
      <c r="EQ63" s="310">
        <f>SUMIF(Master_Data!$AK$4:$AK$145,CONCATENATE($C63,$EY$3),Master_Data!$Q$4:$Q$145)+SUMIF(Master_Data!$AK$152:$AK$864,CONCATENATE($C63,$EY$3),Master_Data!$Q$152:$Q$864)</f>
        <v>0</v>
      </c>
      <c r="ER63" s="310">
        <f>SUMIF(Master_Data!$AK$4:$AK$145,CONCATENATE($C63,$EY$3),Master_Data!$U$4:$U$145)+SUMIF(Master_Data!$AK$152:$AK$864,CONCATENATE($C63,$EY$3),Master_Data!$U$152:$U$864)</f>
        <v>0</v>
      </c>
      <c r="ES63" s="310">
        <f>SUMIF(Master_Data!$AK$4:$AK$145,CONCATENATE($C63,$EY$3),Master_Data!$S$4:$S$145)+SUMIF(Master_Data!$AK$152:$AK$864,CONCATENATE($C63,$EY$3),Master_Data!$S$152:$S$864)</f>
        <v>0</v>
      </c>
      <c r="ET63" s="39">
        <f>SUMIF(Master_Data!$AK$152:$AK$915,CONCATENATE($C63,EY$3),Master_Data!$T$152:$T$915)</f>
        <v>0</v>
      </c>
      <c r="EU63" s="310">
        <f t="shared" si="49"/>
        <v>99</v>
      </c>
      <c r="EV63" s="230"/>
      <c r="EW63" s="84"/>
      <c r="EX63" s="358" t="str">
        <f t="shared" si="11"/>
        <v>SARANA MANDIRI UTAMA, PTSEP</v>
      </c>
      <c r="EY63" s="24"/>
      <c r="EZ63" s="415"/>
      <c r="FA63" s="109">
        <f t="shared" si="88"/>
        <v>99</v>
      </c>
      <c r="FB63" s="109">
        <f t="shared" si="96"/>
        <v>0</v>
      </c>
      <c r="FC63" s="420"/>
      <c r="FD63" s="109">
        <f>SUMIF(Bill_Out!$Q$534:$Q$606,CONCATENATE($C63,$FP$3),Bill_Out!$N$534:$N$606)</f>
        <v>0</v>
      </c>
      <c r="FE63" s="109">
        <f>SUMIF(Bill_Out!$Q$534:$Q$606,CONCATENATE($C63,$FP$3),Bill_Out!$O$534:$O$606)</f>
        <v>0</v>
      </c>
      <c r="FF63" s="157"/>
      <c r="FG63" s="310">
        <f>SUMIF(Master_Data!$AK$4:$AK$145,CONCATENATE($C63,$FP$3),Master_Data!$R$4:$R$145)+SUMIF(Master_Data!$AK$152:$AK$864,CONCATENATE($C63,$FP$3),Master_Data!$R$152:$R$864)</f>
        <v>0</v>
      </c>
      <c r="FH63" s="310">
        <f>SUMIF(Master_Data!$AK$4:$AK$145,CONCATENATE($C63,$FP$3),Master_Data!$Q$4:$Q$145)+SUMIF(Master_Data!$AK$152:$AK$864,CONCATENATE($C63,$FP$3),Master_Data!$Q$152:$Q$864)</f>
        <v>0</v>
      </c>
      <c r="FI63" s="310">
        <f>SUMIF(Master_Data!$AK$4:$AK$145,CONCATENATE($C63,$FP$3),Master_Data!$U$4:$U$145)+SUMIF(Master_Data!$AK$152:$AK$864,CONCATENATE($C63,$FP$3),Master_Data!$U$152:$U$864)</f>
        <v>0</v>
      </c>
      <c r="FJ63" s="310">
        <f>SUMIF(Master_Data!$AK$4:$AK$145,CONCATENATE($C63,$FP$3),Master_Data!$S$4:$S$145)+SUMIF(Master_Data!$AK$152:$AK$864,CONCATENATE($C63,$FP$3),Master_Data!$S$152:$S$864)</f>
        <v>0</v>
      </c>
      <c r="FK63" s="39">
        <f>SUMIF(Master_Data!$AK$152:$AK$915,CONCATENATE($C63,FP$3),Master_Data!$T$152:$T$915)</f>
        <v>0</v>
      </c>
      <c r="FL63" s="230">
        <f t="shared" si="90"/>
        <v>99</v>
      </c>
      <c r="FM63" s="230">
        <f t="shared" si="12"/>
        <v>0</v>
      </c>
      <c r="FN63" s="23"/>
      <c r="FO63" s="358" t="str">
        <f t="shared" si="100"/>
        <v>SARANA MANDIRI UTAMA, PTOKT</v>
      </c>
      <c r="FP63" s="24"/>
      <c r="FQ63" s="415"/>
      <c r="FR63" s="109">
        <f t="shared" si="97"/>
        <v>99</v>
      </c>
      <c r="FS63" s="109">
        <f t="shared" si="98"/>
        <v>0</v>
      </c>
      <c r="FT63" s="420"/>
      <c r="FU63" s="109">
        <f>SUMIF(Bill_Out!$Q$610:$Q$675,CONCATENATE($C63,$GG$3),Bill_Out!$N$610:$N$675)</f>
        <v>0</v>
      </c>
      <c r="FV63" s="109">
        <f>SUMIF(Bill_Out!$Q$610:$Q$675,CONCATENATE($C63,$GG$3),Bill_Out!$O$610:$O$675)</f>
        <v>0</v>
      </c>
      <c r="FW63" s="157"/>
      <c r="FX63" s="512">
        <f>SUMIF(Master_Data!$AK$4:$AK$145,CONCATENATE($C63,$GG$3),Master_Data!$R$4:$R$145)+SUMIF(Master_Data!$AK$152:$AK$864,CONCATENATE($C63,$GG$3),Master_Data!$R$152:$R$864)</f>
        <v>0</v>
      </c>
      <c r="FY63" s="512">
        <f>SUMIF(Master_Data!$AK$4:$AK$145,CONCATENATE($C63,$GG$3),Master_Data!$Q$4:$Q$145)+SUMIF(Master_Data!$AK$152:$AK$864,CONCATENATE($C63,$GG$3),Master_Data!$Q$152:$Q$864)</f>
        <v>0</v>
      </c>
      <c r="FZ63" s="512">
        <f>SUMIF(Master_Data!$AK$4:$AK$145,CONCATENATE($C63,$GG$3),Master_Data!$U$4:$U$145)+SUMIF(Master_Data!$AK$152:$AK$864,CONCATENATE($C63,$GG$3),Master_Data!$U$152:$U$864)</f>
        <v>0</v>
      </c>
      <c r="GA63" s="310">
        <f>SUMIF(Master_Data!$AK$4:$AK$145,CONCATENATE($C63,$GG$3),Master_Data!$S$4:$S$145)+SUMIF(Master_Data!$AK$152:$AK$864,CONCATENATE($C63,$GG$3),Master_Data!$S$152:$S$864)</f>
        <v>0</v>
      </c>
      <c r="GB63" s="39">
        <f>SUMIF(Master_Data!$AK$152:$AK$915,CONCATENATE($C63,GG$3),Master_Data!$T$152:$T$915)</f>
        <v>0</v>
      </c>
      <c r="GC63" s="230">
        <f t="shared" si="99"/>
        <v>99</v>
      </c>
      <c r="GD63" s="230">
        <f t="shared" si="14"/>
        <v>0</v>
      </c>
      <c r="GE63" s="23"/>
      <c r="GF63" s="358" t="str">
        <f t="shared" si="101"/>
        <v>SARANA MANDIRI UTAMA, PTNOV</v>
      </c>
      <c r="GG63" s="24"/>
      <c r="GH63" s="415" t="s">
        <v>322</v>
      </c>
      <c r="GI63" s="109">
        <f t="shared" si="70"/>
        <v>99</v>
      </c>
      <c r="GJ63" s="109">
        <f t="shared" si="71"/>
        <v>0</v>
      </c>
      <c r="GK63" s="423"/>
      <c r="GL63" s="109">
        <f>SUMIF(Bill_Out!$Q$679:$Q$756,CONCATENATE($C63,$GX$3),Bill_Out!$N$679:$N$756)</f>
        <v>0</v>
      </c>
      <c r="GM63" s="109">
        <f>SUMIF(Bill_Out!$Q$679:$Q$756,CONCATENATE($C63,$GX$3),Bill_Out!$O$679:$O$756)</f>
        <v>0</v>
      </c>
      <c r="GN63" s="157"/>
      <c r="GO63" s="512">
        <f>SUMIF(Master_Data!$AK$4:$AK$145,CONCATENATE($C63,$GX$3),Master_Data!$R$4:$R$145)+SUMIF(Master_Data!$AK$152:$AK$864,CONCATENATE($C63,$GX$3),Master_Data!$R$152:$R$864)</f>
        <v>0</v>
      </c>
      <c r="GP63" s="512">
        <f>SUMIF(Master_Data!$AK$4:$AK$145,CONCATENATE($C63,$GX$3),Master_Data!$Q$4:$Q$145)+SUMIF(Master_Data!$AK$152:$AK$864,CONCATENATE($C63,$GX$3),Master_Data!$Q$152:$Q$864)</f>
        <v>0</v>
      </c>
      <c r="GQ63" s="512">
        <f>SUMIF(Master_Data!$AK$4:$AK$145,CONCATENATE($C63,$GX$3),Master_Data!$U$4:$U$145)+SUMIF(Master_Data!$AK$152:$AK$864,CONCATENATE($C63,$GX$3),Master_Data!$U$152:$U$864)</f>
        <v>0</v>
      </c>
      <c r="GR63" s="310">
        <f>SUMIF(Master_Data!$AK$4:$AK$145,CONCATENATE($C63,$GX$3),Master_Data!$S$4:$S$145)+SUMIF(Master_Data!$AK$152:$AK$864,CONCATENATE($C63,$GX$3),Master_Data!$S$152:$S$864)</f>
        <v>0</v>
      </c>
      <c r="GS63" s="39">
        <f>SUMIF(Master_Data!$AK$152:$AK$864,CONCATENATE($C63,GX$3),Master_Data!$T$152:$T$864)</f>
        <v>0</v>
      </c>
      <c r="GT63" s="534">
        <f t="shared" si="44"/>
        <v>99</v>
      </c>
      <c r="GU63" s="310">
        <f t="shared" si="16"/>
        <v>0</v>
      </c>
      <c r="GV63" s="23"/>
      <c r="GW63" s="358" t="str">
        <f t="shared" si="87"/>
        <v>SARANA MANDIRI UTAMA, PTDES</v>
      </c>
      <c r="GX63" s="24"/>
    </row>
    <row r="64" spans="1:206" s="19" customFormat="1">
      <c r="A64" s="21" t="s">
        <v>609</v>
      </c>
      <c r="B64" s="236" t="str">
        <f t="shared" si="18"/>
        <v>SELARAS INTI SEMESTA, PTJAN</v>
      </c>
      <c r="C64" s="8" t="s">
        <v>2686</v>
      </c>
      <c r="D64" s="23"/>
      <c r="E64" s="109"/>
      <c r="F64" s="109"/>
      <c r="G64" s="31"/>
      <c r="H64" s="109"/>
      <c r="I64" s="88"/>
      <c r="J64" s="157"/>
      <c r="K64" s="29"/>
      <c r="L64" s="44"/>
      <c r="M64" s="230"/>
      <c r="N64" s="310"/>
      <c r="O64" s="310"/>
      <c r="P64" s="230"/>
      <c r="Q64" s="230"/>
      <c r="R64" s="23"/>
      <c r="S64" s="24"/>
      <c r="T64" s="31"/>
      <c r="U64" s="109"/>
      <c r="V64" s="109"/>
      <c r="W64" s="31"/>
      <c r="X64" s="109"/>
      <c r="Y64" s="109"/>
      <c r="Z64" s="157"/>
      <c r="AA64" s="230"/>
      <c r="AB64" s="230"/>
      <c r="AC64" s="230"/>
      <c r="AD64" s="310"/>
      <c r="AE64" s="310"/>
      <c r="AF64" s="230"/>
      <c r="AG64" s="230"/>
      <c r="AH64" s="23"/>
      <c r="AI64" s="235" t="str">
        <f t="shared" si="86"/>
        <v>SELARAS INTI SEMESTA, PTFEB</v>
      </c>
      <c r="AJ64" s="24"/>
      <c r="AK64" s="31"/>
      <c r="AL64" s="109">
        <f>AF64</f>
        <v>0</v>
      </c>
      <c r="AM64" s="109">
        <f>AG64</f>
        <v>0</v>
      </c>
      <c r="AN64" s="31"/>
      <c r="AO64" s="109">
        <f>SUMIF(Bill_Out!$Q$134:$Q$188,CONCATENATE($C64,$BA$3),Bill_Out!$N$134:$N$188)</f>
        <v>0</v>
      </c>
      <c r="AP64" s="109">
        <f>SUMIF(Bill_Out!$Q$134:$Q$188,CONCATENATE($C64,$BA$3),Bill_Out!$O$134:$O$188)</f>
        <v>0</v>
      </c>
      <c r="AQ64" s="157"/>
      <c r="AR64" s="230">
        <f>SUMIF(Master_Data!$AK$4:$AK$145,CONCATENATE(C64,$BA$3),Master_Data!$R$4:$R$145)+SUMIF(Master_Data!$AK$152:$AK$864,CONCATENATE(C64,$BA$3),Master_Data!$R$152:$R$864)</f>
        <v>0</v>
      </c>
      <c r="AS64" s="230">
        <f>SUMIF(Master_Data!$AK$4:$AK$145,CONCATENATE(C64,$BA$3),Master_Data!$Q$4:$Q$145)+SUMIF(Master_Data!$AK$152:$AK$864,CONCATENATE(C64,$BA$3),Master_Data!$Q$152:$Q$864)</f>
        <v>0</v>
      </c>
      <c r="AT64" s="230">
        <f>SUMIF(Master_Data!$AK$4:$AK$145,CONCATENATE(C64,$BA$3),Master_Data!$U$4:$U$145)+SUMIF(Master_Data!$AK$152:$AK$864,CONCATENATE(C64,$BA$3),Master_Data!$U$152:$U$864)</f>
        <v>0</v>
      </c>
      <c r="AU64" s="230">
        <f ca="1">SUMIF(Master_Data!$AK$4:$AK$145,CONCATENATE(C64,$BA$3),Master_Data!$S$4:$S$145)+SUMIF(Master_Data!$AK$152:$AK$864,CONCATENATE(C64,$BA$3),Master_Data!$S$152:$S$850)</f>
        <v>0</v>
      </c>
      <c r="AV64" s="39">
        <f>SUMIF(Master_Data!$AK$152:$AK$864,CONCATENATE($C64,BA$3),Master_Data!$T$152:$T$864)</f>
        <v>0</v>
      </c>
      <c r="AW64" s="230">
        <f>AL64+AO64-AR64+AS64</f>
        <v>0</v>
      </c>
      <c r="AX64" s="230">
        <f ca="1">AM64+AP64-AT64+AU64+AV64</f>
        <v>0</v>
      </c>
      <c r="AY64" s="23"/>
      <c r="AZ64" s="235" t="str">
        <f t="shared" si="21"/>
        <v>SELARAS INTI SEMESTA, PTMAR</v>
      </c>
      <c r="BA64" s="24"/>
      <c r="BB64" s="31"/>
      <c r="BC64" s="109"/>
      <c r="BD64" s="109"/>
      <c r="BE64" s="31"/>
      <c r="BF64" s="109">
        <f>SUMIF(Bill_Out!$Q$192:$Q$258,CONCATENATE($C64,$BR$3),Bill_Out!$N$192:$N$258)</f>
        <v>0</v>
      </c>
      <c r="BG64" s="109">
        <f>SUMIF(Bill_Out!$Q$192:$Q$258,CONCATENATE($C64,$BR$3),Bill_Out!$O$192:$O$258)</f>
        <v>0</v>
      </c>
      <c r="BH64" s="157"/>
      <c r="BI64" s="230">
        <f>SUMIF(Master_Data!$AK$4:$AK$145,CONCATENATE(C64,$BR$3),Master_Data!$R$4:$R$145)+SUMIF(Master_Data!$AK$152:$AK$864,CONCATENATE(C64,$BR$3),Master_Data!$R$152:$R$864)</f>
        <v>0</v>
      </c>
      <c r="BJ64" s="230">
        <f>SUMIF(Master_Data!$AK$4:$AK$145,CONCATENATE(C64,$BR$3),Master_Data!$Q$4:$Q$145)+SUMIF(Master_Data!$AK$152:$AK$864,CONCATENATE(C64,$BR$3),Master_Data!$Q$152:$Q$864)</f>
        <v>0</v>
      </c>
      <c r="BK64" s="230">
        <f>SUMIF(Master_Data!$AK$4:$AK$145,CONCATENATE(C64,$BR$3),Master_Data!$U$4:$U$145)+SUMIF(Master_Data!$AK$152:$AK$864,CONCATENATE(C64,$BR$3),Master_Data!$U$152:$U$864)</f>
        <v>0</v>
      </c>
      <c r="BL64" s="230">
        <f>SUMIF(Master_Data!$AK$4:$AK$145,CONCATENATE(C64,$BR$3),Master_Data!$S$4:$S$145)+SUMIF(Master_Data!$AK$152:$AK$864,CONCATENATE(C64,$BR$3),Master_Data!$S$152:$S$864)</f>
        <v>0</v>
      </c>
      <c r="BM64" s="39">
        <f>SUMIF(Master_Data!$AK$152:$AK$864,CONCATENATE($C64,BR$3),Master_Data!$T$152:$T$864)</f>
        <v>0</v>
      </c>
      <c r="BN64" s="230">
        <f>BC64+BF64-BI64+BJ64</f>
        <v>0</v>
      </c>
      <c r="BO64" s="230">
        <f>BD64+BG64-BK64+BL64+BM64</f>
        <v>0</v>
      </c>
      <c r="BP64" s="23"/>
      <c r="BQ64" s="909" t="str">
        <f t="shared" si="26"/>
        <v>SELARAS INTI SEMESTA, PTAPR</v>
      </c>
      <c r="BR64" s="24"/>
      <c r="BS64" s="31"/>
      <c r="BT64" s="109">
        <f>BN64</f>
        <v>0</v>
      </c>
      <c r="BU64" s="109">
        <f>BO64</f>
        <v>0</v>
      </c>
      <c r="BV64" s="31"/>
      <c r="BW64" s="109">
        <f>SUMIF(Bill_Out!$Q$263:$Q$314,CONCATENATE($C64,$CI$3),Bill_Out!$N$263:$N$314)</f>
        <v>0</v>
      </c>
      <c r="BX64" s="109">
        <f>SUMIF(Bill_Out!$Q$263:$Q$314,CONCATENATE($C64,$CI$3),Bill_Out!$O$263:$O$314)</f>
        <v>0</v>
      </c>
      <c r="BY64" s="157"/>
      <c r="BZ64" s="310">
        <f>SUMIF(Master_Data!$AK$4:$AK$145,CONCATENATE(C64,$CI$3),Master_Data!$R$4:$R$145)+SUMIF(Master_Data!$AK$152:$AK$864,CONCATENATE(C64,$CI$3),Master_Data!$R$152:$R$864)</f>
        <v>0</v>
      </c>
      <c r="CA64" s="310">
        <f>SUMIF(Master_Data!$AK$4:$AK$145,CONCATENATE(C64,$CI$3),Master_Data!$Q$4:$Q$145)+SUMIF(Master_Data!$AK$152:$AK$864,CONCATENATE(C64,$CI$3),Master_Data!$Q$152:$Q$864)</f>
        <v>0</v>
      </c>
      <c r="CB64" s="310">
        <f>SUMIF(Master_Data!$AK$4:$AK$145,CONCATENATE(C64,$CI$3),Master_Data!$U$4:$U$145)+SUMIF(Master_Data!$AK$152:$AK$864,CONCATENATE(C64,$CI$3),Master_Data!$U$152:$U$864)</f>
        <v>0</v>
      </c>
      <c r="CC64" s="230">
        <f>SUMIF(Master_Data!$AK$4:$AK$145,CONCATENATE(C64,$CI$3),Master_Data!$S$4:$S$145)+SUMIF(Master_Data!$AK$152:$AK$864,CONCATENATE(C64,$CI$3),Master_Data!$S$152:$S$864)</f>
        <v>0</v>
      </c>
      <c r="CD64" s="39">
        <f>SUMIF(Master_Data!$AK$152:$AK$864,CONCATENATE($C64,CI$3),Master_Data!$T$152:$T$864)</f>
        <v>0</v>
      </c>
      <c r="CE64" s="310">
        <f>BT64+BW64-BZ64+CA64</f>
        <v>0</v>
      </c>
      <c r="CF64" s="230">
        <f>BU64+BX64-CB64+CC64+CD64</f>
        <v>0</v>
      </c>
      <c r="CG64" s="23"/>
      <c r="CH64" s="235" t="str">
        <f t="shared" si="29"/>
        <v>SELARAS INTI SEMESTA, PTMEI</v>
      </c>
      <c r="CI64" s="24"/>
      <c r="CJ64" s="31"/>
      <c r="CK64" s="109">
        <f>CE64</f>
        <v>0</v>
      </c>
      <c r="CL64" s="238">
        <f>CF64</f>
        <v>0</v>
      </c>
      <c r="CM64" s="31"/>
      <c r="CN64" s="238">
        <f>SUMIF(Bill_Out!$Q$318:$Q$371,CONCATENATE($C64,$CZ$3),Bill_Out!$N$318:$N$371)</f>
        <v>0</v>
      </c>
      <c r="CO64" s="238" t="e">
        <f>SUMIF(Bill_Out!$Q$318:$Q$371,CONCATENATE($C64,$CZ$3),Bill_Out!$O$318:$O$371)</f>
        <v>#VALUE!</v>
      </c>
      <c r="CP64" s="157"/>
      <c r="CQ64" s="230">
        <f>SUMIF(Master_Data!$AK$4:$AK$145,CONCATENATE($C64,$CZ$3),Master_Data!$R$4:$R$145)+SUMIF(Master_Data!$AK$152:$AK$864,CONCATENATE($C64,$CZ$3),Master_Data!$R$152:$R$864)</f>
        <v>0</v>
      </c>
      <c r="CR64" s="230">
        <f>SUMIF(Master_Data!$AK$4:$AK$145,CONCATENATE($C64,$CZ$3),Master_Data!$Q$4:$Q$145)+SUMIF(Master_Data!$AK$152:$AK$864,CONCATENATE($C64,$CZ$3),Master_Data!$Q$152:$Q$864)</f>
        <v>0</v>
      </c>
      <c r="CS64" s="230">
        <f>SUMIF(Master_Data!$AK$4:$AK$145,CONCATENATE($C64,$CZ$3),Master_Data!$U$4:$U$145)+SUMIF(Master_Data!$AK$152:$AK$864,CONCATENATE($C64,$CZ$3),Master_Data!$U$152:$U$864)</f>
        <v>0</v>
      </c>
      <c r="CT64" s="230">
        <f ca="1">SUMIF(Master_Data!$AK$4:$AK$145,CONCATENATE(C64,$CZ$3),Master_Data!$S$4:$S$145)+SUMIF(Master_Data!$AK$152:$AK$915,CONCATENATE(C64,$CZ$3),Master_Data!$S$152:$S$864)</f>
        <v>0</v>
      </c>
      <c r="CU64" s="1010">
        <f>SUMIF(Master_Data!$AK$4:$AK$145,CONCATENATE(C64,$CZ$3),Master_Data!$T$4:$T$145)+SUMIF(Master_Data!$AK$152:$AK$864,CONCATENATE(C64,$CZ$3),Master_Data!$T$152:$T$864)</f>
        <v>0</v>
      </c>
      <c r="CV64" s="230">
        <f t="shared" si="32"/>
        <v>0</v>
      </c>
      <c r="CW64" s="230" t="e">
        <f t="shared" ca="1" si="33"/>
        <v>#VALUE!</v>
      </c>
      <c r="CX64" s="23"/>
      <c r="CY64" s="1007" t="str">
        <f t="shared" si="6"/>
        <v>SELARAS INTI SEMESTA, PTJUN</v>
      </c>
      <c r="CZ64" s="24"/>
      <c r="DA64" s="31"/>
      <c r="DB64" s="109">
        <f t="shared" si="34"/>
        <v>0</v>
      </c>
      <c r="DC64" s="109" t="e">
        <f t="shared" ca="1" si="35"/>
        <v>#VALUE!</v>
      </c>
      <c r="DD64" s="31"/>
      <c r="DE64" s="109">
        <f>SUMIF(Bill_Out!$Q$375:$Q$422,CONCATENATE($C64,$DQ$3),Bill_Out!$N$375:$N$422)</f>
        <v>0</v>
      </c>
      <c r="DF64" s="109" t="e">
        <f>SUMIF(Bill_Out!$Q$375:$Q$422,CONCATENATE($C64,$DQ$3),Bill_Out!$O$375:$O$422)</f>
        <v>#VALUE!</v>
      </c>
      <c r="DG64" s="157"/>
      <c r="DH64" s="310">
        <f>SUMIF(Master_Data!$AK$4:$AK$145,CONCATENATE($C64,$DQ$3),Master_Data!$R$4:$R$145)+SUMIF(Master_Data!$AK$152:$AK$864,CONCATENATE($C64,$DQ$3),Master_Data!$R$152:$R$864)</f>
        <v>0</v>
      </c>
      <c r="DI64" s="310">
        <f>SUMIF(Master_Data!$AK$4:$AK$145,CONCATENATE($C64,$DQ$3),Master_Data!$Q$4:$Q$145)+SUMIF(Master_Data!$AK$152:$AK$864,CONCATENATE($C64,$DQ$3),Master_Data!$Q$152:$Q$864)</f>
        <v>0</v>
      </c>
      <c r="DJ64" s="310">
        <f>SUMIF(Master_Data!$AK$4:$AK$145,CONCATENATE($C64,$DQ$3),Master_Data!$U$4:$U$145)+SUMIF(Master_Data!$AK$152:$AK$864,CONCATENATE($C64,$DQ$3),Master_Data!$U$152:$U$864)</f>
        <v>4033220</v>
      </c>
      <c r="DK64" s="310">
        <f>SUMIF(Master_Data!$AK$4:$AK$145,CONCATENATE($C64,$DQ$3),Master_Data!$S$4:$S$145)+SUMIF(Master_Data!$AK$152:$AK$864,CONCATENATE($C64,$DQ$3),Master_Data!$S$152:$S$864)</f>
        <v>0</v>
      </c>
      <c r="DL64" s="39">
        <f>SUMIF(Master_Data!$AK$152:$AK$915,CONCATENATE($C64,DQ$3),Master_Data!$T$152:$T$915)</f>
        <v>0</v>
      </c>
      <c r="DM64" s="230">
        <f t="shared" si="67"/>
        <v>0</v>
      </c>
      <c r="DN64" s="230" t="e">
        <f t="shared" ca="1" si="68"/>
        <v>#VALUE!</v>
      </c>
      <c r="DO64" s="23"/>
      <c r="DP64" s="358" t="str">
        <f t="shared" si="9"/>
        <v>SELARAS INTI SEMESTA, PTJUL</v>
      </c>
      <c r="DQ64" s="24"/>
      <c r="DR64" s="392"/>
      <c r="DS64" s="109">
        <f t="shared" si="36"/>
        <v>0</v>
      </c>
      <c r="DT64" s="109" t="e">
        <f t="shared" ca="1" si="37"/>
        <v>#VALUE!</v>
      </c>
      <c r="DU64" s="31"/>
      <c r="DV64" s="109">
        <f>SUMIF(Bill_Out!$Q$426:$Q$472,CONCATENATE($C64,$EH$3),Bill_Out!$N$426:$N$472)</f>
        <v>0</v>
      </c>
      <c r="DW64" s="109">
        <f>SUMIF(Bill_Out!$Q$426:$Q$472,CONCATENATE($C64,$EH$3),Bill_Out!$O$426:$O$472)</f>
        <v>0</v>
      </c>
      <c r="DX64" s="157"/>
      <c r="DY64" s="310">
        <f>SUMIF(Master_Data!$AK$4:$AK$145,CONCATENATE($C64,$EH$3),Master_Data!$R$4:$R$145)+SUMIF(Master_Data!$AK$152:$AK$864,CONCATENATE($C64,$EH$3),Master_Data!$R$152:$R$864)</f>
        <v>0</v>
      </c>
      <c r="DZ64" s="310">
        <f>SUMIF(Master_Data!$AK$4:$AK$145,CONCATENATE($C64,$EH$3),Master_Data!$Q$4:$Q$145)+SUMIF(Master_Data!$AK$152:$AK$864,CONCATENATE($C64,$EH$3),Master_Data!$Q$152:$Q$864)</f>
        <v>0</v>
      </c>
      <c r="EA64" s="310">
        <f>SUMIF(Master_Data!$AK$4:$AK$145,CONCATENATE($C64,$EH$3),Master_Data!$U$4:$U$145)+SUMIF(Master_Data!$AK$152:$AK$864,CONCATENATE($C64,$EH$3),Master_Data!$U$152:$U$864)</f>
        <v>0</v>
      </c>
      <c r="EB64" s="310">
        <f>SUMIF(Master_Data!$AK$4:$AK$145,CONCATENATE($C64,$EH$3),Master_Data!$S$4:$S$145)+SUMIF(Master_Data!$AK$152:$AK$864,CONCATENATE($C64,$EH$3),Master_Data!$S$152:$S$864)</f>
        <v>0</v>
      </c>
      <c r="EC64" s="39">
        <f>SUMIF(Master_Data!$AK$152:$AK$915,CONCATENATE($C64,EH$3),Master_Data!$T$152:$T$915)</f>
        <v>0</v>
      </c>
      <c r="ED64" s="310">
        <f t="shared" si="38"/>
        <v>0</v>
      </c>
      <c r="EE64" s="230" t="e">
        <f t="shared" ca="1" si="39"/>
        <v>#VALUE!</v>
      </c>
      <c r="EF64" s="23"/>
      <c r="EG64" s="358" t="str">
        <f t="shared" si="10"/>
        <v>SELARAS INTI SEMESTA, PTAGS</v>
      </c>
      <c r="EH64" s="24"/>
      <c r="EI64" s="392"/>
      <c r="EJ64" s="109">
        <f t="shared" si="47"/>
        <v>0</v>
      </c>
      <c r="EK64" s="109" t="e">
        <f t="shared" ca="1" si="48"/>
        <v>#VALUE!</v>
      </c>
      <c r="EL64" s="84"/>
      <c r="EM64" s="109">
        <f>SUMIF(Bill_Out!$Q$476:$Q$530,CONCATENATE($C64,$EY$3),Bill_Out!$N$476:$N$530)</f>
        <v>0</v>
      </c>
      <c r="EN64" s="109">
        <f>SUMIF(Bill_Out!$Q$476:$Q$530,CONCATENATE($C64,$EY$3),Bill_Out!$O$476:$O$530)</f>
        <v>0</v>
      </c>
      <c r="EO64" s="309"/>
      <c r="EP64" s="310">
        <f>SUMIF(Master_Data!$AK$4:$AK$145,CONCATENATE($C64,$EY$3),Master_Data!$R$4:$R$145)+SUMIF(Master_Data!$AK$152:$AK$864,CONCATENATE($C64,$EY$3),Master_Data!$R$152:$R$864)</f>
        <v>0</v>
      </c>
      <c r="EQ64" s="310">
        <f>SUMIF(Master_Data!$AK$4:$AK$145,CONCATENATE($C64,$EY$3),Master_Data!$Q$4:$Q$145)+SUMIF(Master_Data!$AK$152:$AK$864,CONCATENATE($C64,$EY$3),Master_Data!$Q$152:$Q$864)</f>
        <v>0</v>
      </c>
      <c r="ER64" s="310">
        <f>SUMIF(Master_Data!$AK$4:$AK$145,CONCATENATE($C64,$EY$3),Master_Data!$U$4:$U$145)+SUMIF(Master_Data!$AK$152:$AK$864,CONCATENATE($C64,$EY$3),Master_Data!$U$152:$U$864)</f>
        <v>12960000</v>
      </c>
      <c r="ES64" s="310">
        <f>SUMIF(Master_Data!$AK$4:$AK$145,CONCATENATE($C64,$EY$3),Master_Data!$S$4:$S$145)+SUMIF(Master_Data!$AK$152:$AK$864,CONCATENATE($C64,$EY$3),Master_Data!$S$152:$S$864)</f>
        <v>0</v>
      </c>
      <c r="ET64" s="39">
        <f>SUMIF(Master_Data!$AK$152:$AK$915,CONCATENATE($C64,EY$3),Master_Data!$T$152:$T$915)</f>
        <v>-240000</v>
      </c>
      <c r="EU64" s="310">
        <f t="shared" si="49"/>
        <v>0</v>
      </c>
      <c r="EV64" s="230"/>
      <c r="EW64" s="84"/>
      <c r="EX64" s="358" t="str">
        <f t="shared" si="11"/>
        <v>SELARAS INTI SEMESTA, PTSEP</v>
      </c>
      <c r="EY64" s="24"/>
      <c r="EZ64" s="415"/>
      <c r="FA64" s="109"/>
      <c r="FB64" s="109"/>
      <c r="FC64" s="420"/>
      <c r="FD64" s="109"/>
      <c r="FE64" s="109"/>
      <c r="FF64" s="157"/>
      <c r="FG64" s="310"/>
      <c r="FH64" s="310"/>
      <c r="FI64" s="310"/>
      <c r="FJ64" s="310"/>
      <c r="FK64" s="39"/>
      <c r="FL64" s="230"/>
      <c r="FM64" s="230"/>
      <c r="FN64" s="23"/>
      <c r="FO64" s="358" t="str">
        <f t="shared" si="100"/>
        <v>SELARAS INTI SEMESTA, PTOKT</v>
      </c>
      <c r="FP64" s="24"/>
      <c r="FQ64" s="415"/>
      <c r="FR64" s="109"/>
      <c r="FS64" s="109"/>
      <c r="FT64" s="420"/>
      <c r="FU64" s="109"/>
      <c r="FV64" s="109"/>
      <c r="FW64" s="157"/>
      <c r="FX64" s="512"/>
      <c r="FY64" s="512"/>
      <c r="FZ64" s="512"/>
      <c r="GA64" s="310"/>
      <c r="GB64" s="39"/>
      <c r="GC64" s="230"/>
      <c r="GD64" s="230"/>
      <c r="GE64" s="23"/>
      <c r="GF64" s="358" t="str">
        <f t="shared" si="101"/>
        <v>SELARAS INTI SEMESTA, PTNOV</v>
      </c>
      <c r="GG64" s="24"/>
      <c r="GH64" s="415"/>
      <c r="GI64" s="109"/>
      <c r="GJ64" s="109"/>
      <c r="GK64" s="423"/>
      <c r="GL64" s="109"/>
      <c r="GM64" s="109"/>
      <c r="GN64" s="157"/>
      <c r="GO64" s="512"/>
      <c r="GP64" s="512"/>
      <c r="GQ64" s="512"/>
      <c r="GR64" s="310"/>
      <c r="GS64" s="39"/>
      <c r="GT64" s="534"/>
      <c r="GU64" s="310"/>
      <c r="GV64" s="23"/>
      <c r="GW64" s="358" t="str">
        <f t="shared" si="87"/>
        <v>SELARAS INTI SEMESTA, PTDES</v>
      </c>
      <c r="GX64" s="24"/>
    </row>
    <row r="65" spans="1:206" s="19" customFormat="1">
      <c r="A65" s="328" t="s">
        <v>631</v>
      </c>
      <c r="B65" s="236" t="str">
        <f t="shared" si="18"/>
        <v>SERVO BUANA RESOURCES, PTJAN</v>
      </c>
      <c r="C65" s="8" t="s">
        <v>214</v>
      </c>
      <c r="D65" s="23" t="s">
        <v>323</v>
      </c>
      <c r="E65" s="109">
        <f>SUMIF(Master_Data!$D55:$D$145,CONCATENATE(C65),Master_Data!M55:M922)</f>
        <v>0</v>
      </c>
      <c r="F65" s="109">
        <f>SUMIF(Master_Data!$D61:$D$145,CONCATENATE(C65),Master_Data!N61:N321)</f>
        <v>0</v>
      </c>
      <c r="G65" s="31"/>
      <c r="H65" s="109">
        <f>SUMIF(Bill_Out!$Q$3:$Q$65,CONCATENATE($C65,$S$3),Bill_Out!$N$3:$N$65)</f>
        <v>0</v>
      </c>
      <c r="I65" s="88">
        <f>SUMIF(Bill_Out!$Q$3:$Q$65,CONCATENATE($C65,$S$3),Bill_Out!$O$3:$O$65)</f>
        <v>0</v>
      </c>
      <c r="J65" s="157"/>
      <c r="K65" s="29"/>
      <c r="L65" s="44"/>
      <c r="M65" s="230">
        <f>SUMIF(Master_Data!$AK60:$AK$145,CONCATENATE(C65,$S$3),Master_Data!U60:U414)+SUMIF(Master_Data!$AK451:$AK$864,CONCATENATE(C65,$S$3),Master_Data!U451:U1373)</f>
        <v>0</v>
      </c>
      <c r="N65" s="310">
        <f>SUMIF(Master_Data!$AK$4:$AK$145,CONCATENATE(C65,$S$3),Master_Data!$S$4:$S$145)+SUMIF(Master_Data!$AK$150:$AK$864,CONCATENATE(C65,$S$3),Master_Data!$S$150:$S$864)</f>
        <v>0</v>
      </c>
      <c r="O65" s="310">
        <f>SUMIF(Master_Data!$AK$4:$AK$145,CONCATENATE(C65,$S$3),Master_Data!$T$4:$T$145)+SUMIF(Master_Data!$AK$150:$AK$864,CONCATENATE(C65,$S$3),Master_Data!$T$150:$T$864)</f>
        <v>0</v>
      </c>
      <c r="P65" s="230">
        <f t="shared" si="19"/>
        <v>0</v>
      </c>
      <c r="Q65" s="230">
        <f t="shared" si="20"/>
        <v>0</v>
      </c>
      <c r="R65" s="23"/>
      <c r="S65" s="258"/>
      <c r="T65" s="31"/>
      <c r="U65" s="109">
        <f t="shared" ref="U65:U72" si="102">P65</f>
        <v>0</v>
      </c>
      <c r="V65" s="109">
        <f t="shared" ref="V65:V72" si="103">Q65</f>
        <v>0</v>
      </c>
      <c r="W65" s="31"/>
      <c r="X65" s="109">
        <f>SUMIF(Bill_Out!$Q$67:$Q$132,CONCATENATE($C65,$AJ$3),Bill_Out!$N$67:$N$132)</f>
        <v>0</v>
      </c>
      <c r="Y65" s="109">
        <f>SUMIF(Bill_Out!$Q$67:$Q$132,CONCATENATE($C65,$AJ$3),Bill_Out!$O$67:$O$132)</f>
        <v>0</v>
      </c>
      <c r="Z65" s="157"/>
      <c r="AA65" s="230">
        <f>SUMIF(Master_Data!$AK$4:$AK$145,CONCATENATE(C65,$AJ$3),Master_Data!$R$4:$R$145)+SUMIF(Master_Data!$AK$152:$AK$850,CONCATENATE(C65,$AJ$3),Master_Data!$R$152:$R$850)</f>
        <v>0</v>
      </c>
      <c r="AB65" s="230">
        <f>SUMIF(Master_Data!$AK$4:$AK$145,CONCATENATE(C65,$AJ$3),Master_Data!$Q$4:$Q$145)+SUMIF(Master_Data!$AK$152:$AK$850,CONCATENATE(C65,$AJ$3),Master_Data!$Q$152:$Q$850)</f>
        <v>0</v>
      </c>
      <c r="AC65" s="230">
        <f>SUMIF(Master_Data!$AK$4:$AK$145,CONCATENATE(C65,$AJ$3),Master_Data!$U$4:$U$145)+SUMIF(Master_Data!$AK$152:$AK$850,CONCATENATE(C65,$AJ$3),Master_Data!$U$152:$U$850)</f>
        <v>0</v>
      </c>
      <c r="AD65" s="310">
        <f ca="1">SUMIF(Master_Data!$AK$4:$AK$145,CONCATENATE(C65,$AJ$3),Master_Data!$S$4:$S$145)+SUMIF(Master_Data!$AK$152:$AK$864,CONCATENATE(C65,$AJ$3),Master_Data!$S$152:$S$850)</f>
        <v>0</v>
      </c>
      <c r="AE65" s="310">
        <f>SUMIF(Master_Data!$AK$4:$AK$145,CONCATENATE(C65,$AJ$3),Master_Data!$T$4:$T$145)+SUMIF(Master_Data!$AK$152:$AK$864,CONCATENATE(C65,$AJ$3),Master_Data!$T$152:$T$864)</f>
        <v>0</v>
      </c>
      <c r="AF65" s="230">
        <f t="shared" ref="AF65:AF72" si="104">U65+X65-AA65+AB65</f>
        <v>0</v>
      </c>
      <c r="AG65" s="230">
        <f t="shared" ref="AG65:AG72" ca="1" si="105">V65+Y65-AC65+AD65+AE65</f>
        <v>0</v>
      </c>
      <c r="AH65" s="31"/>
      <c r="AI65" s="235" t="str">
        <f t="shared" si="86"/>
        <v>SERVO BUANA RESOURCES, PTFEB</v>
      </c>
      <c r="AJ65" s="54"/>
      <c r="AK65" s="31"/>
      <c r="AL65" s="109">
        <f>AF65</f>
        <v>0</v>
      </c>
      <c r="AM65" s="109">
        <f ca="1">AG65</f>
        <v>0</v>
      </c>
      <c r="AN65" s="31"/>
      <c r="AO65" s="109">
        <f>SUMIF(Bill_Out!$Q$134:$Q$188,CONCATENATE($C65,$BA$3),Bill_Out!$N$134:$N$188)</f>
        <v>0</v>
      </c>
      <c r="AP65" s="109">
        <f>SUMIF(Bill_Out!$Q$134:$Q$188,CONCATENATE($C65,$BA$3),Bill_Out!$O$134:$O$188)</f>
        <v>0</v>
      </c>
      <c r="AQ65" s="157"/>
      <c r="AR65" s="230">
        <f>SUMIF(Master_Data!$AK$4:$AK$145,CONCATENATE(C65,$BA$3),Master_Data!$R$4:$R$145)+SUMIF(Master_Data!$AK$152:$AK$864,CONCATENATE(C65,$BA$3),Master_Data!$R$152:$R$864)</f>
        <v>0</v>
      </c>
      <c r="AS65" s="230">
        <f>SUMIF(Master_Data!$AK$4:$AK$145,CONCATENATE(C65,$BA$3),Master_Data!$Q$4:$Q$145)+SUMIF(Master_Data!$AK$152:$AK$864,CONCATENATE(C65,$BA$3),Master_Data!$Q$152:$Q$864)</f>
        <v>0</v>
      </c>
      <c r="AT65" s="230">
        <f>SUMIF(Master_Data!$AK$4:$AK$145,CONCATENATE(C65,$BA$3),Master_Data!$U$4:$U$145)+SUMIF(Master_Data!$AK$152:$AK$864,CONCATENATE(C65,$BA$3),Master_Data!$U$152:$U$864)</f>
        <v>0</v>
      </c>
      <c r="AU65" s="230">
        <f ca="1">SUMIF(Master_Data!$AK$4:$AK$145,CONCATENATE(C65,$BA$3),Master_Data!$S$4:$S$145)+SUMIF(Master_Data!$AK$152:$AK$864,CONCATENATE(C65,$BA$3),Master_Data!$S$152:$S$850)</f>
        <v>0</v>
      </c>
      <c r="AV65" s="39">
        <f>SUMIF(Master_Data!$AK$152:$AK$864,CONCATENATE($C65,BA$3),Master_Data!$T$152:$T$864)</f>
        <v>0</v>
      </c>
      <c r="AW65" s="230">
        <f>AL65+AO65-AR65+AS65</f>
        <v>0</v>
      </c>
      <c r="AX65" s="230">
        <f ca="1">AM65+AP65-AT65+AU65+AV65</f>
        <v>0</v>
      </c>
      <c r="AY65" s="31"/>
      <c r="AZ65" s="235" t="str">
        <f t="shared" si="21"/>
        <v>SERVO BUANA RESOURCES, PTMAR</v>
      </c>
      <c r="BA65" s="54"/>
      <c r="BB65" s="31"/>
      <c r="BC65" s="109">
        <f t="shared" si="22"/>
        <v>0</v>
      </c>
      <c r="BD65" s="109">
        <f t="shared" ca="1" si="23"/>
        <v>0</v>
      </c>
      <c r="BE65" s="31"/>
      <c r="BF65" s="109">
        <f>SUMIF(Bill_Out!$Q$192:$Q$258,CONCATENATE($C65,$BR$3),Bill_Out!$N$192:$N$258)</f>
        <v>0</v>
      </c>
      <c r="BG65" s="109">
        <f>SUMIF(Bill_Out!$Q$192:$Q$258,CONCATENATE($C65,$BR$3),Bill_Out!$O$192:$O$258)</f>
        <v>0</v>
      </c>
      <c r="BH65" s="157"/>
      <c r="BI65" s="230">
        <f>SUMIF(Master_Data!$AK$4:$AK$145,CONCATENATE(C65,$BR$3),Master_Data!$R$4:$R$145)+SUMIF(Master_Data!$AK$152:$AK$864,CONCATENATE(C65,$BR$3),Master_Data!$R$152:$R$864)</f>
        <v>0</v>
      </c>
      <c r="BJ65" s="230">
        <f>SUMIF(Master_Data!$AK$4:$AK$145,CONCATENATE(C65,$BR$3),Master_Data!$Q$4:$Q$145)+SUMIF(Master_Data!$AK$152:$AK$864,CONCATENATE(C65,$BR$3),Master_Data!$Q$152:$Q$864)</f>
        <v>0</v>
      </c>
      <c r="BK65" s="230">
        <f>SUMIF(Master_Data!$AK$4:$AK$145,CONCATENATE(C65,$BR$3),Master_Data!$U$4:$U$145)+SUMIF(Master_Data!$AK$152:$AK$864,CONCATENATE(C65,$BR$3),Master_Data!$U$152:$U$864)</f>
        <v>0</v>
      </c>
      <c r="BL65" s="230">
        <f>SUMIF(Master_Data!$AK$4:$AK$145,CONCATENATE(C65,$BR$3),Master_Data!$S$4:$S$145)+SUMIF(Master_Data!$AK$152:$AK$864,CONCATENATE(C65,$BR$3),Master_Data!$S$152:$S$864)</f>
        <v>0</v>
      </c>
      <c r="BM65" s="39">
        <f>SUMIF(Master_Data!$AK$152:$AK$864,CONCATENATE($C65,BR$3),Master_Data!$T$152:$T$864)</f>
        <v>0</v>
      </c>
      <c r="BN65" s="230">
        <f t="shared" si="24"/>
        <v>0</v>
      </c>
      <c r="BO65" s="230">
        <f t="shared" ca="1" si="25"/>
        <v>0</v>
      </c>
      <c r="BP65" s="31"/>
      <c r="BQ65" s="909" t="str">
        <f t="shared" si="26"/>
        <v>SERVO BUANA RESOURCES, PTAPR</v>
      </c>
      <c r="BR65" s="54"/>
      <c r="BS65" s="31"/>
      <c r="BT65" s="109">
        <f t="shared" si="78"/>
        <v>0</v>
      </c>
      <c r="BU65" s="109">
        <f t="shared" ca="1" si="79"/>
        <v>0</v>
      </c>
      <c r="BV65" s="31"/>
      <c r="BW65" s="109">
        <f>SUMIF(Bill_Out!$Q$263:$Q$314,CONCATENATE($C65,$CI$3),Bill_Out!$N$263:$N$314)</f>
        <v>0</v>
      </c>
      <c r="BX65" s="109">
        <f>SUMIF(Bill_Out!$Q$263:$Q$314,CONCATENATE($C65,$CI$3),Bill_Out!$O$263:$O$314)</f>
        <v>0</v>
      </c>
      <c r="BY65" s="157"/>
      <c r="BZ65" s="310">
        <f>SUMIF(Master_Data!$AK$4:$AK$145,CONCATENATE(C65,$CI$3),Master_Data!$R$4:$R$145)+SUMIF(Master_Data!$AK$152:$AK$864,CONCATENATE(C65,$CI$3),Master_Data!$R$152:$R$864)</f>
        <v>0</v>
      </c>
      <c r="CA65" s="310">
        <f>SUMIF(Master_Data!$AK$4:$AK$145,CONCATENATE(C65,$CI$3),Master_Data!$Q$4:$Q$145)+SUMIF(Master_Data!$AK$152:$AK$864,CONCATENATE(C65,$CI$3),Master_Data!$Q$152:$Q$864)</f>
        <v>0</v>
      </c>
      <c r="CB65" s="310">
        <f>SUMIF(Master_Data!$AK$4:$AK$145,CONCATENATE(C65,$CI$3),Master_Data!$U$4:$U$145)+SUMIF(Master_Data!$AK$152:$AK$864,CONCATENATE(C65,$CI$3),Master_Data!$U$152:$U$864)</f>
        <v>0</v>
      </c>
      <c r="CC65" s="230">
        <f>SUMIF(Master_Data!$AK$4:$AK$145,CONCATENATE(C65,$CI$3),Master_Data!$S$4:$S$145)+SUMIF(Master_Data!$AK$152:$AK$864,CONCATENATE(C65,$CI$3),Master_Data!$S$152:$S$864)</f>
        <v>0</v>
      </c>
      <c r="CD65" s="39">
        <f>SUMIF(Master_Data!$AK$152:$AK$864,CONCATENATE($C65,CI$3),Master_Data!$T$152:$T$864)</f>
        <v>0</v>
      </c>
      <c r="CE65" s="310">
        <f t="shared" si="27"/>
        <v>0</v>
      </c>
      <c r="CF65" s="230">
        <f t="shared" ca="1" si="28"/>
        <v>0</v>
      </c>
      <c r="CG65" s="31"/>
      <c r="CH65" s="235" t="str">
        <f t="shared" si="29"/>
        <v>SERVO BUANA RESOURCES, PTMEI</v>
      </c>
      <c r="CI65" s="54"/>
      <c r="CJ65" s="31"/>
      <c r="CK65" s="109">
        <f t="shared" si="30"/>
        <v>0</v>
      </c>
      <c r="CL65" s="238">
        <f t="shared" ca="1" si="31"/>
        <v>0</v>
      </c>
      <c r="CM65" s="31"/>
      <c r="CN65" s="238">
        <f>SUMIF(Bill_Out!$Q$318:$Q$371,CONCATENATE($C65,$CZ$3),Bill_Out!$N$318:$N$371)</f>
        <v>0</v>
      </c>
      <c r="CO65" s="238">
        <f>SUMIF(Bill_Out!$Q$318:$Q$371,CONCATENATE($C65,$CZ$3),Bill_Out!$O$318:$O$371)</f>
        <v>0</v>
      </c>
      <c r="CP65" s="157"/>
      <c r="CQ65" s="230">
        <f>SUMIF(Master_Data!$AK$4:$AK$145,CONCATENATE($C65,$CZ$3),Master_Data!$R$4:$R$145)+SUMIF(Master_Data!$AK$152:$AK$864,CONCATENATE($C65,$CZ$3),Master_Data!$R$152:$R$864)</f>
        <v>0</v>
      </c>
      <c r="CR65" s="230">
        <f>SUMIF(Master_Data!$AK$4:$AK$145,CONCATENATE($C65,$CZ$3),Master_Data!$Q$4:$Q$145)+SUMIF(Master_Data!$AK$152:$AK$864,CONCATENATE($C65,$CZ$3),Master_Data!$Q$152:$Q$864)</f>
        <v>0</v>
      </c>
      <c r="CS65" s="230">
        <f>SUMIF(Master_Data!$AK$4:$AK$145,CONCATENATE($C65,$CZ$3),Master_Data!$U$4:$U$145)+SUMIF(Master_Data!$AK$152:$AK$864,CONCATENATE($C65,$CZ$3),Master_Data!$U$152:$U$864)</f>
        <v>0</v>
      </c>
      <c r="CT65" s="230">
        <f ca="1">SUMIF(Master_Data!$AK$4:$AK$145,CONCATENATE(C65,$CZ$3),Master_Data!$S$4:$S$145)+SUMIF(Master_Data!$AK$152:$AK$915,CONCATENATE(C65,$CZ$3),Master_Data!$S$152:$S$864)</f>
        <v>0</v>
      </c>
      <c r="CU65" s="1010">
        <f>SUMIF(Master_Data!$AK$4:$AK$145,CONCATENATE(C65,$CZ$3),Master_Data!$T$4:$T$145)+SUMIF(Master_Data!$AK$152:$AK$864,CONCATENATE(C65,$CZ$3),Master_Data!$T$152:$T$864)</f>
        <v>0</v>
      </c>
      <c r="CV65" s="230">
        <f t="shared" si="32"/>
        <v>0</v>
      </c>
      <c r="CW65" s="230">
        <f t="shared" ca="1" si="33"/>
        <v>0</v>
      </c>
      <c r="CX65" s="31"/>
      <c r="CY65" s="1007" t="str">
        <f t="shared" si="6"/>
        <v>SERVO BUANA RESOURCES, PTJUN</v>
      </c>
      <c r="CZ65" s="54"/>
      <c r="DA65" s="31"/>
      <c r="DB65" s="109">
        <f t="shared" si="34"/>
        <v>0</v>
      </c>
      <c r="DC65" s="109">
        <f t="shared" ca="1" si="35"/>
        <v>0</v>
      </c>
      <c r="DD65" s="31"/>
      <c r="DE65" s="109">
        <f>SUMIF(Bill_Out!$Q$375:$Q$422,CONCATENATE($C65,$DQ$3),Bill_Out!$N$375:$N$422)</f>
        <v>0</v>
      </c>
      <c r="DF65" s="109">
        <f>SUMIF(Bill_Out!$Q$375:$Q$422,CONCATENATE($C65,$DQ$3),Bill_Out!$O$375:$O$422)</f>
        <v>0</v>
      </c>
      <c r="DG65" s="157"/>
      <c r="DH65" s="310">
        <f>SUMIF(Master_Data!$AK$4:$AK$145,CONCATENATE($C65,$DQ$3),Master_Data!$R$4:$R$145)+SUMIF(Master_Data!$AK$152:$AK$864,CONCATENATE($C65,$DQ$3),Master_Data!$R$152:$R$864)</f>
        <v>0</v>
      </c>
      <c r="DI65" s="310">
        <f>SUMIF(Master_Data!$AK$4:$AK$145,CONCATENATE($C65,$DQ$3),Master_Data!$Q$4:$Q$145)+SUMIF(Master_Data!$AK$152:$AK$864,CONCATENATE($C65,$DQ$3),Master_Data!$Q$152:$Q$864)</f>
        <v>0</v>
      </c>
      <c r="DJ65" s="310">
        <f>SUMIF(Master_Data!$AK$4:$AK$145,CONCATENATE($C65,$DQ$3),Master_Data!$U$4:$U$145)+SUMIF(Master_Data!$AK$152:$AK$864,CONCATENATE($C65,$DQ$3),Master_Data!$U$152:$U$864)</f>
        <v>0</v>
      </c>
      <c r="DK65" s="310">
        <f>SUMIF(Master_Data!$AK$4:$AK$145,CONCATENATE($C65,$DQ$3),Master_Data!$S$4:$S$145)+SUMIF(Master_Data!$AK$152:$AK$864,CONCATENATE($C65,$DQ$3),Master_Data!$S$152:$S$864)</f>
        <v>0</v>
      </c>
      <c r="DL65" s="39">
        <f>SUMIF(Master_Data!$AK$152:$AK$915,CONCATENATE($C65,DQ$3),Master_Data!$T$152:$T$915)</f>
        <v>0</v>
      </c>
      <c r="DM65" s="230">
        <f t="shared" si="67"/>
        <v>0</v>
      </c>
      <c r="DN65" s="230">
        <f t="shared" ca="1" si="68"/>
        <v>0</v>
      </c>
      <c r="DO65" s="31"/>
      <c r="DP65" s="358" t="str">
        <f t="shared" si="9"/>
        <v>SERVO BUANA RESOURCES, PTJUL</v>
      </c>
      <c r="DQ65" s="54"/>
      <c r="DR65" s="392"/>
      <c r="DS65" s="109">
        <f t="shared" si="36"/>
        <v>0</v>
      </c>
      <c r="DT65" s="109">
        <f t="shared" ca="1" si="37"/>
        <v>0</v>
      </c>
      <c r="DU65" s="31"/>
      <c r="DV65" s="109">
        <f>SUMIF(Bill_Out!$Q$426:$Q$472,CONCATENATE($C65,$EH$3),Bill_Out!$N$426:$N$472)</f>
        <v>0</v>
      </c>
      <c r="DW65" s="109">
        <f>SUMIF(Bill_Out!$Q$426:$Q$472,CONCATENATE($C65,$EH$3),Bill_Out!$O$426:$O$472)</f>
        <v>0</v>
      </c>
      <c r="DX65" s="157"/>
      <c r="DY65" s="310">
        <f>SUMIF(Master_Data!$AK$4:$AK$145,CONCATENATE($C65,$EH$3),Master_Data!$R$4:$R$145)+SUMIF(Master_Data!$AK$152:$AK$864,CONCATENATE($C65,$EH$3),Master_Data!$R$152:$R$864)</f>
        <v>0</v>
      </c>
      <c r="DZ65" s="310">
        <f>SUMIF(Master_Data!$AK$4:$AK$145,CONCATENATE($C65,$EH$3),Master_Data!$Q$4:$Q$145)+SUMIF(Master_Data!$AK$152:$AK$864,CONCATENATE($C65,$EH$3),Master_Data!$Q$152:$Q$864)</f>
        <v>0</v>
      </c>
      <c r="EA65" s="310">
        <f>SUMIF(Master_Data!$AK$4:$AK$145,CONCATENATE($C65,$EH$3),Master_Data!$U$4:$U$145)+SUMIF(Master_Data!$AK$152:$AK$864,CONCATENATE($C65,$EH$3),Master_Data!$U$152:$U$864)</f>
        <v>0</v>
      </c>
      <c r="EB65" s="310">
        <f>SUMIF(Master_Data!$AK$4:$AK$145,CONCATENATE($C65,$EH$3),Master_Data!$S$4:$S$145)+SUMIF(Master_Data!$AK$152:$AK$864,CONCATENATE($C65,$EH$3),Master_Data!$S$152:$S$864)</f>
        <v>0</v>
      </c>
      <c r="EC65" s="39">
        <f>SUMIF(Master_Data!$AK$152:$AK$915,CONCATENATE($C65,EH$3),Master_Data!$T$152:$T$915)</f>
        <v>0</v>
      </c>
      <c r="ED65" s="310">
        <f t="shared" si="38"/>
        <v>0</v>
      </c>
      <c r="EE65" s="230">
        <f t="shared" ca="1" si="39"/>
        <v>0</v>
      </c>
      <c r="EF65" s="31"/>
      <c r="EG65" s="358" t="str">
        <f t="shared" si="10"/>
        <v>SERVO BUANA RESOURCES, PTAGS</v>
      </c>
      <c r="EH65" s="54"/>
      <c r="EI65" s="392"/>
      <c r="EJ65" s="109">
        <f t="shared" si="47"/>
        <v>0</v>
      </c>
      <c r="EK65" s="109">
        <f t="shared" ca="1" si="48"/>
        <v>0</v>
      </c>
      <c r="EL65" s="84"/>
      <c r="EM65" s="109">
        <f>SUMIF(Bill_Out!$Q$476:$Q$530,CONCATENATE($C65,$EY$3),Bill_Out!$N$476:$N$530)</f>
        <v>0</v>
      </c>
      <c r="EN65" s="109">
        <f>SUMIF(Bill_Out!$Q$476:$Q$530,CONCATENATE($C65,$EY$3),Bill_Out!$O$476:$O$530)</f>
        <v>0</v>
      </c>
      <c r="EO65" s="309"/>
      <c r="EP65" s="310">
        <f>SUMIF(Master_Data!$AK$4:$AK$145,CONCATENATE($C65,$EY$3),Master_Data!$R$4:$R$145)+SUMIF(Master_Data!$AK$152:$AK$864,CONCATENATE($C65,$EY$3),Master_Data!$R$152:$R$864)</f>
        <v>0</v>
      </c>
      <c r="EQ65" s="310">
        <f>SUMIF(Master_Data!$AK$4:$AK$145,CONCATENATE($C65,$EY$3),Master_Data!$Q$4:$Q$145)+SUMIF(Master_Data!$AK$152:$AK$864,CONCATENATE($C65,$EY$3),Master_Data!$Q$152:$Q$864)</f>
        <v>0</v>
      </c>
      <c r="ER65" s="310">
        <f>SUMIF(Master_Data!$AK$4:$AK$145,CONCATENATE($C65,$EY$3),Master_Data!$U$4:$U$145)+SUMIF(Master_Data!$AK$152:$AK$864,CONCATENATE($C65,$EY$3),Master_Data!$U$152:$U$864)</f>
        <v>0</v>
      </c>
      <c r="ES65" s="310">
        <f>SUMIF(Master_Data!$AK$4:$AK$145,CONCATENATE($C65,$EY$3),Master_Data!$S$4:$S$145)+SUMIF(Master_Data!$AK$152:$AK$864,CONCATENATE($C65,$EY$3),Master_Data!$S$152:$S$864)</f>
        <v>0</v>
      </c>
      <c r="ET65" s="39">
        <f>SUMIF(Master_Data!$AK$152:$AK$915,CONCATENATE($C65,EY$3),Master_Data!$T$152:$T$915)</f>
        <v>0</v>
      </c>
      <c r="EU65" s="310">
        <f t="shared" si="49"/>
        <v>0</v>
      </c>
      <c r="EV65" s="230"/>
      <c r="EW65" s="84"/>
      <c r="EX65" s="358" t="str">
        <f t="shared" si="11"/>
        <v>SERVO BUANA RESOURCES, PTSEP</v>
      </c>
      <c r="EY65" s="54"/>
      <c r="EZ65" s="415"/>
      <c r="FA65" s="109">
        <f t="shared" si="88"/>
        <v>0</v>
      </c>
      <c r="FB65" s="109">
        <f t="shared" si="96"/>
        <v>0</v>
      </c>
      <c r="FC65" s="420"/>
      <c r="FD65" s="109">
        <f>SUMIF(Bill_Out!$Q$534:$Q$606,CONCATENATE($C65,$FP$3),Bill_Out!$N$534:$N$606)</f>
        <v>0</v>
      </c>
      <c r="FE65" s="109">
        <f>SUMIF(Bill_Out!$Q$534:$Q$606,CONCATENATE($C65,$FP$3),Bill_Out!$O$534:$O$606)</f>
        <v>0</v>
      </c>
      <c r="FF65" s="157"/>
      <c r="FG65" s="310">
        <f>SUMIF(Master_Data!$AK$4:$AK$145,CONCATENATE($C65,$FP$3),Master_Data!$R$4:$R$145)+SUMIF(Master_Data!$AK$152:$AK$864,CONCATENATE($C65,$FP$3),Master_Data!$R$152:$R$864)</f>
        <v>0</v>
      </c>
      <c r="FH65" s="310">
        <f>SUMIF(Master_Data!$AK$4:$AK$145,CONCATENATE($C65,$FP$3),Master_Data!$Q$4:$Q$145)+SUMIF(Master_Data!$AK$152:$AK$864,CONCATENATE($C65,$FP$3),Master_Data!$Q$152:$Q$864)</f>
        <v>0</v>
      </c>
      <c r="FI65" s="310">
        <f>SUMIF(Master_Data!$AK$4:$AK$145,CONCATENATE($C65,$FP$3),Master_Data!$U$4:$U$145)+SUMIF(Master_Data!$AK$152:$AK$864,CONCATENATE($C65,$FP$3),Master_Data!$U$152:$U$864)</f>
        <v>0</v>
      </c>
      <c r="FJ65" s="310">
        <f>SUMIF(Master_Data!$AK$4:$AK$145,CONCATENATE($C65,$FP$3),Master_Data!$S$4:$S$145)+SUMIF(Master_Data!$AK$152:$AK$864,CONCATENATE($C65,$FP$3),Master_Data!$S$152:$S$864)</f>
        <v>0</v>
      </c>
      <c r="FK65" s="39">
        <f>SUMIF(Master_Data!$AK$152:$AK$915,CONCATENATE($C65,FP$3),Master_Data!$T$152:$T$915)</f>
        <v>0</v>
      </c>
      <c r="FL65" s="230">
        <f t="shared" si="90"/>
        <v>0</v>
      </c>
      <c r="FM65" s="230">
        <f t="shared" si="12"/>
        <v>0</v>
      </c>
      <c r="FN65" s="31"/>
      <c r="FO65" s="358" t="str">
        <f t="shared" si="100"/>
        <v>SERVO BUANA RESOURCES, PTOKT</v>
      </c>
      <c r="FP65" s="54"/>
      <c r="FQ65" s="415"/>
      <c r="FR65" s="109">
        <f t="shared" si="97"/>
        <v>0</v>
      </c>
      <c r="FS65" s="109">
        <f t="shared" si="98"/>
        <v>0</v>
      </c>
      <c r="FT65" s="420"/>
      <c r="FU65" s="109">
        <f>SUMIF(Bill_Out!$Q$610:$Q$675,CONCATENATE($C65,$GG$3),Bill_Out!$N$610:$N$675)</f>
        <v>0</v>
      </c>
      <c r="FV65" s="109">
        <f>SUMIF(Bill_Out!$Q$610:$Q$675,CONCATENATE($C65,$GG$3),Bill_Out!$O$610:$O$675)</f>
        <v>0</v>
      </c>
      <c r="FW65" s="157"/>
      <c r="FX65" s="512">
        <f>SUMIF(Master_Data!$AK$4:$AK$145,CONCATENATE($C65,$GG$3),Master_Data!$R$4:$R$145)+SUMIF(Master_Data!$AK$152:$AK$864,CONCATENATE($C65,$GG$3),Master_Data!$R$152:$R$864)</f>
        <v>0</v>
      </c>
      <c r="FY65" s="512">
        <f>SUMIF(Master_Data!$AK$4:$AK$145,CONCATENATE($C65,$GG$3),Master_Data!$Q$4:$Q$145)+SUMIF(Master_Data!$AK$152:$AK$864,CONCATENATE($C65,$GG$3),Master_Data!$Q$152:$Q$864)</f>
        <v>0</v>
      </c>
      <c r="FZ65" s="512">
        <f>SUMIF(Master_Data!$AK$4:$AK$145,CONCATENATE($C65,$GG$3),Master_Data!$U$4:$U$145)+SUMIF(Master_Data!$AK$152:$AK$864,CONCATENATE($C65,$GG$3),Master_Data!$U$152:$U$864)</f>
        <v>0</v>
      </c>
      <c r="GA65" s="310">
        <f>SUMIF(Master_Data!$AK$4:$AK$145,CONCATENATE($C65,$GG$3),Master_Data!$S$4:$S$145)+SUMIF(Master_Data!$AK$152:$AK$864,CONCATENATE($C65,$GG$3),Master_Data!$S$152:$S$864)</f>
        <v>0</v>
      </c>
      <c r="GB65" s="39">
        <f>SUMIF(Master_Data!$AK$152:$AK$915,CONCATENATE($C65,GG$3),Master_Data!$T$152:$T$915)</f>
        <v>0</v>
      </c>
      <c r="GC65" s="230">
        <f t="shared" si="99"/>
        <v>0</v>
      </c>
      <c r="GD65" s="230">
        <f t="shared" si="14"/>
        <v>0</v>
      </c>
      <c r="GE65" s="31"/>
      <c r="GF65" s="358" t="str">
        <f t="shared" si="101"/>
        <v>SERVO BUANA RESOURCES, PTNOV</v>
      </c>
      <c r="GG65" s="54"/>
      <c r="GH65" s="415" t="s">
        <v>323</v>
      </c>
      <c r="GI65" s="109">
        <f t="shared" si="70"/>
        <v>0</v>
      </c>
      <c r="GJ65" s="109">
        <f t="shared" si="71"/>
        <v>0</v>
      </c>
      <c r="GK65" s="423"/>
      <c r="GL65" s="109">
        <f>SUMIF(Bill_Out!$Q$679:$Q$756,CONCATENATE($C65,$GX$3),Bill_Out!$N$679:$N$756)</f>
        <v>0</v>
      </c>
      <c r="GM65" s="109">
        <f>SUMIF(Bill_Out!$Q$679:$Q$756,CONCATENATE($C65,$GX$3),Bill_Out!$O$679:$O$756)</f>
        <v>0</v>
      </c>
      <c r="GN65" s="157"/>
      <c r="GO65" s="512">
        <f>SUMIF(Master_Data!$AK$4:$AK$145,CONCATENATE($C65,$GX$3),Master_Data!$R$4:$R$145)+SUMIF(Master_Data!$AK$152:$AK$864,CONCATENATE($C65,$GX$3),Master_Data!$R$152:$R$864)</f>
        <v>0</v>
      </c>
      <c r="GP65" s="512">
        <f>SUMIF(Master_Data!$AK$4:$AK$145,CONCATENATE($C65,$GX$3),Master_Data!$Q$4:$Q$145)+SUMIF(Master_Data!$AK$152:$AK$864,CONCATENATE($C65,$GX$3),Master_Data!$Q$152:$Q$864)</f>
        <v>0</v>
      </c>
      <c r="GQ65" s="512">
        <f>SUMIF(Master_Data!$AK$4:$AK$145,CONCATENATE($C65,$GX$3),Master_Data!$U$4:$U$145)+SUMIF(Master_Data!$AK$152:$AK$864,CONCATENATE($C65,$GX$3),Master_Data!$U$152:$U$864)</f>
        <v>0</v>
      </c>
      <c r="GR65" s="310">
        <f>SUMIF(Master_Data!$AK$4:$AK$145,CONCATENATE($C65,$GX$3),Master_Data!$S$4:$S$145)+SUMIF(Master_Data!$AK$152:$AK$864,CONCATENATE($C65,$GX$3),Master_Data!$S$152:$S$864)</f>
        <v>0</v>
      </c>
      <c r="GS65" s="39">
        <f>SUMIF(Master_Data!$AK$152:$AK$864,CONCATENATE($C65,GX$3),Master_Data!$T$152:$T$864)</f>
        <v>0</v>
      </c>
      <c r="GT65" s="534">
        <f t="shared" si="44"/>
        <v>0</v>
      </c>
      <c r="GU65" s="310">
        <f t="shared" si="16"/>
        <v>0</v>
      </c>
      <c r="GV65" s="31"/>
      <c r="GW65" s="358" t="str">
        <f t="shared" si="87"/>
        <v>SERVO BUANA RESOURCES, PTDES</v>
      </c>
      <c r="GX65" s="54"/>
    </row>
    <row r="66" spans="1:206" s="19" customFormat="1">
      <c r="A66" s="21" t="s">
        <v>643</v>
      </c>
      <c r="B66" s="236" t="str">
        <f t="shared" si="18"/>
        <v>TEBAR TANDAN TENERA, PTJAN</v>
      </c>
      <c r="C66" s="8" t="s">
        <v>412</v>
      </c>
      <c r="D66" s="23"/>
      <c r="E66" s="109">
        <f>SUMIF(Master_Data!$D56:$D$145,CONCATENATE(C66),Master_Data!M56:M923)</f>
        <v>0</v>
      </c>
      <c r="F66" s="109">
        <f>SUMIF(Master_Data!$D62:$D$145,CONCATENATE(C66),Master_Data!N62:N322)</f>
        <v>24200000</v>
      </c>
      <c r="G66" s="31"/>
      <c r="H66" s="109">
        <f>SUMIF(Bill_Out!$Q$3:$Q$65,CONCATENATE($C66,$S$3),Bill_Out!$N$3:$N$65)</f>
        <v>0</v>
      </c>
      <c r="I66" s="88" t="e">
        <f>SUMIF(Bill_Out!$Q$3:$Q$65,CONCATENATE($C66,$S$3),Bill_Out!$O$3:$O$65)</f>
        <v>#VALUE!</v>
      </c>
      <c r="J66" s="157"/>
      <c r="K66" s="29"/>
      <c r="L66" s="44"/>
      <c r="M66" s="230">
        <f>SUMIF(Master_Data!$AK61:$AK$145,CONCATENATE(C66,$S$3),Master_Data!U61:U434)+SUMIF(Master_Data!$AK472:$AK$864,CONCATENATE(C66,$S$3),Master_Data!U472:U1374)</f>
        <v>23760000</v>
      </c>
      <c r="N66" s="310">
        <f>SUMIF(Master_Data!$AK$4:$AK$145,CONCATENATE(C66,$S$3),Master_Data!$S$4:$S$145)+SUMIF(Master_Data!$AK$150:$AK$864,CONCATENATE(C66,$S$3),Master_Data!$S$150:$S$864)</f>
        <v>0</v>
      </c>
      <c r="O66" s="310">
        <f>SUMIF(Master_Data!$AK$4:$AK$145,CONCATENATE(C66,$S$3),Master_Data!$T$4:$T$145)+SUMIF(Master_Data!$AK$150:$AK$864,CONCATENATE(C66,$S$3),Master_Data!$T$150:$T$864)</f>
        <v>-440000</v>
      </c>
      <c r="P66" s="230">
        <f t="shared" si="19"/>
        <v>0</v>
      </c>
      <c r="Q66" s="230" t="e">
        <f t="shared" si="20"/>
        <v>#VALUE!</v>
      </c>
      <c r="R66" s="23"/>
      <c r="S66" s="258"/>
      <c r="T66" s="31"/>
      <c r="U66" s="109">
        <f t="shared" si="102"/>
        <v>0</v>
      </c>
      <c r="V66" s="109" t="e">
        <f t="shared" si="103"/>
        <v>#VALUE!</v>
      </c>
      <c r="W66" s="31"/>
      <c r="X66" s="109">
        <f>SUMIF(Bill_Out!$Q$67:$Q$132,CONCATENATE($C66,$AJ$3),Bill_Out!$N$67:$N$132)</f>
        <v>0</v>
      </c>
      <c r="Y66" s="109" t="e">
        <f>SUMIF(Bill_Out!$Q$67:$Q$132,CONCATENATE($C66,$AJ$3),Bill_Out!$O$67:$O$132)</f>
        <v>#VALUE!</v>
      </c>
      <c r="Z66" s="157"/>
      <c r="AA66" s="230">
        <f>SUMIF(Master_Data!$AK$4:$AK$145,CONCATENATE(C66,$AJ$3),Master_Data!$R$4:$R$145)+SUMIF(Master_Data!$AK$152:$AK$850,CONCATENATE(C66,$AJ$3),Master_Data!$R$152:$R$850)</f>
        <v>0</v>
      </c>
      <c r="AB66" s="230">
        <f>SUMIF(Master_Data!$AK$4:$AK$145,CONCATENATE(C66,$AJ$3),Master_Data!$Q$4:$Q$145)+SUMIF(Master_Data!$AK$152:$AK$850,CONCATENATE(C66,$AJ$3),Master_Data!$Q$152:$Q$850)</f>
        <v>0</v>
      </c>
      <c r="AC66" s="230">
        <f>SUMIF(Master_Data!$AK$4:$AK$145,CONCATENATE(C66,$AJ$3),Master_Data!$U$4:$U$145)+SUMIF(Master_Data!$AK$152:$AK$850,CONCATENATE(C66,$AJ$3),Master_Data!$U$152:$U$850)</f>
        <v>23760000</v>
      </c>
      <c r="AD66" s="310">
        <f ca="1">SUMIF(Master_Data!$AK$4:$AK$145,CONCATENATE(C66,$AJ$3),Master_Data!$S$4:$S$145)+SUMIF(Master_Data!$AK$152:$AK$864,CONCATENATE(C66,$AJ$3),Master_Data!$S$152:$S$850)</f>
        <v>0</v>
      </c>
      <c r="AE66" s="310">
        <f>SUMIF(Master_Data!$AK$4:$AK$145,CONCATENATE(C66,$AJ$3),Master_Data!$T$4:$T$145)+SUMIF(Master_Data!$AK$152:$AK$864,CONCATENATE(C66,$AJ$3),Master_Data!$T$152:$T$864)</f>
        <v>-440000</v>
      </c>
      <c r="AF66" s="230">
        <f t="shared" si="104"/>
        <v>0</v>
      </c>
      <c r="AG66" s="230" t="e">
        <f t="shared" ca="1" si="105"/>
        <v>#VALUE!</v>
      </c>
      <c r="AH66" s="31"/>
      <c r="AI66" s="235" t="str">
        <f t="shared" si="86"/>
        <v>TEBAR TANDAN TENERA, PTFEB</v>
      </c>
      <c r="AJ66" s="54"/>
      <c r="AK66" s="31"/>
      <c r="AL66" s="109">
        <f t="shared" ref="AL66:AM72" si="106">AF66</f>
        <v>0</v>
      </c>
      <c r="AM66" s="109" t="e">
        <f t="shared" ca="1" si="106"/>
        <v>#VALUE!</v>
      </c>
      <c r="AN66" s="31"/>
      <c r="AO66" s="109">
        <f>SUMIF(Bill_Out!$Q$134:$Q$188,CONCATENATE($C66,$BA$3),Bill_Out!$N$134:$N$188)</f>
        <v>0</v>
      </c>
      <c r="AP66" s="109" t="e">
        <f>SUMIF(Bill_Out!$Q$134:$Q$188,CONCATENATE($C66,$BA$3),Bill_Out!$O$134:$O$188)</f>
        <v>#VALUE!</v>
      </c>
      <c r="AQ66" s="157"/>
      <c r="AR66" s="230">
        <f>SUMIF(Master_Data!$AK$4:$AK$145,CONCATENATE(C66,$BA$3),Master_Data!$R$4:$R$145)+SUMIF(Master_Data!$AK$152:$AK$864,CONCATENATE(C66,$BA$3),Master_Data!$R$152:$R$864)</f>
        <v>0</v>
      </c>
      <c r="AS66" s="230">
        <f>SUMIF(Master_Data!$AK$4:$AK$145,CONCATENATE(C66,$BA$3),Master_Data!$Q$4:$Q$145)+SUMIF(Master_Data!$AK$152:$AK$864,CONCATENATE(C66,$BA$3),Master_Data!$Q$152:$Q$864)</f>
        <v>0</v>
      </c>
      <c r="AT66" s="230">
        <f>SUMIF(Master_Data!$AK$4:$AK$145,CONCATENATE(C66,$BA$3),Master_Data!$U$4:$U$145)+SUMIF(Master_Data!$AK$152:$AK$864,CONCATENATE(C66,$BA$3),Master_Data!$U$152:$U$864)</f>
        <v>23760000</v>
      </c>
      <c r="AU66" s="230">
        <f ca="1">SUMIF(Master_Data!$AK$4:$AK$145,CONCATENATE(C66,$BA$3),Master_Data!$S$4:$S$145)+SUMIF(Master_Data!$AK$152:$AK$864,CONCATENATE(C66,$BA$3),Master_Data!$S$152:$S$850)</f>
        <v>0</v>
      </c>
      <c r="AV66" s="39">
        <f>SUMIF(Master_Data!$AK$152:$AK$864,CONCATENATE($C66,BA$3),Master_Data!$T$152:$T$864)</f>
        <v>-440000</v>
      </c>
      <c r="AW66" s="230">
        <f t="shared" si="57"/>
        <v>0</v>
      </c>
      <c r="AX66" s="230" t="e">
        <f t="shared" ca="1" si="58"/>
        <v>#VALUE!</v>
      </c>
      <c r="AY66" s="31"/>
      <c r="AZ66" s="235" t="str">
        <f t="shared" si="21"/>
        <v>TEBAR TANDAN TENERA, PTMAR</v>
      </c>
      <c r="BA66" s="54"/>
      <c r="BB66" s="31"/>
      <c r="BC66" s="109">
        <f t="shared" si="22"/>
        <v>0</v>
      </c>
      <c r="BD66" s="109" t="e">
        <f t="shared" ca="1" si="23"/>
        <v>#VALUE!</v>
      </c>
      <c r="BE66" s="31"/>
      <c r="BF66" s="109">
        <f>SUMIF(Bill_Out!$Q$192:$Q$258,CONCATENATE($C66,$BR$3),Bill_Out!$N$192:$N$258)</f>
        <v>0</v>
      </c>
      <c r="BG66" s="109" t="e">
        <f>SUMIF(Bill_Out!$Q$192:$Q$258,CONCATENATE($C66,$BR$3),Bill_Out!$O$192:$O$258)</f>
        <v>#VALUE!</v>
      </c>
      <c r="BH66" s="157"/>
      <c r="BI66" s="230">
        <f>SUMIF(Master_Data!$AK$4:$AK$145,CONCATENATE(C66,$BR$3),Master_Data!$R$4:$R$145)+SUMIF(Master_Data!$AK$152:$AK$864,CONCATENATE(C66,$BR$3),Master_Data!$R$152:$R$864)</f>
        <v>0</v>
      </c>
      <c r="BJ66" s="230">
        <f>SUMIF(Master_Data!$AK$4:$AK$145,CONCATENATE(C66,$BR$3),Master_Data!$Q$4:$Q$145)+SUMIF(Master_Data!$AK$152:$AK$864,CONCATENATE(C66,$BR$3),Master_Data!$Q$152:$Q$864)</f>
        <v>0</v>
      </c>
      <c r="BK66" s="230">
        <f>SUMIF(Master_Data!$AK$4:$AK$145,CONCATENATE(C66,$BR$3),Master_Data!$U$4:$U$145)+SUMIF(Master_Data!$AK$152:$AK$864,CONCATENATE(C66,$BR$3),Master_Data!$U$152:$U$864)</f>
        <v>23760000</v>
      </c>
      <c r="BL66" s="230">
        <f>SUMIF(Master_Data!$AK$4:$AK$145,CONCATENATE(C66,$BR$3),Master_Data!$S$4:$S$145)+SUMIF(Master_Data!$AK$152:$AK$864,CONCATENATE(C66,$BR$3),Master_Data!$S$152:$S$864)</f>
        <v>0</v>
      </c>
      <c r="BM66" s="39">
        <f>SUMIF(Master_Data!$AK$152:$AK$864,CONCATENATE($C66,BR$3),Master_Data!$T$152:$T$864)</f>
        <v>-440000</v>
      </c>
      <c r="BN66" s="230">
        <f t="shared" si="24"/>
        <v>0</v>
      </c>
      <c r="BO66" s="230" t="e">
        <f t="shared" ca="1" si="25"/>
        <v>#VALUE!</v>
      </c>
      <c r="BP66" s="31"/>
      <c r="BQ66" s="909" t="str">
        <f t="shared" si="26"/>
        <v>TEBAR TANDAN TENERA, PTAPR</v>
      </c>
      <c r="BR66" s="54"/>
      <c r="BS66" s="31"/>
      <c r="BT66" s="109">
        <f t="shared" ref="BT66:BT72" si="107">BN66</f>
        <v>0</v>
      </c>
      <c r="BU66" s="109" t="e">
        <f t="shared" ref="BU66:BU72" ca="1" si="108">BO66</f>
        <v>#VALUE!</v>
      </c>
      <c r="BV66" s="31"/>
      <c r="BW66" s="109">
        <f>SUMIF(Bill_Out!$Q$263:$Q$314,CONCATENATE($C66,$CI$3),Bill_Out!$N$263:$N$314)</f>
        <v>0</v>
      </c>
      <c r="BX66" s="109" t="e">
        <f>SUMIF(Bill_Out!$Q$263:$Q$314,CONCATENATE($C66,$CI$3),Bill_Out!$O$263:$O$314)</f>
        <v>#VALUE!</v>
      </c>
      <c r="BY66" s="157"/>
      <c r="BZ66" s="310">
        <f>SUMIF(Master_Data!$AK$4:$AK$145,CONCATENATE(C66,$CI$3),Master_Data!$R$4:$R$145)+SUMIF(Master_Data!$AK$152:$AK$864,CONCATENATE(C66,$CI$3),Master_Data!$R$152:$R$864)</f>
        <v>0</v>
      </c>
      <c r="CA66" s="310">
        <f>SUMIF(Master_Data!$AK$4:$AK$145,CONCATENATE(C66,$CI$3),Master_Data!$Q$4:$Q$145)+SUMIF(Master_Data!$AK$152:$AK$864,CONCATENATE(C66,$CI$3),Master_Data!$Q$152:$Q$864)</f>
        <v>0</v>
      </c>
      <c r="CB66" s="310">
        <f>SUMIF(Master_Data!$AK$4:$AK$145,CONCATENATE(C66,$CI$3),Master_Data!$U$4:$U$145)+SUMIF(Master_Data!$AK$152:$AK$864,CONCATENATE(C66,$CI$3),Master_Data!$U$152:$U$864)</f>
        <v>23760000</v>
      </c>
      <c r="CC66" s="230">
        <f>SUMIF(Master_Data!$AK$4:$AK$145,CONCATENATE(C66,$CI$3),Master_Data!$S$4:$S$145)+SUMIF(Master_Data!$AK$152:$AK$864,CONCATENATE(C66,$CI$3),Master_Data!$S$152:$S$864)</f>
        <v>0</v>
      </c>
      <c r="CD66" s="39">
        <f>SUMIF(Master_Data!$AK$152:$AK$864,CONCATENATE($C66,CI$3),Master_Data!$T$152:$T$864)</f>
        <v>-440000</v>
      </c>
      <c r="CE66" s="310">
        <f t="shared" si="27"/>
        <v>0</v>
      </c>
      <c r="CF66" s="230" t="e">
        <f t="shared" ca="1" si="28"/>
        <v>#VALUE!</v>
      </c>
      <c r="CG66" s="31"/>
      <c r="CH66" s="235" t="str">
        <f t="shared" si="29"/>
        <v>TEBAR TANDAN TENERA, PTMEI</v>
      </c>
      <c r="CI66" s="54"/>
      <c r="CJ66" s="31"/>
      <c r="CK66" s="109">
        <f t="shared" si="30"/>
        <v>0</v>
      </c>
      <c r="CL66" s="238" t="e">
        <f t="shared" ca="1" si="31"/>
        <v>#VALUE!</v>
      </c>
      <c r="CM66" s="31"/>
      <c r="CN66" s="238">
        <f>SUMIF(Bill_Out!$Q$318:$Q$371,CONCATENATE($C66,$CZ$3),Bill_Out!$N$318:$N$371)</f>
        <v>0</v>
      </c>
      <c r="CO66" s="238" t="e">
        <f>SUMIF(Bill_Out!$Q$318:$Q$371,CONCATENATE($C66,$CZ$3),Bill_Out!$O$318:$O$371)</f>
        <v>#VALUE!</v>
      </c>
      <c r="CP66" s="157"/>
      <c r="CQ66" s="230">
        <f>SUMIF(Master_Data!$AK$4:$AK$145,CONCATENATE($C66,$CZ$3),Master_Data!$R$4:$R$145)+SUMIF(Master_Data!$AK$152:$AK$864,CONCATENATE($C66,$CZ$3),Master_Data!$R$152:$R$864)</f>
        <v>0</v>
      </c>
      <c r="CR66" s="230">
        <f>SUMIF(Master_Data!$AK$4:$AK$145,CONCATENATE($C66,$CZ$3),Master_Data!$Q$4:$Q$145)+SUMIF(Master_Data!$AK$152:$AK$864,CONCATENATE($C66,$CZ$3),Master_Data!$Q$152:$Q$864)</f>
        <v>0</v>
      </c>
      <c r="CS66" s="230">
        <f>SUMIF(Master_Data!$AK$4:$AK$145,CONCATENATE($C66,$CZ$3),Master_Data!$U$4:$U$145)+SUMIF(Master_Data!$AK$152:$AK$864,CONCATENATE($C66,$CZ$3),Master_Data!$U$152:$U$864)</f>
        <v>792000</v>
      </c>
      <c r="CT66" s="230">
        <f ca="1">SUMIF(Master_Data!$AK$4:$AK$145,CONCATENATE(C66,$CZ$3),Master_Data!$S$4:$S$145)+SUMIF(Master_Data!$AK$152:$AK$915,CONCATENATE(C66,$CZ$3),Master_Data!$S$152:$S$864)</f>
        <v>0</v>
      </c>
      <c r="CU66" s="1010">
        <f>SUMIF(Master_Data!$AK$4:$AK$145,CONCATENATE(C66,$CZ$3),Master_Data!$T$4:$T$145)+SUMIF(Master_Data!$AK$152:$AK$864,CONCATENATE(C66,$CZ$3),Master_Data!$T$152:$T$864)</f>
        <v>-14666.666599999999</v>
      </c>
      <c r="CV66" s="230">
        <f t="shared" si="32"/>
        <v>0</v>
      </c>
      <c r="CW66" s="230" t="e">
        <f t="shared" ca="1" si="33"/>
        <v>#VALUE!</v>
      </c>
      <c r="CX66" s="31"/>
      <c r="CY66" s="1007" t="str">
        <f t="shared" si="6"/>
        <v>TEBAR TANDAN TENERA, PTJUN</v>
      </c>
      <c r="CZ66" s="54"/>
      <c r="DA66" s="31"/>
      <c r="DB66" s="109">
        <f t="shared" si="34"/>
        <v>0</v>
      </c>
      <c r="DC66" s="109" t="e">
        <f t="shared" ca="1" si="35"/>
        <v>#VALUE!</v>
      </c>
      <c r="DD66" s="31"/>
      <c r="DE66" s="109">
        <f>SUMIF(Bill_Out!$Q$375:$Q$422,CONCATENATE($C66,$DQ$3),Bill_Out!$N$375:$N$422)</f>
        <v>0</v>
      </c>
      <c r="DF66" s="109" t="e">
        <f>SUMIF(Bill_Out!$Q$375:$Q$422,CONCATENATE($C66,$DQ$3),Bill_Out!$O$375:$O$422)</f>
        <v>#VALUE!</v>
      </c>
      <c r="DG66" s="157"/>
      <c r="DH66" s="310">
        <f>SUMIF(Master_Data!$AK$4:$AK$145,CONCATENATE($C66,$DQ$3),Master_Data!$R$4:$R$145)+SUMIF(Master_Data!$AK$152:$AK$864,CONCATENATE($C66,$DQ$3),Master_Data!$R$152:$R$864)</f>
        <v>0</v>
      </c>
      <c r="DI66" s="310">
        <f>SUMIF(Master_Data!$AK$4:$AK$145,CONCATENATE($C66,$DQ$3),Master_Data!$Q$4:$Q$145)+SUMIF(Master_Data!$AK$152:$AK$864,CONCATENATE($C66,$DQ$3),Master_Data!$Q$152:$Q$864)</f>
        <v>0</v>
      </c>
      <c r="DJ66" s="310">
        <f>SUMIF(Master_Data!$AK$4:$AK$145,CONCATENATE($C66,$DQ$3),Master_Data!$U$4:$U$145)+SUMIF(Master_Data!$AK$152:$AK$864,CONCATENATE($C66,$DQ$3),Master_Data!$U$152:$U$864)</f>
        <v>23760000</v>
      </c>
      <c r="DK66" s="310">
        <f>SUMIF(Master_Data!$AK$4:$AK$145,CONCATENATE($C66,$DQ$3),Master_Data!$S$4:$S$145)+SUMIF(Master_Data!$AK$152:$AK$864,CONCATENATE($C66,$DQ$3),Master_Data!$S$152:$S$864)</f>
        <v>0</v>
      </c>
      <c r="DL66" s="39">
        <f>SUMIF(Master_Data!$AK$152:$AK$915,CONCATENATE($C66,DQ$3),Master_Data!$T$152:$T$915)</f>
        <v>-440000</v>
      </c>
      <c r="DM66" s="230">
        <f t="shared" si="67"/>
        <v>0</v>
      </c>
      <c r="DN66" s="230" t="e">
        <f t="shared" ca="1" si="68"/>
        <v>#VALUE!</v>
      </c>
      <c r="DO66" s="31"/>
      <c r="DP66" s="358" t="str">
        <f t="shared" si="9"/>
        <v>TEBAR TANDAN TENERA, PTJUL</v>
      </c>
      <c r="DQ66" s="54"/>
      <c r="DR66" s="392"/>
      <c r="DS66" s="109">
        <f t="shared" si="36"/>
        <v>0</v>
      </c>
      <c r="DT66" s="109" t="e">
        <f t="shared" ca="1" si="37"/>
        <v>#VALUE!</v>
      </c>
      <c r="DU66" s="31"/>
      <c r="DV66" s="109">
        <f>SUMIF(Bill_Out!$Q$426:$Q$472,CONCATENATE($C66,$EH$3),Bill_Out!$N$426:$N$472)</f>
        <v>0</v>
      </c>
      <c r="DW66" s="109">
        <f>SUMIF(Bill_Out!$Q$426:$Q$472,CONCATENATE($C66,$EH$3),Bill_Out!$O$426:$O$472)</f>
        <v>0</v>
      </c>
      <c r="DX66" s="157"/>
      <c r="DY66" s="310">
        <f>SUMIF(Master_Data!$AK$4:$AK$145,CONCATENATE($C66,$EH$3),Master_Data!$R$4:$R$145)+SUMIF(Master_Data!$AK$152:$AK$864,CONCATENATE($C66,$EH$3),Master_Data!$R$152:$R$864)</f>
        <v>0</v>
      </c>
      <c r="DZ66" s="310">
        <f>SUMIF(Master_Data!$AK$4:$AK$145,CONCATENATE($C66,$EH$3),Master_Data!$Q$4:$Q$145)+SUMIF(Master_Data!$AK$152:$AK$864,CONCATENATE($C66,$EH$3),Master_Data!$Q$152:$Q$864)</f>
        <v>0</v>
      </c>
      <c r="EA66" s="310">
        <f>SUMIF(Master_Data!$AK$4:$AK$145,CONCATENATE($C66,$EH$3),Master_Data!$U$4:$U$145)+SUMIF(Master_Data!$AK$152:$AK$864,CONCATENATE($C66,$EH$3),Master_Data!$U$152:$U$864)</f>
        <v>23760000</v>
      </c>
      <c r="EB66" s="310">
        <f>SUMIF(Master_Data!$AK$4:$AK$145,CONCATENATE($C66,$EH$3),Master_Data!$S$4:$S$145)+SUMIF(Master_Data!$AK$152:$AK$864,CONCATENATE($C66,$EH$3),Master_Data!$S$152:$S$864)</f>
        <v>0</v>
      </c>
      <c r="EC66" s="39">
        <f>SUMIF(Master_Data!$AK$152:$AK$915,CONCATENATE($C66,EH$3),Master_Data!$T$152:$T$915)</f>
        <v>-440000</v>
      </c>
      <c r="ED66" s="310">
        <f t="shared" si="38"/>
        <v>0</v>
      </c>
      <c r="EE66" s="230" t="e">
        <f t="shared" ca="1" si="39"/>
        <v>#VALUE!</v>
      </c>
      <c r="EF66" s="31"/>
      <c r="EG66" s="358" t="str">
        <f t="shared" ref="EG66:EG69" si="109">CONCATENATE($C66,$EH$3)</f>
        <v>TEBAR TANDAN TENERA, PTAGS</v>
      </c>
      <c r="EH66" s="54"/>
      <c r="EI66" s="392"/>
      <c r="EJ66" s="109">
        <f t="shared" si="47"/>
        <v>0</v>
      </c>
      <c r="EK66" s="109" t="e">
        <f t="shared" ca="1" si="48"/>
        <v>#VALUE!</v>
      </c>
      <c r="EL66" s="84"/>
      <c r="EM66" s="109">
        <f>SUMIF(Bill_Out!$Q$476:$Q$530,CONCATENATE($C66,$EY$3),Bill_Out!$N$476:$N$530)</f>
        <v>0</v>
      </c>
      <c r="EN66" s="109">
        <f>SUMIF(Bill_Out!$Q$476:$Q$530,CONCATENATE($C66,$EY$3),Bill_Out!$O$476:$O$530)</f>
        <v>0</v>
      </c>
      <c r="EO66" s="309"/>
      <c r="EP66" s="310">
        <f>SUMIF(Master_Data!$AK$4:$AK$145,CONCATENATE($C66,$EY$3),Master_Data!$R$4:$R$145)+SUMIF(Master_Data!$AK$152:$AK$864,CONCATENATE($C66,$EY$3),Master_Data!$R$152:$R$864)</f>
        <v>0</v>
      </c>
      <c r="EQ66" s="310">
        <f>SUMIF(Master_Data!$AK$4:$AK$145,CONCATENATE($C66,$EY$3),Master_Data!$Q$4:$Q$145)+SUMIF(Master_Data!$AK$152:$AK$864,CONCATENATE($C66,$EY$3),Master_Data!$Q$152:$Q$864)</f>
        <v>0</v>
      </c>
      <c r="ER66" s="310">
        <f>SUMIF(Master_Data!$AK$4:$AK$145,CONCATENATE($C66,$EY$3),Master_Data!$U$4:$U$145)+SUMIF(Master_Data!$AK$152:$AK$864,CONCATENATE($C66,$EY$3),Master_Data!$U$152:$U$864)</f>
        <v>23760000</v>
      </c>
      <c r="ES66" s="310">
        <f>SUMIF(Master_Data!$AK$4:$AK$145,CONCATENATE($C66,$EY$3),Master_Data!$S$4:$S$145)+SUMIF(Master_Data!$AK$152:$AK$864,CONCATENATE($C66,$EY$3),Master_Data!$S$152:$S$864)</f>
        <v>0</v>
      </c>
      <c r="ET66" s="39">
        <f>SUMIF(Master_Data!$AK$152:$AK$915,CONCATENATE($C66,EY$3),Master_Data!$T$152:$T$915)</f>
        <v>-440000</v>
      </c>
      <c r="EU66" s="310">
        <f t="shared" si="49"/>
        <v>0</v>
      </c>
      <c r="EV66" s="230"/>
      <c r="EW66" s="84"/>
      <c r="EX66" s="358" t="str">
        <f t="shared" ref="EX66:EX72" si="110">CONCATENATE($C66,$EY$3)</f>
        <v>TEBAR TANDAN TENERA, PTSEP</v>
      </c>
      <c r="EY66" s="54"/>
      <c r="EZ66" s="415"/>
      <c r="FA66" s="109">
        <f>EU66</f>
        <v>0</v>
      </c>
      <c r="FB66" s="109">
        <f>EV66</f>
        <v>0</v>
      </c>
      <c r="FC66" s="420"/>
      <c r="FD66" s="109">
        <f>SUMIF(Bill_Out!$Q$534:$Q$606,CONCATENATE($C66,$FP$3),Bill_Out!$N$534:$N$606)</f>
        <v>0</v>
      </c>
      <c r="FE66" s="109" t="e">
        <f>SUMIF(Bill_Out!$Q$534:$Q$606,CONCATENATE($C66,$FP$3),Bill_Out!$O$534:$O$606)</f>
        <v>#VALUE!</v>
      </c>
      <c r="FF66" s="157"/>
      <c r="FG66" s="310">
        <f>SUMIF(Master_Data!$AK$4:$AK$145,CONCATENATE($C66,$FP$3),Master_Data!$R$4:$R$145)+SUMIF(Master_Data!$AK$152:$AK$864,CONCATENATE($C66,$FP$3),Master_Data!$R$152:$R$864)</f>
        <v>0</v>
      </c>
      <c r="FH66" s="310">
        <f>SUMIF(Master_Data!$AK$4:$AK$145,CONCATENATE($C66,$FP$3),Master_Data!$Q$4:$Q$145)+SUMIF(Master_Data!$AK$152:$AK$864,CONCATENATE($C66,$FP$3),Master_Data!$Q$152:$Q$864)</f>
        <v>0</v>
      </c>
      <c r="FI66" s="310">
        <f>SUMIF(Master_Data!$AK$4:$AK$145,CONCATENATE($C66,$FP$3),Master_Data!$U$4:$U$145)+SUMIF(Master_Data!$AK$152:$AK$864,CONCATENATE($C66,$FP$3),Master_Data!$U$152:$U$864)</f>
        <v>23760000</v>
      </c>
      <c r="FJ66" s="310">
        <f>SUMIF(Master_Data!$AK$4:$AK$145,CONCATENATE($C66,$FP$3),Master_Data!$S$4:$S$145)+SUMIF(Master_Data!$AK$152:$AK$864,CONCATENATE($C66,$FP$3),Master_Data!$S$152:$S$864)</f>
        <v>0</v>
      </c>
      <c r="FK66" s="39">
        <f>SUMIF(Master_Data!$AK$152:$AK$915,CONCATENATE($C66,FP$3),Master_Data!$T$152:$T$915)</f>
        <v>-440000</v>
      </c>
      <c r="FL66" s="230">
        <f>FA66+FD66-FG66+FH66</f>
        <v>0</v>
      </c>
      <c r="FM66" s="230" t="e">
        <f t="shared" si="12"/>
        <v>#VALUE!</v>
      </c>
      <c r="FN66" s="23"/>
      <c r="FO66" s="358" t="str">
        <f t="shared" si="100"/>
        <v>TEBAR TANDAN TENERA, PTOKT</v>
      </c>
      <c r="FP66" s="54"/>
      <c r="FQ66" s="415"/>
      <c r="FR66" s="109">
        <f>FL66</f>
        <v>0</v>
      </c>
      <c r="FS66" s="109" t="e">
        <f>FM66</f>
        <v>#VALUE!</v>
      </c>
      <c r="FT66" s="420"/>
      <c r="FU66" s="109">
        <f>SUMIF(Bill_Out!$Q$610:$Q$675,CONCATENATE($C66,$GG$3),Bill_Out!$N$610:$N$675)</f>
        <v>0</v>
      </c>
      <c r="FV66" s="109" t="e">
        <f>SUMIF(Bill_Out!$Q$610:$Q$675,CONCATENATE($C66,$GG$3),Bill_Out!$O$610:$O$675)</f>
        <v>#VALUE!</v>
      </c>
      <c r="FW66" s="157"/>
      <c r="FX66" s="512">
        <f>SUMIF(Master_Data!$AK$4:$AK$145,CONCATENATE($C66,$GG$3),Master_Data!$R$4:$R$145)+SUMIF(Master_Data!$AK$152:$AK$864,CONCATENATE($C66,$GG$3),Master_Data!$R$152:$R$864)</f>
        <v>0</v>
      </c>
      <c r="FY66" s="512">
        <f>SUMIF(Master_Data!$AK$4:$AK$145,CONCATENATE($C66,$GG$3),Master_Data!$Q$4:$Q$145)+SUMIF(Master_Data!$AK$152:$AK$864,CONCATENATE($C66,$GG$3),Master_Data!$Q$152:$Q$864)</f>
        <v>0</v>
      </c>
      <c r="FZ66" s="512">
        <f>SUMIF(Master_Data!$AK$4:$AK$145,CONCATENATE($C66,$GG$3),Master_Data!$U$4:$U$145)+SUMIF(Master_Data!$AK$152:$AK$864,CONCATENATE($C66,$GG$3),Master_Data!$U$152:$U$864)</f>
        <v>23760000</v>
      </c>
      <c r="GA66" s="310">
        <f>SUMIF(Master_Data!$AK$4:$AK$145,CONCATENATE($C66,$GG$3),Master_Data!$S$4:$S$145)+SUMIF(Master_Data!$AK$152:$AK$864,CONCATENATE($C66,$GG$3),Master_Data!$S$152:$S$864)</f>
        <v>0</v>
      </c>
      <c r="GB66" s="39">
        <f>SUMIF(Master_Data!$AK$152:$AK$915,CONCATENATE($C66,GG$3),Master_Data!$T$152:$T$915)</f>
        <v>-440000</v>
      </c>
      <c r="GC66" s="230">
        <f>FR66+FU66-FX66+FY66</f>
        <v>0</v>
      </c>
      <c r="GD66" s="230" t="e">
        <f t="shared" si="14"/>
        <v>#VALUE!</v>
      </c>
      <c r="GE66" s="23"/>
      <c r="GF66" s="358" t="str">
        <f t="shared" si="101"/>
        <v>TEBAR TANDAN TENERA, PTNOV</v>
      </c>
      <c r="GG66" s="54"/>
      <c r="GH66" s="415" t="s">
        <v>405</v>
      </c>
      <c r="GI66" s="109">
        <f t="shared" si="70"/>
        <v>0</v>
      </c>
      <c r="GJ66" s="109" t="e">
        <f t="shared" si="71"/>
        <v>#VALUE!</v>
      </c>
      <c r="GK66" s="423"/>
      <c r="GL66" s="109">
        <f>SUMIF(Bill_Out!$Q$679:$Q$756,CONCATENATE($C66,$GX$3),Bill_Out!$N$679:$N$756)</f>
        <v>0</v>
      </c>
      <c r="GM66" s="109" t="e">
        <f>SUMIF(Bill_Out!$Q$679:$Q$756,CONCATENATE($C66,$GX$3),Bill_Out!$O$679:$O$756)</f>
        <v>#VALUE!</v>
      </c>
      <c r="GN66" s="157"/>
      <c r="GO66" s="512">
        <f>SUMIF(Master_Data!$AK$4:$AK$145,CONCATENATE($C66,$GX$3),Master_Data!$R$4:$R$145)+SUMIF(Master_Data!$AK$152:$AK$864,CONCATENATE($C66,$GX$3),Master_Data!$R$152:$R$864)</f>
        <v>0</v>
      </c>
      <c r="GP66" s="512">
        <f>SUMIF(Master_Data!$AK$4:$AK$145,CONCATENATE($C66,$GX$3),Master_Data!$Q$4:$Q$145)+SUMIF(Master_Data!$AK$152:$AK$864,CONCATENATE($C66,$GX$3),Master_Data!$Q$152:$Q$864)</f>
        <v>0</v>
      </c>
      <c r="GQ66" s="512">
        <f>SUMIF(Master_Data!$AK$4:$AK$145,CONCATENATE($C66,$GX$3),Master_Data!$U$4:$U$145)+SUMIF(Master_Data!$AK$152:$AK$864,CONCATENATE($C66,$GX$3),Master_Data!$U$152:$U$864)</f>
        <v>23760000</v>
      </c>
      <c r="GR66" s="310">
        <f>SUMIF(Master_Data!$AK$4:$AK$145,CONCATENATE($C66,$GX$3),Master_Data!$S$4:$S$145)+SUMIF(Master_Data!$AK$152:$AK$864,CONCATENATE($C66,$GX$3),Master_Data!$S$152:$S$864)</f>
        <v>0</v>
      </c>
      <c r="GS66" s="39">
        <f>SUMIF(Master_Data!$AK$152:$AK$864,CONCATENATE($C66,GX$3),Master_Data!$T$152:$T$864)</f>
        <v>-440000</v>
      </c>
      <c r="GT66" s="534">
        <f t="shared" si="44"/>
        <v>0</v>
      </c>
      <c r="GU66" s="310" t="e">
        <f t="shared" si="16"/>
        <v>#VALUE!</v>
      </c>
      <c r="GV66" s="23"/>
      <c r="GW66" s="358" t="str">
        <f t="shared" si="87"/>
        <v>TEBAR TANDAN TENERA, PTDES</v>
      </c>
      <c r="GX66" s="54"/>
    </row>
    <row r="67" spans="1:206" s="19" customFormat="1">
      <c r="A67" s="328" t="s">
        <v>646</v>
      </c>
      <c r="B67" s="236" t="str">
        <f t="shared" si="18"/>
        <v>TIGA BAJI, PTJAN</v>
      </c>
      <c r="C67" s="8" t="s">
        <v>216</v>
      </c>
      <c r="D67" s="229" t="s">
        <v>324</v>
      </c>
      <c r="E67" s="109">
        <f>SUMIF(Master_Data!$D57:$D$145,CONCATENATE(C67),Master_Data!M57:M924)</f>
        <v>5570</v>
      </c>
      <c r="F67" s="109">
        <f>SUMIF(Master_Data!$D63:$D$145,CONCATENATE(C67),Master_Data!N63:N323)</f>
        <v>0</v>
      </c>
      <c r="G67" s="31"/>
      <c r="H67" s="109">
        <f>SUMIF(Bill_Out!$Q$3:$Q$65,CONCATENATE($C67,$S$3),Bill_Out!$N$3:$N$65)</f>
        <v>0</v>
      </c>
      <c r="I67" s="88">
        <f>SUMIF(Bill_Out!$Q$3:$Q$65,CONCATENATE($C67,$S$3),Bill_Out!$O$3:$O$65)</f>
        <v>0</v>
      </c>
      <c r="J67" s="157"/>
      <c r="K67" s="29"/>
      <c r="L67" s="44"/>
      <c r="M67" s="230">
        <f>SUMIF(Master_Data!$AK62:$AK$145,CONCATENATE(C67,$S$3),Master_Data!U62:U435)+SUMIF(Master_Data!$AK473:$AK$864,CONCATENATE(C67,$S$3),Master_Data!U473:U1374)</f>
        <v>0</v>
      </c>
      <c r="N67" s="310">
        <f>SUMIF(Master_Data!$AK$4:$AK$145,CONCATENATE(C67,$S$3),Master_Data!$S$4:$S$145)+SUMIF(Master_Data!$AK$150:$AK$864,CONCATENATE(C67,$S$3),Master_Data!$S$150:$S$864)</f>
        <v>0</v>
      </c>
      <c r="O67" s="310">
        <f>SUMIF(Master_Data!$AK$4:$AK$145,CONCATENATE(C67,$S$3),Master_Data!$T$4:$T$145)+SUMIF(Master_Data!$AK$150:$AK$864,CONCATENATE(C67,$S$3),Master_Data!$T$150:$T$864)</f>
        <v>0</v>
      </c>
      <c r="P67" s="230">
        <f t="shared" si="19"/>
        <v>5570</v>
      </c>
      <c r="Q67" s="230">
        <f t="shared" si="20"/>
        <v>0</v>
      </c>
      <c r="R67" s="23"/>
      <c r="S67" s="24"/>
      <c r="T67" s="282"/>
      <c r="U67" s="109">
        <f t="shared" si="102"/>
        <v>5570</v>
      </c>
      <c r="V67" s="109">
        <f t="shared" si="103"/>
        <v>0</v>
      </c>
      <c r="W67" s="31"/>
      <c r="X67" s="109">
        <f>SUMIF(Bill_Out!$Q$67:$Q$132,CONCATENATE($C67,$AJ$3),Bill_Out!$N$67:$N$132)</f>
        <v>0</v>
      </c>
      <c r="Y67" s="109">
        <f>SUMIF(Bill_Out!$Q$67:$Q$132,CONCATENATE($C67,$AJ$3),Bill_Out!$O$67:$O$132)</f>
        <v>0</v>
      </c>
      <c r="Z67" s="157"/>
      <c r="AA67" s="230">
        <f>SUMIF(Master_Data!$AK$4:$AK$145,CONCATENATE(C67,$AJ$3),Master_Data!$R$4:$R$145)+SUMIF(Master_Data!$AK$152:$AK$850,CONCATENATE(C67,$AJ$3),Master_Data!$R$152:$R$850)</f>
        <v>0</v>
      </c>
      <c r="AB67" s="230">
        <f>SUMIF(Master_Data!$AK$4:$AK$145,CONCATENATE(C67,$AJ$3),Master_Data!$Q$4:$Q$145)+SUMIF(Master_Data!$AK$152:$AK$850,CONCATENATE(C67,$AJ$3),Master_Data!$Q$152:$Q$850)</f>
        <v>0</v>
      </c>
      <c r="AC67" s="230">
        <f>SUMIF(Master_Data!$AK$4:$AK$145,CONCATENATE(C67,$AJ$3),Master_Data!$U$4:$U$145)+SUMIF(Master_Data!$AK$152:$AK$850,CONCATENATE(C67,$AJ$3),Master_Data!$U$152:$U$850)</f>
        <v>0</v>
      </c>
      <c r="AD67" s="310">
        <f ca="1">SUMIF(Master_Data!$AK$4:$AK$145,CONCATENATE(C67,$AJ$3),Master_Data!$S$4:$S$145)+SUMIF(Master_Data!$AK$152:$AK$864,CONCATENATE(C67,$AJ$3),Master_Data!$S$152:$S$850)</f>
        <v>0</v>
      </c>
      <c r="AE67" s="310">
        <f>SUMIF(Master_Data!$AK$4:$AK$145,CONCATENATE(C67,$AJ$3),Master_Data!$T$4:$T$145)+SUMIF(Master_Data!$AK$152:$AK$864,CONCATENATE(C67,$AJ$3),Master_Data!$T$152:$T$864)</f>
        <v>0</v>
      </c>
      <c r="AF67" s="230">
        <f t="shared" si="104"/>
        <v>5570</v>
      </c>
      <c r="AG67" s="230">
        <f t="shared" ca="1" si="105"/>
        <v>0</v>
      </c>
      <c r="AH67" s="23"/>
      <c r="AI67" s="235" t="str">
        <f t="shared" si="86"/>
        <v>TIGA BAJI, PTFEB</v>
      </c>
      <c r="AJ67" s="24"/>
      <c r="AK67" s="282"/>
      <c r="AL67" s="109">
        <f t="shared" si="106"/>
        <v>5570</v>
      </c>
      <c r="AM67" s="109">
        <f t="shared" ca="1" si="106"/>
        <v>0</v>
      </c>
      <c r="AN67" s="31"/>
      <c r="AO67" s="109">
        <f>SUMIF(Bill_Out!$Q$134:$Q$188,CONCATENATE($C67,$BA$3),Bill_Out!$N$134:$N$188)</f>
        <v>0</v>
      </c>
      <c r="AP67" s="109">
        <f>SUMIF(Bill_Out!$Q$134:$Q$188,CONCATENATE($C67,$BA$3),Bill_Out!$O$134:$O$188)</f>
        <v>0</v>
      </c>
      <c r="AQ67" s="157"/>
      <c r="AR67" s="230">
        <f>SUMIF(Master_Data!$AK$4:$AK$145,CONCATENATE(C67,$BA$3),Master_Data!$R$4:$R$145)+SUMIF(Master_Data!$AK$152:$AK$864,CONCATENATE(C67,$BA$3),Master_Data!$R$152:$R$864)</f>
        <v>0</v>
      </c>
      <c r="AS67" s="230">
        <f>SUMIF(Master_Data!$AK$4:$AK$145,CONCATENATE(C67,$BA$3),Master_Data!$Q$4:$Q$145)+SUMIF(Master_Data!$AK$152:$AK$864,CONCATENATE(C67,$BA$3),Master_Data!$Q$152:$Q$864)</f>
        <v>0</v>
      </c>
      <c r="AT67" s="230">
        <f>SUMIF(Master_Data!$AK$4:$AK$145,CONCATENATE(C67,$BA$3),Master_Data!$U$4:$U$145)+SUMIF(Master_Data!$AK$152:$AK$864,CONCATENATE(C67,$BA$3),Master_Data!$U$152:$U$864)</f>
        <v>0</v>
      </c>
      <c r="AU67" s="230">
        <f ca="1">SUMIF(Master_Data!$AK$4:$AK$145,CONCATENATE(C67,$BA$3),Master_Data!$S$4:$S$145)+SUMIF(Master_Data!$AK$152:$AK$864,CONCATENATE(C67,$BA$3),Master_Data!$S$152:$S$850)</f>
        <v>0</v>
      </c>
      <c r="AV67" s="39">
        <f>SUMIF(Master_Data!$AK$152:$AK$864,CONCATENATE($C67,BA$3),Master_Data!$T$152:$T$864)</f>
        <v>0</v>
      </c>
      <c r="AW67" s="230">
        <f t="shared" si="57"/>
        <v>5570</v>
      </c>
      <c r="AX67" s="230">
        <f t="shared" ca="1" si="58"/>
        <v>0</v>
      </c>
      <c r="AY67" s="23"/>
      <c r="AZ67" s="235" t="str">
        <f t="shared" si="21"/>
        <v>TIGA BAJI, PTMAR</v>
      </c>
      <c r="BA67" s="24"/>
      <c r="BB67" s="282"/>
      <c r="BC67" s="109">
        <f t="shared" si="22"/>
        <v>5570</v>
      </c>
      <c r="BD67" s="109">
        <f t="shared" ca="1" si="23"/>
        <v>0</v>
      </c>
      <c r="BE67" s="31"/>
      <c r="BF67" s="109">
        <f>SUMIF(Bill_Out!$Q$192:$Q$258,CONCATENATE($C67,$BR$3),Bill_Out!$N$192:$N$258)</f>
        <v>0</v>
      </c>
      <c r="BG67" s="109">
        <f>SUMIF(Bill_Out!$Q$192:$Q$258,CONCATENATE($C67,$BR$3),Bill_Out!$O$192:$O$258)</f>
        <v>0</v>
      </c>
      <c r="BH67" s="157"/>
      <c r="BI67" s="230">
        <f>SUMIF(Master_Data!$AK$4:$AK$145,CONCATENATE(C67,$BR$3),Master_Data!$R$4:$R$145)+SUMIF(Master_Data!$AK$152:$AK$864,CONCATENATE(C67,$BR$3),Master_Data!$R$152:$R$864)</f>
        <v>0</v>
      </c>
      <c r="BJ67" s="230">
        <f>SUMIF(Master_Data!$AK$4:$AK$145,CONCATENATE(C67,$BR$3),Master_Data!$Q$4:$Q$145)+SUMIF(Master_Data!$AK$152:$AK$864,CONCATENATE(C67,$BR$3),Master_Data!$Q$152:$Q$864)</f>
        <v>0</v>
      </c>
      <c r="BK67" s="230">
        <f>SUMIF(Master_Data!$AK$4:$AK$145,CONCATENATE(C67,$BR$3),Master_Data!$U$4:$U$145)+SUMIF(Master_Data!$AK$152:$AK$864,CONCATENATE(C67,$BR$3),Master_Data!$U$152:$U$864)</f>
        <v>0</v>
      </c>
      <c r="BL67" s="230">
        <f>SUMIF(Master_Data!$AK$4:$AK$145,CONCATENATE(C67,$BR$3),Master_Data!$S$4:$S$145)+SUMIF(Master_Data!$AK$152:$AK$864,CONCATENATE(C67,$BR$3),Master_Data!$S$152:$S$864)</f>
        <v>0</v>
      </c>
      <c r="BM67" s="39">
        <f>SUMIF(Master_Data!$AK$152:$AK$864,CONCATENATE($C67,BR$3),Master_Data!$T$152:$T$864)</f>
        <v>0</v>
      </c>
      <c r="BN67" s="230">
        <f t="shared" si="24"/>
        <v>5570</v>
      </c>
      <c r="BO67" s="230">
        <f t="shared" ca="1" si="25"/>
        <v>0</v>
      </c>
      <c r="BP67" s="23"/>
      <c r="BQ67" s="909" t="str">
        <f t="shared" si="26"/>
        <v>TIGA BAJI, PTAPR</v>
      </c>
      <c r="BR67" s="24"/>
      <c r="BS67" s="282"/>
      <c r="BT67" s="109">
        <f t="shared" si="107"/>
        <v>5570</v>
      </c>
      <c r="BU67" s="109">
        <f t="shared" ca="1" si="108"/>
        <v>0</v>
      </c>
      <c r="BV67" s="31"/>
      <c r="BW67" s="109">
        <f>SUMIF(Bill_Out!$Q$263:$Q$314,CONCATENATE($C67,$CI$3),Bill_Out!$N$263:$N$314)</f>
        <v>0</v>
      </c>
      <c r="BX67" s="109">
        <f>SUMIF(Bill_Out!$Q$263:$Q$314,CONCATENATE($C67,$CI$3),Bill_Out!$O$263:$O$314)</f>
        <v>0</v>
      </c>
      <c r="BY67" s="157"/>
      <c r="BZ67" s="310">
        <f>SUMIF(Master_Data!$AK$4:$AK$145,CONCATENATE(C67,$CI$3),Master_Data!$R$4:$R$145)+SUMIF(Master_Data!$AK$152:$AK$864,CONCATENATE(C67,$CI$3),Master_Data!$R$152:$R$864)</f>
        <v>0</v>
      </c>
      <c r="CA67" s="310">
        <f>SUMIF(Master_Data!$AK$4:$AK$145,CONCATENATE(C67,$CI$3),Master_Data!$Q$4:$Q$145)+SUMIF(Master_Data!$AK$152:$AK$864,CONCATENATE(C67,$CI$3),Master_Data!$Q$152:$Q$864)</f>
        <v>0</v>
      </c>
      <c r="CB67" s="310">
        <f>SUMIF(Master_Data!$AK$4:$AK$145,CONCATENATE(C67,$CI$3),Master_Data!$U$4:$U$145)+SUMIF(Master_Data!$AK$152:$AK$864,CONCATENATE(C67,$CI$3),Master_Data!$U$152:$U$864)</f>
        <v>0</v>
      </c>
      <c r="CC67" s="230">
        <f>SUMIF(Master_Data!$AK$4:$AK$145,CONCATENATE(C67,$CI$3),Master_Data!$S$4:$S$145)+SUMIF(Master_Data!$AK$152:$AK$864,CONCATENATE(C67,$CI$3),Master_Data!$S$152:$S$864)</f>
        <v>0</v>
      </c>
      <c r="CD67" s="39">
        <f>SUMIF(Master_Data!$AK$152:$AK$864,CONCATENATE($C67,CI$3),Master_Data!$T$152:$T$864)</f>
        <v>0</v>
      </c>
      <c r="CE67" s="310">
        <f t="shared" si="27"/>
        <v>5570</v>
      </c>
      <c r="CF67" s="230">
        <f t="shared" ca="1" si="28"/>
        <v>0</v>
      </c>
      <c r="CG67" s="23"/>
      <c r="CH67" s="235" t="str">
        <f t="shared" si="29"/>
        <v>TIGA BAJI, PTMEI</v>
      </c>
      <c r="CI67" s="24"/>
      <c r="CJ67" s="282"/>
      <c r="CK67" s="109">
        <f t="shared" si="30"/>
        <v>5570</v>
      </c>
      <c r="CL67" s="238">
        <f t="shared" ca="1" si="31"/>
        <v>0</v>
      </c>
      <c r="CM67" s="31"/>
      <c r="CN67" s="238">
        <f>SUMIF(Bill_Out!$Q$318:$Q$371,CONCATENATE($C67,$CZ$3),Bill_Out!$N$318:$N$371)</f>
        <v>0</v>
      </c>
      <c r="CO67" s="238">
        <f>SUMIF(Bill_Out!$Q$318:$Q$371,CONCATENATE($C67,$CZ$3),Bill_Out!$O$318:$O$371)</f>
        <v>0</v>
      </c>
      <c r="CP67" s="157"/>
      <c r="CQ67" s="230">
        <f>SUMIF(Master_Data!$AK$4:$AK$145,CONCATENATE($C67,$CZ$3),Master_Data!$R$4:$R$145)+SUMIF(Master_Data!$AK$152:$AK$864,CONCATENATE($C67,$CZ$3),Master_Data!$R$152:$R$864)</f>
        <v>0</v>
      </c>
      <c r="CR67" s="230">
        <f>SUMIF(Master_Data!$AK$4:$AK$145,CONCATENATE($C67,$CZ$3),Master_Data!$Q$4:$Q$145)+SUMIF(Master_Data!$AK$152:$AK$864,CONCATENATE($C67,$CZ$3),Master_Data!$Q$152:$Q$864)</f>
        <v>0</v>
      </c>
      <c r="CS67" s="230">
        <f>SUMIF(Master_Data!$AK$4:$AK$145,CONCATENATE($C67,$CZ$3),Master_Data!$U$4:$U$145)+SUMIF(Master_Data!$AK$152:$AK$864,CONCATENATE($C67,$CZ$3),Master_Data!$U$152:$U$864)</f>
        <v>0</v>
      </c>
      <c r="CT67" s="230">
        <f ca="1">SUMIF(Master_Data!$AK$4:$AK$145,CONCATENATE(C67,$CZ$3),Master_Data!$S$4:$S$145)+SUMIF(Master_Data!$AK$152:$AK$915,CONCATENATE(C67,$CZ$3),Master_Data!$S$152:$S$864)</f>
        <v>0</v>
      </c>
      <c r="CU67" s="1010">
        <f>SUMIF(Master_Data!$AK$4:$AK$145,CONCATENATE(C67,$CZ$3),Master_Data!$T$4:$T$145)+SUMIF(Master_Data!$AK$152:$AK$864,CONCATENATE(C67,$CZ$3),Master_Data!$T$152:$T$864)</f>
        <v>0</v>
      </c>
      <c r="CV67" s="230">
        <f t="shared" si="32"/>
        <v>5570</v>
      </c>
      <c r="CW67" s="230">
        <f t="shared" ca="1" si="33"/>
        <v>0</v>
      </c>
      <c r="CX67" s="23"/>
      <c r="CY67" s="1007" t="str">
        <f t="shared" si="6"/>
        <v>TIGA BAJI, PTJUN</v>
      </c>
      <c r="CZ67" s="24"/>
      <c r="DA67" s="282"/>
      <c r="DB67" s="109">
        <f t="shared" si="34"/>
        <v>5570</v>
      </c>
      <c r="DC67" s="109">
        <f t="shared" ca="1" si="35"/>
        <v>0</v>
      </c>
      <c r="DD67" s="31"/>
      <c r="DE67" s="109">
        <f>SUMIF(Bill_Out!$Q$375:$Q$422,CONCATENATE($C67,$DQ$3),Bill_Out!$N$375:$N$422)</f>
        <v>0</v>
      </c>
      <c r="DF67" s="109">
        <f>SUMIF(Bill_Out!$Q$375:$Q$422,CONCATENATE($C67,$DQ$3),Bill_Out!$O$375:$O$422)</f>
        <v>0</v>
      </c>
      <c r="DG67" s="157"/>
      <c r="DH67" s="310">
        <f>SUMIF(Master_Data!$AK$4:$AK$145,CONCATENATE($C67,$DQ$3),Master_Data!$R$4:$R$145)+SUMIF(Master_Data!$AK$152:$AK$864,CONCATENATE($C67,$DQ$3),Master_Data!$R$152:$R$864)</f>
        <v>0</v>
      </c>
      <c r="DI67" s="310">
        <f>SUMIF(Master_Data!$AK$4:$AK$145,CONCATENATE($C67,$DQ$3),Master_Data!$Q$4:$Q$145)+SUMIF(Master_Data!$AK$152:$AK$864,CONCATENATE($C67,$DQ$3),Master_Data!$Q$152:$Q$864)</f>
        <v>0</v>
      </c>
      <c r="DJ67" s="310">
        <f>SUMIF(Master_Data!$AK$4:$AK$145,CONCATENATE($C67,$DQ$3),Master_Data!$U$4:$U$145)+SUMIF(Master_Data!$AK$152:$AK$864,CONCATENATE($C67,$DQ$3),Master_Data!$U$152:$U$864)</f>
        <v>0</v>
      </c>
      <c r="DK67" s="310">
        <f>SUMIF(Master_Data!$AK$4:$AK$145,CONCATENATE($C67,$DQ$3),Master_Data!$S$4:$S$145)+SUMIF(Master_Data!$AK$152:$AK$864,CONCATENATE($C67,$DQ$3),Master_Data!$S$152:$S$864)</f>
        <v>0</v>
      </c>
      <c r="DL67" s="39">
        <f>SUMIF(Master_Data!$AK$152:$AK$915,CONCATENATE($C67,DQ$3),Master_Data!$T$152:$T$915)</f>
        <v>0</v>
      </c>
      <c r="DM67" s="230">
        <f t="shared" si="67"/>
        <v>5570</v>
      </c>
      <c r="DN67" s="230">
        <f t="shared" ca="1" si="68"/>
        <v>0</v>
      </c>
      <c r="DO67" s="23"/>
      <c r="DP67" s="358" t="str">
        <f t="shared" ref="DP67:DP72" si="111">CONCATENATE($C67,$DQ$3)</f>
        <v>TIGA BAJI, PTJUL</v>
      </c>
      <c r="DQ67" s="24"/>
      <c r="DR67" s="393"/>
      <c r="DS67" s="109">
        <f t="shared" si="36"/>
        <v>5570</v>
      </c>
      <c r="DT67" s="109">
        <f t="shared" ca="1" si="37"/>
        <v>0</v>
      </c>
      <c r="DU67" s="31"/>
      <c r="DV67" s="109">
        <f>SUMIF(Bill_Out!$Q$426:$Q$472,CONCATENATE($C67,$EH$3),Bill_Out!$N$426:$N$472)</f>
        <v>0</v>
      </c>
      <c r="DW67" s="109">
        <f>SUMIF(Bill_Out!$Q$426:$Q$472,CONCATENATE($C67,$EH$3),Bill_Out!$O$426:$O$472)</f>
        <v>0</v>
      </c>
      <c r="DX67" s="157"/>
      <c r="DY67" s="310">
        <f>SUMIF(Master_Data!$AK$4:$AK$145,CONCATENATE($C67,$EH$3),Master_Data!$R$4:$R$145)+SUMIF(Master_Data!$AK$152:$AK$864,CONCATENATE($C67,$EH$3),Master_Data!$R$152:$R$864)</f>
        <v>0</v>
      </c>
      <c r="DZ67" s="310">
        <f>SUMIF(Master_Data!$AK$4:$AK$145,CONCATENATE($C67,$EH$3),Master_Data!$Q$4:$Q$145)+SUMIF(Master_Data!$AK$152:$AK$864,CONCATENATE($C67,$EH$3),Master_Data!$Q$152:$Q$864)</f>
        <v>0</v>
      </c>
      <c r="EA67" s="310">
        <f>SUMIF(Master_Data!$AK$4:$AK$145,CONCATENATE($C67,$EH$3),Master_Data!$U$4:$U$145)+SUMIF(Master_Data!$AK$152:$AK$864,CONCATENATE($C67,$EH$3),Master_Data!$U$152:$U$864)</f>
        <v>0</v>
      </c>
      <c r="EB67" s="310">
        <f>SUMIF(Master_Data!$AK$4:$AK$145,CONCATENATE($C67,$EH$3),Master_Data!$S$4:$S$145)+SUMIF(Master_Data!$AK$152:$AK$864,CONCATENATE($C67,$EH$3),Master_Data!$S$152:$S$864)</f>
        <v>0</v>
      </c>
      <c r="EC67" s="39">
        <f>SUMIF(Master_Data!$AK$152:$AK$915,CONCATENATE($C67,EH$3),Master_Data!$T$152:$T$915)</f>
        <v>0</v>
      </c>
      <c r="ED67" s="310">
        <f t="shared" si="38"/>
        <v>5570</v>
      </c>
      <c r="EE67" s="230">
        <f t="shared" ca="1" si="39"/>
        <v>0</v>
      </c>
      <c r="EF67" s="23"/>
      <c r="EG67" s="358" t="str">
        <f t="shared" si="109"/>
        <v>TIGA BAJI, PTAGS</v>
      </c>
      <c r="EH67" s="24"/>
      <c r="EI67" s="393"/>
      <c r="EJ67" s="109">
        <f t="shared" si="47"/>
        <v>5570</v>
      </c>
      <c r="EK67" s="109">
        <f t="shared" ca="1" si="48"/>
        <v>0</v>
      </c>
      <c r="EL67" s="84"/>
      <c r="EM67" s="109">
        <f>SUMIF(Bill_Out!$Q$476:$Q$530,CONCATENATE($C67,$EY$3),Bill_Out!$N$476:$N$530)</f>
        <v>0</v>
      </c>
      <c r="EN67" s="109">
        <f>SUMIF(Bill_Out!$Q$476:$Q$530,CONCATENATE($C67,$EY$3),Bill_Out!$O$476:$O$530)</f>
        <v>0</v>
      </c>
      <c r="EO67" s="309"/>
      <c r="EP67" s="310">
        <f>SUMIF(Master_Data!$AK$4:$AK$145,CONCATENATE($C67,$EY$3),Master_Data!$R$4:$R$145)+SUMIF(Master_Data!$AK$152:$AK$864,CONCATENATE($C67,$EY$3),Master_Data!$R$152:$R$864)</f>
        <v>0</v>
      </c>
      <c r="EQ67" s="310">
        <f>SUMIF(Master_Data!$AK$4:$AK$145,CONCATENATE($C67,$EY$3),Master_Data!$Q$4:$Q$145)+SUMIF(Master_Data!$AK$152:$AK$864,CONCATENATE($C67,$EY$3),Master_Data!$Q$152:$Q$864)</f>
        <v>0</v>
      </c>
      <c r="ER67" s="310">
        <f>SUMIF(Master_Data!$AK$4:$AK$145,CONCATENATE($C67,$EY$3),Master_Data!$U$4:$U$145)+SUMIF(Master_Data!$AK$152:$AK$864,CONCATENATE($C67,$EY$3),Master_Data!$U$152:$U$864)</f>
        <v>0</v>
      </c>
      <c r="ES67" s="310">
        <f>SUMIF(Master_Data!$AK$4:$AK$145,CONCATENATE($C67,$EY$3),Master_Data!$S$4:$S$145)+SUMIF(Master_Data!$AK$152:$AK$864,CONCATENATE($C67,$EY$3),Master_Data!$S$152:$S$864)</f>
        <v>0</v>
      </c>
      <c r="ET67" s="39">
        <f>SUMIF(Master_Data!$AK$152:$AK$915,CONCATENATE($C67,EY$3),Master_Data!$T$152:$T$915)</f>
        <v>0</v>
      </c>
      <c r="EU67" s="310">
        <f t="shared" si="49"/>
        <v>5570</v>
      </c>
      <c r="EV67" s="230"/>
      <c r="EW67" s="84"/>
      <c r="EX67" s="358" t="str">
        <f t="shared" si="110"/>
        <v>TIGA BAJI, PTSEP</v>
      </c>
      <c r="EY67" s="24"/>
      <c r="EZ67" s="417"/>
      <c r="FA67" s="109">
        <f t="shared" ref="FA67:FA72" si="112">EU67</f>
        <v>5570</v>
      </c>
      <c r="FB67" s="109">
        <f t="shared" ref="FB67:FB72" si="113">EV67</f>
        <v>0</v>
      </c>
      <c r="FC67" s="420"/>
      <c r="FD67" s="109">
        <f>SUMIF(Bill_Out!$Q$534:$Q$606,CONCATENATE($C67,$FP$3),Bill_Out!$N$534:$N$606)</f>
        <v>0</v>
      </c>
      <c r="FE67" s="109">
        <f>SUMIF(Bill_Out!$Q$534:$Q$606,CONCATENATE($C67,$FP$3),Bill_Out!$O$534:$O$606)</f>
        <v>0</v>
      </c>
      <c r="FF67" s="157"/>
      <c r="FG67" s="310">
        <f>SUMIF(Master_Data!$AK$4:$AK$145,CONCATENATE($C67,$FP$3),Master_Data!$R$4:$R$145)+SUMIF(Master_Data!$AK$152:$AK$864,CONCATENATE($C67,$FP$3),Master_Data!$R$152:$R$864)</f>
        <v>0</v>
      </c>
      <c r="FH67" s="310">
        <f>SUMIF(Master_Data!$AK$4:$AK$145,CONCATENATE($C67,$FP$3),Master_Data!$Q$4:$Q$145)+SUMIF(Master_Data!$AK$152:$AK$864,CONCATENATE($C67,$FP$3),Master_Data!$Q$152:$Q$864)</f>
        <v>0</v>
      </c>
      <c r="FI67" s="310">
        <f>SUMIF(Master_Data!$AK$4:$AK$145,CONCATENATE($C67,$FP$3),Master_Data!$U$4:$U$145)+SUMIF(Master_Data!$AK$152:$AK$864,CONCATENATE($C67,$FP$3),Master_Data!$U$152:$U$864)</f>
        <v>0</v>
      </c>
      <c r="FJ67" s="310">
        <f>SUMIF(Master_Data!$AK$4:$AK$145,CONCATENATE($C67,$FP$3),Master_Data!$S$4:$S$145)+SUMIF(Master_Data!$AK$152:$AK$864,CONCATENATE($C67,$FP$3),Master_Data!$S$152:$S$864)</f>
        <v>0</v>
      </c>
      <c r="FK67" s="39">
        <f>SUMIF(Master_Data!$AK$152:$AK$915,CONCATENATE($C67,FP$3),Master_Data!$T$152:$T$915)</f>
        <v>0</v>
      </c>
      <c r="FL67" s="230">
        <f t="shared" ref="FL67:FL72" si="114">FA67+FD67-FG67+FH67</f>
        <v>5570</v>
      </c>
      <c r="FM67" s="230">
        <f t="shared" si="12"/>
        <v>0</v>
      </c>
      <c r="FN67" s="23"/>
      <c r="FO67" s="358" t="str">
        <f t="shared" si="100"/>
        <v>TIGA BAJI, PTOKT</v>
      </c>
      <c r="FP67" s="24"/>
      <c r="FQ67" s="417"/>
      <c r="FR67" s="109">
        <f t="shared" ref="FR67:FR72" si="115">FL67</f>
        <v>5570</v>
      </c>
      <c r="FS67" s="109">
        <f t="shared" ref="FS67:FS72" si="116">FM67</f>
        <v>0</v>
      </c>
      <c r="FT67" s="420"/>
      <c r="FU67" s="109">
        <f>SUMIF(Bill_Out!$Q$610:$Q$675,CONCATENATE($C67,$GG$3),Bill_Out!$N$610:$N$675)</f>
        <v>0</v>
      </c>
      <c r="FV67" s="109">
        <f>SUMIF(Bill_Out!$Q$610:$Q$675,CONCATENATE($C67,$GG$3),Bill_Out!$O$610:$O$675)</f>
        <v>0</v>
      </c>
      <c r="FW67" s="157"/>
      <c r="FX67" s="512">
        <f>SUMIF(Master_Data!$AK$4:$AK$145,CONCATENATE($C67,$GG$3),Master_Data!$R$4:$R$145)+SUMIF(Master_Data!$AK$152:$AK$864,CONCATENATE($C67,$GG$3),Master_Data!$R$152:$R$864)</f>
        <v>0</v>
      </c>
      <c r="FY67" s="512">
        <f>SUMIF(Master_Data!$AK$4:$AK$145,CONCATENATE($C67,$GG$3),Master_Data!$Q$4:$Q$145)+SUMIF(Master_Data!$AK$152:$AK$864,CONCATENATE($C67,$GG$3),Master_Data!$Q$152:$Q$864)</f>
        <v>0</v>
      </c>
      <c r="FZ67" s="512">
        <f>SUMIF(Master_Data!$AK$4:$AK$145,CONCATENATE($C67,$GG$3),Master_Data!$U$4:$U$145)+SUMIF(Master_Data!$AK$152:$AK$864,CONCATENATE($C67,$GG$3),Master_Data!$U$152:$U$864)</f>
        <v>0</v>
      </c>
      <c r="GA67" s="310">
        <f>SUMIF(Master_Data!$AK$4:$AK$145,CONCATENATE($C67,$GG$3),Master_Data!$S$4:$S$145)+SUMIF(Master_Data!$AK$152:$AK$864,CONCATENATE($C67,$GG$3),Master_Data!$S$152:$S$864)</f>
        <v>0</v>
      </c>
      <c r="GB67" s="39">
        <f>SUMIF(Master_Data!$AK$152:$AK$915,CONCATENATE($C67,GG$3),Master_Data!$T$152:$T$915)</f>
        <v>0</v>
      </c>
      <c r="GC67" s="230">
        <f t="shared" ref="GC67:GC72" si="117">FR67+FU67-FX67+FY67</f>
        <v>5570</v>
      </c>
      <c r="GD67" s="230">
        <f t="shared" si="14"/>
        <v>0</v>
      </c>
      <c r="GE67" s="23"/>
      <c r="GF67" s="358" t="str">
        <f t="shared" si="101"/>
        <v>TIGA BAJI, PTNOV</v>
      </c>
      <c r="GG67" s="24"/>
      <c r="GH67" s="417" t="s">
        <v>324</v>
      </c>
      <c r="GI67" s="109">
        <f t="shared" ref="GI67:GI72" si="118">GC67</f>
        <v>5570</v>
      </c>
      <c r="GJ67" s="109">
        <f t="shared" ref="GJ67:GJ72" si="119">GD67</f>
        <v>0</v>
      </c>
      <c r="GK67" s="420"/>
      <c r="GL67" s="109">
        <f>SUMIF(Bill_Out!$Q$679:$Q$756,CONCATENATE($C67,$GX$3),Bill_Out!$N$679:$N$756)</f>
        <v>0</v>
      </c>
      <c r="GM67" s="109">
        <f>SUMIF(Bill_Out!$Q$679:$Q$756,CONCATENATE($C67,$GX$3),Bill_Out!$O$679:$O$756)</f>
        <v>0</v>
      </c>
      <c r="GN67" s="157"/>
      <c r="GO67" s="512">
        <f>SUMIF(Master_Data!$AK$4:$AK$145,CONCATENATE($C67,$GX$3),Master_Data!$R$4:$R$145)+SUMIF(Master_Data!$AK$152:$AK$864,CONCATENATE($C67,$GX$3),Master_Data!$R$152:$R$864)</f>
        <v>0</v>
      </c>
      <c r="GP67" s="512">
        <f>SUMIF(Master_Data!$AK$4:$AK$145,CONCATENATE($C67,$GX$3),Master_Data!$Q$4:$Q$145)+SUMIF(Master_Data!$AK$152:$AK$864,CONCATENATE($C67,$GX$3),Master_Data!$Q$152:$Q$864)</f>
        <v>0</v>
      </c>
      <c r="GQ67" s="512">
        <f>SUMIF(Master_Data!$AK$4:$AK$145,CONCATENATE($C67,$GX$3),Master_Data!$U$4:$U$145)+SUMIF(Master_Data!$AK$152:$AK$864,CONCATENATE($C67,$GX$3),Master_Data!$U$152:$U$864)</f>
        <v>0</v>
      </c>
      <c r="GR67" s="310">
        <f>SUMIF(Master_Data!$AK$4:$AK$145,CONCATENATE($C67,$GX$3),Master_Data!$S$4:$S$145)+SUMIF(Master_Data!$AK$152:$AK$864,CONCATENATE($C67,$GX$3),Master_Data!$S$152:$S$864)</f>
        <v>0</v>
      </c>
      <c r="GS67" s="39">
        <f>SUMIF(Master_Data!$AK$152:$AK$864,CONCATENATE($C67,GX$3),Master_Data!$T$152:$T$864)</f>
        <v>0</v>
      </c>
      <c r="GT67" s="534">
        <f t="shared" si="44"/>
        <v>5570</v>
      </c>
      <c r="GU67" s="310">
        <f t="shared" si="16"/>
        <v>0</v>
      </c>
      <c r="GV67" s="23"/>
      <c r="GW67" s="358" t="str">
        <f t="shared" si="87"/>
        <v>TIGA BAJI, PTDES</v>
      </c>
      <c r="GX67" s="24"/>
    </row>
    <row r="68" spans="1:206" s="19" customFormat="1">
      <c r="A68" s="21" t="s">
        <v>1614</v>
      </c>
      <c r="B68" s="236" t="str">
        <f t="shared" si="18"/>
        <v>TRANSNETWORK, PTJAN</v>
      </c>
      <c r="C68" s="8" t="s">
        <v>217</v>
      </c>
      <c r="D68" s="23" t="s">
        <v>325</v>
      </c>
      <c r="E68" s="109">
        <f>SUMIF(Master_Data!$D58:$D$145,CONCATENATE(C68),Master_Data!M58:M925)</f>
        <v>0</v>
      </c>
      <c r="F68" s="109">
        <f>SUMIF(Master_Data!$D64:$D$145,CONCATENATE(C68),Master_Data!N64:N324)</f>
        <v>49403850</v>
      </c>
      <c r="G68" s="31"/>
      <c r="H68" s="109">
        <f>SUMIF(Bill_Out!$Q$3:$Q$65,CONCATENATE($C68,$S$3),Bill_Out!$N$3:$N$65)</f>
        <v>0</v>
      </c>
      <c r="I68" s="88">
        <f>SUMIF(Bill_Out!$Q$3:$Q$65,CONCATENATE($C68,$S$3),Bill_Out!$O$3:$O$65)</f>
        <v>0</v>
      </c>
      <c r="J68" s="157"/>
      <c r="K68" s="29"/>
      <c r="L68" s="44"/>
      <c r="M68" s="230">
        <f>SUMIF(Master_Data!$AK63:$AK$145,CONCATENATE(C68,$S$3),Master_Data!U63:U448)+SUMIF(Master_Data!$AK474:$AK$864,CONCATENATE(C68,$S$3),Master_Data!U474:U1374)</f>
        <v>0</v>
      </c>
      <c r="N68" s="310">
        <f>SUMIF(Master_Data!$AK$4:$AK$145,CONCATENATE(C68,$S$3),Master_Data!$S$4:$S$145)+SUMIF(Master_Data!$AK$150:$AK$864,CONCATENATE(C68,$S$3),Master_Data!$S$150:$S$864)</f>
        <v>0</v>
      </c>
      <c r="O68" s="310">
        <f>SUMIF(Master_Data!$AK$4:$AK$145,CONCATENATE(C68,$S$3),Master_Data!$T$4:$T$145)+SUMIF(Master_Data!$AK$150:$AK$864,CONCATENATE(C68,$S$3),Master_Data!$T$150:$T$864)</f>
        <v>0</v>
      </c>
      <c r="P68" s="230">
        <f t="shared" si="19"/>
        <v>0</v>
      </c>
      <c r="Q68" s="230">
        <f t="shared" si="20"/>
        <v>49403850</v>
      </c>
      <c r="R68" s="23"/>
      <c r="S68" s="24"/>
      <c r="T68" s="31"/>
      <c r="U68" s="109">
        <f t="shared" si="102"/>
        <v>0</v>
      </c>
      <c r="V68" s="109">
        <f t="shared" si="103"/>
        <v>49403850</v>
      </c>
      <c r="W68" s="31"/>
      <c r="X68" s="109">
        <f>SUMIF(Bill_Out!$Q$67:$Q$132,CONCATENATE($C68,$AJ$3),Bill_Out!$N$67:$N$132)</f>
        <v>0</v>
      </c>
      <c r="Y68" s="109">
        <f>SUMIF(Bill_Out!$Q$67:$Q$132,CONCATENATE($C68,$AJ$3),Bill_Out!$O$67:$O$132)</f>
        <v>0</v>
      </c>
      <c r="Z68" s="157"/>
      <c r="AA68" s="230">
        <f>SUMIF(Master_Data!$AK$4:$AK$145,CONCATENATE(C68,$AJ$3),Master_Data!$R$4:$R$145)+SUMIF(Master_Data!$AK$152:$AK$850,CONCATENATE(C68,$AJ$3),Master_Data!$R$152:$R$850)</f>
        <v>0</v>
      </c>
      <c r="AB68" s="230">
        <f>SUMIF(Master_Data!$AK$4:$AK$145,CONCATENATE(C68,$AJ$3),Master_Data!$Q$4:$Q$145)+SUMIF(Master_Data!$AK$152:$AK$850,CONCATENATE(C68,$AJ$3),Master_Data!$Q$152:$Q$850)</f>
        <v>0</v>
      </c>
      <c r="AC68" s="230">
        <f>SUMIF(Master_Data!$AK$4:$AK$145,CONCATENATE(C68,$AJ$3),Master_Data!$U$4:$U$145)+SUMIF(Master_Data!$AK$152:$AK$850,CONCATENATE(C68,$AJ$3),Master_Data!$U$152:$U$850)</f>
        <v>0</v>
      </c>
      <c r="AD68" s="310">
        <f ca="1">SUMIF(Master_Data!$AK$4:$AK$145,CONCATENATE(C68,$AJ$3),Master_Data!$S$4:$S$145)+SUMIF(Master_Data!$AK$152:$AK$864,CONCATENATE(C68,$AJ$3),Master_Data!$S$152:$S$850)</f>
        <v>0</v>
      </c>
      <c r="AE68" s="310">
        <f>SUMIF(Master_Data!$AK$4:$AK$145,CONCATENATE(C68,$AJ$3),Master_Data!$T$4:$T$145)+SUMIF(Master_Data!$AK$152:$AK$864,CONCATENATE(C68,$AJ$3),Master_Data!$T$152:$T$864)</f>
        <v>0</v>
      </c>
      <c r="AF68" s="230">
        <f t="shared" si="104"/>
        <v>0</v>
      </c>
      <c r="AG68" s="230">
        <f t="shared" ca="1" si="105"/>
        <v>49403850</v>
      </c>
      <c r="AH68" s="23"/>
      <c r="AI68" s="235" t="str">
        <f t="shared" si="86"/>
        <v>TRANSNETWORK, PTFEB</v>
      </c>
      <c r="AJ68" s="24"/>
      <c r="AK68" s="31"/>
      <c r="AL68" s="109">
        <f t="shared" si="106"/>
        <v>0</v>
      </c>
      <c r="AM68" s="109">
        <f t="shared" ca="1" si="106"/>
        <v>49403850</v>
      </c>
      <c r="AN68" s="31"/>
      <c r="AO68" s="109">
        <f>SUMIF(Bill_Out!$Q$134:$Q$188,CONCATENATE($C68,$BA$3),Bill_Out!$N$134:$N$188)</f>
        <v>0</v>
      </c>
      <c r="AP68" s="109">
        <f>SUMIF(Bill_Out!$Q$134:$Q$188,CONCATENATE($C68,$BA$3),Bill_Out!$O$134:$O$188)</f>
        <v>0</v>
      </c>
      <c r="AQ68" s="157"/>
      <c r="AR68" s="230">
        <f>SUMIF(Master_Data!$AK$4:$AK$145,CONCATENATE(C68,$BA$3),Master_Data!$R$4:$R$145)+SUMIF(Master_Data!$AK$152:$AK$864,CONCATENATE(C68,$BA$3),Master_Data!$R$152:$R$864)</f>
        <v>0</v>
      </c>
      <c r="AS68" s="230">
        <f>SUMIF(Master_Data!$AK$4:$AK$145,CONCATENATE(C68,$BA$3),Master_Data!$Q$4:$Q$145)+SUMIF(Master_Data!$AK$152:$AK$864,CONCATENATE(C68,$BA$3),Master_Data!$Q$152:$Q$864)</f>
        <v>0</v>
      </c>
      <c r="AT68" s="230">
        <f>SUMIF(Master_Data!$AK$4:$AK$145,CONCATENATE(C68,$BA$3),Master_Data!$U$4:$U$145)+SUMIF(Master_Data!$AK$152:$AK$864,CONCATENATE(C68,$BA$3),Master_Data!$U$152:$U$864)</f>
        <v>0</v>
      </c>
      <c r="AU68" s="230">
        <f ca="1">SUMIF(Master_Data!$AK$4:$AK$145,CONCATENATE(C68,$BA$3),Master_Data!$S$4:$S$145)+SUMIF(Master_Data!$AK$152:$AK$864,CONCATENATE(C68,$BA$3),Master_Data!$S$152:$S$850)</f>
        <v>0</v>
      </c>
      <c r="AV68" s="39">
        <f>SUMIF(Master_Data!$AK$152:$AK$864,CONCATENATE($C68,BA$3),Master_Data!$T$152:$T$864)</f>
        <v>0</v>
      </c>
      <c r="AW68" s="230">
        <f t="shared" si="57"/>
        <v>0</v>
      </c>
      <c r="AX68" s="230">
        <f t="shared" ca="1" si="58"/>
        <v>49403850</v>
      </c>
      <c r="AY68" s="23"/>
      <c r="AZ68" s="235" t="str">
        <f t="shared" si="21"/>
        <v>TRANSNETWORK, PTMAR</v>
      </c>
      <c r="BA68" s="24"/>
      <c r="BB68" s="31"/>
      <c r="BC68" s="109">
        <f t="shared" si="22"/>
        <v>0</v>
      </c>
      <c r="BD68" s="109">
        <f t="shared" ca="1" si="23"/>
        <v>49403850</v>
      </c>
      <c r="BE68" s="31"/>
      <c r="BF68" s="109">
        <f>SUMIF(Bill_Out!$Q$192:$Q$258,CONCATENATE($C68,$BR$3),Bill_Out!$N$192:$N$258)</f>
        <v>0</v>
      </c>
      <c r="BG68" s="109">
        <f>SUMIF(Bill_Out!$Q$192:$Q$258,CONCATENATE($C68,$BR$3),Bill_Out!$O$192:$O$258)</f>
        <v>0</v>
      </c>
      <c r="BH68" s="157"/>
      <c r="BI68" s="230">
        <f>SUMIF(Master_Data!$AK$4:$AK$145,CONCATENATE(C68,$BR$3),Master_Data!$R$4:$R$145)+SUMIF(Master_Data!$AK$152:$AK$864,CONCATENATE(C68,$BR$3),Master_Data!$R$152:$R$864)</f>
        <v>0</v>
      </c>
      <c r="BJ68" s="230">
        <f>SUMIF(Master_Data!$AK$4:$AK$145,CONCATENATE(C68,$BR$3),Master_Data!$Q$4:$Q$145)+SUMIF(Master_Data!$AK$152:$AK$864,CONCATENATE(C68,$BR$3),Master_Data!$Q$152:$Q$864)</f>
        <v>0</v>
      </c>
      <c r="BK68" s="230">
        <f>SUMIF(Master_Data!$AK$4:$AK$145,CONCATENATE(C68,$BR$3),Master_Data!$U$4:$U$145)+SUMIF(Master_Data!$AK$152:$AK$864,CONCATENATE(C68,$BR$3),Master_Data!$U$152:$U$864)</f>
        <v>0</v>
      </c>
      <c r="BL68" s="230">
        <f>SUMIF(Master_Data!$AK$4:$AK$145,CONCATENATE(C68,$BR$3),Master_Data!$S$4:$S$145)+SUMIF(Master_Data!$AK$152:$AK$864,CONCATENATE(C68,$BR$3),Master_Data!$S$152:$S$864)</f>
        <v>0</v>
      </c>
      <c r="BM68" s="39">
        <f>SUMIF(Master_Data!$AK$152:$AK$864,CONCATENATE($C68,BR$3),Master_Data!$T$152:$T$864)</f>
        <v>0</v>
      </c>
      <c r="BN68" s="230">
        <f t="shared" si="24"/>
        <v>0</v>
      </c>
      <c r="BO68" s="230">
        <f t="shared" ca="1" si="25"/>
        <v>49403850</v>
      </c>
      <c r="BP68" s="23"/>
      <c r="BQ68" s="909" t="str">
        <f t="shared" si="26"/>
        <v>TRANSNETWORK, PTAPR</v>
      </c>
      <c r="BR68" s="24"/>
      <c r="BS68" s="31"/>
      <c r="BT68" s="109">
        <f t="shared" si="107"/>
        <v>0</v>
      </c>
      <c r="BU68" s="109">
        <f t="shared" ca="1" si="108"/>
        <v>49403850</v>
      </c>
      <c r="BV68" s="31"/>
      <c r="BW68" s="109">
        <f>SUMIF(Bill_Out!$Q$263:$Q$314,CONCATENATE($C68,$CI$3),Bill_Out!$N$263:$N$314)</f>
        <v>0</v>
      </c>
      <c r="BX68" s="109">
        <f>SUMIF(Bill_Out!$Q$263:$Q$314,CONCATENATE($C68,$CI$3),Bill_Out!$O$263:$O$314)</f>
        <v>0</v>
      </c>
      <c r="BY68" s="157"/>
      <c r="BZ68" s="310">
        <f>SUMIF(Master_Data!$AK$4:$AK$145,CONCATENATE(C68,$CI$3),Master_Data!$R$4:$R$145)+SUMIF(Master_Data!$AK$152:$AK$864,CONCATENATE(C68,$CI$3),Master_Data!$R$152:$R$864)</f>
        <v>0</v>
      </c>
      <c r="CA68" s="310">
        <f>SUMIF(Master_Data!$AK$4:$AK$145,CONCATENATE(C68,$CI$3),Master_Data!$Q$4:$Q$145)+SUMIF(Master_Data!$AK$152:$AK$864,CONCATENATE(C68,$CI$3),Master_Data!$Q$152:$Q$864)</f>
        <v>0</v>
      </c>
      <c r="CB68" s="310">
        <f>SUMIF(Master_Data!$AK$4:$AK$145,CONCATENATE(C68,$CI$3),Master_Data!$U$4:$U$145)+SUMIF(Master_Data!$AK$152:$AK$864,CONCATENATE(C68,$CI$3),Master_Data!$U$152:$U$864)</f>
        <v>0</v>
      </c>
      <c r="CC68" s="230">
        <f>SUMIF(Master_Data!$AK$4:$AK$145,CONCATENATE(C68,$CI$3),Master_Data!$S$4:$S$145)+SUMIF(Master_Data!$AK$152:$AK$864,CONCATENATE(C68,$CI$3),Master_Data!$S$152:$S$864)</f>
        <v>0</v>
      </c>
      <c r="CD68" s="39">
        <f>SUMIF(Master_Data!$AK$152:$AK$864,CONCATENATE($C68,CI$3),Master_Data!$T$152:$T$864)</f>
        <v>0</v>
      </c>
      <c r="CE68" s="310">
        <f t="shared" si="27"/>
        <v>0</v>
      </c>
      <c r="CF68" s="230">
        <f t="shared" ca="1" si="28"/>
        <v>49403850</v>
      </c>
      <c r="CG68" s="23"/>
      <c r="CH68" s="235" t="str">
        <f t="shared" si="29"/>
        <v>TRANSNETWORK, PTMEI</v>
      </c>
      <c r="CI68" s="24"/>
      <c r="CJ68" s="31"/>
      <c r="CK68" s="109">
        <f t="shared" si="30"/>
        <v>0</v>
      </c>
      <c r="CL68" s="238">
        <f t="shared" ca="1" si="31"/>
        <v>49403850</v>
      </c>
      <c r="CM68" s="31"/>
      <c r="CN68" s="238">
        <f>SUMIF(Bill_Out!$Q$318:$Q$371,CONCATENATE($C68,$CZ$3),Bill_Out!$N$318:$N$371)</f>
        <v>0</v>
      </c>
      <c r="CO68" s="238">
        <f>SUMIF(Bill_Out!$Q$318:$Q$371,CONCATENATE($C68,$CZ$3),Bill_Out!$O$318:$O$371)</f>
        <v>0</v>
      </c>
      <c r="CP68" s="157"/>
      <c r="CQ68" s="230">
        <f>SUMIF(Master_Data!$AK$4:$AK$145,CONCATENATE($C68,$CZ$3),Master_Data!$R$4:$R$145)+SUMIF(Master_Data!$AK$152:$AK$864,CONCATENATE($C68,$CZ$3),Master_Data!$R$152:$R$864)</f>
        <v>0</v>
      </c>
      <c r="CR68" s="230">
        <f>SUMIF(Master_Data!$AK$4:$AK$145,CONCATENATE($C68,$CZ$3),Master_Data!$Q$4:$Q$145)+SUMIF(Master_Data!$AK$152:$AK$864,CONCATENATE($C68,$CZ$3),Master_Data!$Q$152:$Q$864)</f>
        <v>0</v>
      </c>
      <c r="CS68" s="230">
        <f>SUMIF(Master_Data!$AK$4:$AK$145,CONCATENATE($C68,$CZ$3),Master_Data!$U$4:$U$145)+SUMIF(Master_Data!$AK$152:$AK$864,CONCATENATE($C68,$CZ$3),Master_Data!$U$152:$U$864)</f>
        <v>0</v>
      </c>
      <c r="CT68" s="230">
        <f ca="1">SUMIF(Master_Data!$AK$4:$AK$145,CONCATENATE(C68,$CZ$3),Master_Data!$S$4:$S$145)+SUMIF(Master_Data!$AK$152:$AK$915,CONCATENATE(C68,$CZ$3),Master_Data!$S$152:$S$864)</f>
        <v>0</v>
      </c>
      <c r="CU68" s="1010">
        <f>SUMIF(Master_Data!$AK$4:$AK$145,CONCATENATE(C68,$CZ$3),Master_Data!$T$4:$T$145)+SUMIF(Master_Data!$AK$152:$AK$864,CONCATENATE(C68,$CZ$3),Master_Data!$T$152:$T$864)</f>
        <v>0</v>
      </c>
      <c r="CV68" s="230">
        <f>CK68+CN68-CQ68+CR68</f>
        <v>0</v>
      </c>
      <c r="CW68" s="230">
        <f ca="1">CL68+CO68-CS68+CT68+CU68</f>
        <v>49403850</v>
      </c>
      <c r="CX68" s="23"/>
      <c r="CY68" s="1007" t="str">
        <f>CONCATENATE($C68,$CZ$3)</f>
        <v>TRANSNETWORK, PTJUN</v>
      </c>
      <c r="CZ68" s="24"/>
      <c r="DA68" s="31"/>
      <c r="DB68" s="109">
        <f t="shared" si="34"/>
        <v>0</v>
      </c>
      <c r="DC68" s="109">
        <f t="shared" ca="1" si="35"/>
        <v>49403850</v>
      </c>
      <c r="DD68" s="31"/>
      <c r="DE68" s="109">
        <f>SUMIF(Bill_Out!$Q$375:$Q$422,CONCATENATE($C68,$DQ$3),Bill_Out!$N$375:$N$422)</f>
        <v>0</v>
      </c>
      <c r="DF68" s="109">
        <f>SUMIF(Bill_Out!$Q$375:$Q$422,CONCATENATE($C68,$DQ$3),Bill_Out!$O$375:$O$422)</f>
        <v>0</v>
      </c>
      <c r="DG68" s="157"/>
      <c r="DH68" s="310">
        <f>SUMIF(Master_Data!$AK$4:$AK$145,CONCATENATE($C68,$DQ$3),Master_Data!$R$4:$R$145)+SUMIF(Master_Data!$AK$152:$AK$864,CONCATENATE($C68,$DQ$3),Master_Data!$R$152:$R$864)</f>
        <v>0</v>
      </c>
      <c r="DI68" s="310">
        <f>SUMIF(Master_Data!$AK$4:$AK$145,CONCATENATE($C68,$DQ$3),Master_Data!$Q$4:$Q$145)+SUMIF(Master_Data!$AK$152:$AK$864,CONCATENATE($C68,$DQ$3),Master_Data!$Q$152:$Q$864)</f>
        <v>0</v>
      </c>
      <c r="DJ68" s="310">
        <f>SUMIF(Master_Data!$AK$4:$AK$145,CONCATENATE($C68,$DQ$3),Master_Data!$U$4:$U$145)+SUMIF(Master_Data!$AK$152:$AK$864,CONCATENATE($C68,$DQ$3),Master_Data!$U$152:$U$864)</f>
        <v>0</v>
      </c>
      <c r="DK68" s="310">
        <f>SUMIF(Master_Data!$AK$4:$AK$145,CONCATENATE($C68,$DQ$3),Master_Data!$S$4:$S$145)+SUMIF(Master_Data!$AK$152:$AK$864,CONCATENATE($C68,$DQ$3),Master_Data!$S$152:$S$864)</f>
        <v>0</v>
      </c>
      <c r="DL68" s="39">
        <f>SUMIF(Master_Data!$AK$152:$AK$915,CONCATENATE($C68,DQ$3),Master_Data!$T$152:$T$915)</f>
        <v>0</v>
      </c>
      <c r="DM68" s="230">
        <f t="shared" si="67"/>
        <v>0</v>
      </c>
      <c r="DN68" s="230">
        <f t="shared" ca="1" si="68"/>
        <v>49403850</v>
      </c>
      <c r="DO68" s="23"/>
      <c r="DP68" s="358" t="str">
        <f t="shared" si="111"/>
        <v>TRANSNETWORK, PTJUL</v>
      </c>
      <c r="DQ68" s="24"/>
      <c r="DR68" s="392"/>
      <c r="DS68" s="109">
        <f t="shared" ref="DS68:DS72" si="120">DM68</f>
        <v>0</v>
      </c>
      <c r="DT68" s="109">
        <f t="shared" ref="DT68:DT72" ca="1" si="121">DN68</f>
        <v>49403850</v>
      </c>
      <c r="DU68" s="31"/>
      <c r="DV68" s="109">
        <f>SUMIF(Bill_Out!$Q$426:$Q$472,CONCATENATE($C68,$EH$3),Bill_Out!$N$426:$N$472)</f>
        <v>0</v>
      </c>
      <c r="DW68" s="109">
        <f>SUMIF(Bill_Out!$Q$426:$Q$472,CONCATENATE($C68,$EH$3),Bill_Out!$O$426:$O$472)</f>
        <v>0</v>
      </c>
      <c r="DX68" s="157"/>
      <c r="DY68" s="310">
        <f>SUMIF(Master_Data!$AK$4:$AK$145,CONCATENATE($C68,$EH$3),Master_Data!$R$4:$R$145)+SUMIF(Master_Data!$AK$152:$AK$864,CONCATENATE($C68,$EH$3),Master_Data!$R$152:$R$864)</f>
        <v>0</v>
      </c>
      <c r="DZ68" s="310">
        <f>SUMIF(Master_Data!$AK$4:$AK$145,CONCATENATE($C68,$EH$3),Master_Data!$Q$4:$Q$145)+SUMIF(Master_Data!$AK$152:$AK$864,CONCATENATE($C68,$EH$3),Master_Data!$Q$152:$Q$864)</f>
        <v>0</v>
      </c>
      <c r="EA68" s="310">
        <f>SUMIF(Master_Data!$AK$4:$AK$145,CONCATENATE($C68,$EH$3),Master_Data!$U$4:$U$145)+SUMIF(Master_Data!$AK$152:$AK$864,CONCATENATE($C68,$EH$3),Master_Data!$U$152:$U$864)</f>
        <v>0</v>
      </c>
      <c r="EB68" s="310">
        <f>SUMIF(Master_Data!$AK$4:$AK$145,CONCATENATE($C68,$EH$3),Master_Data!$S$4:$S$145)+SUMIF(Master_Data!$AK$152:$AK$864,CONCATENATE($C68,$EH$3),Master_Data!$S$152:$S$864)</f>
        <v>0</v>
      </c>
      <c r="EC68" s="39">
        <f>SUMIF(Master_Data!$AK$152:$AK$915,CONCATENATE($C68,EH$3),Master_Data!$T$152:$T$915)</f>
        <v>0</v>
      </c>
      <c r="ED68" s="310">
        <f t="shared" ref="ED68:ED70" si="122">DS68+DV68-DY68+DZ68</f>
        <v>0</v>
      </c>
      <c r="EE68" s="230">
        <f t="shared" ref="EE68:EE70" ca="1" si="123">DT68+DW68-EA68+EB68+EC68</f>
        <v>49403850</v>
      </c>
      <c r="EF68" s="23"/>
      <c r="EG68" s="358" t="str">
        <f t="shared" si="109"/>
        <v>TRANSNETWORK, PTAGS</v>
      </c>
      <c r="EH68" s="24"/>
      <c r="EI68" s="392"/>
      <c r="EJ68" s="109">
        <f t="shared" si="47"/>
        <v>0</v>
      </c>
      <c r="EK68" s="109">
        <f t="shared" ca="1" si="48"/>
        <v>49403850</v>
      </c>
      <c r="EL68" s="84"/>
      <c r="EM68" s="109">
        <f>SUMIF(Bill_Out!$Q$476:$Q$530,CONCATENATE($C68,$EY$3),Bill_Out!$N$476:$N$530)</f>
        <v>0</v>
      </c>
      <c r="EN68" s="109">
        <f>SUMIF(Bill_Out!$Q$476:$Q$530,CONCATENATE($C68,$EY$3),Bill_Out!$O$476:$O$530)</f>
        <v>0</v>
      </c>
      <c r="EO68" s="309"/>
      <c r="EP68" s="310">
        <f>SUMIF(Master_Data!$AK$4:$AK$145,CONCATENATE($C68,$EY$3),Master_Data!$R$4:$R$145)+SUMIF(Master_Data!$AK$152:$AK$864,CONCATENATE($C68,$EY$3),Master_Data!$R$152:$R$864)</f>
        <v>0</v>
      </c>
      <c r="EQ68" s="310">
        <f>SUMIF(Master_Data!$AK$4:$AK$145,CONCATENATE($C68,$EY$3),Master_Data!$Q$4:$Q$145)+SUMIF(Master_Data!$AK$152:$AK$864,CONCATENATE($C68,$EY$3),Master_Data!$Q$152:$Q$864)</f>
        <v>0</v>
      </c>
      <c r="ER68" s="310">
        <f>SUMIF(Master_Data!$AK$4:$AK$145,CONCATENATE($C68,$EY$3),Master_Data!$U$4:$U$145)+SUMIF(Master_Data!$AK$152:$AK$864,CONCATENATE($C68,$EY$3),Master_Data!$U$152:$U$864)</f>
        <v>0</v>
      </c>
      <c r="ES68" s="310">
        <f>SUMIF(Master_Data!$AK$4:$AK$145,CONCATENATE($C68,$EY$3),Master_Data!$S$4:$S$145)+SUMIF(Master_Data!$AK$152:$AK$864,CONCATENATE($C68,$EY$3),Master_Data!$S$152:$S$864)</f>
        <v>0</v>
      </c>
      <c r="ET68" s="39">
        <f>SUMIF(Master_Data!$AK$152:$AK$915,CONCATENATE($C68,EY$3),Master_Data!$T$152:$T$915)</f>
        <v>0</v>
      </c>
      <c r="EU68" s="310">
        <f t="shared" si="49"/>
        <v>0</v>
      </c>
      <c r="EV68" s="230"/>
      <c r="EW68" s="84"/>
      <c r="EX68" s="358" t="str">
        <f t="shared" si="110"/>
        <v>TRANSNETWORK, PTSEP</v>
      </c>
      <c r="EY68" s="24"/>
      <c r="EZ68" s="415"/>
      <c r="FA68" s="109">
        <f t="shared" si="112"/>
        <v>0</v>
      </c>
      <c r="FB68" s="109">
        <f t="shared" si="113"/>
        <v>0</v>
      </c>
      <c r="FC68" s="420"/>
      <c r="FD68" s="109">
        <f>SUMIF(Bill_Out!$Q$534:$Q$606,CONCATENATE($C68,$FP$3),Bill_Out!$N$534:$N$606)</f>
        <v>0</v>
      </c>
      <c r="FE68" s="109">
        <f>SUMIF(Bill_Out!$Q$534:$Q$606,CONCATENATE($C68,$FP$3),Bill_Out!$O$534:$O$606)</f>
        <v>0</v>
      </c>
      <c r="FF68" s="157"/>
      <c r="FG68" s="310">
        <f>SUMIF(Master_Data!$AK$4:$AK$145,CONCATENATE($C68,$FP$3),Master_Data!$R$4:$R$145)+SUMIF(Master_Data!$AK$152:$AK$864,CONCATENATE($C68,$FP$3),Master_Data!$R$152:$R$864)</f>
        <v>0</v>
      </c>
      <c r="FH68" s="310">
        <f>SUMIF(Master_Data!$AK$4:$AK$145,CONCATENATE($C68,$FP$3),Master_Data!$Q$4:$Q$145)+SUMIF(Master_Data!$AK$152:$AK$864,CONCATENATE($C68,$FP$3),Master_Data!$Q$152:$Q$864)</f>
        <v>0</v>
      </c>
      <c r="FI68" s="310">
        <f>SUMIF(Master_Data!$AK$4:$AK$145,CONCATENATE($C68,$FP$3),Master_Data!$U$4:$U$145)+SUMIF(Master_Data!$AK$152:$AK$864,CONCATENATE($C68,$FP$3),Master_Data!$U$152:$U$864)</f>
        <v>0</v>
      </c>
      <c r="FJ68" s="310">
        <f>SUMIF(Master_Data!$AK$4:$AK$145,CONCATENATE($C68,$FP$3),Master_Data!$S$4:$S$145)+SUMIF(Master_Data!$AK$152:$AK$864,CONCATENATE($C68,$FP$3),Master_Data!$S$152:$S$864)</f>
        <v>0</v>
      </c>
      <c r="FK68" s="39">
        <f>SUMIF(Master_Data!$AK$152:$AK$915,CONCATENATE($C68,FP$3),Master_Data!$T$152:$T$915)</f>
        <v>0</v>
      </c>
      <c r="FL68" s="230">
        <f t="shared" si="114"/>
        <v>0</v>
      </c>
      <c r="FM68" s="230">
        <f t="shared" si="12"/>
        <v>0</v>
      </c>
      <c r="FN68" s="23"/>
      <c r="FO68" s="358" t="str">
        <f t="shared" si="100"/>
        <v>TRANSNETWORK, PTOKT</v>
      </c>
      <c r="FP68" s="24"/>
      <c r="FQ68" s="415"/>
      <c r="FR68" s="109">
        <f t="shared" si="115"/>
        <v>0</v>
      </c>
      <c r="FS68" s="109">
        <f t="shared" si="116"/>
        <v>0</v>
      </c>
      <c r="FT68" s="420"/>
      <c r="FU68" s="109">
        <f>SUMIF(Bill_Out!$Q$610:$Q$675,CONCATENATE($C68,$GG$3),Bill_Out!$N$610:$N$675)</f>
        <v>0</v>
      </c>
      <c r="FV68" s="109">
        <f>SUMIF(Bill_Out!$Q$610:$Q$675,CONCATENATE($C68,$GG$3),Bill_Out!$O$610:$O$675)</f>
        <v>0</v>
      </c>
      <c r="FW68" s="157"/>
      <c r="FX68" s="512">
        <f>SUMIF(Master_Data!$AK$4:$AK$145,CONCATENATE($C68,$GG$3),Master_Data!$R$4:$R$145)+SUMIF(Master_Data!$AK$152:$AK$864,CONCATENATE($C68,$GG$3),Master_Data!$R$152:$R$864)</f>
        <v>0</v>
      </c>
      <c r="FY68" s="512">
        <f>SUMIF(Master_Data!$AK$4:$AK$145,CONCATENATE($C68,$GG$3),Master_Data!$Q$4:$Q$145)+SUMIF(Master_Data!$AK$152:$AK$864,CONCATENATE($C68,$GG$3),Master_Data!$Q$152:$Q$864)</f>
        <v>0</v>
      </c>
      <c r="FZ68" s="512">
        <f>SUMIF(Master_Data!$AK$4:$AK$145,CONCATENATE($C68,$GG$3),Master_Data!$U$4:$U$145)+SUMIF(Master_Data!$AK$152:$AK$864,CONCATENATE($C68,$GG$3),Master_Data!$U$152:$U$864)</f>
        <v>0</v>
      </c>
      <c r="GA68" s="310">
        <f>SUMIF(Master_Data!$AK$4:$AK$145,CONCATENATE($C68,$GG$3),Master_Data!$S$4:$S$145)+SUMIF(Master_Data!$AK$152:$AK$864,CONCATENATE($C68,$GG$3),Master_Data!$S$152:$S$864)</f>
        <v>0</v>
      </c>
      <c r="GB68" s="39">
        <f>SUMIF(Master_Data!$AK$152:$AK$915,CONCATENATE($C68,GG$3),Master_Data!$T$152:$T$915)</f>
        <v>0</v>
      </c>
      <c r="GC68" s="230">
        <f t="shared" si="117"/>
        <v>0</v>
      </c>
      <c r="GD68" s="230">
        <f t="shared" si="14"/>
        <v>0</v>
      </c>
      <c r="GE68" s="23"/>
      <c r="GF68" s="358" t="str">
        <f t="shared" si="101"/>
        <v>TRANSNETWORK, PTNOV</v>
      </c>
      <c r="GG68" s="24"/>
      <c r="GH68" s="415" t="s">
        <v>325</v>
      </c>
      <c r="GI68" s="109">
        <f t="shared" si="118"/>
        <v>0</v>
      </c>
      <c r="GJ68" s="109">
        <f t="shared" si="119"/>
        <v>0</v>
      </c>
      <c r="GK68" s="420"/>
      <c r="GL68" s="109">
        <f>SUMIF(Bill_Out!$Q$679:$Q$756,CONCATENATE($C68,$GX$3),Bill_Out!$N$679:$N$756)</f>
        <v>0</v>
      </c>
      <c r="GM68" s="109">
        <f>SUMIF(Bill_Out!$Q$679:$Q$756,CONCATENATE($C68,$GX$3),Bill_Out!$O$679:$O$756)</f>
        <v>0</v>
      </c>
      <c r="GN68" s="157"/>
      <c r="GO68" s="512">
        <f>SUMIF(Master_Data!$AK$4:$AK$145,CONCATENATE($C68,$GX$3),Master_Data!$R$4:$R$145)+SUMIF(Master_Data!$AK$152:$AK$864,CONCATENATE($C68,$GX$3),Master_Data!$R$152:$R$864)</f>
        <v>0</v>
      </c>
      <c r="GP68" s="512">
        <f>SUMIF(Master_Data!$AK$4:$AK$145,CONCATENATE($C68,$GX$3),Master_Data!$Q$4:$Q$145)+SUMIF(Master_Data!$AK$152:$AK$864,CONCATENATE($C68,$GX$3),Master_Data!$Q$152:$Q$864)</f>
        <v>0</v>
      </c>
      <c r="GQ68" s="512">
        <f>SUMIF(Master_Data!$AK$4:$AK$145,CONCATENATE($C68,$GX$3),Master_Data!$U$4:$U$145)+SUMIF(Master_Data!$AK$152:$AK$864,CONCATENATE($C68,$GX$3),Master_Data!$U$152:$U$864)</f>
        <v>0</v>
      </c>
      <c r="GR68" s="310">
        <f>SUMIF(Master_Data!$AK$4:$AK$145,CONCATENATE($C68,$GX$3),Master_Data!$S$4:$S$145)+SUMIF(Master_Data!$AK$152:$AK$864,CONCATENATE($C68,$GX$3),Master_Data!$S$152:$S$864)</f>
        <v>0</v>
      </c>
      <c r="GS68" s="39">
        <f>SUMIF(Master_Data!$AK$152:$AK$864,CONCATENATE($C68,GX$3),Master_Data!$T$152:$T$864)</f>
        <v>0</v>
      </c>
      <c r="GT68" s="534">
        <f t="shared" si="44"/>
        <v>0</v>
      </c>
      <c r="GU68" s="310">
        <f t="shared" si="16"/>
        <v>0</v>
      </c>
      <c r="GV68" s="23"/>
      <c r="GW68" s="358" t="str">
        <f t="shared" si="87"/>
        <v>TRANSNETWORK, PTDES</v>
      </c>
      <c r="GX68" s="24"/>
    </row>
    <row r="69" spans="1:206" s="19" customFormat="1">
      <c r="A69" s="328" t="s">
        <v>1615</v>
      </c>
      <c r="B69" s="236" t="str">
        <f t="shared" si="18"/>
        <v>TRILOGI MEDIA SINEMA, PTJAN</v>
      </c>
      <c r="C69" s="8" t="s">
        <v>47</v>
      </c>
      <c r="D69" s="23" t="s">
        <v>326</v>
      </c>
      <c r="E69" s="109">
        <f>SUMIF(Master_Data!$D59:$D$145,CONCATENATE(C69),Master_Data!M59:M926)</f>
        <v>0</v>
      </c>
      <c r="F69" s="109">
        <f>SUMIF(Master_Data!$D65:$D$145,CONCATENATE(C69),Master_Data!N65:N325)</f>
        <v>1221583300</v>
      </c>
      <c r="G69" s="31"/>
      <c r="H69" s="109">
        <f>SUMIF(Bill_Out!$Q$3:$Q$65,CONCATENATE($C69,$S$3),Bill_Out!$N$3:$N$65)</f>
        <v>0</v>
      </c>
      <c r="I69" s="88">
        <f>SUMIF(Bill_Out!$Q$3:$Q$65,CONCATENATE($C69,$S$3),Bill_Out!$O$3:$O$65)</f>
        <v>0</v>
      </c>
      <c r="J69" s="157"/>
      <c r="K69" s="29"/>
      <c r="L69" s="44"/>
      <c r="M69" s="230">
        <f>SUMIF(Master_Data!$AK64:$AK$145,CONCATENATE(C69,$S$3),Master_Data!U64:U449)+SUMIF(Master_Data!$AK475:$AK$864,CONCATENATE(C69,$S$3),Master_Data!U475:U1375)</f>
        <v>55208350</v>
      </c>
      <c r="N69" s="310">
        <f>SUMIF(Master_Data!$AK$4:$AK$145,CONCATENATE(C69,$S$3),Master_Data!$S$4:$S$145)+SUMIF(Master_Data!$AK$150:$AK$864,CONCATENATE(C69,$S$3),Master_Data!$S$150:$S$864)</f>
        <v>0</v>
      </c>
      <c r="O69" s="310">
        <f>SUMIF(Master_Data!$AK$4:$AK$145,CONCATENATE(C69,$S$3),Master_Data!$T$4:$T$145)+SUMIF(Master_Data!$AK$150:$AK$864,CONCATENATE(C69,$S$3),Master_Data!$T$150:$T$864)</f>
        <v>0</v>
      </c>
      <c r="P69" s="230">
        <f t="shared" si="19"/>
        <v>0</v>
      </c>
      <c r="Q69" s="230">
        <f t="shared" si="20"/>
        <v>1166374950</v>
      </c>
      <c r="R69" s="23"/>
      <c r="S69" s="24"/>
      <c r="T69" s="31"/>
      <c r="U69" s="109">
        <f t="shared" si="102"/>
        <v>0</v>
      </c>
      <c r="V69" s="109">
        <f t="shared" si="103"/>
        <v>1166374950</v>
      </c>
      <c r="W69" s="31"/>
      <c r="X69" s="109">
        <f>SUMIF(Bill_Out!$Q$67:$Q$132,CONCATENATE($C69,$AJ$3),Bill_Out!$N$67:$N$132)</f>
        <v>0</v>
      </c>
      <c r="Y69" s="109">
        <f>SUMIF(Bill_Out!$Q$67:$Q$132,CONCATENATE($C69,$AJ$3),Bill_Out!$O$67:$O$132)</f>
        <v>0</v>
      </c>
      <c r="Z69" s="157"/>
      <c r="AA69" s="230">
        <f>SUMIF(Master_Data!$AK$4:$AK$145,CONCATENATE(C69,$AJ$3),Master_Data!$R$4:$R$145)+SUMIF(Master_Data!$AK$152:$AK$850,CONCATENATE(C69,$AJ$3),Master_Data!$R$152:$R$850)</f>
        <v>0</v>
      </c>
      <c r="AB69" s="230">
        <f>SUMIF(Master_Data!$AK$4:$AK$145,CONCATENATE(C69,$AJ$3),Master_Data!$Q$4:$Q$145)+SUMIF(Master_Data!$AK$152:$AK$850,CONCATENATE(C69,$AJ$3),Master_Data!$Q$152:$Q$850)</f>
        <v>0</v>
      </c>
      <c r="AC69" s="230">
        <f>SUMIF(Master_Data!$AK$4:$AK$145,CONCATENATE(C69,$AJ$3),Master_Data!$U$4:$U$145)+SUMIF(Master_Data!$AK$152:$AK$850,CONCATENATE(C69,$AJ$3),Master_Data!$U$152:$U$850)</f>
        <v>100000000</v>
      </c>
      <c r="AD69" s="310">
        <f ca="1">SUMIF(Master_Data!$AK$4:$AK$145,CONCATENATE(C69,$AJ$3),Master_Data!$S$4:$S$145)+SUMIF(Master_Data!$AK$152:$AK$864,CONCATENATE(C69,$AJ$3),Master_Data!$S$152:$S$850)</f>
        <v>0</v>
      </c>
      <c r="AE69" s="310">
        <f>SUMIF(Master_Data!$AK$4:$AK$145,CONCATENATE(C69,$AJ$3),Master_Data!$T$4:$T$145)+SUMIF(Master_Data!$AK$152:$AK$864,CONCATENATE(C69,$AJ$3),Master_Data!$T$152:$T$864)</f>
        <v>0</v>
      </c>
      <c r="AF69" s="230">
        <f t="shared" si="104"/>
        <v>0</v>
      </c>
      <c r="AG69" s="230">
        <f t="shared" ca="1" si="105"/>
        <v>1066374950</v>
      </c>
      <c r="AH69" s="23"/>
      <c r="AI69" s="235" t="str">
        <f t="shared" si="86"/>
        <v>TRILOGI MEDIA SINEMA, PTFEB</v>
      </c>
      <c r="AJ69" s="24"/>
      <c r="AK69" s="31"/>
      <c r="AL69" s="109">
        <f t="shared" si="106"/>
        <v>0</v>
      </c>
      <c r="AM69" s="109">
        <f t="shared" ca="1" si="106"/>
        <v>1066374950</v>
      </c>
      <c r="AN69" s="31"/>
      <c r="AO69" s="109">
        <f>SUMIF(Bill_Out!$Q$134:$Q$188,CONCATENATE($C69,$BA$3),Bill_Out!$N$134:$N$188)</f>
        <v>0</v>
      </c>
      <c r="AP69" s="109">
        <f>SUMIF(Bill_Out!$Q$134:$Q$188,CONCATENATE($C69,$BA$3),Bill_Out!$O$134:$O$188)</f>
        <v>0</v>
      </c>
      <c r="AQ69" s="157"/>
      <c r="AR69" s="230">
        <f>SUMIF(Master_Data!$AK$4:$AK$145,CONCATENATE(C69,$BA$3),Master_Data!$R$4:$R$145)+SUMIF(Master_Data!$AK$152:$AK$864,CONCATENATE(C69,$BA$3),Master_Data!$R$152:$R$864)</f>
        <v>0</v>
      </c>
      <c r="AS69" s="230">
        <f>SUMIF(Master_Data!$AK$4:$AK$145,CONCATENATE(C69,$BA$3),Master_Data!$Q$4:$Q$145)+SUMIF(Master_Data!$AK$152:$AK$864,CONCATENATE(C69,$BA$3),Master_Data!$Q$152:$Q$864)</f>
        <v>0</v>
      </c>
      <c r="AT69" s="230">
        <f>SUMIF(Master_Data!$AK$4:$AK$145,CONCATENATE(C69,$BA$3),Master_Data!$U$4:$U$145)+SUMIF(Master_Data!$AK$152:$AK$864,CONCATENATE(C69,$BA$3),Master_Data!$U$152:$U$864)</f>
        <v>85000000</v>
      </c>
      <c r="AU69" s="230">
        <f ca="1">SUMIF(Master_Data!$AK$4:$AK$145,CONCATENATE(C69,$BA$3),Master_Data!$S$4:$S$145)+SUMIF(Master_Data!$AK$152:$AK$864,CONCATENATE(C69,$BA$3),Master_Data!$S$152:$S$850)</f>
        <v>0</v>
      </c>
      <c r="AV69" s="39">
        <f>SUMIF(Master_Data!$AK$152:$AK$864,CONCATENATE($C69,BA$3),Master_Data!$T$152:$T$864)</f>
        <v>0</v>
      </c>
      <c r="AW69" s="230">
        <f t="shared" si="57"/>
        <v>0</v>
      </c>
      <c r="AX69" s="230">
        <f t="shared" ca="1" si="58"/>
        <v>981374950</v>
      </c>
      <c r="AY69" s="23"/>
      <c r="AZ69" s="235" t="str">
        <f t="shared" si="21"/>
        <v>TRILOGI MEDIA SINEMA, PTMAR</v>
      </c>
      <c r="BA69" s="24"/>
      <c r="BB69" s="31"/>
      <c r="BC69" s="109">
        <f t="shared" si="22"/>
        <v>0</v>
      </c>
      <c r="BD69" s="109">
        <f t="shared" ca="1" si="23"/>
        <v>981374950</v>
      </c>
      <c r="BE69" s="31"/>
      <c r="BF69" s="109">
        <f>SUMIF(Bill_Out!$Q$192:$Q$258,CONCATENATE($C69,$BR$3),Bill_Out!$N$192:$N$258)</f>
        <v>0</v>
      </c>
      <c r="BG69" s="109" t="e">
        <f>SUMIF(Bill_Out!$Q$192:$Q$258,CONCATENATE($C69,$BR$3),Bill_Out!$O$192:$O$258)</f>
        <v>#VALUE!</v>
      </c>
      <c r="BH69" s="157"/>
      <c r="BI69" s="230">
        <f>SUMIF(Master_Data!$AK$4:$AK$145,CONCATENATE(C69,$BR$3),Master_Data!$R$4:$R$145)+SUMIF(Master_Data!$AK$152:$AK$864,CONCATENATE(C69,$BR$3),Master_Data!$R$152:$R$864)</f>
        <v>0</v>
      </c>
      <c r="BJ69" s="230">
        <f>SUMIF(Master_Data!$AK$4:$AK$145,CONCATENATE(C69,$BR$3),Master_Data!$Q$4:$Q$145)+SUMIF(Master_Data!$AK$152:$AK$864,CONCATENATE(C69,$BR$3),Master_Data!$Q$152:$Q$864)</f>
        <v>0</v>
      </c>
      <c r="BK69" s="230">
        <f>SUMIF(Master_Data!$AK$4:$AK$145,CONCATENATE(C69,$BR$3),Master_Data!$U$4:$U$145)+SUMIF(Master_Data!$AK$152:$AK$864,CONCATENATE(C69,$BR$3),Master_Data!$U$152:$U$864)</f>
        <v>22000000</v>
      </c>
      <c r="BL69" s="230">
        <f>SUMIF(Master_Data!$AK$4:$AK$145,CONCATENATE(C69,$BR$3),Master_Data!$S$4:$S$145)+SUMIF(Master_Data!$AK$152:$AK$864,CONCATENATE(C69,$BR$3),Master_Data!$S$152:$S$864)</f>
        <v>0</v>
      </c>
      <c r="BM69" s="39">
        <f>SUMIF(Master_Data!$AK$152:$AK$864,CONCATENATE($C69,BR$3),Master_Data!$T$152:$T$864)</f>
        <v>0</v>
      </c>
      <c r="BN69" s="230">
        <f>BC69+BF69-BI69+BJ69</f>
        <v>0</v>
      </c>
      <c r="BO69" s="230" t="e">
        <f ca="1">BD69+BG69-BK69+BL69+BM69</f>
        <v>#VALUE!</v>
      </c>
      <c r="BP69" s="23"/>
      <c r="BQ69" s="909" t="str">
        <f>CONCATENATE(C69,$BR$3)</f>
        <v>TRILOGI MEDIA SINEMA, PTAPR</v>
      </c>
      <c r="BR69" s="24"/>
      <c r="BS69" s="31"/>
      <c r="BT69" s="109">
        <f t="shared" si="107"/>
        <v>0</v>
      </c>
      <c r="BU69" s="109" t="e">
        <f t="shared" ca="1" si="108"/>
        <v>#VALUE!</v>
      </c>
      <c r="BV69" s="31"/>
      <c r="BW69" s="109">
        <f>SUMIF(Bill_Out!$Q$263:$Q$314,CONCATENATE($C69,$CI$3),Bill_Out!$N$263:$N$314)</f>
        <v>0</v>
      </c>
      <c r="BX69" s="109">
        <f>SUMIF(Bill_Out!$Q$263:$Q$314,CONCATENATE($C69,$CI$3),Bill_Out!$O$263:$O$314)</f>
        <v>0</v>
      </c>
      <c r="BY69" s="157"/>
      <c r="BZ69" s="310">
        <f>SUMIF(Master_Data!$AK$4:$AK$145,CONCATENATE(C69,$CI$3),Master_Data!$R$4:$R$145)+SUMIF(Master_Data!$AK$152:$AK$864,CONCATENATE(C69,$CI$3),Master_Data!$R$152:$R$864)</f>
        <v>0</v>
      </c>
      <c r="CA69" s="310">
        <f>SUMIF(Master_Data!$AK$4:$AK$145,CONCATENATE(C69,$CI$3),Master_Data!$Q$4:$Q$145)+SUMIF(Master_Data!$AK$152:$AK$864,CONCATENATE(C69,$CI$3),Master_Data!$Q$152:$Q$864)</f>
        <v>0</v>
      </c>
      <c r="CB69" s="310">
        <f>SUMIF(Master_Data!$AK$4:$AK$145,CONCATENATE(C69,$CI$3),Master_Data!$U$4:$U$145)+SUMIF(Master_Data!$AK$152:$AK$864,CONCATENATE(C69,$CI$3),Master_Data!$U$152:$U$864)</f>
        <v>0</v>
      </c>
      <c r="CC69" s="230">
        <f>SUMIF(Master_Data!$AK$4:$AK$145,CONCATENATE(C69,$CI$3),Master_Data!$S$4:$S$145)+SUMIF(Master_Data!$AK$152:$AK$864,CONCATENATE(C69,$CI$3),Master_Data!$S$152:$S$864)</f>
        <v>0</v>
      </c>
      <c r="CD69" s="39">
        <f>SUMIF(Master_Data!$AK$152:$AK$864,CONCATENATE($C69,CI$3),Master_Data!$T$152:$T$864)</f>
        <v>0</v>
      </c>
      <c r="CE69" s="310">
        <f t="shared" si="27"/>
        <v>0</v>
      </c>
      <c r="CF69" s="230" t="e">
        <f t="shared" ca="1" si="28"/>
        <v>#VALUE!</v>
      </c>
      <c r="CG69" s="23"/>
      <c r="CH69" s="235" t="str">
        <f t="shared" si="29"/>
        <v>TRILOGI MEDIA SINEMA, PTMEI</v>
      </c>
      <c r="CI69" s="24"/>
      <c r="CJ69" s="31"/>
      <c r="CK69" s="109">
        <f t="shared" ref="CK69:CL72" si="124">CE69</f>
        <v>0</v>
      </c>
      <c r="CL69" s="238" t="e">
        <f t="shared" ca="1" si="124"/>
        <v>#VALUE!</v>
      </c>
      <c r="CM69" s="31"/>
      <c r="CN69" s="238">
        <f>SUMIF(Bill_Out!$Q$318:$Q$371,CONCATENATE($C69,$CZ$3),Bill_Out!$N$318:$N$371)</f>
        <v>0</v>
      </c>
      <c r="CO69" s="238">
        <f>SUMIF(Bill_Out!$Q$318:$Q$371,CONCATENATE($C69,$CZ$3),Bill_Out!$O$318:$O$371)</f>
        <v>0</v>
      </c>
      <c r="CP69" s="157"/>
      <c r="CQ69" s="230">
        <f>SUMIF(Master_Data!$AK$4:$AK$145,CONCATENATE($C69,$CZ$3),Master_Data!$R$4:$R$145)+SUMIF(Master_Data!$AK$152:$AK$864,CONCATENATE($C69,$CZ$3),Master_Data!$R$152:$R$864)</f>
        <v>0</v>
      </c>
      <c r="CR69" s="230">
        <f>SUMIF(Master_Data!$AK$4:$AK$145,CONCATENATE($C69,$CZ$3),Master_Data!$Q$4:$Q$145)+SUMIF(Master_Data!$AK$152:$AK$864,CONCATENATE($C69,$CZ$3),Master_Data!$Q$152:$Q$864)</f>
        <v>0</v>
      </c>
      <c r="CS69" s="230">
        <f>SUMIF(Master_Data!$AK$4:$AK$145,CONCATENATE($C69,$CZ$3),Master_Data!$U$4:$U$145)+SUMIF(Master_Data!$AK$152:$AK$864,CONCATENATE($C69,$CZ$3),Master_Data!$U$152:$U$864)</f>
        <v>0</v>
      </c>
      <c r="CT69" s="230">
        <f ca="1">SUMIF(Master_Data!$AK$4:$AK$145,CONCATENATE(C69,$CZ$3),Master_Data!$S$4:$S$145)+SUMIF(Master_Data!$AK$152:$AK$915,CONCATENATE(C69,$CZ$3),Master_Data!$S$152:$S$864)</f>
        <v>0</v>
      </c>
      <c r="CU69" s="1010">
        <f>SUMIF(Master_Data!$AK$4:$AK$145,CONCATENATE(C69,$CZ$3),Master_Data!$T$4:$T$145)+SUMIF(Master_Data!$AK$152:$AK$864,CONCATENATE(C69,$CZ$3),Master_Data!$T$152:$T$864)</f>
        <v>0</v>
      </c>
      <c r="CV69" s="230">
        <f>CK69+CN69-CQ69+CR69</f>
        <v>0</v>
      </c>
      <c r="CW69" s="230" t="e">
        <f ca="1">CL69+CO69-CS69+CT69+CU69</f>
        <v>#VALUE!</v>
      </c>
      <c r="CX69" s="23"/>
      <c r="CY69" s="1007" t="str">
        <f>CONCATENATE($C69,$CZ$3)</f>
        <v>TRILOGI MEDIA SINEMA, PTJUN</v>
      </c>
      <c r="CZ69" s="24"/>
      <c r="DA69" s="31"/>
      <c r="DB69" s="109">
        <f t="shared" ref="DB69:DC72" si="125">CV69</f>
        <v>0</v>
      </c>
      <c r="DC69" s="109" t="e">
        <f t="shared" ca="1" si="125"/>
        <v>#VALUE!</v>
      </c>
      <c r="DD69" s="31"/>
      <c r="DE69" s="109">
        <f>SUMIF(Bill_Out!$Q$375:$Q$422,CONCATENATE($C69,$DQ$3),Bill_Out!$N$375:$N$422)</f>
        <v>0</v>
      </c>
      <c r="DF69" s="109">
        <f>SUMIF(Bill_Out!$Q$375:$Q$422,CONCATENATE($C69,$DQ$3),Bill_Out!$O$375:$O$422)</f>
        <v>0</v>
      </c>
      <c r="DG69" s="157"/>
      <c r="DH69" s="310">
        <f>SUMIF(Master_Data!$AK$4:$AK$145,CONCATENATE($C69,$DQ$3),Master_Data!$R$4:$R$145)+SUMIF(Master_Data!$AK$152:$AK$864,CONCATENATE($C69,$DQ$3),Master_Data!$R$152:$R$864)</f>
        <v>0</v>
      </c>
      <c r="DI69" s="310">
        <f>SUMIF(Master_Data!$AK$4:$AK$145,CONCATENATE($C69,$DQ$3),Master_Data!$Q$4:$Q$145)+SUMIF(Master_Data!$AK$152:$AK$864,CONCATENATE($C69,$DQ$3),Master_Data!$Q$152:$Q$864)</f>
        <v>0</v>
      </c>
      <c r="DJ69" s="310">
        <f>SUMIF(Master_Data!$AK$4:$AK$145,CONCATENATE($C69,$DQ$3),Master_Data!$U$4:$U$145)+SUMIF(Master_Data!$AK$152:$AK$864,CONCATENATE($C69,$DQ$3),Master_Data!$U$152:$U$864)</f>
        <v>0</v>
      </c>
      <c r="DK69" s="310">
        <f>SUMIF(Master_Data!$AK$4:$AK$145,CONCATENATE($C69,$DQ$3),Master_Data!$S$4:$S$145)+SUMIF(Master_Data!$AK$152:$AK$864,CONCATENATE($C69,$DQ$3),Master_Data!$S$152:$S$864)</f>
        <v>0</v>
      </c>
      <c r="DL69" s="39">
        <f>SUMIF(Master_Data!$AK$152:$AK$915,CONCATENATE($C69,DQ$3),Master_Data!$T$152:$T$915)</f>
        <v>0</v>
      </c>
      <c r="DM69" s="230">
        <f t="shared" si="67"/>
        <v>0</v>
      </c>
      <c r="DN69" s="230" t="e">
        <f t="shared" ca="1" si="68"/>
        <v>#VALUE!</v>
      </c>
      <c r="DO69" s="23"/>
      <c r="DP69" s="358" t="str">
        <f t="shared" si="111"/>
        <v>TRILOGI MEDIA SINEMA, PTJUL</v>
      </c>
      <c r="DQ69" s="24"/>
      <c r="DR69" s="392"/>
      <c r="DS69" s="109">
        <f t="shared" si="120"/>
        <v>0</v>
      </c>
      <c r="DT69" s="109" t="e">
        <f t="shared" ca="1" si="121"/>
        <v>#VALUE!</v>
      </c>
      <c r="DU69" s="31"/>
      <c r="DV69" s="109">
        <f>SUMIF(Bill_Out!$Q$426:$Q$472,CONCATENATE($C69,$EH$3),Bill_Out!$N$426:$N$472)</f>
        <v>0</v>
      </c>
      <c r="DW69" s="109">
        <f>SUMIF(Bill_Out!$Q$426:$Q$472,CONCATENATE($C69,$EH$3),Bill_Out!$O$426:$O$472)</f>
        <v>0</v>
      </c>
      <c r="DX69" s="157"/>
      <c r="DY69" s="310">
        <f>SUMIF(Master_Data!$AK$4:$AK$145,CONCATENATE($C69,$EH$3),Master_Data!$R$4:$R$145)+SUMIF(Master_Data!$AK$152:$AK$864,CONCATENATE($C69,$EH$3),Master_Data!$R$152:$R$864)</f>
        <v>0</v>
      </c>
      <c r="DZ69" s="310">
        <f>SUMIF(Master_Data!$AK$4:$AK$145,CONCATENATE($C69,$EH$3),Master_Data!$Q$4:$Q$145)+SUMIF(Master_Data!$AK$152:$AK$864,CONCATENATE($C69,$EH$3),Master_Data!$Q$152:$Q$864)</f>
        <v>0</v>
      </c>
      <c r="EA69" s="310">
        <f>SUMIF(Master_Data!$AK$4:$AK$145,CONCATENATE($C69,$EH$3),Master_Data!$U$4:$U$145)+SUMIF(Master_Data!$AK$152:$AK$864,CONCATENATE($C69,$EH$3),Master_Data!$U$152:$U$864)</f>
        <v>55208350</v>
      </c>
      <c r="EB69" s="310">
        <f>SUMIF(Master_Data!$AK$4:$AK$145,CONCATENATE($C69,$EH$3),Master_Data!$S$4:$S$145)+SUMIF(Master_Data!$AK$152:$AK$864,CONCATENATE($C69,$EH$3),Master_Data!$S$152:$S$864)</f>
        <v>0</v>
      </c>
      <c r="EC69" s="39">
        <f>SUMIF(Master_Data!$AK$152:$AK$915,CONCATENATE($C69,EH$3),Master_Data!$T$152:$T$915)</f>
        <v>0</v>
      </c>
      <c r="ED69" s="310">
        <f t="shared" si="122"/>
        <v>0</v>
      </c>
      <c r="EE69" s="230" t="e">
        <f t="shared" ca="1" si="123"/>
        <v>#VALUE!</v>
      </c>
      <c r="EF69" s="23"/>
      <c r="EG69" s="358" t="str">
        <f t="shared" si="109"/>
        <v>TRILOGI MEDIA SINEMA, PTAGS</v>
      </c>
      <c r="EH69" s="24"/>
      <c r="EI69" s="392"/>
      <c r="EJ69" s="109">
        <f t="shared" ref="EJ69:EJ72" si="126">ED69</f>
        <v>0</v>
      </c>
      <c r="EK69" s="109" t="e">
        <f t="shared" ref="EK69:EK72" ca="1" si="127">EE69</f>
        <v>#VALUE!</v>
      </c>
      <c r="EL69" s="84"/>
      <c r="EM69" s="109">
        <f>SUMIF(Bill_Out!$Q$476:$Q$530,CONCATENATE($C69,$EY$3),Bill_Out!$N$476:$N$530)</f>
        <v>0</v>
      </c>
      <c r="EN69" s="109">
        <f>SUMIF(Bill_Out!$Q$476:$Q$530,CONCATENATE($C69,$EY$3),Bill_Out!$O$476:$O$530)</f>
        <v>0</v>
      </c>
      <c r="EO69" s="309"/>
      <c r="EP69" s="310">
        <f>SUMIF(Master_Data!$AK$4:$AK$145,CONCATENATE($C69,$EY$3),Master_Data!$R$4:$R$145)+SUMIF(Master_Data!$AK$152:$AK$864,CONCATENATE($C69,$EY$3),Master_Data!$R$152:$R$864)</f>
        <v>0</v>
      </c>
      <c r="EQ69" s="310">
        <f>SUMIF(Master_Data!$AK$4:$AK$145,CONCATENATE($C69,$EY$3),Master_Data!$Q$4:$Q$145)+SUMIF(Master_Data!$AK$152:$AK$864,CONCATENATE($C69,$EY$3),Master_Data!$Q$152:$Q$864)</f>
        <v>0</v>
      </c>
      <c r="ER69" s="310">
        <f>SUMIF(Master_Data!$AK$4:$AK$145,CONCATENATE($C69,$EY$3),Master_Data!$U$4:$U$145)+SUMIF(Master_Data!$AK$152:$AK$864,CONCATENATE($C69,$EY$3),Master_Data!$U$152:$U$864)</f>
        <v>0</v>
      </c>
      <c r="ES69" s="310">
        <f>SUMIF(Master_Data!$AK$4:$AK$145,CONCATENATE($C69,$EY$3),Master_Data!$S$4:$S$145)+SUMIF(Master_Data!$AK$152:$AK$864,CONCATENATE($C69,$EY$3),Master_Data!$S$152:$S$864)</f>
        <v>0</v>
      </c>
      <c r="ET69" s="39">
        <f>SUMIF(Master_Data!$AK$152:$AK$915,CONCATENATE($C69,EY$3),Master_Data!$T$152:$T$915)</f>
        <v>0</v>
      </c>
      <c r="EU69" s="310">
        <f t="shared" ref="EU69:EU72" si="128">EJ69+EM69-EP69+EQ69</f>
        <v>0</v>
      </c>
      <c r="EV69" s="230"/>
      <c r="EW69" s="84"/>
      <c r="EX69" s="358" t="str">
        <f t="shared" si="110"/>
        <v>TRILOGI MEDIA SINEMA, PTSEP</v>
      </c>
      <c r="EY69" s="24"/>
      <c r="EZ69" s="415"/>
      <c r="FA69" s="109">
        <f t="shared" si="112"/>
        <v>0</v>
      </c>
      <c r="FB69" s="109">
        <f t="shared" si="113"/>
        <v>0</v>
      </c>
      <c r="FC69" s="420"/>
      <c r="FD69" s="109">
        <f>SUMIF(Bill_Out!$Q$534:$Q$606,CONCATENATE($C69,$FP$3),Bill_Out!$N$534:$N$606)</f>
        <v>0</v>
      </c>
      <c r="FE69" s="109">
        <f>SUMIF(Bill_Out!$Q$534:$Q$606,CONCATENATE($C69,$FP$3),Bill_Out!$O$534:$O$606)</f>
        <v>0</v>
      </c>
      <c r="FF69" s="157"/>
      <c r="FG69" s="310">
        <f>SUMIF(Master_Data!$AK$4:$AK$145,CONCATENATE($C69,$FP$3),Master_Data!$R$4:$R$145)+SUMIF(Master_Data!$AK$152:$AK$864,CONCATENATE($C69,$FP$3),Master_Data!$R$152:$R$864)</f>
        <v>0</v>
      </c>
      <c r="FH69" s="310">
        <f>SUMIF(Master_Data!$AK$4:$AK$145,CONCATENATE($C69,$FP$3),Master_Data!$Q$4:$Q$145)+SUMIF(Master_Data!$AK$152:$AK$864,CONCATENATE($C69,$FP$3),Master_Data!$Q$152:$Q$864)</f>
        <v>0</v>
      </c>
      <c r="FI69" s="310">
        <f>SUMIF(Master_Data!$AK$4:$AK$145,CONCATENATE($C69,$FP$3),Master_Data!$U$4:$U$145)+SUMIF(Master_Data!$AK$152:$AK$864,CONCATENATE($C69,$FP$3),Master_Data!$U$152:$U$864)</f>
        <v>0</v>
      </c>
      <c r="FJ69" s="310">
        <f>SUMIF(Master_Data!$AK$4:$AK$145,CONCATENATE($C69,$FP$3),Master_Data!$S$4:$S$145)+SUMIF(Master_Data!$AK$152:$AK$864,CONCATENATE($C69,$FP$3),Master_Data!$S$152:$S$864)</f>
        <v>0</v>
      </c>
      <c r="FK69" s="39">
        <f>SUMIF(Master_Data!$AK$152:$AK$915,CONCATENATE($C69,FP$3),Master_Data!$T$152:$T$915)</f>
        <v>0</v>
      </c>
      <c r="FL69" s="230">
        <f t="shared" si="114"/>
        <v>0</v>
      </c>
      <c r="FM69" s="230">
        <f t="shared" si="12"/>
        <v>0</v>
      </c>
      <c r="FN69" s="23"/>
      <c r="FO69" s="358" t="str">
        <f t="shared" si="100"/>
        <v>TRILOGI MEDIA SINEMA, PTOKT</v>
      </c>
      <c r="FP69" s="24"/>
      <c r="FQ69" s="415"/>
      <c r="FR69" s="109">
        <f t="shared" si="115"/>
        <v>0</v>
      </c>
      <c r="FS69" s="109">
        <f t="shared" si="116"/>
        <v>0</v>
      </c>
      <c r="FT69" s="420"/>
      <c r="FU69" s="109">
        <f>SUMIF(Bill_Out!$Q$610:$Q$675,CONCATENATE($C69,$GG$3),Bill_Out!$N$610:$N$675)</f>
        <v>0</v>
      </c>
      <c r="FV69" s="109">
        <f>SUMIF(Bill_Out!$Q$610:$Q$675,CONCATENATE($C69,$GG$3),Bill_Out!$O$610:$O$675)</f>
        <v>0</v>
      </c>
      <c r="FW69" s="157"/>
      <c r="FX69" s="512">
        <f>SUMIF(Master_Data!$AK$4:$AK$145,CONCATENATE($C69,$GG$3),Master_Data!$R$4:$R$145)+SUMIF(Master_Data!$AK$152:$AK$864,CONCATENATE($C69,$GG$3),Master_Data!$R$152:$R$864)</f>
        <v>0</v>
      </c>
      <c r="FY69" s="512">
        <f>SUMIF(Master_Data!$AK$4:$AK$145,CONCATENATE($C69,$GG$3),Master_Data!$Q$4:$Q$145)+SUMIF(Master_Data!$AK$152:$AK$864,CONCATENATE($C69,$GG$3),Master_Data!$Q$152:$Q$864)</f>
        <v>0</v>
      </c>
      <c r="FZ69" s="512">
        <f>SUMIF(Master_Data!$AK$4:$AK$145,CONCATENATE($C69,$GG$3),Master_Data!$U$4:$U$145)+SUMIF(Master_Data!$AK$152:$AK$864,CONCATENATE($C69,$GG$3),Master_Data!$U$152:$U$864)</f>
        <v>0</v>
      </c>
      <c r="GA69" s="310">
        <f>SUMIF(Master_Data!$AK$4:$AK$145,CONCATENATE($C69,$GG$3),Master_Data!$S$4:$S$145)+SUMIF(Master_Data!$AK$152:$AK$864,CONCATENATE($C69,$GG$3),Master_Data!$S$152:$S$864)</f>
        <v>0</v>
      </c>
      <c r="GB69" s="39">
        <f>SUMIF(Master_Data!$AK$152:$AK$915,CONCATENATE($C69,GG$3),Master_Data!$T$152:$T$915)</f>
        <v>0</v>
      </c>
      <c r="GC69" s="230">
        <f t="shared" si="117"/>
        <v>0</v>
      </c>
      <c r="GD69" s="230">
        <f t="shared" si="14"/>
        <v>0</v>
      </c>
      <c r="GE69" s="23"/>
      <c r="GF69" s="358" t="str">
        <f t="shared" si="101"/>
        <v>TRILOGI MEDIA SINEMA, PTNOV</v>
      </c>
      <c r="GG69" s="24"/>
      <c r="GH69" s="415" t="s">
        <v>562</v>
      </c>
      <c r="GI69" s="109">
        <f t="shared" si="118"/>
        <v>0</v>
      </c>
      <c r="GJ69" s="109">
        <f t="shared" si="119"/>
        <v>0</v>
      </c>
      <c r="GK69" s="420"/>
      <c r="GL69" s="109">
        <f>SUMIF(Bill_Out!$Q$679:$Q$756,CONCATENATE($C69,$GX$3),Bill_Out!$N$679:$N$756)</f>
        <v>0</v>
      </c>
      <c r="GM69" s="109">
        <f>SUMIF(Bill_Out!$Q$679:$Q$756,CONCATENATE($C69,$GX$3),Bill_Out!$O$679:$O$756)</f>
        <v>0</v>
      </c>
      <c r="GN69" s="157"/>
      <c r="GO69" s="512">
        <f>SUMIF(Master_Data!$AK$4:$AK$145,CONCATENATE($C69,$GX$3),Master_Data!$R$4:$R$145)+SUMIF(Master_Data!$AK$152:$AK$864,CONCATENATE($C69,$GX$3),Master_Data!$R$152:$R$864)</f>
        <v>0</v>
      </c>
      <c r="GP69" s="512">
        <f>SUMIF(Master_Data!$AK$4:$AK$145,CONCATENATE($C69,$GX$3),Master_Data!$Q$4:$Q$145)+SUMIF(Master_Data!$AK$152:$AK$864,CONCATENATE($C69,$GX$3),Master_Data!$Q$152:$Q$864)</f>
        <v>0</v>
      </c>
      <c r="GQ69" s="512">
        <f>SUMIF(Master_Data!$AK$4:$AK$145,CONCATENATE($C69,$GX$3),Master_Data!$U$4:$U$145)+SUMIF(Master_Data!$AK$152:$AK$864,CONCATENATE($C69,$GX$3),Master_Data!$U$152:$U$864)</f>
        <v>0</v>
      </c>
      <c r="GR69" s="310">
        <f>SUMIF(Master_Data!$AK$4:$AK$145,CONCATENATE($C69,$GX$3),Master_Data!$S$4:$S$145)+SUMIF(Master_Data!$AK$152:$AK$864,CONCATENATE($C69,$GX$3),Master_Data!$S$152:$S$864)</f>
        <v>0</v>
      </c>
      <c r="GS69" s="39">
        <f>SUMIF(Master_Data!$AK$152:$AK$864,CONCATENATE($C69,GX$3),Master_Data!$T$152:$T$864)</f>
        <v>0</v>
      </c>
      <c r="GT69" s="534">
        <f t="shared" si="44"/>
        <v>0</v>
      </c>
      <c r="GU69" s="310">
        <f t="shared" si="16"/>
        <v>0</v>
      </c>
      <c r="GV69" s="23"/>
      <c r="GW69" s="358" t="str">
        <f t="shared" si="87"/>
        <v>TRILOGI MEDIA SINEMA, PTDES</v>
      </c>
      <c r="GX69" s="24"/>
    </row>
    <row r="70" spans="1:206" s="19" customFormat="1">
      <c r="A70" s="21" t="s">
        <v>1666</v>
      </c>
      <c r="B70" s="236" t="str">
        <f t="shared" si="18"/>
        <v>UPTRANS TEKNOLOGI, PTJAN</v>
      </c>
      <c r="C70" s="8" t="s">
        <v>218</v>
      </c>
      <c r="D70" s="23" t="s">
        <v>327</v>
      </c>
      <c r="E70" s="109">
        <f>SUMIF(Master_Data!$D60:$D$145,CONCATENATE(C70),Master_Data!M60:M927)</f>
        <v>0</v>
      </c>
      <c r="F70" s="109">
        <f>SUMIF(Master_Data!$D66:$D$145,CONCATENATE(C70),Master_Data!N66:N326)</f>
        <v>8223100</v>
      </c>
      <c r="G70" s="31"/>
      <c r="H70" s="109">
        <f>SUMIF(Bill_Out!$Q$3:$Q$65,CONCATENATE($C70,$S$3),Bill_Out!$N$3:$N$65)</f>
        <v>0</v>
      </c>
      <c r="I70" s="88">
        <f>SUMIF(Bill_Out!$Q$3:$Q$65,CONCATENATE($C70,$S$3),Bill_Out!$O$3:$O$65)</f>
        <v>0</v>
      </c>
      <c r="J70" s="157"/>
      <c r="K70" s="29"/>
      <c r="L70" s="44"/>
      <c r="M70" s="230">
        <f>SUMIF(Master_Data!$AK65:$AK$145,CONCATENATE(C70,$S$3),Master_Data!U65:U450)+SUMIF(Master_Data!$AK476:$AK$864,CONCATENATE(C70,$S$3),Master_Data!U476:U1376)</f>
        <v>0</v>
      </c>
      <c r="N70" s="310">
        <f>SUMIF(Master_Data!$AK$4:$AK$145,CONCATENATE(C70,$S$3),Master_Data!$S$4:$S$145)+SUMIF(Master_Data!$AK$150:$AK$864,CONCATENATE(C70,$S$3),Master_Data!$S$150:$S$864)</f>
        <v>0</v>
      </c>
      <c r="O70" s="310">
        <f>SUMIF(Master_Data!$AK$4:$AK$145,CONCATENATE(C70,$S$3),Master_Data!$T$4:$T$145)+SUMIF(Master_Data!$AK$150:$AK$864,CONCATENATE(C70,$S$3),Master_Data!$T$150:$T$864)</f>
        <v>0</v>
      </c>
      <c r="P70" s="230">
        <f t="shared" si="19"/>
        <v>0</v>
      </c>
      <c r="Q70" s="230">
        <f t="shared" si="20"/>
        <v>8223100</v>
      </c>
      <c r="R70" s="23"/>
      <c r="S70" s="24"/>
      <c r="T70" s="31"/>
      <c r="U70" s="109">
        <f t="shared" si="102"/>
        <v>0</v>
      </c>
      <c r="V70" s="109">
        <f t="shared" si="103"/>
        <v>8223100</v>
      </c>
      <c r="W70" s="31"/>
      <c r="X70" s="109">
        <f>SUMIF(Bill_Out!$Q$67:$Q$132,CONCATENATE($C70,$AJ$3),Bill_Out!$N$67:$N$132)</f>
        <v>0</v>
      </c>
      <c r="Y70" s="109">
        <f>SUMIF(Bill_Out!$Q$67:$Q$132,CONCATENATE($C70,$AJ$3),Bill_Out!$O$67:$O$132)</f>
        <v>0</v>
      </c>
      <c r="Z70" s="157"/>
      <c r="AA70" s="230">
        <f>SUMIF(Master_Data!$AK$4:$AK$145,CONCATENATE(C70,$AJ$3),Master_Data!$R$4:$R$145)+SUMIF(Master_Data!$AK$152:$AK$850,CONCATENATE(C70,$AJ$3),Master_Data!$R$152:$R$850)</f>
        <v>0</v>
      </c>
      <c r="AB70" s="230">
        <f>SUMIF(Master_Data!$AK$4:$AK$145,CONCATENATE(C70,$AJ$3),Master_Data!$Q$4:$Q$145)+SUMIF(Master_Data!$AK$152:$AK$850,CONCATENATE(C70,$AJ$3),Master_Data!$Q$152:$Q$850)</f>
        <v>0</v>
      </c>
      <c r="AC70" s="230">
        <f>SUMIF(Master_Data!$AK$4:$AK$145,CONCATENATE(C70,$AJ$3),Master_Data!$U$4:$U$145)+SUMIF(Master_Data!$AK$152:$AK$850,CONCATENATE(C70,$AJ$3),Master_Data!$U$152:$U$850)</f>
        <v>0</v>
      </c>
      <c r="AD70" s="310">
        <f ca="1">SUMIF(Master_Data!$AK$4:$AK$145,CONCATENATE(C70,$AJ$3),Master_Data!$S$4:$S$145)+SUMIF(Master_Data!$AK$152:$AK$864,CONCATENATE(C70,$AJ$3),Master_Data!$S$152:$S$850)</f>
        <v>0</v>
      </c>
      <c r="AE70" s="310">
        <f>SUMIF(Master_Data!$AK$4:$AK$145,CONCATENATE(C70,$AJ$3),Master_Data!$T$4:$T$145)+SUMIF(Master_Data!$AK$152:$AK$864,CONCATENATE(C70,$AJ$3),Master_Data!$T$152:$T$864)</f>
        <v>0</v>
      </c>
      <c r="AF70" s="230">
        <f t="shared" si="104"/>
        <v>0</v>
      </c>
      <c r="AG70" s="230">
        <f t="shared" ca="1" si="105"/>
        <v>8223100</v>
      </c>
      <c r="AH70" s="23"/>
      <c r="AI70" s="235" t="str">
        <f t="shared" si="86"/>
        <v>UPTRANS TEKNOLOGI, PTFEB</v>
      </c>
      <c r="AJ70" s="24"/>
      <c r="AK70" s="31"/>
      <c r="AL70" s="109">
        <f t="shared" si="106"/>
        <v>0</v>
      </c>
      <c r="AM70" s="109">
        <f t="shared" ca="1" si="106"/>
        <v>8223100</v>
      </c>
      <c r="AN70" s="31"/>
      <c r="AO70" s="109">
        <f>SUMIF(Bill_Out!$Q$134:$Q$188,CONCATENATE($C70,$BA$3),Bill_Out!$N$134:$N$188)</f>
        <v>0</v>
      </c>
      <c r="AP70" s="109">
        <f>SUMIF(Bill_Out!$Q$134:$Q$188,CONCATENATE($C70,$BA$3),Bill_Out!$O$134:$O$188)</f>
        <v>0</v>
      </c>
      <c r="AQ70" s="157"/>
      <c r="AR70" s="230">
        <f>SUMIF(Master_Data!$AK$4:$AK$145,CONCATENATE(C70,$BA$3),Master_Data!$R$4:$R$145)+SUMIF(Master_Data!$AK$152:$AK$864,CONCATENATE(C70,$BA$3),Master_Data!$R$152:$R$864)</f>
        <v>0</v>
      </c>
      <c r="AS70" s="230">
        <f>SUMIF(Master_Data!$AK$4:$AK$145,CONCATENATE(C70,$BA$3),Master_Data!$Q$4:$Q$145)+SUMIF(Master_Data!$AK$152:$AK$864,CONCATENATE(C70,$BA$3),Master_Data!$Q$152:$Q$864)</f>
        <v>0</v>
      </c>
      <c r="AT70" s="230">
        <f>SUMIF(Master_Data!$AK$4:$AK$145,CONCATENATE(C70,$BA$3),Master_Data!$U$4:$U$145)+SUMIF(Master_Data!$AK$152:$AK$864,CONCATENATE(C70,$BA$3),Master_Data!$U$152:$U$864)</f>
        <v>0</v>
      </c>
      <c r="AU70" s="230">
        <f ca="1">SUMIF(Master_Data!$AK$4:$AK$145,CONCATENATE(C70,$BA$3),Master_Data!$S$4:$S$145)+SUMIF(Master_Data!$AK$152:$AK$864,CONCATENATE(C70,$BA$3),Master_Data!$S$152:$S$850)</f>
        <v>0</v>
      </c>
      <c r="AV70" s="39">
        <f>SUMIF(Master_Data!$AK$152:$AK$864,CONCATENATE($C70,BA$3),Master_Data!$T$152:$T$864)</f>
        <v>0</v>
      </c>
      <c r="AW70" s="230">
        <f t="shared" si="57"/>
        <v>0</v>
      </c>
      <c r="AX70" s="230">
        <f t="shared" ca="1" si="58"/>
        <v>8223100</v>
      </c>
      <c r="AY70" s="23"/>
      <c r="AZ70" s="235" t="str">
        <f t="shared" si="21"/>
        <v>UPTRANS TEKNOLOGI, PTMAR</v>
      </c>
      <c r="BA70" s="24"/>
      <c r="BB70" s="31"/>
      <c r="BC70" s="109">
        <f t="shared" si="22"/>
        <v>0</v>
      </c>
      <c r="BD70" s="109">
        <f t="shared" ca="1" si="23"/>
        <v>8223100</v>
      </c>
      <c r="BE70" s="31"/>
      <c r="BF70" s="109">
        <f>SUMIF(Bill_Out!$Q$192:$Q$258,CONCATENATE($C70,$BR$3),Bill_Out!$N$192:$N$258)</f>
        <v>0</v>
      </c>
      <c r="BG70" s="109">
        <f>SUMIF(Bill_Out!$Q$192:$Q$258,CONCATENATE($C70,$BR$3),Bill_Out!$O$192:$O$258)</f>
        <v>0</v>
      </c>
      <c r="BH70" s="157"/>
      <c r="BI70" s="230">
        <f>SUMIF(Master_Data!$AK$4:$AK$145,CONCATENATE(C70,$BR$3),Master_Data!$R$4:$R$145)+SUMIF(Master_Data!$AK$152:$AK$864,CONCATENATE(C70,$BR$3),Master_Data!$R$152:$R$864)</f>
        <v>0</v>
      </c>
      <c r="BJ70" s="230">
        <f>SUMIF(Master_Data!$AK$4:$AK$145,CONCATENATE(C70,$BR$3),Master_Data!$Q$4:$Q$145)+SUMIF(Master_Data!$AK$152:$AK$864,CONCATENATE(C70,$BR$3),Master_Data!$Q$152:$Q$864)</f>
        <v>0</v>
      </c>
      <c r="BK70" s="230">
        <f>SUMIF(Master_Data!$AK$4:$AK$145,CONCATENATE(C70,$BR$3),Master_Data!$U$4:$U$145)+SUMIF(Master_Data!$AK$152:$AK$864,CONCATENATE(C70,$BR$3),Master_Data!$U$152:$U$864)</f>
        <v>0</v>
      </c>
      <c r="BL70" s="230">
        <f>SUMIF(Master_Data!$AK$4:$AK$145,CONCATENATE(C70,$BR$3),Master_Data!$S$4:$S$145)+SUMIF(Master_Data!$AK$152:$AK$864,CONCATENATE(C70,$BR$3),Master_Data!$S$152:$S$864)</f>
        <v>0</v>
      </c>
      <c r="BM70" s="39">
        <f>SUMIF(Master_Data!$AK$152:$AK$864,CONCATENATE($C70,BR$3),Master_Data!$T$152:$T$864)</f>
        <v>0</v>
      </c>
      <c r="BN70" s="230">
        <f>BC70+BF70-BI70+BJ70</f>
        <v>0</v>
      </c>
      <c r="BO70" s="230">
        <f ca="1">BD70+BG70-BK70+BL70+BM70</f>
        <v>8223100</v>
      </c>
      <c r="BP70" s="23"/>
      <c r="BQ70" s="909" t="str">
        <f>CONCATENATE(C70,$BR$3)</f>
        <v>UPTRANS TEKNOLOGI, PTAPR</v>
      </c>
      <c r="BR70" s="24"/>
      <c r="BS70" s="31"/>
      <c r="BT70" s="109">
        <f t="shared" si="107"/>
        <v>0</v>
      </c>
      <c r="BU70" s="109">
        <f t="shared" ca="1" si="108"/>
        <v>8223100</v>
      </c>
      <c r="BV70" s="31"/>
      <c r="BW70" s="109">
        <f>SUMIF(Bill_Out!$Q$263:$Q$314,CONCATENATE($C70,$CI$3),Bill_Out!$N$263:$N$314)</f>
        <v>0</v>
      </c>
      <c r="BX70" s="109">
        <f>SUMIF(Bill_Out!$Q$263:$Q$314,CONCATENATE($C70,$CI$3),Bill_Out!$O$263:$O$314)</f>
        <v>0</v>
      </c>
      <c r="BY70" s="157"/>
      <c r="BZ70" s="310">
        <f>SUMIF(Master_Data!$AK$4:$AK$145,CONCATENATE(C70,$CI$3),Master_Data!$R$4:$R$145)+SUMIF(Master_Data!$AK$152:$AK$864,CONCATENATE(C70,$CI$3),Master_Data!$R$152:$R$864)</f>
        <v>0</v>
      </c>
      <c r="CA70" s="310">
        <f>SUMIF(Master_Data!$AK$4:$AK$145,CONCATENATE(C70,$CI$3),Master_Data!$Q$4:$Q$145)+SUMIF(Master_Data!$AK$152:$AK$864,CONCATENATE(C70,$CI$3),Master_Data!$Q$152:$Q$864)</f>
        <v>0</v>
      </c>
      <c r="CB70" s="310">
        <f>SUMIF(Master_Data!$AK$4:$AK$145,CONCATENATE(C70,$CI$3),Master_Data!$U$4:$U$145)+SUMIF(Master_Data!$AK$152:$AK$864,CONCATENATE(C70,$CI$3),Master_Data!$U$152:$U$864)</f>
        <v>0</v>
      </c>
      <c r="CC70" s="230">
        <f>SUMIF(Master_Data!$AK$4:$AK$145,CONCATENATE(C70,$CI$3),Master_Data!$S$4:$S$145)+SUMIF(Master_Data!$AK$152:$AK$864,CONCATENATE(C70,$CI$3),Master_Data!$S$152:$S$864)</f>
        <v>0</v>
      </c>
      <c r="CD70" s="39">
        <f>SUMIF(Master_Data!$AK$152:$AK$864,CONCATENATE($C70,CI$3),Master_Data!$T$152:$T$864)</f>
        <v>0</v>
      </c>
      <c r="CE70" s="310">
        <f>BT70+BW70-BZ70+CA70</f>
        <v>0</v>
      </c>
      <c r="CF70" s="230">
        <f ca="1">BU70+BX70-CB70+CC70+CD70</f>
        <v>8223100</v>
      </c>
      <c r="CG70" s="23"/>
      <c r="CH70" s="235" t="str">
        <f t="shared" si="29"/>
        <v>UPTRANS TEKNOLOGI, PTMEI</v>
      </c>
      <c r="CI70" s="24"/>
      <c r="CJ70" s="31"/>
      <c r="CK70" s="109">
        <f t="shared" si="124"/>
        <v>0</v>
      </c>
      <c r="CL70" s="238">
        <f t="shared" ca="1" si="124"/>
        <v>8223100</v>
      </c>
      <c r="CM70" s="31"/>
      <c r="CN70" s="238">
        <f>SUMIF(Bill_Out!$Q$318:$Q$371,CONCATENATE($C70,$CZ$3),Bill_Out!$N$318:$N$371)</f>
        <v>0</v>
      </c>
      <c r="CO70" s="238">
        <f>SUMIF(Bill_Out!$Q$318:$Q$371,CONCATENATE($C70,$CZ$3),Bill_Out!$O$318:$O$371)</f>
        <v>0</v>
      </c>
      <c r="CP70" s="157"/>
      <c r="CQ70" s="230">
        <f>SUMIF(Master_Data!$AK$4:$AK$145,CONCATENATE($C70,$CZ$3),Master_Data!$R$4:$R$145)+SUMIF(Master_Data!$AK$152:$AK$864,CONCATENATE($C70,$CZ$3),Master_Data!$R$152:$R$864)</f>
        <v>0</v>
      </c>
      <c r="CR70" s="230">
        <f>SUMIF(Master_Data!$AK$4:$AK$145,CONCATENATE($C70,$CZ$3),Master_Data!$Q$4:$Q$145)+SUMIF(Master_Data!$AK$152:$AK$864,CONCATENATE($C70,$CZ$3),Master_Data!$Q$152:$Q$864)</f>
        <v>0</v>
      </c>
      <c r="CS70" s="230">
        <f>SUMIF(Master_Data!$AK$4:$AK$145,CONCATENATE($C70,$CZ$3),Master_Data!$U$4:$U$145)+SUMIF(Master_Data!$AK$152:$AK$864,CONCATENATE($C70,$CZ$3),Master_Data!$U$152:$U$864)</f>
        <v>0</v>
      </c>
      <c r="CT70" s="230">
        <f ca="1">SUMIF(Master_Data!$AK$4:$AK$145,CONCATENATE(C70,$CZ$3),Master_Data!$S$4:$S$145)+SUMIF(Master_Data!$AK$152:$AK$915,CONCATENATE(C70,$CZ$3),Master_Data!$S$152:$S$864)</f>
        <v>0</v>
      </c>
      <c r="CU70" s="1010">
        <f>SUMIF(Master_Data!$AK$4:$AK$145,CONCATENATE(C70,$CZ$3),Master_Data!$T$4:$T$145)+SUMIF(Master_Data!$AK$152:$AK$864,CONCATENATE(C70,$CZ$3),Master_Data!$T$152:$T$864)</f>
        <v>0</v>
      </c>
      <c r="CV70" s="230">
        <f>CK70+CN70-CQ70+CR70</f>
        <v>0</v>
      </c>
      <c r="CW70" s="230">
        <f ca="1">CL70+CO70-CS70+CT70+CU70</f>
        <v>8223100</v>
      </c>
      <c r="CX70" s="23"/>
      <c r="CY70" s="1007" t="str">
        <f>CONCATENATE($C70,$CZ$3)</f>
        <v>UPTRANS TEKNOLOGI, PTJUN</v>
      </c>
      <c r="CZ70" s="24"/>
      <c r="DA70" s="31"/>
      <c r="DB70" s="109">
        <f t="shared" si="125"/>
        <v>0</v>
      </c>
      <c r="DC70" s="109">
        <f t="shared" ca="1" si="125"/>
        <v>8223100</v>
      </c>
      <c r="DD70" s="31"/>
      <c r="DE70" s="109">
        <f>SUMIF(Bill_Out!$Q$375:$Q$422,CONCATENATE($C70,$DQ$3),Bill_Out!$N$375:$N$422)</f>
        <v>0</v>
      </c>
      <c r="DF70" s="109">
        <f>SUMIF(Bill_Out!$Q$375:$Q$422,CONCATENATE($C70,$DQ$3),Bill_Out!$O$375:$O$422)</f>
        <v>0</v>
      </c>
      <c r="DG70" s="157"/>
      <c r="DH70" s="310">
        <f>SUMIF(Master_Data!$AK$4:$AK$145,CONCATENATE($C70,$DQ$3),Master_Data!$R$4:$R$145)+SUMIF(Master_Data!$AK$152:$AK$864,CONCATENATE($C70,$DQ$3),Master_Data!$R$152:$R$864)</f>
        <v>0</v>
      </c>
      <c r="DI70" s="310">
        <f>SUMIF(Master_Data!$AK$4:$AK$145,CONCATENATE($C70,$DQ$3),Master_Data!$Q$4:$Q$145)+SUMIF(Master_Data!$AK$152:$AK$864,CONCATENATE($C70,$DQ$3),Master_Data!$Q$152:$Q$864)</f>
        <v>0</v>
      </c>
      <c r="DJ70" s="310">
        <f>SUMIF(Master_Data!$AK$4:$AK$145,CONCATENATE($C70,$DQ$3),Master_Data!$U$4:$U$145)+SUMIF(Master_Data!$AK$152:$AK$864,CONCATENATE($C70,$DQ$3),Master_Data!$U$152:$U$864)</f>
        <v>0</v>
      </c>
      <c r="DK70" s="310">
        <f>SUMIF(Master_Data!$AK$4:$AK$145,CONCATENATE($C70,$DQ$3),Master_Data!$S$4:$S$145)+SUMIF(Master_Data!$AK$152:$AK$864,CONCATENATE($C70,$DQ$3),Master_Data!$S$152:$S$864)</f>
        <v>0</v>
      </c>
      <c r="DL70" s="39">
        <f>SUMIF(Master_Data!$AK$152:$AK$915,CONCATENATE($C70,DQ$3),Master_Data!$T$152:$T$915)</f>
        <v>0</v>
      </c>
      <c r="DM70" s="230">
        <f t="shared" si="67"/>
        <v>0</v>
      </c>
      <c r="DN70" s="230">
        <f t="shared" ca="1" si="68"/>
        <v>8223100</v>
      </c>
      <c r="DO70" s="23"/>
      <c r="DP70" s="358" t="str">
        <f t="shared" si="111"/>
        <v>UPTRANS TEKNOLOGI, PTJUL</v>
      </c>
      <c r="DQ70" s="24"/>
      <c r="DR70" s="392"/>
      <c r="DS70" s="109">
        <f t="shared" si="120"/>
        <v>0</v>
      </c>
      <c r="DT70" s="109">
        <f t="shared" ca="1" si="121"/>
        <v>8223100</v>
      </c>
      <c r="DU70" s="31"/>
      <c r="DV70" s="109">
        <f>SUMIF(Bill_Out!$Q$426:$Q$472,CONCATENATE($C70,$EH$3),Bill_Out!$N$426:$N$472)</f>
        <v>0</v>
      </c>
      <c r="DW70" s="109">
        <f>SUMIF(Bill_Out!$Q$426:$Q$472,CONCATENATE($C70,$EH$3),Bill_Out!$O$426:$O$472)</f>
        <v>0</v>
      </c>
      <c r="DX70" s="157"/>
      <c r="DY70" s="310">
        <f>SUMIF(Master_Data!$AK$4:$AK$145,CONCATENATE($C70,$EH$3),Master_Data!$R$4:$R$145)+SUMIF(Master_Data!$AK$152:$AK$864,CONCATENATE($C70,$EH$3),Master_Data!$R$152:$R$864)</f>
        <v>0</v>
      </c>
      <c r="DZ70" s="310">
        <f>SUMIF(Master_Data!$AK$4:$AK$145,CONCATENATE($C70,$EH$3),Master_Data!$Q$4:$Q$145)+SUMIF(Master_Data!$AK$152:$AK$864,CONCATENATE($C70,$EH$3),Master_Data!$Q$152:$Q$864)</f>
        <v>0</v>
      </c>
      <c r="EA70" s="310">
        <f>SUMIF(Master_Data!$AK$4:$AK$145,CONCATENATE($C70,$EH$3),Master_Data!$U$4:$U$145)+SUMIF(Master_Data!$AK$152:$AK$864,CONCATENATE($C70,$EH$3),Master_Data!$U$152:$U$864)</f>
        <v>0</v>
      </c>
      <c r="EB70" s="310">
        <f>SUMIF(Master_Data!$AK$4:$AK$145,CONCATENATE($C70,$EH$3),Master_Data!$S$4:$S$145)+SUMIF(Master_Data!$AK$152:$AK$864,CONCATENATE($C70,$EH$3),Master_Data!$S$152:$S$864)</f>
        <v>0</v>
      </c>
      <c r="EC70" s="39">
        <f>SUMIF(Master_Data!$AK$152:$AK$915,CONCATENATE($C70,EH$3),Master_Data!$T$152:$T$915)</f>
        <v>0</v>
      </c>
      <c r="ED70" s="310">
        <f t="shared" si="122"/>
        <v>0</v>
      </c>
      <c r="EE70" s="230">
        <f t="shared" ca="1" si="123"/>
        <v>8223100</v>
      </c>
      <c r="EF70" s="23"/>
      <c r="EG70" s="358" t="str">
        <f t="shared" ref="EG70:EG72" si="129">CONCATENATE($C70,$EH$3)</f>
        <v>UPTRANS TEKNOLOGI, PTAGS</v>
      </c>
      <c r="EH70" s="24"/>
      <c r="EI70" s="392"/>
      <c r="EJ70" s="109">
        <f t="shared" si="126"/>
        <v>0</v>
      </c>
      <c r="EK70" s="109">
        <f t="shared" ca="1" si="127"/>
        <v>8223100</v>
      </c>
      <c r="EL70" s="84"/>
      <c r="EM70" s="109">
        <f>SUMIF(Bill_Out!$Q$476:$Q$530,CONCATENATE($C70,$EY$3),Bill_Out!$N$476:$N$530)</f>
        <v>0</v>
      </c>
      <c r="EN70" s="109">
        <f>SUMIF(Bill_Out!$Q$476:$Q$530,CONCATENATE($C70,$EY$3),Bill_Out!$O$476:$O$530)</f>
        <v>0</v>
      </c>
      <c r="EO70" s="309"/>
      <c r="EP70" s="310">
        <f>SUMIF(Master_Data!$AK$4:$AK$145,CONCATENATE($C70,$EY$3),Master_Data!$R$4:$R$145)+SUMIF(Master_Data!$AK$152:$AK$864,CONCATENATE($C70,$EY$3),Master_Data!$R$152:$R$864)</f>
        <v>0</v>
      </c>
      <c r="EQ70" s="310">
        <f>SUMIF(Master_Data!$AK$4:$AK$145,CONCATENATE($C70,$EY$3),Master_Data!$Q$4:$Q$145)+SUMIF(Master_Data!$AK$152:$AK$864,CONCATENATE($C70,$EY$3),Master_Data!$Q$152:$Q$864)</f>
        <v>0</v>
      </c>
      <c r="ER70" s="310">
        <f>SUMIF(Master_Data!$AK$4:$AK$145,CONCATENATE($C70,$EY$3),Master_Data!$U$4:$U$145)+SUMIF(Master_Data!$AK$152:$AK$864,CONCATENATE($C70,$EY$3),Master_Data!$U$152:$U$864)</f>
        <v>0</v>
      </c>
      <c r="ES70" s="310">
        <f>SUMIF(Master_Data!$AK$4:$AK$145,CONCATENATE($C70,$EY$3),Master_Data!$S$4:$S$145)+SUMIF(Master_Data!$AK$152:$AK$864,CONCATENATE($C70,$EY$3),Master_Data!$S$152:$S$864)</f>
        <v>0</v>
      </c>
      <c r="ET70" s="39">
        <f>SUMIF(Master_Data!$AK$152:$AK$915,CONCATENATE($C70,EY$3),Master_Data!$T$152:$T$915)</f>
        <v>0</v>
      </c>
      <c r="EU70" s="310">
        <f t="shared" si="128"/>
        <v>0</v>
      </c>
      <c r="EV70" s="230"/>
      <c r="EW70" s="84"/>
      <c r="EX70" s="358" t="str">
        <f t="shared" si="110"/>
        <v>UPTRANS TEKNOLOGI, PTSEP</v>
      </c>
      <c r="EY70" s="24"/>
      <c r="EZ70" s="415"/>
      <c r="FA70" s="109">
        <f t="shared" si="112"/>
        <v>0</v>
      </c>
      <c r="FB70" s="109">
        <f t="shared" si="113"/>
        <v>0</v>
      </c>
      <c r="FC70" s="420"/>
      <c r="FD70" s="109">
        <f>SUMIF(Bill_Out!$Q$534:$Q$606,CONCATENATE($C70,$FP$3),Bill_Out!$N$534:$N$606)</f>
        <v>0</v>
      </c>
      <c r="FE70" s="109">
        <f>SUMIF(Bill_Out!$Q$534:$Q$606,CONCATENATE($C70,$FP$3),Bill_Out!$O$534:$O$606)</f>
        <v>0</v>
      </c>
      <c r="FF70" s="157"/>
      <c r="FG70" s="310">
        <f>SUMIF(Master_Data!$AK$4:$AK$145,CONCATENATE($C70,$FP$3),Master_Data!$R$4:$R$145)+SUMIF(Master_Data!$AK$152:$AK$864,CONCATENATE($C70,$FP$3),Master_Data!$R$152:$R$864)</f>
        <v>0</v>
      </c>
      <c r="FH70" s="310">
        <f>SUMIF(Master_Data!$AK$4:$AK$145,CONCATENATE($C70,$FP$3),Master_Data!$Q$4:$Q$145)+SUMIF(Master_Data!$AK$152:$AK$864,CONCATENATE($C70,$FP$3),Master_Data!$Q$152:$Q$864)</f>
        <v>0</v>
      </c>
      <c r="FI70" s="310">
        <f>SUMIF(Master_Data!$AK$4:$AK$145,CONCATENATE($C70,$FP$3),Master_Data!$U$4:$U$145)+SUMIF(Master_Data!$AK$152:$AK$864,CONCATENATE($C70,$FP$3),Master_Data!$U$152:$U$864)</f>
        <v>0</v>
      </c>
      <c r="FJ70" s="310">
        <f>SUMIF(Master_Data!$AK$4:$AK$145,CONCATENATE($C70,$FP$3),Master_Data!$S$4:$S$145)+SUMIF(Master_Data!$AK$152:$AK$864,CONCATENATE($C70,$FP$3),Master_Data!$S$152:$S$864)</f>
        <v>0</v>
      </c>
      <c r="FK70" s="39">
        <f>SUMIF(Master_Data!$AK$152:$AK$915,CONCATENATE($C70,FP$3),Master_Data!$T$152:$T$915)</f>
        <v>0</v>
      </c>
      <c r="FL70" s="230">
        <f t="shared" si="114"/>
        <v>0</v>
      </c>
      <c r="FM70" s="230">
        <f t="shared" si="12"/>
        <v>0</v>
      </c>
      <c r="FN70" s="23"/>
      <c r="FO70" s="358" t="str">
        <f t="shared" si="100"/>
        <v>UPTRANS TEKNOLOGI, PTOKT</v>
      </c>
      <c r="FP70" s="24"/>
      <c r="FQ70" s="415"/>
      <c r="FR70" s="109">
        <f t="shared" si="115"/>
        <v>0</v>
      </c>
      <c r="FS70" s="109">
        <f t="shared" si="116"/>
        <v>0</v>
      </c>
      <c r="FT70" s="420"/>
      <c r="FU70" s="109">
        <f>SUMIF(Bill_Out!$Q$610:$Q$675,CONCATENATE($C70,$GG$3),Bill_Out!$N$610:$N$675)</f>
        <v>0</v>
      </c>
      <c r="FV70" s="109">
        <f>SUMIF(Bill_Out!$Q$610:$Q$675,CONCATENATE($C70,$GG$3),Bill_Out!$O$610:$O$675)</f>
        <v>0</v>
      </c>
      <c r="FW70" s="157"/>
      <c r="FX70" s="512">
        <f>SUMIF(Master_Data!$AK$4:$AK$145,CONCATENATE($C70,$GG$3),Master_Data!$R$4:$R$145)+SUMIF(Master_Data!$AK$152:$AK$864,CONCATENATE($C70,$GG$3),Master_Data!$R$152:$R$864)</f>
        <v>0</v>
      </c>
      <c r="FY70" s="512">
        <f>SUMIF(Master_Data!$AK$4:$AK$145,CONCATENATE($C70,$GG$3),Master_Data!$Q$4:$Q$145)+SUMIF(Master_Data!$AK$152:$AK$864,CONCATENATE($C70,$GG$3),Master_Data!$Q$152:$Q$864)</f>
        <v>0</v>
      </c>
      <c r="FZ70" s="512">
        <f>SUMIF(Master_Data!$AK$4:$AK$145,CONCATENATE($C70,$GG$3),Master_Data!$U$4:$U$145)+SUMIF(Master_Data!$AK$152:$AK$864,CONCATENATE($C70,$GG$3),Master_Data!$U$152:$U$864)</f>
        <v>0</v>
      </c>
      <c r="GA70" s="310">
        <f>SUMIF(Master_Data!$AK$4:$AK$145,CONCATENATE($C70,$GG$3),Master_Data!$S$4:$S$145)+SUMIF(Master_Data!$AK$152:$AK$864,CONCATENATE($C70,$GG$3),Master_Data!$S$152:$S$864)</f>
        <v>0</v>
      </c>
      <c r="GB70" s="39">
        <f>SUMIF(Master_Data!$AK$152:$AK$915,CONCATENATE($C70,GG$3),Master_Data!$T$152:$T$915)</f>
        <v>0</v>
      </c>
      <c r="GC70" s="230">
        <f t="shared" si="117"/>
        <v>0</v>
      </c>
      <c r="GD70" s="230">
        <f t="shared" si="14"/>
        <v>0</v>
      </c>
      <c r="GE70" s="23"/>
      <c r="GF70" s="358" t="str">
        <f t="shared" si="101"/>
        <v>UPTRANS TEKNOLOGI, PTNOV</v>
      </c>
      <c r="GG70" s="24"/>
      <c r="GH70" s="415" t="s">
        <v>327</v>
      </c>
      <c r="GI70" s="109">
        <f t="shared" si="118"/>
        <v>0</v>
      </c>
      <c r="GJ70" s="109">
        <f t="shared" si="119"/>
        <v>0</v>
      </c>
      <c r="GK70" s="420"/>
      <c r="GL70" s="109">
        <f>SUMIF(Bill_Out!$Q$679:$Q$756,CONCATENATE($C70,$GX$3),Bill_Out!$N$679:$N$756)</f>
        <v>0</v>
      </c>
      <c r="GM70" s="109">
        <f>SUMIF(Bill_Out!$Q$679:$Q$756,CONCATENATE($C70,$GX$3),Bill_Out!$O$679:$O$756)</f>
        <v>0</v>
      </c>
      <c r="GN70" s="157"/>
      <c r="GO70" s="512">
        <f>SUMIF(Master_Data!$AK$4:$AK$145,CONCATENATE($C70,$GX$3),Master_Data!$R$4:$R$145)+SUMIF(Master_Data!$AK$152:$AK$864,CONCATENATE($C70,$GX$3),Master_Data!$R$152:$R$864)</f>
        <v>0</v>
      </c>
      <c r="GP70" s="512">
        <f>SUMIF(Master_Data!$AK$4:$AK$145,CONCATENATE($C70,$GX$3),Master_Data!$Q$4:$Q$145)+SUMIF(Master_Data!$AK$152:$AK$864,CONCATENATE($C70,$GX$3),Master_Data!$Q$152:$Q$864)</f>
        <v>0</v>
      </c>
      <c r="GQ70" s="512">
        <f>SUMIF(Master_Data!$AK$4:$AK$145,CONCATENATE($C70,$GX$3),Master_Data!$U$4:$U$145)+SUMIF(Master_Data!$AK$152:$AK$864,CONCATENATE($C70,$GX$3),Master_Data!$U$152:$U$864)</f>
        <v>0</v>
      </c>
      <c r="GR70" s="310">
        <f>SUMIF(Master_Data!$AK$4:$AK$145,CONCATENATE($C70,$GX$3),Master_Data!$S$4:$S$145)+SUMIF(Master_Data!$AK$152:$AK$864,CONCATENATE($C70,$GX$3),Master_Data!$S$152:$S$864)</f>
        <v>0</v>
      </c>
      <c r="GS70" s="39">
        <f>SUMIF(Master_Data!$AK$152:$AK$864,CONCATENATE($C70,GX$3),Master_Data!$T$152:$T$864)</f>
        <v>0</v>
      </c>
      <c r="GT70" s="534">
        <f t="shared" si="44"/>
        <v>0</v>
      </c>
      <c r="GU70" s="310">
        <f t="shared" si="16"/>
        <v>0</v>
      </c>
      <c r="GV70" s="23"/>
      <c r="GW70" s="358" t="str">
        <f t="shared" si="87"/>
        <v>UPTRANS TEKNOLOGI, PTDES</v>
      </c>
      <c r="GX70" s="24"/>
    </row>
    <row r="71" spans="1:206" s="19" customFormat="1">
      <c r="A71" s="328" t="s">
        <v>1667</v>
      </c>
      <c r="B71" s="236" t="str">
        <f t="shared" si="18"/>
        <v>WILBES, PTJAN</v>
      </c>
      <c r="C71" s="8" t="s">
        <v>219</v>
      </c>
      <c r="D71" s="23" t="s">
        <v>328</v>
      </c>
      <c r="E71" s="109">
        <f>SUMIF(Master_Data!$D46:$D$145,CONCATENATE(C71),Master_Data!M46:M850)</f>
        <v>0</v>
      </c>
      <c r="F71" s="109">
        <f>SUMIF(Master_Data!$D67:$D$145,CONCATENATE(C71),Master_Data!N67:N327)</f>
        <v>5000000</v>
      </c>
      <c r="G71" s="31"/>
      <c r="H71" s="109">
        <f>SUMIF(Bill_Out!$Q$3:$Q$65,CONCATENATE($C71,$S$3),Bill_Out!$N$3:$N$65)</f>
        <v>0</v>
      </c>
      <c r="I71" s="88">
        <f>SUMIF(Bill_Out!$Q$3:$Q$65,CONCATENATE($C71,$S$3),Bill_Out!$O$3:$O$65)</f>
        <v>0</v>
      </c>
      <c r="J71" s="157"/>
      <c r="K71" s="29"/>
      <c r="L71" s="44"/>
      <c r="M71" s="230">
        <f>SUMIF(Master_Data!$AK66:$AK$145,CONCATENATE(C71,$S$3),Master_Data!U66:U451)+SUMIF(Master_Data!$AK477:$AK$864,CONCATENATE(C71,$S$3),Master_Data!U477:U1377)</f>
        <v>0</v>
      </c>
      <c r="N71" s="310">
        <f>SUMIF(Master_Data!$AK$4:$AK$145,CONCATENATE(C71,$S$3),Master_Data!$S$4:$S$145)+SUMIF(Master_Data!$AK$150:$AK$864,CONCATENATE(C71,$S$3),Master_Data!$S$150:$S$864)</f>
        <v>0</v>
      </c>
      <c r="O71" s="310">
        <f>SUMIF(Master_Data!$AK$4:$AK$145,CONCATENATE(C71,$S$3),Master_Data!$T$4:$T$145)+SUMIF(Master_Data!$AK$150:$AK$864,CONCATENATE(C71,$S$3),Master_Data!$T$150:$T$864)</f>
        <v>0</v>
      </c>
      <c r="P71" s="230">
        <f t="shared" si="19"/>
        <v>0</v>
      </c>
      <c r="Q71" s="230">
        <f t="shared" si="20"/>
        <v>5000000</v>
      </c>
      <c r="R71" s="23"/>
      <c r="S71" s="24"/>
      <c r="T71" s="31"/>
      <c r="U71" s="109">
        <f t="shared" si="102"/>
        <v>0</v>
      </c>
      <c r="V71" s="109">
        <f t="shared" si="103"/>
        <v>5000000</v>
      </c>
      <c r="W71" s="31"/>
      <c r="X71" s="109">
        <f>SUMIF(Bill_Out!$Q$67:$Q$132,CONCATENATE($C71,$AJ$3),Bill_Out!$N$67:$N$132)</f>
        <v>0</v>
      </c>
      <c r="Y71" s="109">
        <f>SUMIF(Bill_Out!$Q$67:$Q$132,CONCATENATE($C71,$AJ$3),Bill_Out!$O$67:$O$132)</f>
        <v>0</v>
      </c>
      <c r="Z71" s="157"/>
      <c r="AA71" s="230">
        <f>SUMIF(Master_Data!$AK$4:$AK$145,CONCATENATE(C71,$AJ$3),Master_Data!$R$4:$R$145)+SUMIF(Master_Data!$AK$152:$AK$850,CONCATENATE(C71,$AJ$3),Master_Data!$R$152:$R$850)</f>
        <v>0</v>
      </c>
      <c r="AB71" s="230">
        <f>SUMIF(Master_Data!$AK$4:$AK$145,CONCATENATE(C71,$AJ$3),Master_Data!$Q$4:$Q$145)+SUMIF(Master_Data!$AK$152:$AK$850,CONCATENATE(C71,$AJ$3),Master_Data!$Q$152:$Q$850)</f>
        <v>0</v>
      </c>
      <c r="AC71" s="230">
        <f>SUMIF(Master_Data!$AK$4:$AK$145,CONCATENATE(C71,$AJ$3),Master_Data!$U$4:$U$145)+SUMIF(Master_Data!$AK$152:$AK$850,CONCATENATE(C71,$AJ$3),Master_Data!$U$152:$U$850)</f>
        <v>0</v>
      </c>
      <c r="AD71" s="310">
        <f ca="1">SUMIF(Master_Data!$AK$4:$AK$145,CONCATENATE(C71,$AJ$3),Master_Data!$S$4:$S$145)+SUMIF(Master_Data!$AK$152:$AK$864,CONCATENATE(C71,$AJ$3),Master_Data!$S$152:$S$850)</f>
        <v>0</v>
      </c>
      <c r="AE71" s="310">
        <f>SUMIF(Master_Data!$AK$4:$AK$145,CONCATENATE(C71,$AJ$3),Master_Data!$T$4:$T$145)+SUMIF(Master_Data!$AK$152:$AK$864,CONCATENATE(C71,$AJ$3),Master_Data!$T$152:$T$864)</f>
        <v>0</v>
      </c>
      <c r="AF71" s="230">
        <f t="shared" si="104"/>
        <v>0</v>
      </c>
      <c r="AG71" s="230">
        <f t="shared" ca="1" si="105"/>
        <v>5000000</v>
      </c>
      <c r="AH71" s="23"/>
      <c r="AI71" s="235" t="str">
        <f t="shared" si="86"/>
        <v>WILBES, PTFEB</v>
      </c>
      <c r="AJ71" s="24"/>
      <c r="AK71" s="31"/>
      <c r="AL71" s="109">
        <f t="shared" si="106"/>
        <v>0</v>
      </c>
      <c r="AM71" s="109">
        <f t="shared" ca="1" si="106"/>
        <v>5000000</v>
      </c>
      <c r="AN71" s="31"/>
      <c r="AO71" s="109">
        <f>SUMIF(Bill_Out!$Q$134:$Q$188,CONCATENATE($C71,$BA$3),Bill_Out!$N$134:$N$188)</f>
        <v>0</v>
      </c>
      <c r="AP71" s="109">
        <f>SUMIF(Bill_Out!$Q$134:$Q$188,CONCATENATE($C71,$BA$3),Bill_Out!$O$134:$O$188)</f>
        <v>0</v>
      </c>
      <c r="AQ71" s="157"/>
      <c r="AR71" s="230">
        <f>SUMIF(Master_Data!$AK$4:$AK$145,CONCATENATE(C71,$BA$3),Master_Data!$R$4:$R$145)+SUMIF(Master_Data!$AK$152:$AK$864,CONCATENATE(C71,$BA$3),Master_Data!$R$152:$R$864)</f>
        <v>0</v>
      </c>
      <c r="AS71" s="230">
        <f>SUMIF(Master_Data!$AK$4:$AK$145,CONCATENATE(C71,$BA$3),Master_Data!$Q$4:$Q$145)+SUMIF(Master_Data!$AK$152:$AK$864,CONCATENATE(C71,$BA$3),Master_Data!$Q$152:$Q$864)</f>
        <v>0</v>
      </c>
      <c r="AT71" s="230">
        <f>SUMIF(Master_Data!$AK$4:$AK$145,CONCATENATE(C71,$BA$3),Master_Data!$U$4:$U$145)+SUMIF(Master_Data!$AK$152:$AK$864,CONCATENATE(C71,$BA$3),Master_Data!$U$152:$U$864)</f>
        <v>0</v>
      </c>
      <c r="AU71" s="230">
        <f ca="1">SUMIF(Master_Data!$AK$4:$AK$145,CONCATENATE(C71,$BA$3),Master_Data!$S$4:$S$145)+SUMIF(Master_Data!$AK$152:$AK$864,CONCATENATE(C71,$BA$3),Master_Data!$S$152:$S$850)</f>
        <v>0</v>
      </c>
      <c r="AV71" s="39">
        <f>SUMIF(Master_Data!$AK$152:$AK$864,CONCATENATE($C71,BA$3),Master_Data!$T$152:$T$864)</f>
        <v>0</v>
      </c>
      <c r="AW71" s="230">
        <f t="shared" si="57"/>
        <v>0</v>
      </c>
      <c r="AX71" s="230">
        <f t="shared" ca="1" si="58"/>
        <v>5000000</v>
      </c>
      <c r="AY71" s="23"/>
      <c r="AZ71" s="235" t="str">
        <f>CONCATENATE(C71,$BA$3)</f>
        <v>WILBES, PTMAR</v>
      </c>
      <c r="BA71" s="24"/>
      <c r="BB71" s="31"/>
      <c r="BC71" s="109">
        <f>AW71</f>
        <v>0</v>
      </c>
      <c r="BD71" s="109">
        <f ca="1">AX71</f>
        <v>5000000</v>
      </c>
      <c r="BE71" s="31"/>
      <c r="BF71" s="109">
        <f>SUMIF(Bill_Out!$Q$192:$Q$258,CONCATENATE($C71,$BR$3),Bill_Out!$N$192:$N$258)</f>
        <v>0</v>
      </c>
      <c r="BG71" s="109">
        <f>SUMIF(Bill_Out!$Q$192:$Q$258,CONCATENATE($C71,$BR$3),Bill_Out!$O$192:$O$258)</f>
        <v>0</v>
      </c>
      <c r="BH71" s="157"/>
      <c r="BI71" s="230">
        <f>SUMIF(Master_Data!$AK$4:$AK$145,CONCATENATE(C71,$BR$3),Master_Data!$R$4:$R$145)+SUMIF(Master_Data!$AK$152:$AK$864,CONCATENATE(C71,$BR$3),Master_Data!$R$152:$R$864)</f>
        <v>0</v>
      </c>
      <c r="BJ71" s="230">
        <f>SUMIF(Master_Data!$AK$4:$AK$145,CONCATENATE(C71,$BR$3),Master_Data!$Q$4:$Q$145)+SUMIF(Master_Data!$AK$152:$AK$864,CONCATENATE(C71,$BR$3),Master_Data!$Q$152:$Q$864)</f>
        <v>0</v>
      </c>
      <c r="BK71" s="230">
        <f>SUMIF(Master_Data!$AK$4:$AK$145,CONCATENATE(C71,$BR$3),Master_Data!$U$4:$U$145)+SUMIF(Master_Data!$AK$152:$AK$864,CONCATENATE(C71,$BR$3),Master_Data!$U$152:$U$864)</f>
        <v>0</v>
      </c>
      <c r="BL71" s="230">
        <f>SUMIF(Master_Data!$AK$4:$AK$145,CONCATENATE(C71,$BR$3),Master_Data!$S$4:$S$145)+SUMIF(Master_Data!$AK$152:$AK$864,CONCATENATE(C71,$BR$3),Master_Data!$S$152:$S$864)</f>
        <v>0</v>
      </c>
      <c r="BM71" s="39">
        <f>SUMIF(Master_Data!$AK$152:$AK$864,CONCATENATE($C71,BR$3),Master_Data!$T$152:$T$864)</f>
        <v>0</v>
      </c>
      <c r="BN71" s="230">
        <f>BC71+BF71-BI71+BJ71</f>
        <v>0</v>
      </c>
      <c r="BO71" s="230">
        <f ca="1">BD71+BG71-BK71+BL71+BM71</f>
        <v>5000000</v>
      </c>
      <c r="BP71" s="23"/>
      <c r="BQ71" s="909" t="str">
        <f>CONCATENATE(C71,$BR$3)</f>
        <v>WILBES, PTAPR</v>
      </c>
      <c r="BR71" s="24"/>
      <c r="BS71" s="31"/>
      <c r="BT71" s="109">
        <f t="shared" si="107"/>
        <v>0</v>
      </c>
      <c r="BU71" s="109">
        <f t="shared" ca="1" si="108"/>
        <v>5000000</v>
      </c>
      <c r="BV71" s="31"/>
      <c r="BW71" s="109">
        <f>SUMIF(Bill_Out!$Q$263:$Q$314,CONCATENATE($C71,$CI$3),Bill_Out!$N$263:$N$314)</f>
        <v>0</v>
      </c>
      <c r="BX71" s="109">
        <f>SUMIF(Bill_Out!$Q$263:$Q$314,CONCATENATE($C71,$CI$3),Bill_Out!$O$263:$O$314)</f>
        <v>0</v>
      </c>
      <c r="BY71" s="157"/>
      <c r="BZ71" s="310">
        <f>SUMIF(Master_Data!$AK$4:$AK$145,CONCATENATE(C71,$CI$3),Master_Data!$R$4:$R$145)+SUMIF(Master_Data!$AK$152:$AK$864,CONCATENATE(C71,$CI$3),Master_Data!$R$152:$R$864)</f>
        <v>0</v>
      </c>
      <c r="CA71" s="310">
        <f>SUMIF(Master_Data!$AK$4:$AK$145,CONCATENATE(C71,$CI$3),Master_Data!$Q$4:$Q$145)+SUMIF(Master_Data!$AK$152:$AK$864,CONCATENATE(C71,$CI$3),Master_Data!$Q$152:$Q$864)</f>
        <v>0</v>
      </c>
      <c r="CB71" s="310">
        <f>SUMIF(Master_Data!$AK$4:$AK$145,CONCATENATE(C71,$CI$3),Master_Data!$U$4:$U$145)+SUMIF(Master_Data!$AK$152:$AK$864,CONCATENATE(C71,$CI$3),Master_Data!$U$152:$U$864)</f>
        <v>0</v>
      </c>
      <c r="CC71" s="230">
        <f>SUMIF(Master_Data!$AK$4:$AK$145,CONCATENATE(C71,$CI$3),Master_Data!$S$4:$S$145)+SUMIF(Master_Data!$AK$152:$AK$864,CONCATENATE(C71,$CI$3),Master_Data!$S$152:$S$864)</f>
        <v>0</v>
      </c>
      <c r="CD71" s="39">
        <f>SUMIF(Master_Data!$AK$152:$AK$864,CONCATENATE($C71,CI$3),Master_Data!$T$152:$T$864)</f>
        <v>0</v>
      </c>
      <c r="CE71" s="310">
        <f>BT71+BW71-BZ71+CA71</f>
        <v>0</v>
      </c>
      <c r="CF71" s="230">
        <f ca="1">BU71+BX71-CB71+CC71+CD71</f>
        <v>5000000</v>
      </c>
      <c r="CG71" s="23"/>
      <c r="CH71" s="235" t="str">
        <f t="shared" si="29"/>
        <v>WILBES, PTMEI</v>
      </c>
      <c r="CI71" s="24"/>
      <c r="CJ71" s="31"/>
      <c r="CK71" s="109">
        <f t="shared" si="124"/>
        <v>0</v>
      </c>
      <c r="CL71" s="238">
        <f t="shared" ca="1" si="124"/>
        <v>5000000</v>
      </c>
      <c r="CM71" s="31"/>
      <c r="CN71" s="238">
        <f>SUMIF(Bill_Out!$Q$318:$Q$371,CONCATENATE($C71,$CZ$3),Bill_Out!$N$318:$N$371)</f>
        <v>0</v>
      </c>
      <c r="CO71" s="238">
        <f>SUMIF(Bill_Out!$Q$318:$Q$371,CONCATENATE($C71,$CZ$3),Bill_Out!$O$318:$O$371)</f>
        <v>0</v>
      </c>
      <c r="CP71" s="157"/>
      <c r="CQ71" s="230">
        <f>SUMIF(Master_Data!$AK$4:$AK$145,CONCATENATE($C71,$CZ$3),Master_Data!$R$4:$R$145)+SUMIF(Master_Data!$AK$152:$AK$864,CONCATENATE($C71,$CZ$3),Master_Data!$R$152:$R$864)</f>
        <v>0</v>
      </c>
      <c r="CR71" s="230">
        <f>SUMIF(Master_Data!$AK$4:$AK$145,CONCATENATE($C71,$CZ$3),Master_Data!$Q$4:$Q$145)+SUMIF(Master_Data!$AK$152:$AK$864,CONCATENATE($C71,$CZ$3),Master_Data!$Q$152:$Q$864)</f>
        <v>0</v>
      </c>
      <c r="CS71" s="230">
        <f>SUMIF(Master_Data!$AK$4:$AK$145,CONCATENATE($C71,$CZ$3),Master_Data!$U$4:$U$145)+SUMIF(Master_Data!$AK$152:$AK$864,CONCATENATE($C71,$CZ$3),Master_Data!$U$152:$U$864)</f>
        <v>0</v>
      </c>
      <c r="CT71" s="230">
        <f ca="1">SUMIF(Master_Data!$AK$4:$AK$145,CONCATENATE(C71,$CZ$3),Master_Data!$S$4:$S$145)+SUMIF(Master_Data!$AK$152:$AK$915,CONCATENATE(C71,$CZ$3),Master_Data!$S$152:$S$864)</f>
        <v>0</v>
      </c>
      <c r="CU71" s="1010">
        <f>SUMIF(Master_Data!$AK$4:$AK$145,CONCATENATE(C71,$CZ$3),Master_Data!$T$4:$T$145)+SUMIF(Master_Data!$AK$152:$AK$864,CONCATENATE(C71,$CZ$3),Master_Data!$T$152:$T$864)</f>
        <v>0</v>
      </c>
      <c r="CV71" s="230">
        <f>CK71+CN71-CQ71+CR71</f>
        <v>0</v>
      </c>
      <c r="CW71" s="230">
        <f ca="1">CL71+CO71-CS71+CT71+CU71</f>
        <v>5000000</v>
      </c>
      <c r="CX71" s="23"/>
      <c r="CY71" s="1007" t="str">
        <f>CONCATENATE($C71,$CZ$3)</f>
        <v>WILBES, PTJUN</v>
      </c>
      <c r="CZ71" s="24"/>
      <c r="DA71" s="31"/>
      <c r="DB71" s="109">
        <f t="shared" si="125"/>
        <v>0</v>
      </c>
      <c r="DC71" s="109">
        <f t="shared" ca="1" si="125"/>
        <v>5000000</v>
      </c>
      <c r="DD71" s="31"/>
      <c r="DE71" s="109">
        <f>SUMIF(Bill_Out!$Q$375:$Q$422,CONCATENATE($C71,$DQ$3),Bill_Out!$N$375:$N$422)</f>
        <v>0</v>
      </c>
      <c r="DF71" s="109">
        <f>SUMIF(Bill_Out!$Q$375:$Q$422,CONCATENATE($C71,$DQ$3),Bill_Out!$O$375:$O$422)</f>
        <v>0</v>
      </c>
      <c r="DG71" s="157"/>
      <c r="DH71" s="310">
        <f>SUMIF(Master_Data!$AK$4:$AK$145,CONCATENATE($C71,$DQ$3),Master_Data!$R$4:$R$145)+SUMIF(Master_Data!$AK$152:$AK$864,CONCATENATE($C71,$DQ$3),Master_Data!$R$152:$R$864)</f>
        <v>0</v>
      </c>
      <c r="DI71" s="310">
        <f>SUMIF(Master_Data!$AK$4:$AK$145,CONCATENATE($C71,$DQ$3),Master_Data!$Q$4:$Q$145)+SUMIF(Master_Data!$AK$152:$AK$864,CONCATENATE($C71,$DQ$3),Master_Data!$Q$152:$Q$864)</f>
        <v>0</v>
      </c>
      <c r="DJ71" s="310">
        <f>SUMIF(Master_Data!$AK$4:$AK$145,CONCATENATE($C71,$DQ$3),Master_Data!$U$4:$U$145)+SUMIF(Master_Data!$AK$152:$AK$864,CONCATENATE($C71,$DQ$3),Master_Data!$U$152:$U$864)</f>
        <v>0</v>
      </c>
      <c r="DK71" s="310">
        <f>SUMIF(Master_Data!$AK$4:$AK$145,CONCATENATE($C71,$DQ$3),Master_Data!$S$4:$S$145)+SUMIF(Master_Data!$AK$152:$AK$864,CONCATENATE($C71,$DQ$3),Master_Data!$S$152:$S$864)</f>
        <v>0</v>
      </c>
      <c r="DL71" s="39">
        <f>SUMIF(Master_Data!$AK$152:$AK$915,CONCATENATE($C71,DQ$3),Master_Data!$T$152:$T$915)</f>
        <v>0</v>
      </c>
      <c r="DM71" s="230">
        <f t="shared" si="67"/>
        <v>0</v>
      </c>
      <c r="DN71" s="230">
        <f t="shared" ca="1" si="68"/>
        <v>5000000</v>
      </c>
      <c r="DO71" s="23"/>
      <c r="DP71" s="358" t="str">
        <f t="shared" si="111"/>
        <v>WILBES, PTJUL</v>
      </c>
      <c r="DQ71" s="24"/>
      <c r="DR71" s="392"/>
      <c r="DS71" s="109">
        <f t="shared" si="120"/>
        <v>0</v>
      </c>
      <c r="DT71" s="109">
        <f t="shared" ca="1" si="121"/>
        <v>5000000</v>
      </c>
      <c r="DU71" s="31"/>
      <c r="DV71" s="109">
        <f>SUMIF(Bill_Out!$Q$426:$Q$472,CONCATENATE($C71,$EH$3),Bill_Out!$N$426:$N$472)</f>
        <v>0</v>
      </c>
      <c r="DW71" s="109">
        <f>SUMIF(Bill_Out!$Q$426:$Q$472,CONCATENATE($C71,$EH$3),Bill_Out!$O$426:$O$472)</f>
        <v>0</v>
      </c>
      <c r="DX71" s="157"/>
      <c r="DY71" s="310">
        <f>SUMIF(Master_Data!$AK$4:$AK$145,CONCATENATE($C71,$EH$3),Master_Data!$R$4:$R$145)+SUMIF(Master_Data!$AK$152:$AK$864,CONCATENATE($C71,$EH$3),Master_Data!$R$152:$R$864)</f>
        <v>0</v>
      </c>
      <c r="DZ71" s="310">
        <f>SUMIF(Master_Data!$AK$4:$AK$145,CONCATENATE($C71,$EH$3),Master_Data!$Q$4:$Q$145)+SUMIF(Master_Data!$AK$152:$AK$864,CONCATENATE($C71,$EH$3),Master_Data!$Q$152:$Q$864)</f>
        <v>0</v>
      </c>
      <c r="EA71" s="310">
        <f>SUMIF(Master_Data!$AK$4:$AK$145,CONCATENATE($C71,$EH$3),Master_Data!$U$4:$U$145)+SUMIF(Master_Data!$AK$152:$AK$864,CONCATENATE($C71,$EH$3),Master_Data!$U$152:$U$864)</f>
        <v>0</v>
      </c>
      <c r="EB71" s="310">
        <f>SUMIF(Master_Data!$AK$4:$AK$145,CONCATENATE($C71,$EH$3),Master_Data!$S$4:$S$145)+SUMIF(Master_Data!$AK$152:$AK$864,CONCATENATE($C71,$EH$3),Master_Data!$S$152:$S$864)</f>
        <v>0</v>
      </c>
      <c r="EC71" s="39">
        <f>SUMIF(Master_Data!$AK$152:$AK$915,CONCATENATE($C71,EH$3),Master_Data!$T$152:$T$915)</f>
        <v>0</v>
      </c>
      <c r="ED71" s="230">
        <f t="shared" ref="ED71:ED72" si="130">DS71+DV71-DY71+DZ71</f>
        <v>0</v>
      </c>
      <c r="EE71" s="230">
        <f t="shared" ref="EE71" ca="1" si="131">DT71+DW71-EA71+EB71+EC71</f>
        <v>5000000</v>
      </c>
      <c r="EF71" s="23"/>
      <c r="EG71" s="358" t="str">
        <f t="shared" si="129"/>
        <v>WILBES, PTAGS</v>
      </c>
      <c r="EH71" s="24"/>
      <c r="EI71" s="392"/>
      <c r="EJ71" s="109">
        <f t="shared" si="126"/>
        <v>0</v>
      </c>
      <c r="EK71" s="109">
        <f t="shared" ca="1" si="127"/>
        <v>5000000</v>
      </c>
      <c r="EL71" s="84"/>
      <c r="EM71" s="109">
        <f>SUMIF(Bill_Out!$Q$476:$Q$530,CONCATENATE($C71,$EY$3),Bill_Out!$N$476:$N$530)</f>
        <v>0</v>
      </c>
      <c r="EN71" s="109">
        <f>SUMIF(Bill_Out!$Q$476:$Q$530,CONCATENATE($C71,$EY$3),Bill_Out!$O$476:$O$530)</f>
        <v>0</v>
      </c>
      <c r="EO71" s="309"/>
      <c r="EP71" s="310">
        <f>SUMIF(Master_Data!$AK$4:$AK$145,CONCATENATE($C71,$EY$3),Master_Data!$R$4:$R$145)+SUMIF(Master_Data!$AK$152:$AK$864,CONCATENATE($C71,$EY$3),Master_Data!$R$152:$R$864)</f>
        <v>0</v>
      </c>
      <c r="EQ71" s="310">
        <f>SUMIF(Master_Data!$AK$4:$AK$145,CONCATENATE($C71,$EY$3),Master_Data!$Q$4:$Q$145)+SUMIF(Master_Data!$AK$152:$AK$864,CONCATENATE($C71,$EY$3),Master_Data!$Q$152:$Q$864)</f>
        <v>0</v>
      </c>
      <c r="ER71" s="310">
        <f>SUMIF(Master_Data!$AK$4:$AK$145,CONCATENATE($C71,$EY$3),Master_Data!$U$4:$U$145)+SUMIF(Master_Data!$AK$152:$AK$864,CONCATENATE($C71,$EY$3),Master_Data!$U$152:$U$864)</f>
        <v>0</v>
      </c>
      <c r="ES71" s="310">
        <f>SUMIF(Master_Data!$AK$4:$AK$145,CONCATENATE($C71,$EY$3),Master_Data!$S$4:$S$145)+SUMIF(Master_Data!$AK$152:$AK$864,CONCATENATE($C71,$EY$3),Master_Data!$S$152:$S$864)</f>
        <v>0</v>
      </c>
      <c r="ET71" s="39">
        <f>SUMIF(Master_Data!$AK$152:$AK$915,CONCATENATE($C71,EY$3),Master_Data!$T$152:$T$915)</f>
        <v>0</v>
      </c>
      <c r="EU71" s="310">
        <f t="shared" si="128"/>
        <v>0</v>
      </c>
      <c r="EV71" s="230"/>
      <c r="EW71" s="84"/>
      <c r="EX71" s="358" t="str">
        <f t="shared" si="110"/>
        <v>WILBES, PTSEP</v>
      </c>
      <c r="EY71" s="24"/>
      <c r="EZ71" s="415"/>
      <c r="FA71" s="109">
        <f t="shared" si="112"/>
        <v>0</v>
      </c>
      <c r="FB71" s="109">
        <f t="shared" si="113"/>
        <v>0</v>
      </c>
      <c r="FC71" s="420"/>
      <c r="FD71" s="109">
        <f>SUMIF(Bill_Out!$Q$534:$Q$606,CONCATENATE($C71,$FP$3),Bill_Out!$N$534:$N$606)</f>
        <v>0</v>
      </c>
      <c r="FE71" s="109">
        <f>SUMIF(Bill_Out!$Q$534:$Q$606,CONCATENATE($C71,$FP$3),Bill_Out!$O$534:$O$606)</f>
        <v>0</v>
      </c>
      <c r="FF71" s="157"/>
      <c r="FG71" s="310">
        <f>SUMIF(Master_Data!$AK$4:$AK$145,CONCATENATE($C71,$FP$3),Master_Data!$R$4:$R$145)+SUMIF(Master_Data!$AK$152:$AK$864,CONCATENATE($C71,$FP$3),Master_Data!$R$152:$R$864)</f>
        <v>0</v>
      </c>
      <c r="FH71" s="310">
        <f>SUMIF(Master_Data!$AK$4:$AK$145,CONCATENATE($C71,$FP$3),Master_Data!$Q$4:$Q$145)+SUMIF(Master_Data!$AK$152:$AK$864,CONCATENATE($C71,$FP$3),Master_Data!$Q$152:$Q$864)</f>
        <v>0</v>
      </c>
      <c r="FI71" s="310">
        <f>SUMIF(Master_Data!$AK$4:$AK$145,CONCATENATE($C71,$FP$3),Master_Data!$U$4:$U$145)+SUMIF(Master_Data!$AK$152:$AK$864,CONCATENATE($C71,$FP$3),Master_Data!$U$152:$U$864)</f>
        <v>0</v>
      </c>
      <c r="FJ71" s="310">
        <f>SUMIF(Master_Data!$AK$4:$AK$145,CONCATENATE($C71,$FP$3),Master_Data!$S$4:$S$145)+SUMIF(Master_Data!$AK$152:$AK$864,CONCATENATE($C71,$FP$3),Master_Data!$S$152:$S$864)</f>
        <v>0</v>
      </c>
      <c r="FK71" s="39">
        <f>SUMIF(Master_Data!$AK$152:$AK$915,CONCATENATE($C71,FP$3),Master_Data!$T$152:$T$915)</f>
        <v>0</v>
      </c>
      <c r="FL71" s="230">
        <f t="shared" si="114"/>
        <v>0</v>
      </c>
      <c r="FM71" s="230">
        <f>FB71+FE71-FI71+FJ71+FK71</f>
        <v>0</v>
      </c>
      <c r="FN71" s="23"/>
      <c r="FO71" s="358" t="str">
        <f t="shared" si="100"/>
        <v>WILBES, PTOKT</v>
      </c>
      <c r="FP71" s="24"/>
      <c r="FQ71" s="415"/>
      <c r="FR71" s="109">
        <f t="shared" si="115"/>
        <v>0</v>
      </c>
      <c r="FS71" s="109">
        <f t="shared" si="116"/>
        <v>0</v>
      </c>
      <c r="FT71" s="420"/>
      <c r="FU71" s="109">
        <f>SUMIF(Bill_Out!$Q$610:$Q$675,CONCATENATE($C71,$GG$3),Bill_Out!$N$610:$N$675)</f>
        <v>0</v>
      </c>
      <c r="FV71" s="109">
        <f>SUMIF(Bill_Out!$Q$610:$Q$675,CONCATENATE($C71,$GG$3),Bill_Out!$O$610:$O$675)</f>
        <v>0</v>
      </c>
      <c r="FW71" s="157"/>
      <c r="FX71" s="512">
        <f>SUMIF(Master_Data!$AK$4:$AK$145,CONCATENATE($C71,$GG$3),Master_Data!$R$4:$R$145)+SUMIF(Master_Data!$AK$152:$AK$864,CONCATENATE($C71,$GG$3),Master_Data!$R$152:$R$864)</f>
        <v>0</v>
      </c>
      <c r="FY71" s="512">
        <f>SUMIF(Master_Data!$AK$4:$AK$145,CONCATENATE($C71,$GG$3),Master_Data!$Q$4:$Q$145)+SUMIF(Master_Data!$AK$152:$AK$864,CONCATENATE($C71,$GG$3),Master_Data!$Q$152:$Q$864)</f>
        <v>0</v>
      </c>
      <c r="FZ71" s="512">
        <f>SUMIF(Master_Data!$AK$4:$AK$145,CONCATENATE($C71,$GG$3),Master_Data!$U$4:$U$145)+SUMIF(Master_Data!$AK$152:$AK$864,CONCATENATE($C71,$GG$3),Master_Data!$U$152:$U$864)</f>
        <v>0</v>
      </c>
      <c r="GA71" s="310">
        <f>SUMIF(Master_Data!$AK$4:$AK$145,CONCATENATE($C71,$GG$3),Master_Data!$S$4:$S$145)+SUMIF(Master_Data!$AK$152:$AK$864,CONCATENATE($C71,$GG$3),Master_Data!$S$152:$S$864)</f>
        <v>0</v>
      </c>
      <c r="GB71" s="39">
        <f>SUMIF(Master_Data!$AK$152:$AK$915,CONCATENATE($C71,GG$3),Master_Data!$T$152:$T$915)</f>
        <v>0</v>
      </c>
      <c r="GC71" s="230">
        <f t="shared" si="117"/>
        <v>0</v>
      </c>
      <c r="GD71" s="230">
        <f>FS71+FV71-FZ71+GA71+GB71</f>
        <v>0</v>
      </c>
      <c r="GE71" s="23"/>
      <c r="GF71" s="358" t="str">
        <f t="shared" si="101"/>
        <v>WILBES, PTNOV</v>
      </c>
      <c r="GG71" s="24"/>
      <c r="GH71" s="415" t="s">
        <v>328</v>
      </c>
      <c r="GI71" s="109">
        <f t="shared" si="118"/>
        <v>0</v>
      </c>
      <c r="GJ71" s="109">
        <f t="shared" si="119"/>
        <v>0</v>
      </c>
      <c r="GK71" s="420"/>
      <c r="GL71" s="109">
        <f>SUMIF(Bill_Out!$Q$679:$Q$756,CONCATENATE($C71,$GX$3),Bill_Out!$N$679:$N$756)</f>
        <v>0</v>
      </c>
      <c r="GM71" s="109">
        <f>SUMIF(Bill_Out!$Q$679:$Q$756,CONCATENATE($C71,$GX$3),Bill_Out!$O$679:$O$756)</f>
        <v>0</v>
      </c>
      <c r="GN71" s="157"/>
      <c r="GO71" s="512">
        <f>SUMIF(Master_Data!$AK$4:$AK$145,CONCATENATE($C71,$GX$3),Master_Data!$R$4:$R$145)+SUMIF(Master_Data!$AK$152:$AK$864,CONCATENATE($C71,$GX$3),Master_Data!$R$152:$R$864)</f>
        <v>0</v>
      </c>
      <c r="GP71" s="512">
        <f>SUMIF(Master_Data!$AK$4:$AK$145,CONCATENATE($C71,$GX$3),Master_Data!$Q$4:$Q$145)+SUMIF(Master_Data!$AK$152:$AK$864,CONCATENATE($C71,$GX$3),Master_Data!$Q$152:$Q$864)</f>
        <v>0</v>
      </c>
      <c r="GQ71" s="512">
        <f>SUMIF(Master_Data!$AK$4:$AK$145,CONCATENATE($C71,$GX$3),Master_Data!$U$4:$U$145)+SUMIF(Master_Data!$AK$152:$AK$864,CONCATENATE($C71,$GX$3),Master_Data!$U$152:$U$864)</f>
        <v>0</v>
      </c>
      <c r="GR71" s="310">
        <f>SUMIF(Master_Data!$AK$4:$AK$145,CONCATENATE($C71,$GX$3),Master_Data!$S$4:$S$145)+SUMIF(Master_Data!$AK$152:$AK$864,CONCATENATE($C71,$GX$3),Master_Data!$S$152:$S$864)</f>
        <v>0</v>
      </c>
      <c r="GS71" s="39">
        <f>SUMIF(Master_Data!$AK$152:$AK$864,CONCATENATE($C71,GX$3),Master_Data!$T$152:$T$864)</f>
        <v>0</v>
      </c>
      <c r="GT71" s="534">
        <f t="shared" si="44"/>
        <v>0</v>
      </c>
      <c r="GU71" s="310">
        <f>GJ71+GM71-GQ71+GR71+GS71</f>
        <v>0</v>
      </c>
      <c r="GV71" s="23"/>
      <c r="GW71" s="358" t="str">
        <f t="shared" si="87"/>
        <v>WILBES, PTDES</v>
      </c>
      <c r="GX71" s="24"/>
    </row>
    <row r="72" spans="1:206" s="19" customFormat="1">
      <c r="A72" s="425" t="s">
        <v>2198</v>
      </c>
      <c r="B72" s="294" t="str">
        <f>CONCATENATE(C72,$S$3)</f>
        <v>ZTE INDONESIA, PTJAN</v>
      </c>
      <c r="C72" s="16" t="s">
        <v>98</v>
      </c>
      <c r="D72" s="26"/>
      <c r="E72" s="158">
        <f>SUMIF(Master_Data!$D47:$D$145,CONCATENATE(C72),Master_Data!M47:M850)</f>
        <v>0</v>
      </c>
      <c r="F72" s="57">
        <f>SUMIF(Master_Data!$D68:$D$145,CONCATENATE(C72),Master_Data!N68:N328)</f>
        <v>390901992.80000001</v>
      </c>
      <c r="G72" s="59"/>
      <c r="H72" s="158">
        <f>SUMIF(Bill_Out!$Q$3:$Q$65,CONCATENATE($C72,$S$3),Bill_Out!$N$3:$N$65)</f>
        <v>0</v>
      </c>
      <c r="I72" s="273">
        <f>SUMIF(Bill_Out!$Q$3:$Q$65,CONCATENATE($C72,$S$3),Bill_Out!$O$3:$O$65)</f>
        <v>0</v>
      </c>
      <c r="J72" s="159"/>
      <c r="K72" s="57"/>
      <c r="L72" s="58"/>
      <c r="M72" s="231">
        <f>SUMIF(Master_Data!$AK67:$AK$145,CONCATENATE(C72,$S$3),Master_Data!U67:U472)+SUMIF(Master_Data!$AK478:$AK$864,CONCATENATE(C72,$S$3),Master_Data!U478:U1378)</f>
        <v>125329508</v>
      </c>
      <c r="N72" s="231">
        <f>SUMIF(Master_Data!$AK$4:$AK$145,CONCATENATE(C72,$S$3),Master_Data!$S$4:$S$145)+SUMIF(Master_Data!$AK$150:$AK$864,CONCATENATE(C72,$S$3),Master_Data!$S$150:$S$864)</f>
        <v>0</v>
      </c>
      <c r="O72" s="231">
        <f>SUMIF(Master_Data!$AK$4:$AK$145,CONCATENATE(C72,$S$3),Master_Data!$T$4:$T$145)+SUMIF(Master_Data!$AK$150:$AK$864,CONCATENATE(C72,$S$3),Master_Data!$T$150:$T$864)</f>
        <v>-2468397.42</v>
      </c>
      <c r="P72" s="231">
        <f t="shared" si="19"/>
        <v>0</v>
      </c>
      <c r="Q72" s="231">
        <f t="shared" si="20"/>
        <v>263104087.38000003</v>
      </c>
      <c r="R72" s="26"/>
      <c r="S72" s="27"/>
      <c r="T72" s="284"/>
      <c r="U72" s="158">
        <f t="shared" si="102"/>
        <v>0</v>
      </c>
      <c r="V72" s="57">
        <f t="shared" si="103"/>
        <v>263104087.38000003</v>
      </c>
      <c r="W72" s="59"/>
      <c r="X72" s="57">
        <f>SUMIF(Bill_Out!$Q$67:$Q$132,CONCATENATE($C72,$AJ$3),Bill_Out!$N$67:$N$132)</f>
        <v>0</v>
      </c>
      <c r="Y72" s="109">
        <f>SUMIF(Bill_Out!$Q$67:$Q$132,CONCATENATE($C72,$AJ$3),Bill_Out!$O$67:$O$132)</f>
        <v>0</v>
      </c>
      <c r="Z72" s="159"/>
      <c r="AA72" s="231">
        <f>SUMIF(Master_Data!$AK$4:$AK$145,CONCATENATE(C72,$AJ$3),Master_Data!$R$4:$R$145)+SUMIF(Master_Data!$AK$152:$AK$850,CONCATENATE(C72,$AJ$3),Master_Data!$R$152:$R$850)</f>
        <v>0</v>
      </c>
      <c r="AB72" s="231">
        <f>SUMIF(Master_Data!$AK$4:$AK$145,CONCATENATE(C72,$AJ$3),Master_Data!$Q$4:$Q$145)+SUMIF(Master_Data!$AK$152:$AK$850,CONCATENATE(C72,$AJ$3),Master_Data!$Q$152:$Q$850)</f>
        <v>0</v>
      </c>
      <c r="AC72" s="231">
        <f>SUMIF(Master_Data!$AK$4:$AK$145,CONCATENATE(C72,$AJ$3),Master_Data!$U$4:$U$145)+SUMIF(Master_Data!$AK$152:$AK$850,CONCATENATE(C72,$AJ$3),Master_Data!$U$152:$U$850)</f>
        <v>255928521</v>
      </c>
      <c r="AD72" s="231">
        <f ca="1">SUMIF(Master_Data!$AK$4:$AK$145,CONCATENATE(C72,$AJ$3),Master_Data!$S$4:$S$145)+SUMIF(Master_Data!$AK$152:$AK$864,CONCATENATE(C72,$AJ$3),Master_Data!$S$152:$S$850)</f>
        <v>0</v>
      </c>
      <c r="AE72" s="231">
        <f>SUMIF(Master_Data!$AK$4:$AK$145,CONCATENATE(C72,$AJ$3),Master_Data!$T$4:$T$145)+SUMIF(Master_Data!$AK$152:$AK$864,CONCATENATE(C72,$AJ$3),Master_Data!$T$152:$T$864)</f>
        <v>-7175566.0199999996</v>
      </c>
      <c r="AF72" s="231">
        <f t="shared" si="104"/>
        <v>0</v>
      </c>
      <c r="AG72" s="231">
        <f t="shared" ca="1" si="105"/>
        <v>0.36000002548098564</v>
      </c>
      <c r="AH72" s="26"/>
      <c r="AI72" s="278" t="str">
        <f t="shared" si="86"/>
        <v>ZTE INDONESIA, PTFEB</v>
      </c>
      <c r="AJ72" s="27"/>
      <c r="AK72" s="284"/>
      <c r="AL72" s="158">
        <f t="shared" si="106"/>
        <v>0</v>
      </c>
      <c r="AM72" s="57">
        <f t="shared" ca="1" si="106"/>
        <v>0.36000002548098564</v>
      </c>
      <c r="AN72" s="59"/>
      <c r="AO72" s="57">
        <f>SUMIF(Bill_Out!$Q$134:$Q$188,CONCATENATE($C72,$BA$3),Bill_Out!$N$134:$N$188)</f>
        <v>0</v>
      </c>
      <c r="AP72" s="109">
        <f>SUMIF(Bill_Out!$Q$134:$Q$188,CONCATENATE($C72,$BA$3),Bill_Out!$O$134:$O$188)</f>
        <v>0</v>
      </c>
      <c r="AQ72" s="159"/>
      <c r="AR72" s="231">
        <f>SUMIF(Master_Data!$AK$4:$AK$145,CONCATENATE(C72,$BA$3),Master_Data!$R$4:$R$145)+SUMIF(Master_Data!$AK$152:$AK$864,CONCATENATE(C72,$BA$3),Master_Data!$R$152:$R$864)</f>
        <v>0</v>
      </c>
      <c r="AS72" s="231">
        <f>SUMIF(Master_Data!$AK$4:$AK$145,CONCATENATE(C72,$BA$3),Master_Data!$Q$4:$Q$145)+SUMIF(Master_Data!$AK$152:$AK$864,CONCATENATE(C72,$BA$3),Master_Data!$Q$152:$Q$864)</f>
        <v>0</v>
      </c>
      <c r="AT72" s="231">
        <f>SUMIF(Master_Data!$AK$4:$AK$145,CONCATENATE(C72,$BA$3),Master_Data!$U$4:$U$145)+SUMIF(Master_Data!$AK$152:$AK$864,CONCATENATE(C72,$BA$3),Master_Data!$U$152:$U$864)</f>
        <v>0</v>
      </c>
      <c r="AU72" s="231">
        <f ca="1">SUMIF(Master_Data!$AK$4:$AK$145,CONCATENATE(C72,$BA$3),Master_Data!$S$4:$S$145)+SUMIF(Master_Data!$AK$152:$AK$864,CONCATENATE(C72,$BA$3),Master_Data!$S$152:$S$850)</f>
        <v>0</v>
      </c>
      <c r="AV72" s="41">
        <f>SUMIF(Master_Data!$AK$152:$AK$864,CONCATENATE($C72,BA$3),Master_Data!$T$152:$T$864)</f>
        <v>0</v>
      </c>
      <c r="AW72" s="231">
        <f>AL72+AO72-AR72+AS72</f>
        <v>0</v>
      </c>
      <c r="AX72" s="231">
        <f ca="1">AM72+AP72-AT72+AU72+AV72</f>
        <v>0.36000002548098564</v>
      </c>
      <c r="AY72" s="26"/>
      <c r="AZ72" s="294" t="str">
        <f>CONCATENATE(C72,$BA$3)</f>
        <v>ZTE INDONESIA, PTMAR</v>
      </c>
      <c r="BA72" s="27"/>
      <c r="BB72" s="284"/>
      <c r="BC72" s="158">
        <f>AW72</f>
        <v>0</v>
      </c>
      <c r="BD72" s="57">
        <f ca="1">AX72</f>
        <v>0.36000002548098564</v>
      </c>
      <c r="BE72" s="59"/>
      <c r="BF72" s="158">
        <f>SUMIF(Bill_Out!$Q$192:$Q$258,CONCATENATE($C72,$BR$3),Bill_Out!$N$192:$N$258)</f>
        <v>0</v>
      </c>
      <c r="BG72" s="273" t="e">
        <f>SUMIF(Bill_Out!$Q$192:$Q$258,CONCATENATE($C72,$BR$3),Bill_Out!$O$192:$O$258)</f>
        <v>#VALUE!</v>
      </c>
      <c r="BH72" s="159"/>
      <c r="BI72" s="231">
        <f>SUMIF(Master_Data!$AK$4:$AK$145,CONCATENATE(C72,$BR$3),Master_Data!$R$4:$R$145)+SUMIF(Master_Data!$AK$152:$AK$864,CONCATENATE(C72,$BR$3),Master_Data!$R$152:$R$864)</f>
        <v>0</v>
      </c>
      <c r="BJ72" s="231">
        <f>SUMIF(Master_Data!$AK$4:$AK$145,CONCATENATE(C72,$BR$3),Master_Data!$Q$4:$Q$145)+SUMIF(Master_Data!$AK$152:$AK$864,CONCATENATE(C72,$BR$3),Master_Data!$Q$152:$Q$864)</f>
        <v>0</v>
      </c>
      <c r="BK72" s="231">
        <f>SUMIF(Master_Data!$AK$4:$AK$145,CONCATENATE(C72,$BR$3),Master_Data!$U$4:$U$145)+SUMIF(Master_Data!$AK$152:$AK$864,CONCATENATE(C72,$BR$3),Master_Data!$U$152:$U$864)</f>
        <v>0</v>
      </c>
      <c r="BL72" s="231">
        <f>SUMIF(Master_Data!$AK$4:$AK$145,CONCATENATE(C72,$BR$3),Master_Data!$S$4:$S$145)+SUMIF(Master_Data!$AK$152:$AK$864,CONCATENATE(C72,$BR$3),Master_Data!$S$152:$S$864)</f>
        <v>0</v>
      </c>
      <c r="BM72" s="41">
        <f>SUMIF(Master_Data!$AK$152:$AK$864,CONCATENATE($C72,BR$3),Master_Data!$T$152:$T$864)</f>
        <v>0</v>
      </c>
      <c r="BN72" s="231">
        <f>BC72+BF72-BI72+BJ72</f>
        <v>0</v>
      </c>
      <c r="BO72" s="231" t="e">
        <f ca="1">BD72+BG72-BK72+BL72+BM72</f>
        <v>#VALUE!</v>
      </c>
      <c r="BP72" s="26"/>
      <c r="BQ72" s="910" t="str">
        <f>CONCATENATE(C72,$BR$3)</f>
        <v>ZTE INDONESIA, PTAPR</v>
      </c>
      <c r="BR72" s="27"/>
      <c r="BS72" s="284"/>
      <c r="BT72" s="158">
        <f t="shared" si="107"/>
        <v>0</v>
      </c>
      <c r="BU72" s="57" t="e">
        <f t="shared" ca="1" si="108"/>
        <v>#VALUE!</v>
      </c>
      <c r="BV72" s="59"/>
      <c r="BW72" s="158">
        <f>SUMIF(Bill_Out!$Q$263:$Q$314,CONCATENATE($C72,$CI$3),Bill_Out!$N$263:$N$314)</f>
        <v>0</v>
      </c>
      <c r="BX72" s="273">
        <f>SUMIF(Bill_Out!$Q$263:$Q$314,CONCATENATE($C72,$CI$3),Bill_Out!$O$263:$O$314)</f>
        <v>0</v>
      </c>
      <c r="BY72" s="159"/>
      <c r="BZ72" s="231">
        <f>SUMIF(Master_Data!$AK$4:$AK$145,CONCATENATE(C72,$CI$3),Master_Data!$R$4:$R$145)+SUMIF(Master_Data!$AK$152:$AK$864,CONCATENATE(C72,$CI$3),Master_Data!$R$152:$R$864)</f>
        <v>0</v>
      </c>
      <c r="CA72" s="231">
        <f>SUMIF(Master_Data!$AK$4:$AK$145,CONCATENATE(C72,$CI$3),Master_Data!$Q$4:$Q$145)+SUMIF(Master_Data!$AK$152:$AK$864,CONCATENATE(C72,$CI$3),Master_Data!$Q$152:$Q$864)</f>
        <v>0</v>
      </c>
      <c r="CB72" s="231">
        <f>SUMIF(Master_Data!$AK$4:$AK$145,CONCATENATE(C72,$CI$3),Master_Data!$U$4:$U$145)+SUMIF(Master_Data!$AK$152:$AK$864,CONCATENATE(C72,$CI$3),Master_Data!$U$152:$U$864)</f>
        <v>0</v>
      </c>
      <c r="CC72" s="231">
        <f>SUMIF(Master_Data!$AK$4:$AK$145,CONCATENATE(C72,$CI$3),Master_Data!$S$4:$S$145)+SUMIF(Master_Data!$AK$152:$AK$864,CONCATENATE(C72,$CI$3),Master_Data!$S$152:$S$864)</f>
        <v>0</v>
      </c>
      <c r="CD72" s="41">
        <f>SUMIF(Master_Data!$AK$152:$AK$864,CONCATENATE($C72,CI$3),Master_Data!$T$152:$T$864)</f>
        <v>0</v>
      </c>
      <c r="CE72" s="231">
        <f>BT72+BW72-BZ72+CA72</f>
        <v>0</v>
      </c>
      <c r="CF72" s="231" t="e">
        <f ca="1">BU72+BX72-CB72+CC72+CD72</f>
        <v>#VALUE!</v>
      </c>
      <c r="CG72" s="26"/>
      <c r="CH72" s="235" t="str">
        <f t="shared" si="29"/>
        <v>ZTE INDONESIA, PTMEI</v>
      </c>
      <c r="CI72" s="27"/>
      <c r="CJ72" s="59"/>
      <c r="CK72" s="158">
        <f t="shared" si="124"/>
        <v>0</v>
      </c>
      <c r="CL72" s="57" t="e">
        <f t="shared" ca="1" si="124"/>
        <v>#VALUE!</v>
      </c>
      <c r="CM72" s="59"/>
      <c r="CN72" s="57">
        <f>SUMIF(Bill_Out!$Q$318:$Q$371,CONCATENATE($C72,$CZ$3),Bill_Out!$N$318:$N$371)</f>
        <v>0</v>
      </c>
      <c r="CO72" s="158">
        <f>SUMIF(Bill_Out!$Q$318:$Q$371,CONCATENATE($C72,$CZ$3),Bill_Out!$O$318:$O$371)</f>
        <v>0</v>
      </c>
      <c r="CP72" s="159"/>
      <c r="CQ72" s="231">
        <f>SUMIF(Master_Data!$AK$4:$AK$145,CONCATENATE($C72,$CZ$3),Master_Data!$R$4:$R$145)+SUMIF(Master_Data!$AK$152:$AK$864,CONCATENATE($C72,$CZ$3),Master_Data!$R$152:$R$864)</f>
        <v>0</v>
      </c>
      <c r="CR72" s="231">
        <f>SUMIF(Master_Data!$AK$4:$AK$145,CONCATENATE($C72,$CZ$3),Master_Data!$Q$4:$Q$145)+SUMIF(Master_Data!$AK$152:$AK$864,CONCATENATE($C72,$CZ$3),Master_Data!$Q$152:$Q$864)</f>
        <v>0</v>
      </c>
      <c r="CS72" s="231">
        <f>SUMIF(Master_Data!$AK$4:$AK$145,CONCATENATE($C72,$CZ$3),Master_Data!$U$4:$U$145)+SUMIF(Master_Data!$AK$152:$AK$864,CONCATENATE($C72,$CZ$3),Master_Data!$U$152:$U$864)</f>
        <v>437445140</v>
      </c>
      <c r="CT72" s="231">
        <f ca="1">SUMIF(Master_Data!$AK$4:$AK$145,CONCATENATE(C72,$CZ$3),Master_Data!$S$4:$S$145)+SUMIF(Master_Data!$AK$152:$AK$915,CONCATENATE(C72,$CZ$3),Master_Data!$S$152:$S$864)</f>
        <v>0</v>
      </c>
      <c r="CU72" s="1011">
        <f>SUMIF(Master_Data!$AK$4:$AK$145,CONCATENATE(C72,$CZ$3),Master_Data!$T$4:$T$145)+SUMIF(Master_Data!$AK$152:$AK$864,CONCATENATE(C72,$CZ$3),Master_Data!$T$152:$T$864)</f>
        <v>-12264817.02</v>
      </c>
      <c r="CV72" s="231">
        <f>CK72+CN72-CQ72+CR72</f>
        <v>0</v>
      </c>
      <c r="CW72" s="231" t="e">
        <f ca="1">CL72+CO72-CS72+CT72+CU72</f>
        <v>#VALUE!</v>
      </c>
      <c r="CX72" s="26"/>
      <c r="CY72" s="359" t="str">
        <f>CONCATENATE($C72,$CZ$3)</f>
        <v>ZTE INDONESIA, PTJUN</v>
      </c>
      <c r="CZ72" s="27"/>
      <c r="DA72" s="59"/>
      <c r="DB72" s="158">
        <f t="shared" si="125"/>
        <v>0</v>
      </c>
      <c r="DC72" s="57" t="e">
        <f t="shared" ca="1" si="125"/>
        <v>#VALUE!</v>
      </c>
      <c r="DD72" s="59"/>
      <c r="DE72" s="57">
        <f>SUMIF(Bill_Out!$Q$375:$Q$422,CONCATENATE($C72,$DQ$3),Bill_Out!$N$375:$N$422)</f>
        <v>0</v>
      </c>
      <c r="DF72" s="109">
        <f>SUMIF(Bill_Out!$Q$375:$Q$422,CONCATENATE($C72,$DQ$3),Bill_Out!$O$375:$O$422)</f>
        <v>0</v>
      </c>
      <c r="DG72" s="159"/>
      <c r="DH72" s="231">
        <f>SUMIF(Master_Data!$AK$4:$AK$145,CONCATENATE($C72,$DQ$3),Master_Data!$R$4:$R$145)+SUMIF(Master_Data!$AK$152:$AK$864,CONCATENATE($C72,$DQ$3),Master_Data!$R$152:$R$864)</f>
        <v>0</v>
      </c>
      <c r="DI72" s="231">
        <f>SUMIF(Master_Data!$AK$4:$AK$145,CONCATENATE($C72,$DQ$3),Master_Data!$Q$4:$Q$145)+SUMIF(Master_Data!$AK$152:$AK$864,CONCATENATE($C72,$DQ$3),Master_Data!$Q$152:$Q$864)</f>
        <v>0</v>
      </c>
      <c r="DJ72" s="231">
        <f>SUMIF(Master_Data!$AK$4:$AK$145,CONCATENATE($C72,$DQ$3),Master_Data!$U$4:$U$145)+SUMIF(Master_Data!$AK$152:$AK$864,CONCATENATE($C72,$DQ$3),Master_Data!$U$152:$U$864)</f>
        <v>0</v>
      </c>
      <c r="DK72" s="231">
        <f>SUMIF(Master_Data!$AK$4:$AK$145,CONCATENATE($C72,$DQ$3),Master_Data!$S$4:$S$145)+SUMIF(Master_Data!$AK$152:$AK$864,CONCATENATE($C72,$DQ$3),Master_Data!$S$152:$S$864)</f>
        <v>0</v>
      </c>
      <c r="DL72" s="41">
        <f>SUMIF(Master_Data!$AK$152:$AK$915,CONCATENATE($C72,DQ$3),Master_Data!$T$152:$T$915)</f>
        <v>0</v>
      </c>
      <c r="DM72" s="231">
        <f>DB72+DE72-DH72+DI72</f>
        <v>0</v>
      </c>
      <c r="DN72" s="231" t="e">
        <f ca="1">DC72+DF72-DJ72+DK72+DL72</f>
        <v>#VALUE!</v>
      </c>
      <c r="DO72" s="26"/>
      <c r="DP72" s="359" t="str">
        <f t="shared" si="111"/>
        <v>ZTE INDONESIA, PTJUL</v>
      </c>
      <c r="DQ72" s="27"/>
      <c r="DR72" s="394"/>
      <c r="DS72" s="158">
        <f t="shared" si="120"/>
        <v>0</v>
      </c>
      <c r="DT72" s="158" t="e">
        <f t="shared" ca="1" si="121"/>
        <v>#VALUE!</v>
      </c>
      <c r="DU72" s="59"/>
      <c r="DV72" s="158">
        <f>SUMIF(Bill_Out!$Q$426:$Q$472,CONCATENATE($C72,$EH$3),Bill_Out!$N$426:$N$472)</f>
        <v>0</v>
      </c>
      <c r="DW72" s="273">
        <f>SUMIF(Bill_Out!$Q$426:$Q$472,CONCATENATE($C72,$EH$3),Bill_Out!$O$426:$O$472)</f>
        <v>0</v>
      </c>
      <c r="DX72" s="159"/>
      <c r="DY72" s="231">
        <f>SUMIF(Master_Data!$AK$4:$AK$145,CONCATENATE($C72,$EH$3),Master_Data!$R$4:$R$145)+SUMIF(Master_Data!$AK$152:$AK$864,CONCATENATE($C72,$EH$3),Master_Data!$R$152:$R$864)</f>
        <v>0</v>
      </c>
      <c r="DZ72" s="231">
        <f>SUMIF(Master_Data!$AK$4:$AK$145,CONCATENATE($C72,$EH$3),Master_Data!$Q$4:$Q$145)+SUMIF(Master_Data!$AK$152:$AK$864,CONCATENATE($C72,$EH$3),Master_Data!$Q$152:$Q$864)</f>
        <v>0</v>
      </c>
      <c r="EA72" s="231">
        <f>SUMIF(Master_Data!$AK$4:$AK$145,CONCATENATE($C72,$EH$3),Master_Data!$U$4:$U$145)+SUMIF(Master_Data!$AK$152:$AK$864,CONCATENATE($C72,$EH$3),Master_Data!$U$152:$U$864)</f>
        <v>0</v>
      </c>
      <c r="EB72" s="231">
        <f>SUMIF(Master_Data!$AK$4:$AK$145,CONCATENATE($C72,$EH$3),Master_Data!$S$4:$S$145)+SUMIF(Master_Data!$AK$152:$AK$864,CONCATENATE($C72,$EH$3),Master_Data!$S$152:$S$864)</f>
        <v>0</v>
      </c>
      <c r="EC72" s="41">
        <f>SUMIF(Master_Data!$AK$152:$AK$915,CONCATENATE($C72,EH$3),Master_Data!$T$152:$T$915)</f>
        <v>0</v>
      </c>
      <c r="ED72" s="231">
        <f t="shared" si="130"/>
        <v>0</v>
      </c>
      <c r="EE72" s="231" t="e">
        <f ca="1">DT72+DW72-EA72+EB72+EC72</f>
        <v>#VALUE!</v>
      </c>
      <c r="EF72" s="26"/>
      <c r="EG72" s="358" t="str">
        <f t="shared" si="129"/>
        <v>ZTE INDONESIA, PTAGS</v>
      </c>
      <c r="EH72" s="27"/>
      <c r="EI72" s="394"/>
      <c r="EJ72" s="109">
        <f t="shared" si="126"/>
        <v>0</v>
      </c>
      <c r="EK72" s="109" t="e">
        <f t="shared" ca="1" si="127"/>
        <v>#VALUE!</v>
      </c>
      <c r="EL72" s="84"/>
      <c r="EM72" s="109">
        <f>SUMIF(Bill_Out!$Q$476:$Q$530,CONCATENATE($C72,$EY$3),Bill_Out!$N$476:$N$530)</f>
        <v>0</v>
      </c>
      <c r="EN72" s="109">
        <f>SUMIF(Bill_Out!$Q$476:$Q$530,CONCATENATE($C72,$EY$3),Bill_Out!$O$476:$O$530)</f>
        <v>0</v>
      </c>
      <c r="EO72" s="309"/>
      <c r="EP72" s="310">
        <f>SUMIF(Master_Data!$AK$4:$AK$145,CONCATENATE($C72,$EY$3),Master_Data!$R$4:$R$145)+SUMIF(Master_Data!$AK$152:$AK$864,CONCATENATE($C72,$EY$3),Master_Data!$R$152:$R$864)</f>
        <v>0</v>
      </c>
      <c r="EQ72" s="310">
        <f>SUMIF(Master_Data!$AK$4:$AK$145,CONCATENATE($C72,$EY$3),Master_Data!$Q$4:$Q$145)+SUMIF(Master_Data!$AK$152:$AK$864,CONCATENATE($C72,$EY$3),Master_Data!$Q$152:$Q$864)</f>
        <v>0</v>
      </c>
      <c r="ER72" s="310">
        <f>SUMIF(Master_Data!$AK$4:$AK$145,CONCATENATE($C72,$EY$3),Master_Data!$U$4:$U$145)+SUMIF(Master_Data!$AK$152:$AK$864,CONCATENATE($C72,$EY$3),Master_Data!$U$152:$U$864)</f>
        <v>0</v>
      </c>
      <c r="ES72" s="310">
        <f>SUMIF(Master_Data!$AK$4:$AK$145,CONCATENATE($C72,$EY$3),Master_Data!$S$4:$S$145)+SUMIF(Master_Data!$AK$152:$AK$864,CONCATENATE($C72,$EY$3),Master_Data!$S$152:$S$864)</f>
        <v>0</v>
      </c>
      <c r="ET72" s="39">
        <f>SUMIF(Master_Data!$AK$152:$AK$915,CONCATENATE($C72,EY$3),Master_Data!$T$152:$T$915)</f>
        <v>0</v>
      </c>
      <c r="EU72" s="310">
        <f t="shared" si="128"/>
        <v>0</v>
      </c>
      <c r="EV72" s="230"/>
      <c r="EW72" s="84"/>
      <c r="EX72" s="358" t="str">
        <f t="shared" si="110"/>
        <v>ZTE INDONESIA, PTSEP</v>
      </c>
      <c r="EY72" s="27"/>
      <c r="EZ72" s="418"/>
      <c r="FA72" s="158">
        <f t="shared" si="112"/>
        <v>0</v>
      </c>
      <c r="FB72" s="57">
        <f t="shared" si="113"/>
        <v>0</v>
      </c>
      <c r="FC72" s="424"/>
      <c r="FD72" s="57">
        <f>SUMIF(Bill_Out!$Q$534:$Q$606,CONCATENATE($C72,$FP$3),Bill_Out!$N$534:$N$606)</f>
        <v>0</v>
      </c>
      <c r="FE72" s="109" t="e">
        <f>SUMIF(Bill_Out!$Q$534:$Q$606,CONCATENATE($C72,$FP$3),Bill_Out!$O$534:$O$606)</f>
        <v>#VALUE!</v>
      </c>
      <c r="FF72" s="159"/>
      <c r="FG72" s="231">
        <f>SUMIF(Master_Data!$AK$4:$AK$145,CONCATENATE($C72,$FP$3),Master_Data!$R$4:$R$145)+SUMIF(Master_Data!$AK$152:$AK$864,CONCATENATE($C72,$FP$3),Master_Data!$R$152:$R$864)</f>
        <v>0</v>
      </c>
      <c r="FH72" s="231">
        <f>SUMIF(Master_Data!$AK$4:$AK$145,CONCATENATE($C72,$FP$3),Master_Data!$Q$4:$Q$145)+SUMIF(Master_Data!$AK$152:$AK$864,CONCATENATE($C72,$FP$3),Master_Data!$Q$152:$Q$864)</f>
        <v>0</v>
      </c>
      <c r="FI72" s="231">
        <f>SUMIF(Master_Data!$AK$4:$AK$145,CONCATENATE($C72,$FP$3),Master_Data!$U$4:$U$145)+SUMIF(Master_Data!$AK$152:$AK$864,CONCATENATE($C72,$FP$3),Master_Data!$U$152:$U$864)</f>
        <v>0</v>
      </c>
      <c r="FJ72" s="231">
        <f>SUMIF(Master_Data!$AK$4:$AK$145,CONCATENATE($C72,$FP$3),Master_Data!$S$4:$S$145)+SUMIF(Master_Data!$AK$152:$AK$864,CONCATENATE($C72,$FP$3),Master_Data!$S$152:$S$864)</f>
        <v>0</v>
      </c>
      <c r="FK72" s="41">
        <f>SUMIF(Master_Data!$AK$152:$AK$915,CONCATENATE($C72,FP$3),Master_Data!$T$152:$T$915)</f>
        <v>0</v>
      </c>
      <c r="FL72" s="231">
        <f t="shared" si="114"/>
        <v>0</v>
      </c>
      <c r="FM72" s="231" t="e">
        <f>FB72+FE72-FI72+FJ72+FK72</f>
        <v>#VALUE!</v>
      </c>
      <c r="FN72" s="26"/>
      <c r="FO72" s="359" t="str">
        <f t="shared" si="100"/>
        <v>ZTE INDONESIA, PTOKT</v>
      </c>
      <c r="FP72" s="27"/>
      <c r="FQ72" s="418"/>
      <c r="FR72" s="158">
        <f t="shared" si="115"/>
        <v>0</v>
      </c>
      <c r="FS72" s="57" t="e">
        <f t="shared" si="116"/>
        <v>#VALUE!</v>
      </c>
      <c r="FT72" s="424"/>
      <c r="FU72" s="57">
        <f>SUMIF(Bill_Out!$Q$610:$Q$675,CONCATENATE($C72,$GG$3),Bill_Out!$N$610:$N$675)</f>
        <v>0</v>
      </c>
      <c r="FV72" s="109">
        <f>SUMIF(Bill_Out!$Q$610:$Q$675,CONCATENATE($C72,$GG$3),Bill_Out!$O$610:$O$675)</f>
        <v>0</v>
      </c>
      <c r="FW72" s="159"/>
      <c r="FX72" s="513">
        <f>SUMIF(Master_Data!$AK$4:$AK$145,CONCATENATE($C72,$GG$3),Master_Data!$R$4:$R$145)+SUMIF(Master_Data!$AK$152:$AK$864,CONCATENATE($C72,$GG$3),Master_Data!$R$152:$R$864)</f>
        <v>0</v>
      </c>
      <c r="FY72" s="513">
        <f>SUMIF(Master_Data!$AK$4:$AK$145,CONCATENATE($C72,$GG$3),Master_Data!$Q$4:$Q$145)+SUMIF(Master_Data!$AK$152:$AK$864,CONCATENATE($C72,$GG$3),Master_Data!$Q$152:$Q$864)</f>
        <v>0</v>
      </c>
      <c r="FZ72" s="513">
        <f>SUMIF(Master_Data!$AK$4:$AK$145,CONCATENATE($C72,$GG$3),Master_Data!$U$4:$U$145)+SUMIF(Master_Data!$AK$152:$AK$864,CONCATENATE($C72,$GG$3),Master_Data!$U$152:$U$864)</f>
        <v>0</v>
      </c>
      <c r="GA72" s="231">
        <f>SUMIF(Master_Data!$AK$4:$AK$145,CONCATENATE($C72,$GG$3),Master_Data!$S$4:$S$145)+SUMIF(Master_Data!$AK$152:$AK$864,CONCATENATE($C72,$GG$3),Master_Data!$S$152:$S$864)</f>
        <v>0</v>
      </c>
      <c r="GB72" s="41">
        <f>SUMIF(Master_Data!$AK$152:$AK$915,CONCATENATE($C72,GG$3),Master_Data!$T$152:$T$915)</f>
        <v>0</v>
      </c>
      <c r="GC72" s="231">
        <f t="shared" si="117"/>
        <v>0</v>
      </c>
      <c r="GD72" s="231" t="e">
        <f>FS72+FV72-FZ72+GA72+GB72</f>
        <v>#VALUE!</v>
      </c>
      <c r="GE72" s="26"/>
      <c r="GF72" s="359" t="str">
        <f t="shared" si="101"/>
        <v>ZTE INDONESIA, PTNOV</v>
      </c>
      <c r="GG72" s="27"/>
      <c r="GH72" s="418"/>
      <c r="GI72" s="158">
        <f t="shared" si="118"/>
        <v>0</v>
      </c>
      <c r="GJ72" s="57" t="e">
        <f t="shared" si="119"/>
        <v>#VALUE!</v>
      </c>
      <c r="GK72" s="424"/>
      <c r="GL72" s="57">
        <f>SUMIF(Bill_Out!$Q$679:$Q$756,CONCATENATE($C72,$GX$3),Bill_Out!$N$679:$N$756)</f>
        <v>0</v>
      </c>
      <c r="GM72" s="109">
        <f>SUMIF(Bill_Out!$Q$679:$Q$756,CONCATENATE($C72,$GX$3),Bill_Out!$O$679:$O$756)</f>
        <v>0</v>
      </c>
      <c r="GN72" s="159"/>
      <c r="GO72" s="533">
        <f>SUMIF(Master_Data!$AK$4:$AK$145,CONCATENATE($C72,$GX$3),Master_Data!$R$4:$R$145)+SUMIF(Master_Data!$AK$152:$AK$864,CONCATENATE($C72,$GX$3),Master_Data!$R$152:$R$864)</f>
        <v>0</v>
      </c>
      <c r="GP72" s="533">
        <f>SUMIF(Master_Data!$AK$4:$AK$145,CONCATENATE($C72,$GX$3),Master_Data!$Q$4:$Q$145)+SUMIF(Master_Data!$AK$152:$AK$864,CONCATENATE($C72,$GX$3),Master_Data!$Q$152:$Q$864)</f>
        <v>0</v>
      </c>
      <c r="GQ72" s="533">
        <f>SUMIF(Master_Data!$AK$4:$AK$145,CONCATENATE($C72,$GX$3),Master_Data!$U$4:$U$145)+SUMIF(Master_Data!$AK$152:$AK$864,CONCATENATE($C72,$GX$3),Master_Data!$U$152:$U$864)</f>
        <v>0</v>
      </c>
      <c r="GR72" s="231">
        <f>SUMIF(Master_Data!$AK$4:$AK$145,CONCATENATE($C72,$GX$3),Master_Data!$S$4:$S$145)+SUMIF(Master_Data!$AK$152:$AK$864,CONCATENATE($C72,$GX$3),Master_Data!$S$152:$S$864)</f>
        <v>0</v>
      </c>
      <c r="GS72" s="41">
        <f>SUMIF(Master_Data!$AK$152:$AK$864,CONCATENATE($C72,GX$3),Master_Data!$T$152:$T$864)</f>
        <v>0</v>
      </c>
      <c r="GT72" s="535">
        <f>GI72+GL72-GO72+GP72</f>
        <v>0</v>
      </c>
      <c r="GU72" s="231" t="e">
        <f>GJ72+GM72-GQ72+GR72+GS72</f>
        <v>#VALUE!</v>
      </c>
      <c r="GV72" s="26"/>
      <c r="GW72" s="359" t="str">
        <f t="shared" si="87"/>
        <v>ZTE INDONESIA, PTDES</v>
      </c>
      <c r="GX72" s="27"/>
    </row>
    <row r="73" spans="1:206" s="19" customFormat="1" ht="18" customHeight="1">
      <c r="A73" s="1808" t="s">
        <v>68</v>
      </c>
      <c r="B73" s="1808"/>
      <c r="C73" s="1808"/>
      <c r="D73" s="1808"/>
      <c r="E73" s="65">
        <f>SUM(E7:E72)</f>
        <v>12049</v>
      </c>
      <c r="F73" s="65">
        <f>SUM(F7:F72)</f>
        <v>7708221455.3970003</v>
      </c>
      <c r="G73" s="225"/>
      <c r="H73" s="65">
        <f>SUM(H7:H72)</f>
        <v>0</v>
      </c>
      <c r="I73" s="172" t="e">
        <f>SUM(I7:I72)</f>
        <v>#VALUE!</v>
      </c>
      <c r="J73" s="66"/>
      <c r="K73" s="65">
        <f t="shared" ref="K73:Q73" si="132">SUM(K7:K72)</f>
        <v>0</v>
      </c>
      <c r="L73" s="65">
        <f t="shared" si="132"/>
        <v>0</v>
      </c>
      <c r="M73" s="310">
        <f t="shared" ca="1" si="132"/>
        <v>3465091933</v>
      </c>
      <c r="N73" s="65">
        <f t="shared" si="132"/>
        <v>-4539528.5</v>
      </c>
      <c r="O73" s="65">
        <f t="shared" si="132"/>
        <v>-61493543.5854</v>
      </c>
      <c r="P73" s="65">
        <f t="shared" si="132"/>
        <v>12049</v>
      </c>
      <c r="Q73" s="65" t="e">
        <f t="shared" ca="1" si="132"/>
        <v>#VALUE!</v>
      </c>
      <c r="R73" s="64"/>
      <c r="S73" s="51"/>
      <c r="U73" s="65">
        <f>SUM(U7:U72)</f>
        <v>12049</v>
      </c>
      <c r="V73" s="65" t="e">
        <f ca="1">SUM(V7:V72)</f>
        <v>#VALUE!</v>
      </c>
      <c r="W73" s="280"/>
      <c r="X73" s="65">
        <f>SUM(X7:X72)</f>
        <v>0</v>
      </c>
      <c r="Y73" s="76" t="e">
        <f>SUM(Y7:Y72)</f>
        <v>#VALUE!</v>
      </c>
      <c r="Z73" s="66"/>
      <c r="AA73" s="65">
        <f>SUM(AA8:AA72)</f>
        <v>0</v>
      </c>
      <c r="AB73" s="65">
        <f>SUM(AB8:AB72)</f>
        <v>0</v>
      </c>
      <c r="AC73" s="65">
        <f>SUM(AC8:AC72)</f>
        <v>2321526523</v>
      </c>
      <c r="AD73" s="65">
        <f ca="1">SUM(AD7:AD72)</f>
        <v>0</v>
      </c>
      <c r="AE73" s="65">
        <f>SUM(AE7:AE72)</f>
        <v>-42727960.531839997</v>
      </c>
      <c r="AF73" s="65">
        <f>SUM(AF7:AF72)</f>
        <v>12049</v>
      </c>
      <c r="AG73" s="65" t="e">
        <f ca="1">SUM(AG7:AG72)</f>
        <v>#VALUE!</v>
      </c>
      <c r="AH73" s="64"/>
      <c r="AJ73" s="51"/>
      <c r="AL73" s="65">
        <f>SUM(AL7:AL72)</f>
        <v>12049</v>
      </c>
      <c r="AM73" s="65" t="e">
        <f ca="1">SUM(AM7:AM72)</f>
        <v>#VALUE!</v>
      </c>
      <c r="AN73" s="280"/>
      <c r="AO73" s="65">
        <f>SUM(AO7:AO72)</f>
        <v>0</v>
      </c>
      <c r="AP73" s="76" t="e">
        <f>SUM(AP7:AP72)</f>
        <v>#VALUE!</v>
      </c>
      <c r="AQ73" s="66"/>
      <c r="AR73" s="65">
        <f t="shared" ref="AR73:AW73" si="133">SUM(AR7:AR72)</f>
        <v>0</v>
      </c>
      <c r="AS73" s="65">
        <f t="shared" si="133"/>
        <v>0</v>
      </c>
      <c r="AT73" s="65">
        <f t="shared" si="133"/>
        <v>2109952616</v>
      </c>
      <c r="AU73" s="65">
        <f t="shared" ca="1" si="133"/>
        <v>-1850000</v>
      </c>
      <c r="AV73" s="65">
        <f t="shared" si="133"/>
        <v>-36688268.328160003</v>
      </c>
      <c r="AW73" s="65">
        <f t="shared" si="133"/>
        <v>12049</v>
      </c>
      <c r="AX73" s="65" t="e">
        <f ca="1">SUM(AX7:AX72)</f>
        <v>#VALUE!</v>
      </c>
      <c r="AY73" s="64"/>
      <c r="BA73" s="51"/>
      <c r="BC73" s="65">
        <f>SUM(BC7:BC72)</f>
        <v>12049</v>
      </c>
      <c r="BD73" s="65" t="e">
        <f ca="1">SUM(BD7:BD72)</f>
        <v>#VALUE!</v>
      </c>
      <c r="BE73" s="280"/>
      <c r="BF73" s="65">
        <f>SUM(BF7:BF72)</f>
        <v>0</v>
      </c>
      <c r="BG73" s="172" t="e">
        <f>SUM(BG7:BG72)</f>
        <v>#VALUE!</v>
      </c>
      <c r="BH73" s="66"/>
      <c r="BI73" s="65">
        <f t="shared" ref="BI73:BO73" si="134">SUM(BI7:BI72)</f>
        <v>0</v>
      </c>
      <c r="BJ73" s="65">
        <f t="shared" si="134"/>
        <v>0</v>
      </c>
      <c r="BK73" s="65">
        <f t="shared" si="134"/>
        <v>1706594408</v>
      </c>
      <c r="BL73" s="65">
        <f t="shared" si="134"/>
        <v>-1850000</v>
      </c>
      <c r="BM73" s="65">
        <f t="shared" si="134"/>
        <v>-30187982.600000001</v>
      </c>
      <c r="BN73" s="65">
        <f t="shared" si="134"/>
        <v>12049</v>
      </c>
      <c r="BO73" s="65" t="e">
        <f t="shared" ca="1" si="134"/>
        <v>#VALUE!</v>
      </c>
      <c r="BP73" s="64"/>
      <c r="BR73" s="51"/>
      <c r="BT73" s="65">
        <f>SUM(BT7:BT72)</f>
        <v>12049</v>
      </c>
      <c r="BU73" s="65" t="e">
        <f ca="1">SUM(BU7:BU72)</f>
        <v>#VALUE!</v>
      </c>
      <c r="BV73" s="280"/>
      <c r="BW73" s="65">
        <f>SUM(BW7:BW72)</f>
        <v>0</v>
      </c>
      <c r="BX73" s="172" t="e">
        <f>SUM(BX7:BX72)</f>
        <v>#VALUE!</v>
      </c>
      <c r="BY73" s="66"/>
      <c r="BZ73" s="65">
        <f t="shared" ref="BZ73:CF73" si="135">SUM(BZ7:BZ72)</f>
        <v>0</v>
      </c>
      <c r="CA73" s="65">
        <f t="shared" si="135"/>
        <v>0</v>
      </c>
      <c r="CB73" s="65">
        <f t="shared" si="135"/>
        <v>1992089475</v>
      </c>
      <c r="CC73" s="65">
        <f t="shared" si="135"/>
        <v>-1850000</v>
      </c>
      <c r="CD73" s="65">
        <f t="shared" si="135"/>
        <v>-36341396.102119997</v>
      </c>
      <c r="CE73" s="65">
        <f t="shared" si="135"/>
        <v>12049</v>
      </c>
      <c r="CF73" s="65" t="e">
        <f t="shared" ca="1" si="135"/>
        <v>#VALUE!</v>
      </c>
      <c r="CG73" s="64"/>
      <c r="CI73" s="51"/>
      <c r="CK73" s="65">
        <f>SUM(CK7:CK72)</f>
        <v>12049</v>
      </c>
      <c r="CL73" s="65" t="e">
        <f ca="1">SUM(CL7:CL72)</f>
        <v>#VALUE!</v>
      </c>
      <c r="CM73" s="385"/>
      <c r="CN73" s="65">
        <f>SUM(CN7:CN72)</f>
        <v>0</v>
      </c>
      <c r="CO73" s="172" t="e">
        <f>SUM(CO7:CO72)</f>
        <v>#VALUE!</v>
      </c>
      <c r="CP73" s="66"/>
      <c r="CQ73" s="65">
        <f t="shared" ref="CQ73:CW73" si="136">SUM(CQ7:CQ72)</f>
        <v>0</v>
      </c>
      <c r="CR73" s="65">
        <f t="shared" si="136"/>
        <v>0</v>
      </c>
      <c r="CS73" s="65">
        <f t="shared" si="136"/>
        <v>4579442431</v>
      </c>
      <c r="CT73" s="65">
        <f t="shared" ca="1" si="136"/>
        <v>-1850000</v>
      </c>
      <c r="CU73" s="65">
        <f t="shared" si="136"/>
        <v>-74841230.051039994</v>
      </c>
      <c r="CV73" s="65">
        <f t="shared" si="136"/>
        <v>12049</v>
      </c>
      <c r="CW73" s="65" t="e">
        <f t="shared" ca="1" si="136"/>
        <v>#VALUE!</v>
      </c>
      <c r="CX73" s="64"/>
      <c r="CZ73" s="51"/>
      <c r="DB73" s="65">
        <f>SUM(DB7:DB72)</f>
        <v>12049</v>
      </c>
      <c r="DC73" s="65" t="e">
        <f ca="1">SUM(DC7:DC72)</f>
        <v>#VALUE!</v>
      </c>
      <c r="DD73" s="280"/>
      <c r="DE73" s="65">
        <f>SUM(DE7:DE72)</f>
        <v>0</v>
      </c>
      <c r="DF73" s="76" t="e">
        <f>SUM(DF7:DF72)</f>
        <v>#VALUE!</v>
      </c>
      <c r="DG73" s="66"/>
      <c r="DH73" s="65">
        <f t="shared" ref="DH73:DN73" si="137">SUM(DH7:DH72)</f>
        <v>0</v>
      </c>
      <c r="DI73" s="65">
        <f t="shared" si="137"/>
        <v>0</v>
      </c>
      <c r="DJ73" s="65">
        <f t="shared" si="137"/>
        <v>2914179808</v>
      </c>
      <c r="DK73" s="65">
        <f t="shared" si="137"/>
        <v>-1850000</v>
      </c>
      <c r="DL73" s="65">
        <f t="shared" si="137"/>
        <v>-52047224.32</v>
      </c>
      <c r="DM73" s="65">
        <f t="shared" si="137"/>
        <v>12049</v>
      </c>
      <c r="DN73" s="65" t="e">
        <f t="shared" ca="1" si="137"/>
        <v>#VALUE!</v>
      </c>
      <c r="DO73" s="64"/>
      <c r="DQ73" s="51"/>
      <c r="DS73" s="65">
        <f>SUM(DS7:DS72)</f>
        <v>12049</v>
      </c>
      <c r="DT73" s="65" t="e">
        <f ca="1">SUM(DT7:DT72)</f>
        <v>#VALUE!</v>
      </c>
      <c r="DU73" s="385"/>
      <c r="DV73" s="65">
        <f>SUM(DV7:DV72)</f>
        <v>0</v>
      </c>
      <c r="DW73" s="172" t="e">
        <f>SUM(DW7:DW72)</f>
        <v>#VALUE!</v>
      </c>
      <c r="DX73" s="66"/>
      <c r="DY73" s="65">
        <f t="shared" ref="DY73:EE73" si="138">SUM(DY7:DY72)</f>
        <v>0</v>
      </c>
      <c r="DZ73" s="65">
        <f t="shared" si="138"/>
        <v>0</v>
      </c>
      <c r="EA73" s="65">
        <f t="shared" si="138"/>
        <v>1836492836</v>
      </c>
      <c r="EB73" s="65">
        <f t="shared" si="138"/>
        <v>-1850000</v>
      </c>
      <c r="EC73" s="65">
        <f t="shared" si="138"/>
        <v>-33056379.386700001</v>
      </c>
      <c r="ED73" s="65">
        <f t="shared" si="138"/>
        <v>12049</v>
      </c>
      <c r="EE73" s="65" t="e">
        <f t="shared" ca="1" si="138"/>
        <v>#VALUE!</v>
      </c>
      <c r="EF73" s="64"/>
      <c r="EH73" s="51"/>
      <c r="EJ73" s="65">
        <f>SUM(EJ7:EJ72)</f>
        <v>12049</v>
      </c>
      <c r="EK73" s="65" t="e">
        <f ca="1">SUM(EK7:EK72)</f>
        <v>#VALUE!</v>
      </c>
      <c r="EL73" s="385"/>
      <c r="EM73" s="65">
        <f>SUM(EM7:EM72)</f>
        <v>0</v>
      </c>
      <c r="EN73" s="76" t="e">
        <f>SUM(EN7:EN72)</f>
        <v>#VALUE!</v>
      </c>
      <c r="EO73" s="66"/>
      <c r="EP73" s="65">
        <f t="shared" ref="EP73:EV73" si="139">SUM(EP7:EP72)</f>
        <v>0</v>
      </c>
      <c r="EQ73" s="65">
        <f t="shared" si="139"/>
        <v>0</v>
      </c>
      <c r="ER73" s="65">
        <f t="shared" si="139"/>
        <v>1274625579.3100002</v>
      </c>
      <c r="ES73" s="65">
        <f>SUM(ES7:ES72)</f>
        <v>0</v>
      </c>
      <c r="ET73" s="65">
        <f>SUM(ET7:ET72)</f>
        <v>-22919623.439999998</v>
      </c>
      <c r="EU73" s="65">
        <f t="shared" si="139"/>
        <v>12049</v>
      </c>
      <c r="EV73" s="65">
        <f t="shared" si="139"/>
        <v>0</v>
      </c>
      <c r="EW73" s="64"/>
      <c r="EY73" s="51"/>
      <c r="FA73" s="65">
        <f>SUM(FA7:FA72)</f>
        <v>12049</v>
      </c>
      <c r="FB73" s="65">
        <f>SUM(FB7:FB72)</f>
        <v>0</v>
      </c>
      <c r="FC73" s="385"/>
      <c r="FD73" s="65">
        <f>SUM(FD7:FD72)</f>
        <v>0</v>
      </c>
      <c r="FE73" s="76" t="e">
        <f>SUM(FE7:FE72)</f>
        <v>#VALUE!</v>
      </c>
      <c r="FF73" s="66"/>
      <c r="FG73" s="65">
        <f t="shared" ref="FG73:FM73" si="140">SUM(FG7:FG72)</f>
        <v>0</v>
      </c>
      <c r="FH73" s="65">
        <f t="shared" si="140"/>
        <v>0</v>
      </c>
      <c r="FI73" s="65">
        <f t="shared" si="140"/>
        <v>914490929</v>
      </c>
      <c r="FJ73" s="65">
        <f>SUM(FJ7:FJ72)</f>
        <v>0</v>
      </c>
      <c r="FK73" s="65">
        <f>SUM(FK7:FK72)</f>
        <v>-16935017.200000003</v>
      </c>
      <c r="FL73" s="65">
        <f t="shared" si="140"/>
        <v>12049</v>
      </c>
      <c r="FM73" s="65" t="e">
        <f t="shared" si="140"/>
        <v>#VALUE!</v>
      </c>
      <c r="FN73" s="64"/>
      <c r="FP73" s="51"/>
      <c r="FR73" s="65">
        <f>SUM(FR7:FR72)</f>
        <v>12049</v>
      </c>
      <c r="FS73" s="65" t="e">
        <f>SUM(FS7:FS72)</f>
        <v>#VALUE!</v>
      </c>
      <c r="FT73" s="385"/>
      <c r="FU73" s="65">
        <f>SUM(FU7:FU72)</f>
        <v>0</v>
      </c>
      <c r="FV73" s="76" t="e">
        <f>SUM(FV7:FV72)</f>
        <v>#VALUE!</v>
      </c>
      <c r="FW73" s="66"/>
      <c r="FX73" s="65">
        <f t="shared" ref="FX73:GD73" si="141">SUM(FX7:FX72)</f>
        <v>0</v>
      </c>
      <c r="FY73" s="65">
        <f t="shared" si="141"/>
        <v>0</v>
      </c>
      <c r="FZ73" s="65">
        <f t="shared" si="141"/>
        <v>142900000</v>
      </c>
      <c r="GA73" s="65">
        <f>SUM(GA7:GA72)</f>
        <v>-1850000</v>
      </c>
      <c r="GB73" s="65">
        <f>SUM(GB7:GB72)</f>
        <v>-2100000</v>
      </c>
      <c r="GC73" s="65">
        <f t="shared" si="141"/>
        <v>12049</v>
      </c>
      <c r="GD73" s="65" t="e">
        <f t="shared" si="141"/>
        <v>#VALUE!</v>
      </c>
      <c r="GE73" s="64"/>
      <c r="GG73" s="51"/>
      <c r="GI73" s="65">
        <f>SUM(GI7:GI72)</f>
        <v>12049</v>
      </c>
      <c r="GJ73" s="65" t="e">
        <f>SUM(GJ7:GJ72)</f>
        <v>#VALUE!</v>
      </c>
      <c r="GK73" s="385"/>
      <c r="GL73" s="65">
        <f>SUM(GL7:GL72)</f>
        <v>0</v>
      </c>
      <c r="GM73" s="76" t="e">
        <f>SUM(GM7:GM72)</f>
        <v>#VALUE!</v>
      </c>
      <c r="GN73" s="66"/>
      <c r="GO73" s="65">
        <f t="shared" ref="GO73:GU73" si="142">SUM(GO7:GO72)</f>
        <v>0</v>
      </c>
      <c r="GP73" s="65">
        <f t="shared" si="142"/>
        <v>0</v>
      </c>
      <c r="GQ73" s="65">
        <f t="shared" si="142"/>
        <v>895292185.98000002</v>
      </c>
      <c r="GR73" s="65">
        <f t="shared" si="142"/>
        <v>0</v>
      </c>
      <c r="GS73" s="65">
        <f t="shared" si="142"/>
        <v>-16579484.925799999</v>
      </c>
      <c r="GT73" s="65">
        <f t="shared" si="142"/>
        <v>12049</v>
      </c>
      <c r="GU73" s="65" t="e">
        <f t="shared" si="142"/>
        <v>#VALUE!</v>
      </c>
      <c r="GV73" s="64"/>
      <c r="GX73" s="51"/>
    </row>
    <row r="74" spans="1:206" s="19" customFormat="1" ht="18" customHeight="1">
      <c r="A74" s="1787" t="s">
        <v>61</v>
      </c>
      <c r="B74" s="1788"/>
      <c r="C74" s="1788"/>
      <c r="D74" s="1788"/>
      <c r="E74" s="1788"/>
      <c r="F74" s="1788"/>
      <c r="G74" s="192"/>
      <c r="H74" s="65">
        <f>E73+H73</f>
        <v>12049</v>
      </c>
      <c r="I74" s="62" t="e">
        <f>F73+I73</f>
        <v>#VALUE!</v>
      </c>
      <c r="J74" s="63"/>
      <c r="K74" s="1781" t="s">
        <v>1669</v>
      </c>
      <c r="L74" s="1782"/>
      <c r="M74" s="1782"/>
      <c r="N74" s="1782"/>
      <c r="O74" s="1783"/>
      <c r="P74" s="65">
        <f>L73</f>
        <v>0</v>
      </c>
      <c r="Q74" s="65">
        <f>N73+O73</f>
        <v>-66033072.0854</v>
      </c>
      <c r="R74" s="64"/>
      <c r="S74" s="51"/>
      <c r="V74" s="784"/>
      <c r="W74" s="279"/>
      <c r="X74" s="65">
        <f>U73+X73</f>
        <v>12049</v>
      </c>
      <c r="Y74" s="62" t="e">
        <f ca="1">V73+Y73</f>
        <v>#VALUE!</v>
      </c>
      <c r="Z74" s="63"/>
      <c r="AA74" s="767" t="s">
        <v>1669</v>
      </c>
      <c r="AB74" s="768"/>
      <c r="AC74" s="768"/>
      <c r="AD74" s="768"/>
      <c r="AE74" s="769"/>
      <c r="AF74" s="65">
        <f>AB73</f>
        <v>0</v>
      </c>
      <c r="AG74" s="65">
        <f ca="1">AD73+AE73</f>
        <v>-42727960.531839997</v>
      </c>
      <c r="AH74" s="64"/>
      <c r="AJ74" s="51"/>
      <c r="AN74" s="279"/>
      <c r="AO74" s="65">
        <f>AL73+AO73</f>
        <v>12049</v>
      </c>
      <c r="AP74" s="62" t="e">
        <f ca="1">AM73+AP73</f>
        <v>#VALUE!</v>
      </c>
      <c r="AQ74" s="63"/>
      <c r="AR74" s="1781" t="s">
        <v>1669</v>
      </c>
      <c r="AS74" s="1782"/>
      <c r="AT74" s="1782"/>
      <c r="AU74" s="1782"/>
      <c r="AV74" s="1783"/>
      <c r="AW74" s="65">
        <f>AS73</f>
        <v>0</v>
      </c>
      <c r="AX74" s="65">
        <f ca="1">AU73+AV73</f>
        <v>-38538268.328160003</v>
      </c>
      <c r="AY74" s="64"/>
      <c r="BA74" s="51"/>
      <c r="BE74" s="279"/>
      <c r="BF74" s="65">
        <f>BC73+BF73</f>
        <v>12049</v>
      </c>
      <c r="BG74" s="62" t="e">
        <f ca="1">BD73+BG73</f>
        <v>#VALUE!</v>
      </c>
      <c r="BH74" s="63"/>
      <c r="BI74" s="1781" t="s">
        <v>1669</v>
      </c>
      <c r="BJ74" s="1782"/>
      <c r="BK74" s="1782"/>
      <c r="BL74" s="1782"/>
      <c r="BM74" s="1783"/>
      <c r="BN74" s="65">
        <f>BJ73</f>
        <v>0</v>
      </c>
      <c r="BO74" s="65">
        <f>BL73+BM73</f>
        <v>-32037982.600000001</v>
      </c>
      <c r="BP74" s="64"/>
      <c r="BR74" s="51"/>
      <c r="BV74" s="279"/>
      <c r="BW74" s="65">
        <f>BT73+BW73</f>
        <v>12049</v>
      </c>
      <c r="BX74" s="62" t="e">
        <f ca="1">BU73+BX73</f>
        <v>#VALUE!</v>
      </c>
      <c r="BY74" s="63"/>
      <c r="BZ74" s="1781" t="s">
        <v>1669</v>
      </c>
      <c r="CA74" s="1782"/>
      <c r="CB74" s="1782"/>
      <c r="CC74" s="1782"/>
      <c r="CD74" s="1783"/>
      <c r="CE74" s="65">
        <f>CA73</f>
        <v>0</v>
      </c>
      <c r="CF74" s="65">
        <f>CC73+CD73</f>
        <v>-38191396.102119997</v>
      </c>
      <c r="CG74" s="64"/>
      <c r="CI74" s="51"/>
      <c r="CM74" s="279"/>
      <c r="CN74" s="65">
        <f>CK73+CN73</f>
        <v>12049</v>
      </c>
      <c r="CO74" s="62" t="e">
        <f ca="1">CL73+CO73</f>
        <v>#VALUE!</v>
      </c>
      <c r="CP74" s="63"/>
      <c r="CQ74" s="1781" t="s">
        <v>1669</v>
      </c>
      <c r="CR74" s="1782"/>
      <c r="CS74" s="1782"/>
      <c r="CT74" s="1782"/>
      <c r="CU74" s="1783"/>
      <c r="CV74" s="65">
        <f>CR73</f>
        <v>0</v>
      </c>
      <c r="CW74" s="65">
        <f ca="1">CT73+CU73</f>
        <v>-76691230.051039994</v>
      </c>
      <c r="CX74" s="64"/>
      <c r="CZ74" s="51"/>
      <c r="DD74" s="279"/>
      <c r="DE74" s="65">
        <f>DB73+DE73</f>
        <v>12049</v>
      </c>
      <c r="DF74" s="62" t="e">
        <f ca="1">DC73+DF73</f>
        <v>#VALUE!</v>
      </c>
      <c r="DG74" s="63"/>
      <c r="DH74" s="1781" t="s">
        <v>1669</v>
      </c>
      <c r="DI74" s="1782"/>
      <c r="DJ74" s="1782"/>
      <c r="DK74" s="1782"/>
      <c r="DL74" s="1783"/>
      <c r="DM74" s="65">
        <f>DI73</f>
        <v>0</v>
      </c>
      <c r="DN74" s="65">
        <f>DK73+DL73</f>
        <v>-53897224.32</v>
      </c>
      <c r="DO74" s="64"/>
      <c r="DQ74" s="51"/>
      <c r="DU74" s="279"/>
      <c r="DV74" s="65">
        <f>DS73+DV73</f>
        <v>12049</v>
      </c>
      <c r="DW74" s="62" t="e">
        <f ca="1">DT73+DW73</f>
        <v>#VALUE!</v>
      </c>
      <c r="DX74" s="63"/>
      <c r="DY74" s="1781" t="s">
        <v>1669</v>
      </c>
      <c r="DZ74" s="1782"/>
      <c r="EA74" s="1782"/>
      <c r="EB74" s="1782"/>
      <c r="EC74" s="1783"/>
      <c r="ED74" s="65">
        <f>DZ73</f>
        <v>0</v>
      </c>
      <c r="EE74" s="65">
        <f>EB73+EC73</f>
        <v>-34906379.386700004</v>
      </c>
      <c r="EF74" s="64"/>
      <c r="EH74" s="51"/>
      <c r="EL74" s="279"/>
      <c r="EM74" s="65">
        <f>EJ73+EM73</f>
        <v>12049</v>
      </c>
      <c r="EN74" s="62" t="e">
        <f ca="1">EK73+EN73</f>
        <v>#VALUE!</v>
      </c>
      <c r="EO74" s="63"/>
      <c r="EP74" s="1781" t="s">
        <v>1669</v>
      </c>
      <c r="EQ74" s="1782"/>
      <c r="ER74" s="1782"/>
      <c r="ES74" s="1782"/>
      <c r="ET74" s="1783"/>
      <c r="EU74" s="65">
        <f>EQ73</f>
        <v>0</v>
      </c>
      <c r="EV74" s="65">
        <f>ES73+ET73</f>
        <v>-22919623.439999998</v>
      </c>
      <c r="EW74" s="64"/>
      <c r="EY74" s="51"/>
      <c r="FC74" s="279"/>
      <c r="FD74" s="65">
        <f>FA73+FD73</f>
        <v>12049</v>
      </c>
      <c r="FE74" s="62" t="e">
        <f>FB73+FE73</f>
        <v>#VALUE!</v>
      </c>
      <c r="FF74" s="63"/>
      <c r="FG74" s="1781" t="s">
        <v>1669</v>
      </c>
      <c r="FH74" s="1782"/>
      <c r="FI74" s="1782"/>
      <c r="FJ74" s="1782"/>
      <c r="FK74" s="1783"/>
      <c r="FL74" s="65">
        <f>FH73</f>
        <v>0</v>
      </c>
      <c r="FM74" s="65">
        <f>FJ73+FK73</f>
        <v>-16935017.200000003</v>
      </c>
      <c r="FN74" s="64"/>
      <c r="FP74" s="51"/>
      <c r="FT74" s="279"/>
      <c r="FU74" s="65">
        <f>FR73+FU73</f>
        <v>12049</v>
      </c>
      <c r="FV74" s="62" t="e">
        <f>FS73+FV73</f>
        <v>#VALUE!</v>
      </c>
      <c r="FW74" s="63"/>
      <c r="FX74" s="1781" t="s">
        <v>1669</v>
      </c>
      <c r="FY74" s="1782"/>
      <c r="FZ74" s="1782"/>
      <c r="GA74" s="1782"/>
      <c r="GB74" s="1783"/>
      <c r="GC74" s="65">
        <f>FY73</f>
        <v>0</v>
      </c>
      <c r="GD74" s="65">
        <f>GA73+GB73</f>
        <v>-3950000</v>
      </c>
      <c r="GE74" s="64"/>
      <c r="GG74" s="51"/>
      <c r="GK74" s="279"/>
      <c r="GL74" s="65">
        <f>GI73+GL73</f>
        <v>12049</v>
      </c>
      <c r="GM74" s="62" t="e">
        <f>GJ73+GM73</f>
        <v>#VALUE!</v>
      </c>
      <c r="GN74" s="63"/>
      <c r="GO74" s="1781" t="s">
        <v>1669</v>
      </c>
      <c r="GP74" s="1782"/>
      <c r="GQ74" s="1782"/>
      <c r="GR74" s="1782"/>
      <c r="GS74" s="1783"/>
      <c r="GT74" s="65">
        <f>GP73</f>
        <v>0</v>
      </c>
      <c r="GU74" s="65">
        <f>GR73+GS73</f>
        <v>-16579484.925799999</v>
      </c>
      <c r="GV74" s="64"/>
      <c r="GX74" s="51"/>
    </row>
    <row r="75" spans="1:206" s="19" customFormat="1" ht="18" customHeight="1">
      <c r="A75" s="1807"/>
      <c r="B75" s="1807"/>
      <c r="C75" s="1807"/>
      <c r="D75" s="1807"/>
      <c r="E75" s="1807"/>
      <c r="F75" s="1807"/>
      <c r="G75" s="190"/>
      <c r="H75" s="30"/>
      <c r="I75" s="30"/>
      <c r="J75" s="66"/>
      <c r="K75" s="1781" t="s">
        <v>1670</v>
      </c>
      <c r="L75" s="1782"/>
      <c r="M75" s="1782"/>
      <c r="N75" s="1782"/>
      <c r="O75" s="1783"/>
      <c r="P75" s="65">
        <f>H74-K73</f>
        <v>12049</v>
      </c>
      <c r="Q75" s="65" t="e">
        <f ca="1">I74-M73</f>
        <v>#VALUE!</v>
      </c>
      <c r="R75" s="67"/>
      <c r="S75" s="28"/>
      <c r="W75" s="77"/>
      <c r="X75" s="30"/>
      <c r="Y75" s="30"/>
      <c r="Z75" s="66"/>
      <c r="AA75" s="767" t="s">
        <v>1670</v>
      </c>
      <c r="AB75" s="768"/>
      <c r="AC75" s="768"/>
      <c r="AD75" s="768"/>
      <c r="AE75" s="769"/>
      <c r="AF75" s="65">
        <f>X74-AA73</f>
        <v>12049</v>
      </c>
      <c r="AG75" s="65" t="e">
        <f ca="1">Y74-AC73</f>
        <v>#VALUE!</v>
      </c>
      <c r="AH75" s="67"/>
      <c r="AJ75" s="28"/>
      <c r="AN75" s="77"/>
      <c r="AO75" s="30"/>
      <c r="AP75" s="30"/>
      <c r="AQ75" s="66"/>
      <c r="AR75" s="1781" t="s">
        <v>1670</v>
      </c>
      <c r="AS75" s="1782"/>
      <c r="AT75" s="1782"/>
      <c r="AU75" s="1782"/>
      <c r="AV75" s="1783"/>
      <c r="AW75" s="65">
        <f>AO74-AR73</f>
        <v>12049</v>
      </c>
      <c r="AX75" s="65" t="e">
        <f ca="1">AP74-AT73</f>
        <v>#VALUE!</v>
      </c>
      <c r="AY75" s="67"/>
      <c r="BA75" s="28"/>
      <c r="BE75" s="77"/>
      <c r="BF75" s="30"/>
      <c r="BG75" s="30"/>
      <c r="BH75" s="66"/>
      <c r="BI75" s="1781" t="s">
        <v>1670</v>
      </c>
      <c r="BJ75" s="1782"/>
      <c r="BK75" s="1782"/>
      <c r="BL75" s="1782"/>
      <c r="BM75" s="1783"/>
      <c r="BN75" s="65">
        <f>BF74-BI73</f>
        <v>12049</v>
      </c>
      <c r="BO75" s="65" t="e">
        <f ca="1">BG74-BK73</f>
        <v>#VALUE!</v>
      </c>
      <c r="BP75" s="67"/>
      <c r="BR75" s="28"/>
      <c r="BV75" s="77"/>
      <c r="BW75" s="30"/>
      <c r="BX75" s="30"/>
      <c r="BY75" s="66"/>
      <c r="BZ75" s="1781" t="s">
        <v>1670</v>
      </c>
      <c r="CA75" s="1782"/>
      <c r="CB75" s="1782"/>
      <c r="CC75" s="1782"/>
      <c r="CD75" s="1783"/>
      <c r="CE75" s="65">
        <f>BW74-BZ73</f>
        <v>12049</v>
      </c>
      <c r="CF75" s="65" t="e">
        <f ca="1">BX74-CB73</f>
        <v>#VALUE!</v>
      </c>
      <c r="CG75" s="67"/>
      <c r="CI75" s="28"/>
      <c r="CM75" s="77"/>
      <c r="CN75" s="30"/>
      <c r="CO75" s="30"/>
      <c r="CP75" s="66"/>
      <c r="CQ75" s="1781" t="s">
        <v>1670</v>
      </c>
      <c r="CR75" s="1782"/>
      <c r="CS75" s="1782"/>
      <c r="CT75" s="1782"/>
      <c r="CU75" s="1783"/>
      <c r="CV75" s="65">
        <f>CN74-CQ73</f>
        <v>12049</v>
      </c>
      <c r="CW75" s="65" t="e">
        <f ca="1">CO74-CS73</f>
        <v>#VALUE!</v>
      </c>
      <c r="CX75" s="67"/>
      <c r="CZ75" s="28"/>
      <c r="DD75" s="77"/>
      <c r="DE75" s="30"/>
      <c r="DF75" s="30"/>
      <c r="DG75" s="66"/>
      <c r="DH75" s="1781" t="s">
        <v>1670</v>
      </c>
      <c r="DI75" s="1782"/>
      <c r="DJ75" s="1782"/>
      <c r="DK75" s="1782"/>
      <c r="DL75" s="1783"/>
      <c r="DM75" s="65">
        <f>DE74-DH73</f>
        <v>12049</v>
      </c>
      <c r="DN75" s="65" t="e">
        <f ca="1">DF74-DJ73</f>
        <v>#VALUE!</v>
      </c>
      <c r="DO75" s="67"/>
      <c r="DQ75" s="28"/>
      <c r="DU75" s="77"/>
      <c r="DV75" s="30"/>
      <c r="DW75" s="30"/>
      <c r="DX75" s="66"/>
      <c r="DY75" s="1781" t="s">
        <v>1670</v>
      </c>
      <c r="DZ75" s="1782"/>
      <c r="EA75" s="1782"/>
      <c r="EB75" s="1782"/>
      <c r="EC75" s="1783"/>
      <c r="ED75" s="65">
        <f>DV74-DY73</f>
        <v>12049</v>
      </c>
      <c r="EE75" s="65" t="e">
        <f ca="1">DW74-EA73</f>
        <v>#VALUE!</v>
      </c>
      <c r="EF75" s="67"/>
      <c r="EH75" s="28"/>
      <c r="EL75" s="77"/>
      <c r="EM75" s="30"/>
      <c r="EN75" s="30"/>
      <c r="EO75" s="66"/>
      <c r="EP75" s="1781" t="s">
        <v>1670</v>
      </c>
      <c r="EQ75" s="1782"/>
      <c r="ER75" s="1782"/>
      <c r="ES75" s="1782"/>
      <c r="ET75" s="1783"/>
      <c r="EU75" s="65">
        <f>EM74-EP73</f>
        <v>12049</v>
      </c>
      <c r="EV75" s="65" t="e">
        <f ca="1">EN74-ER73</f>
        <v>#VALUE!</v>
      </c>
      <c r="EW75" s="67"/>
      <c r="EY75" s="28"/>
      <c r="FC75" s="77"/>
      <c r="FD75" s="30"/>
      <c r="FE75" s="30"/>
      <c r="FF75" s="66"/>
      <c r="FG75" s="1781" t="s">
        <v>1670</v>
      </c>
      <c r="FH75" s="1782"/>
      <c r="FI75" s="1782"/>
      <c r="FJ75" s="1782"/>
      <c r="FK75" s="1783"/>
      <c r="FL75" s="65">
        <f>FD74-FG73</f>
        <v>12049</v>
      </c>
      <c r="FM75" s="65" t="e">
        <f>FE74-FI73</f>
        <v>#VALUE!</v>
      </c>
      <c r="FN75" s="67"/>
      <c r="FP75" s="28"/>
      <c r="FT75" s="77"/>
      <c r="FU75" s="30"/>
      <c r="FV75" s="30"/>
      <c r="FW75" s="66"/>
      <c r="FX75" s="1781" t="s">
        <v>1670</v>
      </c>
      <c r="FY75" s="1782"/>
      <c r="FZ75" s="1782"/>
      <c r="GA75" s="1782"/>
      <c r="GB75" s="1783"/>
      <c r="GC75" s="65">
        <f>FU74-FX73</f>
        <v>12049</v>
      </c>
      <c r="GD75" s="65" t="e">
        <f>FV74-FZ73</f>
        <v>#VALUE!</v>
      </c>
      <c r="GE75" s="67"/>
      <c r="GG75" s="28"/>
      <c r="GK75" s="77"/>
      <c r="GL75" s="30"/>
      <c r="GM75" s="30"/>
      <c r="GN75" s="66"/>
      <c r="GO75" s="1781" t="s">
        <v>1670</v>
      </c>
      <c r="GP75" s="1782"/>
      <c r="GQ75" s="1782"/>
      <c r="GR75" s="1782"/>
      <c r="GS75" s="1783"/>
      <c r="GT75" s="65">
        <f>GL74-GO73</f>
        <v>12049</v>
      </c>
      <c r="GU75" s="65" t="e">
        <f>GM74-GQ73</f>
        <v>#VALUE!</v>
      </c>
      <c r="GV75" s="67"/>
      <c r="GX75" s="28"/>
    </row>
    <row r="76" spans="1:206" ht="18" customHeight="1">
      <c r="A76" s="68"/>
      <c r="B76" s="68"/>
      <c r="C76" s="61"/>
      <c r="D76" s="69"/>
      <c r="E76" s="203"/>
      <c r="F76" s="203"/>
      <c r="G76" s="68"/>
      <c r="H76" s="203"/>
      <c r="I76" s="70"/>
      <c r="J76" s="68"/>
      <c r="K76" s="1781" t="s">
        <v>204</v>
      </c>
      <c r="L76" s="1782"/>
      <c r="M76" s="1782"/>
      <c r="N76" s="1782"/>
      <c r="O76" s="1783"/>
      <c r="P76" s="65">
        <f>P73-P74-P75</f>
        <v>0</v>
      </c>
      <c r="Q76" s="65" t="e">
        <f ca="1">Q73-Q74-Q75</f>
        <v>#VALUE!</v>
      </c>
      <c r="R76" s="69"/>
      <c r="T76" s="69"/>
      <c r="U76" s="203"/>
      <c r="V76" s="203"/>
      <c r="W76" s="68"/>
      <c r="X76" s="203"/>
      <c r="Y76" s="70"/>
      <c r="Z76" s="68"/>
      <c r="AA76" s="767" t="s">
        <v>204</v>
      </c>
      <c r="AB76" s="768"/>
      <c r="AC76" s="768"/>
      <c r="AD76" s="768"/>
      <c r="AE76" s="769"/>
      <c r="AF76" s="65">
        <f>AF73-AF74-AF75</f>
        <v>0</v>
      </c>
      <c r="AG76" s="65" t="e">
        <f ca="1">AG73-AG74-AG75</f>
        <v>#VALUE!</v>
      </c>
      <c r="AH76" s="69"/>
      <c r="AI76" s="68"/>
      <c r="AK76" s="69"/>
      <c r="AL76" s="203"/>
      <c r="AM76" s="203"/>
      <c r="AN76" s="68"/>
      <c r="AO76" s="203"/>
      <c r="AP76" s="70"/>
      <c r="AQ76" s="68"/>
      <c r="AR76" s="1781" t="s">
        <v>204</v>
      </c>
      <c r="AS76" s="1782"/>
      <c r="AT76" s="1782"/>
      <c r="AU76" s="1782"/>
      <c r="AV76" s="1783"/>
      <c r="AW76" s="65">
        <f>AW73-AW74-AW75</f>
        <v>0</v>
      </c>
      <c r="AX76" s="65" t="e">
        <f ca="1">AX73-AX74-AX75</f>
        <v>#VALUE!</v>
      </c>
      <c r="AY76" s="69"/>
      <c r="AZ76" s="68"/>
      <c r="BB76" s="69"/>
      <c r="BC76" s="203"/>
      <c r="BD76" s="203"/>
      <c r="BE76" s="68"/>
      <c r="BF76" s="203"/>
      <c r="BG76" s="70"/>
      <c r="BH76" s="68"/>
      <c r="BI76" s="1781" t="s">
        <v>204</v>
      </c>
      <c r="BJ76" s="1782"/>
      <c r="BK76" s="1782"/>
      <c r="BL76" s="1782"/>
      <c r="BM76" s="1783"/>
      <c r="BN76" s="65">
        <f>BN73-BN74-BN75</f>
        <v>0</v>
      </c>
      <c r="BO76" s="65" t="e">
        <f ca="1">BO73-BO74-BO75</f>
        <v>#VALUE!</v>
      </c>
      <c r="BP76" s="69"/>
      <c r="BQ76" s="68"/>
      <c r="BS76" s="69"/>
      <c r="BT76" s="203"/>
      <c r="BU76" s="203"/>
      <c r="BV76" s="68"/>
      <c r="BW76" s="203"/>
      <c r="BX76" s="70"/>
      <c r="BY76" s="68"/>
      <c r="BZ76" s="1781" t="s">
        <v>204</v>
      </c>
      <c r="CA76" s="1782"/>
      <c r="CB76" s="1782"/>
      <c r="CC76" s="1782"/>
      <c r="CD76" s="1783"/>
      <c r="CE76" s="65">
        <f>CE73-CE74-CE75</f>
        <v>0</v>
      </c>
      <c r="CF76" s="65" t="e">
        <f ca="1">CF73-CF74-CF75</f>
        <v>#VALUE!</v>
      </c>
      <c r="CG76" s="69"/>
      <c r="CH76" s="68"/>
      <c r="CJ76" s="69"/>
      <c r="CK76" s="203"/>
      <c r="CL76" s="203"/>
      <c r="CM76" s="68"/>
      <c r="CN76" s="203"/>
      <c r="CO76" s="70"/>
      <c r="CP76" s="68"/>
      <c r="CQ76" s="1781" t="s">
        <v>204</v>
      </c>
      <c r="CR76" s="1782"/>
      <c r="CS76" s="1782"/>
      <c r="CT76" s="1782"/>
      <c r="CU76" s="1783"/>
      <c r="CV76" s="65">
        <f>CV73-CV74-CV75</f>
        <v>0</v>
      </c>
      <c r="CW76" s="65" t="e">
        <f ca="1">CW73-CW74-CW75</f>
        <v>#VALUE!</v>
      </c>
      <c r="CX76" s="69"/>
      <c r="CY76" s="68"/>
      <c r="DA76" s="69"/>
      <c r="DB76" s="203"/>
      <c r="DC76" s="203"/>
      <c r="DD76" s="68"/>
      <c r="DE76" s="203"/>
      <c r="DF76" s="70"/>
      <c r="DG76" s="68"/>
      <c r="DH76" s="1781" t="s">
        <v>204</v>
      </c>
      <c r="DI76" s="1782"/>
      <c r="DJ76" s="1782"/>
      <c r="DK76" s="1782"/>
      <c r="DL76" s="1783"/>
      <c r="DM76" s="65">
        <f>DM73-DM74-DM75</f>
        <v>0</v>
      </c>
      <c r="DN76" s="65" t="e">
        <f ca="1">DN73-DN74-DN75</f>
        <v>#VALUE!</v>
      </c>
      <c r="DO76" s="69"/>
      <c r="DP76" s="68"/>
      <c r="DR76" s="69"/>
      <c r="DS76" s="203"/>
      <c r="DT76" s="203"/>
      <c r="DU76" s="68"/>
      <c r="DV76" s="203"/>
      <c r="DW76" s="70"/>
      <c r="DX76" s="68"/>
      <c r="DY76" s="1781" t="s">
        <v>204</v>
      </c>
      <c r="DZ76" s="1782"/>
      <c r="EA76" s="1782"/>
      <c r="EB76" s="1782"/>
      <c r="EC76" s="1783"/>
      <c r="ED76" s="65">
        <f>ED73-ED74-ED75</f>
        <v>0</v>
      </c>
      <c r="EE76" s="65" t="e">
        <f ca="1">EE73-EE74-EE75</f>
        <v>#VALUE!</v>
      </c>
      <c r="EF76" s="69"/>
      <c r="EG76" s="68"/>
      <c r="EI76" s="69"/>
      <c r="EJ76" s="203"/>
      <c r="EK76" s="203"/>
      <c r="EL76" s="68"/>
      <c r="EM76" s="203"/>
      <c r="EN76" s="70"/>
      <c r="EO76" s="68"/>
      <c r="EP76" s="1781" t="s">
        <v>204</v>
      </c>
      <c r="EQ76" s="1782"/>
      <c r="ER76" s="1782"/>
      <c r="ES76" s="1782"/>
      <c r="ET76" s="1783"/>
      <c r="EU76" s="65">
        <f>EU73-EU74-EU75</f>
        <v>0</v>
      </c>
      <c r="EV76" s="65" t="e">
        <f ca="1">EV73-EV74-EV75</f>
        <v>#VALUE!</v>
      </c>
      <c r="EW76" s="69"/>
      <c r="EX76" s="68"/>
      <c r="EZ76" s="69"/>
      <c r="FA76" s="203"/>
      <c r="FB76" s="203"/>
      <c r="FC76" s="68"/>
      <c r="FD76" s="203"/>
      <c r="FE76" s="70"/>
      <c r="FF76" s="68"/>
      <c r="FG76" s="1781" t="s">
        <v>204</v>
      </c>
      <c r="FH76" s="1782"/>
      <c r="FI76" s="1782"/>
      <c r="FJ76" s="1782"/>
      <c r="FK76" s="1783"/>
      <c r="FL76" s="65">
        <f>FL73-FL74-FL75</f>
        <v>0</v>
      </c>
      <c r="FM76" s="65" t="e">
        <f>FM73-FM74-FM75</f>
        <v>#VALUE!</v>
      </c>
      <c r="FN76" s="69"/>
      <c r="FO76" s="68"/>
      <c r="FQ76" s="69"/>
      <c r="FR76" s="203"/>
      <c r="FS76" s="203"/>
      <c r="FT76" s="68"/>
      <c r="FU76" s="203"/>
      <c r="FV76" s="70"/>
      <c r="FW76" s="68"/>
      <c r="FX76" s="1781" t="s">
        <v>204</v>
      </c>
      <c r="FY76" s="1782"/>
      <c r="FZ76" s="1782"/>
      <c r="GA76" s="1782"/>
      <c r="GB76" s="1783"/>
      <c r="GC76" s="65">
        <f>GC73-GC74-GC75</f>
        <v>0</v>
      </c>
      <c r="GD76" s="65" t="e">
        <f>GD73-GD74-GD75</f>
        <v>#VALUE!</v>
      </c>
      <c r="GE76" s="69"/>
      <c r="GF76" s="68"/>
      <c r="GH76" s="69"/>
      <c r="GI76" s="203"/>
      <c r="GJ76" s="203"/>
      <c r="GK76" s="68"/>
      <c r="GL76" s="203"/>
      <c r="GM76" s="70"/>
      <c r="GN76" s="68"/>
      <c r="GO76" s="1781" t="s">
        <v>204</v>
      </c>
      <c r="GP76" s="1782"/>
      <c r="GQ76" s="1782"/>
      <c r="GR76" s="1782"/>
      <c r="GS76" s="1783"/>
      <c r="GT76" s="65">
        <f>GT73-GT74-GT75</f>
        <v>0</v>
      </c>
      <c r="GU76" s="65" t="e">
        <f>GU73-GU74-GU75</f>
        <v>#VALUE!</v>
      </c>
      <c r="GV76" s="69"/>
      <c r="GW76" s="68"/>
    </row>
    <row r="77" spans="1:206">
      <c r="AA77" s="285"/>
      <c r="AB77" s="285"/>
      <c r="AC77" s="286"/>
      <c r="AD77" s="286"/>
      <c r="AE77" s="285"/>
      <c r="AF77" s="285"/>
      <c r="AG77" s="285"/>
      <c r="AR77" s="285"/>
      <c r="AS77" s="285"/>
      <c r="AT77" s="285"/>
      <c r="AU77" s="285"/>
      <c r="AV77" s="285"/>
      <c r="AW77" s="285"/>
      <c r="AX77" s="285"/>
      <c r="BI77" s="285"/>
      <c r="BJ77" s="285"/>
      <c r="BK77" s="285"/>
      <c r="BL77" s="285"/>
      <c r="BM77" s="285"/>
      <c r="BN77" s="285"/>
      <c r="BO77" s="285"/>
      <c r="BZ77" s="285"/>
      <c r="CA77" s="285"/>
      <c r="CB77" s="285"/>
      <c r="CC77" s="285"/>
      <c r="CD77" s="285"/>
      <c r="CE77" s="285"/>
      <c r="CF77" s="285"/>
      <c r="CQ77" s="285"/>
      <c r="CR77" s="285"/>
      <c r="CS77" s="285"/>
      <c r="CT77" s="285"/>
      <c r="CU77" s="285"/>
      <c r="CV77" s="285"/>
      <c r="CW77" s="285"/>
      <c r="DH77" s="285"/>
      <c r="DI77" s="285"/>
      <c r="DJ77" s="285"/>
      <c r="DK77" s="285"/>
      <c r="DL77" s="285"/>
      <c r="DM77" s="285"/>
      <c r="DN77" s="285"/>
      <c r="DY77" s="285"/>
      <c r="DZ77" s="285"/>
      <c r="EA77" s="285"/>
      <c r="EB77" s="285"/>
      <c r="EC77" s="285"/>
      <c r="ED77" s="285"/>
      <c r="EE77" s="285"/>
      <c r="EP77" s="285"/>
      <c r="EQ77" s="285"/>
      <c r="ER77" s="285"/>
      <c r="ES77" s="285"/>
      <c r="ET77" s="285"/>
      <c r="EU77" s="285"/>
      <c r="EV77" s="285"/>
      <c r="FG77" s="285"/>
      <c r="FH77" s="285"/>
      <c r="FI77" s="285"/>
      <c r="FJ77" s="285"/>
      <c r="FK77" s="285"/>
      <c r="FL77" s="285"/>
      <c r="FM77" s="285"/>
      <c r="FX77" s="285"/>
      <c r="FY77" s="285"/>
      <c r="FZ77" s="285"/>
      <c r="GA77" s="285"/>
      <c r="GB77" s="285"/>
      <c r="GC77" s="285"/>
      <c r="GD77" s="285"/>
      <c r="GO77" s="285"/>
      <c r="GP77" s="285"/>
      <c r="GQ77" s="285"/>
      <c r="GR77" s="285"/>
      <c r="GS77" s="285"/>
      <c r="GT77" s="285"/>
      <c r="GU77" s="285"/>
    </row>
    <row r="78" spans="1:206">
      <c r="AA78" s="285"/>
      <c r="AB78" s="285"/>
      <c r="AC78" s="285"/>
      <c r="AD78" s="285"/>
      <c r="AE78" s="285"/>
      <c r="AF78" s="285"/>
      <c r="AG78" s="285"/>
      <c r="AR78" s="285"/>
      <c r="AS78" s="285"/>
      <c r="AT78" s="285"/>
      <c r="AU78" s="285"/>
      <c r="AV78" s="285"/>
      <c r="AW78" s="285"/>
      <c r="AX78" s="285"/>
      <c r="BI78" s="285"/>
      <c r="BJ78" s="285"/>
      <c r="BK78" s="285"/>
      <c r="BL78" s="285"/>
      <c r="BM78" s="285"/>
      <c r="BN78" s="285"/>
      <c r="BO78" s="285"/>
      <c r="BZ78" s="285"/>
      <c r="CA78" s="285"/>
      <c r="CB78" s="285"/>
      <c r="CC78" s="285"/>
      <c r="CD78" s="285"/>
      <c r="CE78" s="285"/>
      <c r="CF78" s="285"/>
      <c r="CQ78" s="285"/>
      <c r="CR78" s="285"/>
      <c r="CS78" s="285"/>
      <c r="CT78" s="285"/>
      <c r="CU78" s="285"/>
      <c r="CV78" s="285"/>
      <c r="CW78" s="285"/>
      <c r="DH78" s="285"/>
      <c r="DI78" s="285"/>
      <c r="DJ78" s="285"/>
      <c r="DK78" s="285"/>
      <c r="DL78" s="285"/>
      <c r="DM78" s="285"/>
      <c r="DN78" s="285"/>
      <c r="DY78" s="285"/>
      <c r="DZ78" s="285"/>
      <c r="EA78" s="285"/>
      <c r="EB78" s="285"/>
      <c r="EC78" s="285"/>
      <c r="ED78" s="285"/>
      <c r="EE78" s="285"/>
      <c r="EP78" s="285"/>
      <c r="EQ78" s="285"/>
      <c r="ER78" s="285"/>
      <c r="ES78" s="285"/>
      <c r="ET78" s="285"/>
      <c r="EU78" s="285"/>
      <c r="EV78" s="285"/>
      <c r="FG78" s="285"/>
      <c r="FH78" s="285"/>
      <c r="FI78" s="285"/>
      <c r="FJ78" s="285"/>
      <c r="FK78" s="285"/>
      <c r="FL78" s="285"/>
      <c r="FM78" s="285"/>
      <c r="FX78" s="285"/>
      <c r="FY78" s="285"/>
      <c r="FZ78" s="285"/>
      <c r="GA78" s="285"/>
      <c r="GB78" s="285"/>
      <c r="GC78" s="285"/>
      <c r="GD78" s="285"/>
      <c r="GO78" s="285"/>
      <c r="GP78" s="285"/>
      <c r="GQ78" s="285"/>
      <c r="GR78" s="285"/>
      <c r="GS78" s="285"/>
      <c r="GT78" s="285"/>
      <c r="GU78" s="285"/>
    </row>
    <row r="79" spans="1:206">
      <c r="AA79" s="285"/>
      <c r="AB79" s="285"/>
      <c r="AC79" s="285"/>
      <c r="AD79" s="285"/>
      <c r="AE79" s="285"/>
      <c r="AF79" s="285"/>
      <c r="AG79" s="285"/>
      <c r="AR79" s="285"/>
      <c r="AS79" s="285"/>
      <c r="AT79" s="285">
        <v>2109952616</v>
      </c>
      <c r="AU79" s="285"/>
      <c r="AV79" s="285"/>
      <c r="AW79" s="285"/>
      <c r="AX79" s="285"/>
      <c r="BI79" s="285"/>
      <c r="BJ79" s="285"/>
      <c r="BK79" s="285"/>
      <c r="BL79" s="285"/>
      <c r="BM79" s="285"/>
      <c r="BN79" s="285"/>
      <c r="BO79" s="285"/>
      <c r="BZ79" s="285"/>
      <c r="CA79" s="285"/>
      <c r="CB79" s="285"/>
      <c r="CC79" s="285"/>
      <c r="CD79" s="285"/>
      <c r="CE79" s="285"/>
      <c r="CF79" s="285"/>
      <c r="CQ79" s="285"/>
      <c r="CR79" s="285"/>
      <c r="CS79" s="285"/>
      <c r="CT79" s="285"/>
      <c r="CU79" s="285"/>
      <c r="CV79" s="285"/>
      <c r="CW79" s="285"/>
      <c r="DH79" s="285"/>
      <c r="DI79" s="285"/>
      <c r="DJ79" s="285"/>
      <c r="DK79" s="285"/>
      <c r="DL79" s="285"/>
      <c r="DM79" s="285"/>
      <c r="DN79" s="285"/>
      <c r="DY79" s="285"/>
      <c r="DZ79" s="285"/>
      <c r="EA79" s="285"/>
      <c r="EB79" s="285"/>
      <c r="EC79" s="285"/>
      <c r="ED79" s="285"/>
      <c r="EE79" s="285"/>
      <c r="EP79" s="285"/>
      <c r="EQ79" s="285"/>
      <c r="ER79" s="285"/>
      <c r="ES79" s="285"/>
      <c r="ET79" s="285"/>
      <c r="EU79" s="285"/>
      <c r="EV79" s="285"/>
      <c r="FG79" s="285"/>
      <c r="FH79" s="285"/>
      <c r="FI79" s="285"/>
      <c r="FJ79" s="285"/>
      <c r="FK79" s="285"/>
      <c r="FL79" s="285"/>
      <c r="FM79" s="285"/>
      <c r="FX79" s="285"/>
      <c r="FY79" s="285"/>
      <c r="FZ79" s="285"/>
      <c r="GA79" s="285"/>
      <c r="GB79" s="285"/>
      <c r="GC79" s="285"/>
      <c r="GD79" s="285"/>
      <c r="GO79" s="285"/>
      <c r="GP79" s="285"/>
      <c r="GQ79" s="285"/>
      <c r="GR79" s="285"/>
      <c r="GS79" s="285"/>
      <c r="GT79" s="285"/>
      <c r="GU79" s="285"/>
    </row>
    <row r="80" spans="1:206">
      <c r="AA80" s="285"/>
      <c r="AB80" s="285"/>
      <c r="AC80" s="285"/>
      <c r="AD80" s="285"/>
      <c r="AE80" s="285"/>
      <c r="AF80" s="285"/>
      <c r="AG80" s="285"/>
      <c r="AR80" s="285"/>
      <c r="AS80" s="285"/>
      <c r="AT80" s="285">
        <f>AT73-AT79</f>
        <v>0</v>
      </c>
      <c r="AU80" s="285"/>
      <c r="AV80" s="285"/>
      <c r="AW80" s="285"/>
      <c r="AX80" s="285"/>
      <c r="BI80" s="285"/>
      <c r="BJ80" s="285"/>
      <c r="BK80" s="285"/>
      <c r="BL80" s="285"/>
      <c r="BM80" s="285"/>
      <c r="BN80" s="285"/>
      <c r="BO80" s="285"/>
      <c r="BZ80" s="285"/>
      <c r="CA80" s="285"/>
      <c r="CB80" s="285"/>
      <c r="CC80" s="285"/>
      <c r="CD80" s="285"/>
      <c r="CE80" s="285"/>
      <c r="CF80" s="285"/>
      <c r="CQ80" s="285"/>
      <c r="CR80" s="285"/>
      <c r="CS80" s="285"/>
      <c r="CT80" s="285"/>
      <c r="CU80" s="285"/>
      <c r="CV80" s="285"/>
      <c r="CW80" s="285"/>
      <c r="DH80" s="285"/>
      <c r="DI80" s="285"/>
      <c r="DJ80" s="285"/>
      <c r="DK80" s="285"/>
      <c r="DL80" s="285"/>
      <c r="DM80" s="285"/>
      <c r="DN80" s="285"/>
      <c r="DY80" s="285"/>
      <c r="DZ80" s="285"/>
      <c r="EA80" s="285"/>
      <c r="EB80" s="285"/>
      <c r="EC80" s="285"/>
      <c r="ED80" s="285"/>
      <c r="EE80" s="285"/>
      <c r="EP80" s="285"/>
      <c r="EQ80" s="285"/>
      <c r="ER80" s="285"/>
      <c r="ES80" s="285"/>
      <c r="ET80" s="285"/>
      <c r="EU80" s="285"/>
      <c r="EV80" s="285"/>
      <c r="FG80" s="285"/>
      <c r="FH80" s="285"/>
      <c r="FI80" s="285"/>
      <c r="FJ80" s="285"/>
      <c r="FK80" s="285"/>
      <c r="FL80" s="285"/>
      <c r="FM80" s="285"/>
      <c r="FX80" s="285"/>
      <c r="FY80" s="285"/>
      <c r="FZ80" s="285">
        <v>3181615975</v>
      </c>
      <c r="GA80" s="285"/>
      <c r="GB80" s="285"/>
      <c r="GC80" s="285"/>
      <c r="GD80" s="285"/>
      <c r="GO80" s="285"/>
      <c r="GP80" s="285"/>
      <c r="GQ80" s="285"/>
      <c r="GR80" s="285"/>
      <c r="GS80" s="285"/>
      <c r="GT80" s="285"/>
      <c r="GU80" s="285"/>
    </row>
    <row r="81" spans="27:203">
      <c r="AA81" s="285"/>
      <c r="AB81" s="285"/>
      <c r="AC81" s="285"/>
      <c r="AD81" s="285"/>
      <c r="AE81" s="285"/>
      <c r="AF81" s="285"/>
      <c r="AG81" s="285"/>
      <c r="AR81" s="285"/>
      <c r="AS81" s="285"/>
      <c r="AT81" s="285"/>
      <c r="AU81" s="285"/>
      <c r="AV81" s="285"/>
      <c r="AW81" s="285"/>
      <c r="AX81" s="285"/>
      <c r="BI81" s="285"/>
      <c r="BJ81" s="285"/>
      <c r="BK81" s="285"/>
      <c r="BL81" s="285"/>
      <c r="BM81" s="285"/>
      <c r="BN81" s="285"/>
      <c r="BO81" s="285"/>
      <c r="BZ81" s="285"/>
      <c r="CA81" s="285"/>
      <c r="CB81" s="285"/>
      <c r="CC81" s="285"/>
      <c r="CD81" s="285"/>
      <c r="CE81" s="285"/>
      <c r="CF81" s="285"/>
      <c r="CQ81" s="285"/>
      <c r="CR81" s="285"/>
      <c r="CS81" s="285"/>
      <c r="CT81" s="285"/>
      <c r="CU81" s="285"/>
      <c r="CV81" s="285"/>
      <c r="CW81" s="285"/>
      <c r="DH81" s="285"/>
      <c r="DI81" s="285"/>
      <c r="DJ81" s="285"/>
      <c r="DK81" s="285"/>
      <c r="DL81" s="285"/>
      <c r="DM81" s="285"/>
      <c r="DN81" s="285"/>
      <c r="DY81" s="285"/>
      <c r="DZ81" s="285"/>
      <c r="EA81" s="285"/>
      <c r="EB81" s="285"/>
      <c r="EC81" s="285"/>
      <c r="ED81" s="285"/>
      <c r="EE81" s="285"/>
      <c r="EP81" s="285"/>
      <c r="EQ81" s="285"/>
      <c r="ER81" s="285"/>
      <c r="ES81" s="285"/>
      <c r="ET81" s="285"/>
      <c r="EU81" s="285"/>
      <c r="EV81" s="285"/>
      <c r="FG81" s="285"/>
      <c r="FH81" s="285"/>
      <c r="FI81" s="285"/>
      <c r="FJ81" s="285"/>
      <c r="FK81" s="285"/>
      <c r="FL81" s="285"/>
      <c r="FM81" s="285"/>
      <c r="FX81" s="285"/>
      <c r="FY81" s="285"/>
      <c r="FZ81" s="285">
        <f>FZ73-FZ80</f>
        <v>-3038715975</v>
      </c>
      <c r="GA81" s="285"/>
      <c r="GB81" s="285"/>
      <c r="GC81" s="285"/>
      <c r="GD81" s="285"/>
      <c r="GO81" s="285"/>
      <c r="GP81" s="285"/>
      <c r="GQ81" s="285"/>
      <c r="GR81" s="285"/>
      <c r="GS81" s="285"/>
      <c r="GT81" s="285"/>
      <c r="GU81" s="285"/>
    </row>
    <row r="88" spans="27:203">
      <c r="EV88" s="5">
        <v>4640115.3499999996</v>
      </c>
    </row>
  </sheetData>
  <sortState ref="AP64:AP66">
    <sortCondition ref="AP64:AP66"/>
  </sortState>
  <mergeCells count="173">
    <mergeCell ref="CQ74:CU74"/>
    <mergeCell ref="CQ75:CU75"/>
    <mergeCell ref="CQ76:CU76"/>
    <mergeCell ref="FX74:GB74"/>
    <mergeCell ref="FX75:GB75"/>
    <mergeCell ref="FX76:GB76"/>
    <mergeCell ref="FQ3:GF3"/>
    <mergeCell ref="FQ4:FV4"/>
    <mergeCell ref="FW4:GG4"/>
    <mergeCell ref="FR5:FS5"/>
    <mergeCell ref="FT5:FV5"/>
    <mergeCell ref="FW5:FW6"/>
    <mergeCell ref="FX5:FY5"/>
    <mergeCell ref="FZ5:GB5"/>
    <mergeCell ref="GC5:GD5"/>
    <mergeCell ref="GE5:GE6"/>
    <mergeCell ref="GF5:GF6"/>
    <mergeCell ref="GG5:GG6"/>
    <mergeCell ref="EP74:ET74"/>
    <mergeCell ref="EP75:ET75"/>
    <mergeCell ref="EP76:ET76"/>
    <mergeCell ref="EI3:EX3"/>
    <mergeCell ref="EI4:EN4"/>
    <mergeCell ref="EO4:EY4"/>
    <mergeCell ref="EJ5:EK5"/>
    <mergeCell ref="EL5:EN5"/>
    <mergeCell ref="EO5:EO6"/>
    <mergeCell ref="EP5:EQ5"/>
    <mergeCell ref="ER5:ET5"/>
    <mergeCell ref="EU5:EV5"/>
    <mergeCell ref="EW5:EW6"/>
    <mergeCell ref="EX5:EX6"/>
    <mergeCell ref="EY5:EY6"/>
    <mergeCell ref="DY74:EC74"/>
    <mergeCell ref="DY75:EC75"/>
    <mergeCell ref="DY76:EC76"/>
    <mergeCell ref="DR3:EG3"/>
    <mergeCell ref="DR4:DW4"/>
    <mergeCell ref="DX4:EH4"/>
    <mergeCell ref="DS5:DT5"/>
    <mergeCell ref="DU5:DW5"/>
    <mergeCell ref="DX5:DX6"/>
    <mergeCell ref="DY5:DZ5"/>
    <mergeCell ref="EA5:EC5"/>
    <mergeCell ref="ED5:EE5"/>
    <mergeCell ref="EF5:EF6"/>
    <mergeCell ref="EG5:EG6"/>
    <mergeCell ref="EH5:EH6"/>
    <mergeCell ref="DH74:DL74"/>
    <mergeCell ref="DH75:DL75"/>
    <mergeCell ref="DH76:DL76"/>
    <mergeCell ref="DA3:DP3"/>
    <mergeCell ref="DA4:DF4"/>
    <mergeCell ref="DG4:DQ4"/>
    <mergeCell ref="DB5:DC5"/>
    <mergeCell ref="DD5:DF5"/>
    <mergeCell ref="DG5:DG6"/>
    <mergeCell ref="DH5:DI5"/>
    <mergeCell ref="DJ5:DL5"/>
    <mergeCell ref="DM5:DN5"/>
    <mergeCell ref="DO5:DO6"/>
    <mergeCell ref="DP5:DP6"/>
    <mergeCell ref="DQ5:DQ6"/>
    <mergeCell ref="BI74:BM74"/>
    <mergeCell ref="BI75:BM75"/>
    <mergeCell ref="BI76:BM76"/>
    <mergeCell ref="AL5:AM5"/>
    <mergeCell ref="BC5:BD5"/>
    <mergeCell ref="AR74:AV74"/>
    <mergeCell ref="AR75:AV75"/>
    <mergeCell ref="AR76:AV76"/>
    <mergeCell ref="AZ5:AZ6"/>
    <mergeCell ref="BB3:BQ3"/>
    <mergeCell ref="BB4:BG4"/>
    <mergeCell ref="BH4:BR4"/>
    <mergeCell ref="BE5:BG5"/>
    <mergeCell ref="BH5:BH6"/>
    <mergeCell ref="BI5:BJ5"/>
    <mergeCell ref="BK5:BM5"/>
    <mergeCell ref="BN5:BO5"/>
    <mergeCell ref="BP5:BP6"/>
    <mergeCell ref="BQ5:BQ6"/>
    <mergeCell ref="BR5:BR6"/>
    <mergeCell ref="D3:R3"/>
    <mergeCell ref="D4:I4"/>
    <mergeCell ref="AI3:AI6"/>
    <mergeCell ref="K76:O76"/>
    <mergeCell ref="A75:F75"/>
    <mergeCell ref="K75:O75"/>
    <mergeCell ref="A73:D73"/>
    <mergeCell ref="A74:F74"/>
    <mergeCell ref="K74:O74"/>
    <mergeCell ref="A3:A6"/>
    <mergeCell ref="G5:I5"/>
    <mergeCell ref="J4:S4"/>
    <mergeCell ref="J5:J6"/>
    <mergeCell ref="K5:L5"/>
    <mergeCell ref="M5:O5"/>
    <mergeCell ref="P5:Q5"/>
    <mergeCell ref="R5:R6"/>
    <mergeCell ref="S5:S6"/>
    <mergeCell ref="B3:B6"/>
    <mergeCell ref="C3:C6"/>
    <mergeCell ref="T3:AH3"/>
    <mergeCell ref="Z4:AH4"/>
    <mergeCell ref="T4:Y4"/>
    <mergeCell ref="AK3:AZ3"/>
    <mergeCell ref="AK4:AP4"/>
    <mergeCell ref="AQ4:BA4"/>
    <mergeCell ref="AN5:AP5"/>
    <mergeCell ref="AQ5:AQ6"/>
    <mergeCell ref="AR5:AS5"/>
    <mergeCell ref="AT5:AV5"/>
    <mergeCell ref="AW5:AX5"/>
    <mergeCell ref="AY5:AY6"/>
    <mergeCell ref="BA5:BA6"/>
    <mergeCell ref="BZ74:CD74"/>
    <mergeCell ref="BZ75:CD75"/>
    <mergeCell ref="BZ76:CD76"/>
    <mergeCell ref="BS3:CH3"/>
    <mergeCell ref="BS4:BX4"/>
    <mergeCell ref="BY4:CI4"/>
    <mergeCell ref="BT5:BU5"/>
    <mergeCell ref="BV5:BX5"/>
    <mergeCell ref="BY5:BY6"/>
    <mergeCell ref="BZ5:CA5"/>
    <mergeCell ref="CB5:CD5"/>
    <mergeCell ref="CE5:CF5"/>
    <mergeCell ref="CG5:CG6"/>
    <mergeCell ref="CH5:CH6"/>
    <mergeCell ref="CI5:CI6"/>
    <mergeCell ref="CJ3:CY3"/>
    <mergeCell ref="CJ4:CO4"/>
    <mergeCell ref="CP4:CZ4"/>
    <mergeCell ref="CK5:CL5"/>
    <mergeCell ref="CM5:CO5"/>
    <mergeCell ref="CP5:CP6"/>
    <mergeCell ref="CQ5:CR5"/>
    <mergeCell ref="CS5:CU5"/>
    <mergeCell ref="CV5:CW5"/>
    <mergeCell ref="CX5:CX6"/>
    <mergeCell ref="CY5:CY6"/>
    <mergeCell ref="CZ5:CZ6"/>
    <mergeCell ref="FG74:FK74"/>
    <mergeCell ref="FG75:FK75"/>
    <mergeCell ref="FG76:FK76"/>
    <mergeCell ref="EZ3:FO3"/>
    <mergeCell ref="EZ4:FE4"/>
    <mergeCell ref="FF4:FP4"/>
    <mergeCell ref="FA5:FB5"/>
    <mergeCell ref="FC5:FE5"/>
    <mergeCell ref="FF5:FF6"/>
    <mergeCell ref="FG5:FH5"/>
    <mergeCell ref="FI5:FK5"/>
    <mergeCell ref="FL5:FM5"/>
    <mergeCell ref="FN5:FN6"/>
    <mergeCell ref="FO5:FO6"/>
    <mergeCell ref="FP5:FP6"/>
    <mergeCell ref="GO74:GS74"/>
    <mergeCell ref="GO75:GS75"/>
    <mergeCell ref="GO76:GS76"/>
    <mergeCell ref="GH3:GW3"/>
    <mergeCell ref="GH4:GM4"/>
    <mergeCell ref="GN4:GX4"/>
    <mergeCell ref="GI5:GJ5"/>
    <mergeCell ref="GK5:GM5"/>
    <mergeCell ref="GN5:GN6"/>
    <mergeCell ref="GO5:GP5"/>
    <mergeCell ref="GQ5:GS5"/>
    <mergeCell ref="GT5:GU5"/>
    <mergeCell ref="GV5:GV6"/>
    <mergeCell ref="GW5:GW6"/>
    <mergeCell ref="GX5:GX6"/>
  </mergeCells>
  <printOptions horizontalCentered="1"/>
  <pageMargins left="0" right="0" top="0.12" bottom="0.12" header="0.12" footer="0.12"/>
  <pageSetup paperSize="9" scale="59" orientation="landscape" horizontalDpi="4294967293" r:id="rId1"/>
  <headerFooter>
    <oddFooter>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B050"/>
  </sheetPr>
  <dimension ref="A1:GA78"/>
  <sheetViews>
    <sheetView showGridLines="0" view="pageBreakPreview" topLeftCell="A29" zoomScale="85" zoomScaleNormal="85" zoomScaleSheetLayoutView="85" workbookViewId="0">
      <selection activeCell="CQ70" sqref="CQ70"/>
    </sheetView>
  </sheetViews>
  <sheetFormatPr defaultRowHeight="12.75"/>
  <cols>
    <col min="1" max="2" width="4.28515625" style="35" customWidth="1"/>
    <col min="3" max="3" width="47.42578125" style="35" customWidth="1"/>
    <col min="4" max="4" width="11.7109375" style="43" hidden="1" customWidth="1"/>
    <col min="5" max="5" width="17" style="43" hidden="1" customWidth="1"/>
    <col min="6" max="6" width="10.28515625" style="43" hidden="1" customWidth="1"/>
    <col min="7" max="7" width="11.42578125" style="43" hidden="1" customWidth="1"/>
    <col min="8" max="8" width="16.42578125" style="43" hidden="1" customWidth="1"/>
    <col min="9" max="9" width="14.42578125" style="43" hidden="1" customWidth="1"/>
    <col min="10" max="10" width="15.5703125" style="43" hidden="1" customWidth="1"/>
    <col min="11" max="11" width="11.28515625" style="43" hidden="1" customWidth="1"/>
    <col min="12" max="12" width="16.42578125" style="43" hidden="1" customWidth="1"/>
    <col min="13" max="13" width="1" style="33" hidden="1" customWidth="1"/>
    <col min="14" max="15" width="9.140625" style="33" hidden="1" customWidth="1"/>
    <col min="16" max="16" width="11.42578125" style="33" hidden="1" customWidth="1"/>
    <col min="17" max="17" width="14.5703125" style="33" hidden="1" customWidth="1"/>
    <col min="18" max="18" width="24.28515625" style="33" hidden="1" customWidth="1"/>
    <col min="19" max="19" width="11.7109375" style="43" hidden="1" customWidth="1"/>
    <col min="20" max="20" width="17" style="43" hidden="1" customWidth="1"/>
    <col min="21" max="21" width="10.28515625" style="43" hidden="1" customWidth="1"/>
    <col min="22" max="22" width="7.7109375" style="43" hidden="1" customWidth="1"/>
    <col min="23" max="23" width="16.42578125" style="43" hidden="1" customWidth="1"/>
    <col min="24" max="24" width="14.42578125" style="43" hidden="1" customWidth="1"/>
    <col min="25" max="25" width="15.5703125" style="43" hidden="1" customWidth="1"/>
    <col min="26" max="26" width="11.28515625" style="43" hidden="1" customWidth="1"/>
    <col min="27" max="27" width="16.42578125" style="43" hidden="1" customWidth="1"/>
    <col min="28" max="28" width="1" style="33" hidden="1" customWidth="1"/>
    <col min="29" max="29" width="14.28515625" style="33" hidden="1" customWidth="1"/>
    <col min="30" max="30" width="9.140625" style="33" hidden="1" customWidth="1"/>
    <col min="31" max="31" width="11.42578125" style="33" hidden="1" customWidth="1"/>
    <col min="32" max="32" width="14.5703125" style="33" hidden="1" customWidth="1"/>
    <col min="33" max="33" width="24.28515625" style="33" hidden="1" customWidth="1"/>
    <col min="34" max="34" width="11.7109375" style="43" hidden="1" customWidth="1"/>
    <col min="35" max="35" width="17" style="43" hidden="1" customWidth="1"/>
    <col min="36" max="36" width="10.28515625" style="43" hidden="1" customWidth="1"/>
    <col min="37" max="37" width="7.7109375" style="43" hidden="1" customWidth="1"/>
    <col min="38" max="38" width="16.42578125" style="43" hidden="1" customWidth="1"/>
    <col min="39" max="39" width="14.42578125" style="43" hidden="1" customWidth="1"/>
    <col min="40" max="40" width="15.5703125" style="43" hidden="1" customWidth="1"/>
    <col min="41" max="41" width="11.28515625" style="43" hidden="1" customWidth="1"/>
    <col min="42" max="42" width="16.42578125" style="43" hidden="1" customWidth="1"/>
    <col min="43" max="43" width="1" style="33" hidden="1" customWidth="1"/>
    <col min="44" max="45" width="9.140625" style="33" hidden="1" customWidth="1"/>
    <col min="46" max="46" width="11.42578125" style="33" hidden="1" customWidth="1"/>
    <col min="47" max="47" width="10.5703125" style="33" hidden="1" customWidth="1"/>
    <col min="48" max="48" width="17" style="33" hidden="1" customWidth="1"/>
    <col min="49" max="49" width="11.7109375" style="43" hidden="1" customWidth="1"/>
    <col min="50" max="50" width="17" style="43" hidden="1" customWidth="1"/>
    <col min="51" max="51" width="10.28515625" style="43" hidden="1" customWidth="1"/>
    <col min="52" max="52" width="11.42578125" style="43" hidden="1" customWidth="1"/>
    <col min="53" max="53" width="16.42578125" style="43" hidden="1" customWidth="1"/>
    <col min="54" max="54" width="14.42578125" style="43" hidden="1" customWidth="1"/>
    <col min="55" max="55" width="15.5703125" style="43" hidden="1" customWidth="1"/>
    <col min="56" max="56" width="11.28515625" style="43" hidden="1" customWidth="1"/>
    <col min="57" max="57" width="16.42578125" style="43" hidden="1" customWidth="1"/>
    <col min="58" max="58" width="1" style="33" hidden="1" customWidth="1"/>
    <col min="59" max="60" width="9.140625" style="33" hidden="1" customWidth="1"/>
    <col min="61" max="61" width="11.42578125" style="33" hidden="1" customWidth="1"/>
    <col min="62" max="62" width="14.5703125" style="33" hidden="1" customWidth="1"/>
    <col min="63" max="63" width="24.28515625" style="33" hidden="1" customWidth="1"/>
    <col min="64" max="64" width="11.7109375" style="43" hidden="1" customWidth="1"/>
    <col min="65" max="65" width="17" style="43" hidden="1" customWidth="1"/>
    <col min="66" max="66" width="10.28515625" style="43" hidden="1" customWidth="1"/>
    <col min="67" max="67" width="7.7109375" style="43" hidden="1" customWidth="1"/>
    <col min="68" max="68" width="16.42578125" style="43" hidden="1" customWidth="1"/>
    <col min="69" max="69" width="14.42578125" style="43" hidden="1" customWidth="1"/>
    <col min="70" max="70" width="15.5703125" style="43" hidden="1" customWidth="1"/>
    <col min="71" max="71" width="11.28515625" style="43" hidden="1" customWidth="1"/>
    <col min="72" max="72" width="16.42578125" style="43" hidden="1" customWidth="1"/>
    <col min="73" max="73" width="1" style="33" hidden="1" customWidth="1"/>
    <col min="74" max="75" width="9.140625" style="33" hidden="1" customWidth="1"/>
    <col min="76" max="76" width="11.42578125" style="33" hidden="1" customWidth="1"/>
    <col min="77" max="77" width="10.5703125" style="33" hidden="1" customWidth="1"/>
    <col min="78" max="78" width="17" style="33" hidden="1" customWidth="1"/>
    <col min="79" max="79" width="11.7109375" style="43" hidden="1" customWidth="1"/>
    <col min="80" max="80" width="17" style="43" hidden="1" customWidth="1"/>
    <col min="81" max="81" width="10.28515625" style="43" hidden="1" customWidth="1"/>
    <col min="82" max="82" width="7.7109375" style="43" hidden="1" customWidth="1"/>
    <col min="83" max="83" width="16.42578125" style="43" hidden="1" customWidth="1"/>
    <col min="84" max="84" width="14.42578125" style="43" hidden="1" customWidth="1"/>
    <col min="85" max="85" width="15.5703125" style="43" hidden="1" customWidth="1"/>
    <col min="86" max="86" width="11.28515625" style="43" hidden="1" customWidth="1"/>
    <col min="87" max="87" width="16.42578125" style="43" hidden="1" customWidth="1"/>
    <col min="88" max="88" width="1" style="33" hidden="1" customWidth="1"/>
    <col min="89" max="90" width="9.140625" style="33" hidden="1" customWidth="1"/>
    <col min="91" max="91" width="11.42578125" style="33" hidden="1" customWidth="1"/>
    <col min="92" max="92" width="10.5703125" style="33" hidden="1" customWidth="1"/>
    <col min="93" max="93" width="17" style="33" hidden="1" customWidth="1"/>
    <col min="94" max="94" width="11.7109375" style="43" customWidth="1"/>
    <col min="95" max="95" width="17" style="43" customWidth="1"/>
    <col min="96" max="96" width="10.28515625" style="43" customWidth="1"/>
    <col min="97" max="97" width="7.7109375" style="43" customWidth="1"/>
    <col min="98" max="98" width="16.42578125" style="43" customWidth="1"/>
    <col min="99" max="99" width="14.42578125" style="43" customWidth="1"/>
    <col min="100" max="100" width="15.5703125" style="43" customWidth="1"/>
    <col min="101" max="101" width="11.28515625" style="43" customWidth="1"/>
    <col min="102" max="102" width="16.42578125" style="43" customWidth="1"/>
    <col min="103" max="103" width="1" style="33" customWidth="1"/>
    <col min="104" max="105" width="9.140625" style="33" customWidth="1"/>
    <col min="106" max="106" width="11.42578125" style="33" customWidth="1"/>
    <col min="107" max="107" width="10.5703125" style="33" customWidth="1"/>
    <col min="108" max="108" width="17" style="33" customWidth="1"/>
    <col min="109" max="109" width="11.7109375" style="43" customWidth="1"/>
    <col min="110" max="110" width="17" style="43" customWidth="1"/>
    <col min="111" max="111" width="10.28515625" style="43" customWidth="1"/>
    <col min="112" max="112" width="7.7109375" style="43" customWidth="1"/>
    <col min="113" max="113" width="16.42578125" style="43" customWidth="1"/>
    <col min="114" max="114" width="14.42578125" style="43" customWidth="1"/>
    <col min="115" max="115" width="15.5703125" style="43" customWidth="1"/>
    <col min="116" max="116" width="11.28515625" style="43" customWidth="1"/>
    <col min="117" max="117" width="16.42578125" style="43" customWidth="1"/>
    <col min="118" max="118" width="1" style="33" customWidth="1"/>
    <col min="119" max="120" width="9.140625" style="33" customWidth="1"/>
    <col min="121" max="121" width="11.42578125" style="33" customWidth="1"/>
    <col min="122" max="122" width="10.5703125" style="33" customWidth="1"/>
    <col min="123" max="123" width="17" style="33" customWidth="1"/>
    <col min="124" max="124" width="11.7109375" style="43" customWidth="1"/>
    <col min="125" max="125" width="17" style="43" customWidth="1"/>
    <col min="126" max="126" width="10.28515625" style="43" customWidth="1"/>
    <col min="127" max="127" width="7.7109375" style="43" customWidth="1"/>
    <col min="128" max="128" width="16.42578125" style="43" customWidth="1"/>
    <col min="129" max="129" width="14.42578125" style="43" customWidth="1"/>
    <col min="130" max="130" width="15.5703125" style="43" customWidth="1"/>
    <col min="131" max="131" width="11.28515625" style="43" customWidth="1"/>
    <col min="132" max="132" width="16.42578125" style="43" customWidth="1"/>
    <col min="133" max="133" width="1" style="33" customWidth="1"/>
    <col min="134" max="135" width="9.140625" style="33" customWidth="1"/>
    <col min="136" max="136" width="11.42578125" style="33" customWidth="1"/>
    <col min="137" max="137" width="10.5703125" style="33" customWidth="1"/>
    <col min="138" max="138" width="17" style="33" customWidth="1"/>
    <col min="139" max="139" width="11.7109375" style="43" customWidth="1"/>
    <col min="140" max="140" width="18.140625" style="43" customWidth="1"/>
    <col min="141" max="141" width="10.28515625" style="43" customWidth="1"/>
    <col min="142" max="142" width="7.7109375" style="43" customWidth="1"/>
    <col min="143" max="143" width="16.42578125" style="43" customWidth="1"/>
    <col min="144" max="144" width="14.42578125" style="43" customWidth="1"/>
    <col min="145" max="145" width="15.5703125" style="43" customWidth="1"/>
    <col min="146" max="146" width="11.28515625" style="43" customWidth="1"/>
    <col min="147" max="147" width="16.42578125" style="43" customWidth="1"/>
    <col min="148" max="148" width="1" style="33" customWidth="1"/>
    <col min="149" max="150" width="9.140625" style="33" customWidth="1"/>
    <col min="151" max="151" width="11.42578125" style="33" customWidth="1"/>
    <col min="152" max="152" width="10.5703125" style="33" customWidth="1"/>
    <col min="153" max="153" width="18" style="33" customWidth="1"/>
    <col min="154" max="154" width="11.7109375" style="43" customWidth="1"/>
    <col min="155" max="155" width="18.140625" style="43" customWidth="1"/>
    <col min="156" max="156" width="10.28515625" style="43" customWidth="1"/>
    <col min="157" max="157" width="7.7109375" style="43" customWidth="1"/>
    <col min="158" max="158" width="16.42578125" style="43" customWidth="1"/>
    <col min="159" max="159" width="14.42578125" style="43" customWidth="1"/>
    <col min="160" max="160" width="15.5703125" style="43" customWidth="1"/>
    <col min="161" max="161" width="11.28515625" style="43" customWidth="1"/>
    <col min="162" max="162" width="16.42578125" style="43" customWidth="1"/>
    <col min="163" max="163" width="1" style="33" customWidth="1"/>
    <col min="164" max="165" width="9.140625" style="33" customWidth="1"/>
    <col min="166" max="166" width="11.42578125" style="33" customWidth="1"/>
    <col min="167" max="167" width="10.5703125" style="33" customWidth="1"/>
    <col min="168" max="168" width="18" style="33" customWidth="1"/>
    <col min="169" max="169" width="11.7109375" style="43" customWidth="1"/>
    <col min="170" max="170" width="18.140625" style="43" customWidth="1"/>
    <col min="171" max="171" width="10.28515625" style="43" customWidth="1"/>
    <col min="172" max="172" width="7.7109375" style="43" customWidth="1"/>
    <col min="173" max="173" width="16.42578125" style="43" customWidth="1"/>
    <col min="174" max="174" width="15.42578125" style="43" customWidth="1"/>
    <col min="175" max="175" width="15.5703125" style="43" customWidth="1"/>
    <col min="176" max="176" width="11.28515625" style="43" customWidth="1"/>
    <col min="177" max="177" width="16.42578125" style="43" customWidth="1"/>
    <col min="178" max="178" width="1" style="33" customWidth="1"/>
    <col min="179" max="180" width="9.140625" style="33" customWidth="1"/>
    <col min="181" max="181" width="11.42578125" style="33" customWidth="1"/>
    <col min="182" max="182" width="14.5703125" style="33" customWidth="1"/>
    <col min="183" max="183" width="23.42578125" style="33" customWidth="1"/>
    <col min="184" max="336" width="9.140625" style="33"/>
    <col min="337" max="337" width="4.28515625" style="33" customWidth="1"/>
    <col min="338" max="338" width="27.5703125" style="33" bestFit="1" customWidth="1"/>
    <col min="339" max="339" width="13.140625" style="33" bestFit="1" customWidth="1"/>
    <col min="340" max="340" width="16.5703125" style="33" customWidth="1"/>
    <col min="341" max="341" width="13" style="33" bestFit="1" customWidth="1"/>
    <col min="342" max="342" width="13.140625" style="33" bestFit="1" customWidth="1"/>
    <col min="343" max="343" width="16.5703125" style="33" customWidth="1"/>
    <col min="344" max="344" width="10.140625" style="33" bestFit="1" customWidth="1"/>
    <col min="345" max="345" width="16.5703125" style="33" bestFit="1" customWidth="1"/>
    <col min="346" max="346" width="14.140625" style="33" customWidth="1"/>
    <col min="347" max="347" width="16.42578125" style="33" bestFit="1" customWidth="1"/>
    <col min="348" max="348" width="10.28515625" style="33" bestFit="1" customWidth="1"/>
    <col min="349" max="592" width="9.140625" style="33"/>
    <col min="593" max="593" width="4.28515625" style="33" customWidth="1"/>
    <col min="594" max="594" width="27.5703125" style="33" bestFit="1" customWidth="1"/>
    <col min="595" max="595" width="13.140625" style="33" bestFit="1" customWidth="1"/>
    <col min="596" max="596" width="16.5703125" style="33" customWidth="1"/>
    <col min="597" max="597" width="13" style="33" bestFit="1" customWidth="1"/>
    <col min="598" max="598" width="13.140625" style="33" bestFit="1" customWidth="1"/>
    <col min="599" max="599" width="16.5703125" style="33" customWidth="1"/>
    <col min="600" max="600" width="10.140625" style="33" bestFit="1" customWidth="1"/>
    <col min="601" max="601" width="16.5703125" style="33" bestFit="1" customWidth="1"/>
    <col min="602" max="602" width="14.140625" style="33" customWidth="1"/>
    <col min="603" max="603" width="16.42578125" style="33" bestFit="1" customWidth="1"/>
    <col min="604" max="604" width="10.28515625" style="33" bestFit="1" customWidth="1"/>
    <col min="605" max="848" width="9.140625" style="33"/>
    <col min="849" max="849" width="4.28515625" style="33" customWidth="1"/>
    <col min="850" max="850" width="27.5703125" style="33" bestFit="1" customWidth="1"/>
    <col min="851" max="851" width="13.140625" style="33" bestFit="1" customWidth="1"/>
    <col min="852" max="852" width="16.5703125" style="33" customWidth="1"/>
    <col min="853" max="853" width="13" style="33" bestFit="1" customWidth="1"/>
    <col min="854" max="854" width="13.140625" style="33" bestFit="1" customWidth="1"/>
    <col min="855" max="855" width="16.5703125" style="33" customWidth="1"/>
    <col min="856" max="856" width="10.140625" style="33" bestFit="1" customWidth="1"/>
    <col min="857" max="857" width="16.5703125" style="33" bestFit="1" customWidth="1"/>
    <col min="858" max="858" width="14.140625" style="33" customWidth="1"/>
    <col min="859" max="859" width="16.42578125" style="33" bestFit="1" customWidth="1"/>
    <col min="860" max="860" width="10.28515625" style="33" bestFit="1" customWidth="1"/>
    <col min="861" max="1104" width="9.140625" style="33"/>
    <col min="1105" max="1105" width="4.28515625" style="33" customWidth="1"/>
    <col min="1106" max="1106" width="27.5703125" style="33" bestFit="1" customWidth="1"/>
    <col min="1107" max="1107" width="13.140625" style="33" bestFit="1" customWidth="1"/>
    <col min="1108" max="1108" width="16.5703125" style="33" customWidth="1"/>
    <col min="1109" max="1109" width="13" style="33" bestFit="1" customWidth="1"/>
    <col min="1110" max="1110" width="13.140625" style="33" bestFit="1" customWidth="1"/>
    <col min="1111" max="1111" width="16.5703125" style="33" customWidth="1"/>
    <col min="1112" max="1112" width="10.140625" style="33" bestFit="1" customWidth="1"/>
    <col min="1113" max="1113" width="16.5703125" style="33" bestFit="1" customWidth="1"/>
    <col min="1114" max="1114" width="14.140625" style="33" customWidth="1"/>
    <col min="1115" max="1115" width="16.42578125" style="33" bestFit="1" customWidth="1"/>
    <col min="1116" max="1116" width="10.28515625" style="33" bestFit="1" customWidth="1"/>
    <col min="1117" max="1360" width="9.140625" style="33"/>
    <col min="1361" max="1361" width="4.28515625" style="33" customWidth="1"/>
    <col min="1362" max="1362" width="27.5703125" style="33" bestFit="1" customWidth="1"/>
    <col min="1363" max="1363" width="13.140625" style="33" bestFit="1" customWidth="1"/>
    <col min="1364" max="1364" width="16.5703125" style="33" customWidth="1"/>
    <col min="1365" max="1365" width="13" style="33" bestFit="1" customWidth="1"/>
    <col min="1366" max="1366" width="13.140625" style="33" bestFit="1" customWidth="1"/>
    <col min="1367" max="1367" width="16.5703125" style="33" customWidth="1"/>
    <col min="1368" max="1368" width="10.140625" style="33" bestFit="1" customWidth="1"/>
    <col min="1369" max="1369" width="16.5703125" style="33" bestFit="1" customWidth="1"/>
    <col min="1370" max="1370" width="14.140625" style="33" customWidth="1"/>
    <col min="1371" max="1371" width="16.42578125" style="33" bestFit="1" customWidth="1"/>
    <col min="1372" max="1372" width="10.28515625" style="33" bestFit="1" customWidth="1"/>
    <col min="1373" max="1616" width="9.140625" style="33"/>
    <col min="1617" max="1617" width="4.28515625" style="33" customWidth="1"/>
    <col min="1618" max="1618" width="27.5703125" style="33" bestFit="1" customWidth="1"/>
    <col min="1619" max="1619" width="13.140625" style="33" bestFit="1" customWidth="1"/>
    <col min="1620" max="1620" width="16.5703125" style="33" customWidth="1"/>
    <col min="1621" max="1621" width="13" style="33" bestFit="1" customWidth="1"/>
    <col min="1622" max="1622" width="13.140625" style="33" bestFit="1" customWidth="1"/>
    <col min="1623" max="1623" width="16.5703125" style="33" customWidth="1"/>
    <col min="1624" max="1624" width="10.140625" style="33" bestFit="1" customWidth="1"/>
    <col min="1625" max="1625" width="16.5703125" style="33" bestFit="1" customWidth="1"/>
    <col min="1626" max="1626" width="14.140625" style="33" customWidth="1"/>
    <col min="1627" max="1627" width="16.42578125" style="33" bestFit="1" customWidth="1"/>
    <col min="1628" max="1628" width="10.28515625" style="33" bestFit="1" customWidth="1"/>
    <col min="1629" max="1872" width="9.140625" style="33"/>
    <col min="1873" max="1873" width="4.28515625" style="33" customWidth="1"/>
    <col min="1874" max="1874" width="27.5703125" style="33" bestFit="1" customWidth="1"/>
    <col min="1875" max="1875" width="13.140625" style="33" bestFit="1" customWidth="1"/>
    <col min="1876" max="1876" width="16.5703125" style="33" customWidth="1"/>
    <col min="1877" max="1877" width="13" style="33" bestFit="1" customWidth="1"/>
    <col min="1878" max="1878" width="13.140625" style="33" bestFit="1" customWidth="1"/>
    <col min="1879" max="1879" width="16.5703125" style="33" customWidth="1"/>
    <col min="1880" max="1880" width="10.140625" style="33" bestFit="1" customWidth="1"/>
    <col min="1881" max="1881" width="16.5703125" style="33" bestFit="1" customWidth="1"/>
    <col min="1882" max="1882" width="14.140625" style="33" customWidth="1"/>
    <col min="1883" max="1883" width="16.42578125" style="33" bestFit="1" customWidth="1"/>
    <col min="1884" max="1884" width="10.28515625" style="33" bestFit="1" customWidth="1"/>
    <col min="1885" max="2128" width="9.140625" style="33"/>
    <col min="2129" max="2129" width="4.28515625" style="33" customWidth="1"/>
    <col min="2130" max="2130" width="27.5703125" style="33" bestFit="1" customWidth="1"/>
    <col min="2131" max="2131" width="13.140625" style="33" bestFit="1" customWidth="1"/>
    <col min="2132" max="2132" width="16.5703125" style="33" customWidth="1"/>
    <col min="2133" max="2133" width="13" style="33" bestFit="1" customWidth="1"/>
    <col min="2134" max="2134" width="13.140625" style="33" bestFit="1" customWidth="1"/>
    <col min="2135" max="2135" width="16.5703125" style="33" customWidth="1"/>
    <col min="2136" max="2136" width="10.140625" style="33" bestFit="1" customWidth="1"/>
    <col min="2137" max="2137" width="16.5703125" style="33" bestFit="1" customWidth="1"/>
    <col min="2138" max="2138" width="14.140625" style="33" customWidth="1"/>
    <col min="2139" max="2139" width="16.42578125" style="33" bestFit="1" customWidth="1"/>
    <col min="2140" max="2140" width="10.28515625" style="33" bestFit="1" customWidth="1"/>
    <col min="2141" max="2384" width="9.140625" style="33"/>
    <col min="2385" max="2385" width="4.28515625" style="33" customWidth="1"/>
    <col min="2386" max="2386" width="27.5703125" style="33" bestFit="1" customWidth="1"/>
    <col min="2387" max="2387" width="13.140625" style="33" bestFit="1" customWidth="1"/>
    <col min="2388" max="2388" width="16.5703125" style="33" customWidth="1"/>
    <col min="2389" max="2389" width="13" style="33" bestFit="1" customWidth="1"/>
    <col min="2390" max="2390" width="13.140625" style="33" bestFit="1" customWidth="1"/>
    <col min="2391" max="2391" width="16.5703125" style="33" customWidth="1"/>
    <col min="2392" max="2392" width="10.140625" style="33" bestFit="1" customWidth="1"/>
    <col min="2393" max="2393" width="16.5703125" style="33" bestFit="1" customWidth="1"/>
    <col min="2394" max="2394" width="14.140625" style="33" customWidth="1"/>
    <col min="2395" max="2395" width="16.42578125" style="33" bestFit="1" customWidth="1"/>
    <col min="2396" max="2396" width="10.28515625" style="33" bestFit="1" customWidth="1"/>
    <col min="2397" max="2640" width="9.140625" style="33"/>
    <col min="2641" max="2641" width="4.28515625" style="33" customWidth="1"/>
    <col min="2642" max="2642" width="27.5703125" style="33" bestFit="1" customWidth="1"/>
    <col min="2643" max="2643" width="13.140625" style="33" bestFit="1" customWidth="1"/>
    <col min="2644" max="2644" width="16.5703125" style="33" customWidth="1"/>
    <col min="2645" max="2645" width="13" style="33" bestFit="1" customWidth="1"/>
    <col min="2646" max="2646" width="13.140625" style="33" bestFit="1" customWidth="1"/>
    <col min="2647" max="2647" width="16.5703125" style="33" customWidth="1"/>
    <col min="2648" max="2648" width="10.140625" style="33" bestFit="1" customWidth="1"/>
    <col min="2649" max="2649" width="16.5703125" style="33" bestFit="1" customWidth="1"/>
    <col min="2650" max="2650" width="14.140625" style="33" customWidth="1"/>
    <col min="2651" max="2651" width="16.42578125" style="33" bestFit="1" customWidth="1"/>
    <col min="2652" max="2652" width="10.28515625" style="33" bestFit="1" customWidth="1"/>
    <col min="2653" max="2896" width="9.140625" style="33"/>
    <col min="2897" max="2897" width="4.28515625" style="33" customWidth="1"/>
    <col min="2898" max="2898" width="27.5703125" style="33" bestFit="1" customWidth="1"/>
    <col min="2899" max="2899" width="13.140625" style="33" bestFit="1" customWidth="1"/>
    <col min="2900" max="2900" width="16.5703125" style="33" customWidth="1"/>
    <col min="2901" max="2901" width="13" style="33" bestFit="1" customWidth="1"/>
    <col min="2902" max="2902" width="13.140625" style="33" bestFit="1" customWidth="1"/>
    <col min="2903" max="2903" width="16.5703125" style="33" customWidth="1"/>
    <col min="2904" max="2904" width="10.140625" style="33" bestFit="1" customWidth="1"/>
    <col min="2905" max="2905" width="16.5703125" style="33" bestFit="1" customWidth="1"/>
    <col min="2906" max="2906" width="14.140625" style="33" customWidth="1"/>
    <col min="2907" max="2907" width="16.42578125" style="33" bestFit="1" customWidth="1"/>
    <col min="2908" max="2908" width="10.28515625" style="33" bestFit="1" customWidth="1"/>
    <col min="2909" max="3152" width="9.140625" style="33"/>
    <col min="3153" max="3153" width="4.28515625" style="33" customWidth="1"/>
    <col min="3154" max="3154" width="27.5703125" style="33" bestFit="1" customWidth="1"/>
    <col min="3155" max="3155" width="13.140625" style="33" bestFit="1" customWidth="1"/>
    <col min="3156" max="3156" width="16.5703125" style="33" customWidth="1"/>
    <col min="3157" max="3157" width="13" style="33" bestFit="1" customWidth="1"/>
    <col min="3158" max="3158" width="13.140625" style="33" bestFit="1" customWidth="1"/>
    <col min="3159" max="3159" width="16.5703125" style="33" customWidth="1"/>
    <col min="3160" max="3160" width="10.140625" style="33" bestFit="1" customWidth="1"/>
    <col min="3161" max="3161" width="16.5703125" style="33" bestFit="1" customWidth="1"/>
    <col min="3162" max="3162" width="14.140625" style="33" customWidth="1"/>
    <col min="3163" max="3163" width="16.42578125" style="33" bestFit="1" customWidth="1"/>
    <col min="3164" max="3164" width="10.28515625" style="33" bestFit="1" customWidth="1"/>
    <col min="3165" max="3408" width="9.140625" style="33"/>
    <col min="3409" max="3409" width="4.28515625" style="33" customWidth="1"/>
    <col min="3410" max="3410" width="27.5703125" style="33" bestFit="1" customWidth="1"/>
    <col min="3411" max="3411" width="13.140625" style="33" bestFit="1" customWidth="1"/>
    <col min="3412" max="3412" width="16.5703125" style="33" customWidth="1"/>
    <col min="3413" max="3413" width="13" style="33" bestFit="1" customWidth="1"/>
    <col min="3414" max="3414" width="13.140625" style="33" bestFit="1" customWidth="1"/>
    <col min="3415" max="3415" width="16.5703125" style="33" customWidth="1"/>
    <col min="3416" max="3416" width="10.140625" style="33" bestFit="1" customWidth="1"/>
    <col min="3417" max="3417" width="16.5703125" style="33" bestFit="1" customWidth="1"/>
    <col min="3418" max="3418" width="14.140625" style="33" customWidth="1"/>
    <col min="3419" max="3419" width="16.42578125" style="33" bestFit="1" customWidth="1"/>
    <col min="3420" max="3420" width="10.28515625" style="33" bestFit="1" customWidth="1"/>
    <col min="3421" max="3664" width="9.140625" style="33"/>
    <col min="3665" max="3665" width="4.28515625" style="33" customWidth="1"/>
    <col min="3666" max="3666" width="27.5703125" style="33" bestFit="1" customWidth="1"/>
    <col min="3667" max="3667" width="13.140625" style="33" bestFit="1" customWidth="1"/>
    <col min="3668" max="3668" width="16.5703125" style="33" customWidth="1"/>
    <col min="3669" max="3669" width="13" style="33" bestFit="1" customWidth="1"/>
    <col min="3670" max="3670" width="13.140625" style="33" bestFit="1" customWidth="1"/>
    <col min="3671" max="3671" width="16.5703125" style="33" customWidth="1"/>
    <col min="3672" max="3672" width="10.140625" style="33" bestFit="1" customWidth="1"/>
    <col min="3673" max="3673" width="16.5703125" style="33" bestFit="1" customWidth="1"/>
    <col min="3674" max="3674" width="14.140625" style="33" customWidth="1"/>
    <col min="3675" max="3675" width="16.42578125" style="33" bestFit="1" customWidth="1"/>
    <col min="3676" max="3676" width="10.28515625" style="33" bestFit="1" customWidth="1"/>
    <col min="3677" max="3920" width="9.140625" style="33"/>
    <col min="3921" max="3921" width="4.28515625" style="33" customWidth="1"/>
    <col min="3922" max="3922" width="27.5703125" style="33" bestFit="1" customWidth="1"/>
    <col min="3923" max="3923" width="13.140625" style="33" bestFit="1" customWidth="1"/>
    <col min="3924" max="3924" width="16.5703125" style="33" customWidth="1"/>
    <col min="3925" max="3925" width="13" style="33" bestFit="1" customWidth="1"/>
    <col min="3926" max="3926" width="13.140625" style="33" bestFit="1" customWidth="1"/>
    <col min="3927" max="3927" width="16.5703125" style="33" customWidth="1"/>
    <col min="3928" max="3928" width="10.140625" style="33" bestFit="1" customWidth="1"/>
    <col min="3929" max="3929" width="16.5703125" style="33" bestFit="1" customWidth="1"/>
    <col min="3930" max="3930" width="14.140625" style="33" customWidth="1"/>
    <col min="3931" max="3931" width="16.42578125" style="33" bestFit="1" customWidth="1"/>
    <col min="3932" max="3932" width="10.28515625" style="33" bestFit="1" customWidth="1"/>
    <col min="3933" max="4176" width="9.140625" style="33"/>
    <col min="4177" max="4177" width="4.28515625" style="33" customWidth="1"/>
    <col min="4178" max="4178" width="27.5703125" style="33" bestFit="1" customWidth="1"/>
    <col min="4179" max="4179" width="13.140625" style="33" bestFit="1" customWidth="1"/>
    <col min="4180" max="4180" width="16.5703125" style="33" customWidth="1"/>
    <col min="4181" max="4181" width="13" style="33" bestFit="1" customWidth="1"/>
    <col min="4182" max="4182" width="13.140625" style="33" bestFit="1" customWidth="1"/>
    <col min="4183" max="4183" width="16.5703125" style="33" customWidth="1"/>
    <col min="4184" max="4184" width="10.140625" style="33" bestFit="1" customWidth="1"/>
    <col min="4185" max="4185" width="16.5703125" style="33" bestFit="1" customWidth="1"/>
    <col min="4186" max="4186" width="14.140625" style="33" customWidth="1"/>
    <col min="4187" max="4187" width="16.42578125" style="33" bestFit="1" customWidth="1"/>
    <col min="4188" max="4188" width="10.28515625" style="33" bestFit="1" customWidth="1"/>
    <col min="4189" max="4432" width="9.140625" style="33"/>
    <col min="4433" max="4433" width="4.28515625" style="33" customWidth="1"/>
    <col min="4434" max="4434" width="27.5703125" style="33" bestFit="1" customWidth="1"/>
    <col min="4435" max="4435" width="13.140625" style="33" bestFit="1" customWidth="1"/>
    <col min="4436" max="4436" width="16.5703125" style="33" customWidth="1"/>
    <col min="4437" max="4437" width="13" style="33" bestFit="1" customWidth="1"/>
    <col min="4438" max="4438" width="13.140625" style="33" bestFit="1" customWidth="1"/>
    <col min="4439" max="4439" width="16.5703125" style="33" customWidth="1"/>
    <col min="4440" max="4440" width="10.140625" style="33" bestFit="1" customWidth="1"/>
    <col min="4441" max="4441" width="16.5703125" style="33" bestFit="1" customWidth="1"/>
    <col min="4442" max="4442" width="14.140625" style="33" customWidth="1"/>
    <col min="4443" max="4443" width="16.42578125" style="33" bestFit="1" customWidth="1"/>
    <col min="4444" max="4444" width="10.28515625" style="33" bestFit="1" customWidth="1"/>
    <col min="4445" max="4688" width="9.140625" style="33"/>
    <col min="4689" max="4689" width="4.28515625" style="33" customWidth="1"/>
    <col min="4690" max="4690" width="27.5703125" style="33" bestFit="1" customWidth="1"/>
    <col min="4691" max="4691" width="13.140625" style="33" bestFit="1" customWidth="1"/>
    <col min="4692" max="4692" width="16.5703125" style="33" customWidth="1"/>
    <col min="4693" max="4693" width="13" style="33" bestFit="1" customWidth="1"/>
    <col min="4694" max="4694" width="13.140625" style="33" bestFit="1" customWidth="1"/>
    <col min="4695" max="4695" width="16.5703125" style="33" customWidth="1"/>
    <col min="4696" max="4696" width="10.140625" style="33" bestFit="1" customWidth="1"/>
    <col min="4697" max="4697" width="16.5703125" style="33" bestFit="1" customWidth="1"/>
    <col min="4698" max="4698" width="14.140625" style="33" customWidth="1"/>
    <col min="4699" max="4699" width="16.42578125" style="33" bestFit="1" customWidth="1"/>
    <col min="4700" max="4700" width="10.28515625" style="33" bestFit="1" customWidth="1"/>
    <col min="4701" max="4944" width="9.140625" style="33"/>
    <col min="4945" max="4945" width="4.28515625" style="33" customWidth="1"/>
    <col min="4946" max="4946" width="27.5703125" style="33" bestFit="1" customWidth="1"/>
    <col min="4947" max="4947" width="13.140625" style="33" bestFit="1" customWidth="1"/>
    <col min="4948" max="4948" width="16.5703125" style="33" customWidth="1"/>
    <col min="4949" max="4949" width="13" style="33" bestFit="1" customWidth="1"/>
    <col min="4950" max="4950" width="13.140625" style="33" bestFit="1" customWidth="1"/>
    <col min="4951" max="4951" width="16.5703125" style="33" customWidth="1"/>
    <col min="4952" max="4952" width="10.140625" style="33" bestFit="1" customWidth="1"/>
    <col min="4953" max="4953" width="16.5703125" style="33" bestFit="1" customWidth="1"/>
    <col min="4954" max="4954" width="14.140625" style="33" customWidth="1"/>
    <col min="4955" max="4955" width="16.42578125" style="33" bestFit="1" customWidth="1"/>
    <col min="4956" max="4956" width="10.28515625" style="33" bestFit="1" customWidth="1"/>
    <col min="4957" max="5200" width="9.140625" style="33"/>
    <col min="5201" max="5201" width="4.28515625" style="33" customWidth="1"/>
    <col min="5202" max="5202" width="27.5703125" style="33" bestFit="1" customWidth="1"/>
    <col min="5203" max="5203" width="13.140625" style="33" bestFit="1" customWidth="1"/>
    <col min="5204" max="5204" width="16.5703125" style="33" customWidth="1"/>
    <col min="5205" max="5205" width="13" style="33" bestFit="1" customWidth="1"/>
    <col min="5206" max="5206" width="13.140625" style="33" bestFit="1" customWidth="1"/>
    <col min="5207" max="5207" width="16.5703125" style="33" customWidth="1"/>
    <col min="5208" max="5208" width="10.140625" style="33" bestFit="1" customWidth="1"/>
    <col min="5209" max="5209" width="16.5703125" style="33" bestFit="1" customWidth="1"/>
    <col min="5210" max="5210" width="14.140625" style="33" customWidth="1"/>
    <col min="5211" max="5211" width="16.42578125" style="33" bestFit="1" customWidth="1"/>
    <col min="5212" max="5212" width="10.28515625" style="33" bestFit="1" customWidth="1"/>
    <col min="5213" max="5456" width="9.140625" style="33"/>
    <col min="5457" max="5457" width="4.28515625" style="33" customWidth="1"/>
    <col min="5458" max="5458" width="27.5703125" style="33" bestFit="1" customWidth="1"/>
    <col min="5459" max="5459" width="13.140625" style="33" bestFit="1" customWidth="1"/>
    <col min="5460" max="5460" width="16.5703125" style="33" customWidth="1"/>
    <col min="5461" max="5461" width="13" style="33" bestFit="1" customWidth="1"/>
    <col min="5462" max="5462" width="13.140625" style="33" bestFit="1" customWidth="1"/>
    <col min="5463" max="5463" width="16.5703125" style="33" customWidth="1"/>
    <col min="5464" max="5464" width="10.140625" style="33" bestFit="1" customWidth="1"/>
    <col min="5465" max="5465" width="16.5703125" style="33" bestFit="1" customWidth="1"/>
    <col min="5466" max="5466" width="14.140625" style="33" customWidth="1"/>
    <col min="5467" max="5467" width="16.42578125" style="33" bestFit="1" customWidth="1"/>
    <col min="5468" max="5468" width="10.28515625" style="33" bestFit="1" customWidth="1"/>
    <col min="5469" max="5712" width="9.140625" style="33"/>
    <col min="5713" max="5713" width="4.28515625" style="33" customWidth="1"/>
    <col min="5714" max="5714" width="27.5703125" style="33" bestFit="1" customWidth="1"/>
    <col min="5715" max="5715" width="13.140625" style="33" bestFit="1" customWidth="1"/>
    <col min="5716" max="5716" width="16.5703125" style="33" customWidth="1"/>
    <col min="5717" max="5717" width="13" style="33" bestFit="1" customWidth="1"/>
    <col min="5718" max="5718" width="13.140625" style="33" bestFit="1" customWidth="1"/>
    <col min="5719" max="5719" width="16.5703125" style="33" customWidth="1"/>
    <col min="5720" max="5720" width="10.140625" style="33" bestFit="1" customWidth="1"/>
    <col min="5721" max="5721" width="16.5703125" style="33" bestFit="1" customWidth="1"/>
    <col min="5722" max="5722" width="14.140625" style="33" customWidth="1"/>
    <col min="5723" max="5723" width="16.42578125" style="33" bestFit="1" customWidth="1"/>
    <col min="5724" max="5724" width="10.28515625" style="33" bestFit="1" customWidth="1"/>
    <col min="5725" max="5968" width="9.140625" style="33"/>
    <col min="5969" max="5969" width="4.28515625" style="33" customWidth="1"/>
    <col min="5970" max="5970" width="27.5703125" style="33" bestFit="1" customWidth="1"/>
    <col min="5971" max="5971" width="13.140625" style="33" bestFit="1" customWidth="1"/>
    <col min="5972" max="5972" width="16.5703125" style="33" customWidth="1"/>
    <col min="5973" max="5973" width="13" style="33" bestFit="1" customWidth="1"/>
    <col min="5974" max="5974" width="13.140625" style="33" bestFit="1" customWidth="1"/>
    <col min="5975" max="5975" width="16.5703125" style="33" customWidth="1"/>
    <col min="5976" max="5976" width="10.140625" style="33" bestFit="1" customWidth="1"/>
    <col min="5977" max="5977" width="16.5703125" style="33" bestFit="1" customWidth="1"/>
    <col min="5978" max="5978" width="14.140625" style="33" customWidth="1"/>
    <col min="5979" max="5979" width="16.42578125" style="33" bestFit="1" customWidth="1"/>
    <col min="5980" max="5980" width="10.28515625" style="33" bestFit="1" customWidth="1"/>
    <col min="5981" max="6224" width="9.140625" style="33"/>
    <col min="6225" max="6225" width="4.28515625" style="33" customWidth="1"/>
    <col min="6226" max="6226" width="27.5703125" style="33" bestFit="1" customWidth="1"/>
    <col min="6227" max="6227" width="13.140625" style="33" bestFit="1" customWidth="1"/>
    <col min="6228" max="6228" width="16.5703125" style="33" customWidth="1"/>
    <col min="6229" max="6229" width="13" style="33" bestFit="1" customWidth="1"/>
    <col min="6230" max="6230" width="13.140625" style="33" bestFit="1" customWidth="1"/>
    <col min="6231" max="6231" width="16.5703125" style="33" customWidth="1"/>
    <col min="6232" max="6232" width="10.140625" style="33" bestFit="1" customWidth="1"/>
    <col min="6233" max="6233" width="16.5703125" style="33" bestFit="1" customWidth="1"/>
    <col min="6234" max="6234" width="14.140625" style="33" customWidth="1"/>
    <col min="6235" max="6235" width="16.42578125" style="33" bestFit="1" customWidth="1"/>
    <col min="6236" max="6236" width="10.28515625" style="33" bestFit="1" customWidth="1"/>
    <col min="6237" max="6480" width="9.140625" style="33"/>
    <col min="6481" max="6481" width="4.28515625" style="33" customWidth="1"/>
    <col min="6482" max="6482" width="27.5703125" style="33" bestFit="1" customWidth="1"/>
    <col min="6483" max="6483" width="13.140625" style="33" bestFit="1" customWidth="1"/>
    <col min="6484" max="6484" width="16.5703125" style="33" customWidth="1"/>
    <col min="6485" max="6485" width="13" style="33" bestFit="1" customWidth="1"/>
    <col min="6486" max="6486" width="13.140625" style="33" bestFit="1" customWidth="1"/>
    <col min="6487" max="6487" width="16.5703125" style="33" customWidth="1"/>
    <col min="6488" max="6488" width="10.140625" style="33" bestFit="1" customWidth="1"/>
    <col min="6489" max="6489" width="16.5703125" style="33" bestFit="1" customWidth="1"/>
    <col min="6490" max="6490" width="14.140625" style="33" customWidth="1"/>
    <col min="6491" max="6491" width="16.42578125" style="33" bestFit="1" customWidth="1"/>
    <col min="6492" max="6492" width="10.28515625" style="33" bestFit="1" customWidth="1"/>
    <col min="6493" max="6736" width="9.140625" style="33"/>
    <col min="6737" max="6737" width="4.28515625" style="33" customWidth="1"/>
    <col min="6738" max="6738" width="27.5703125" style="33" bestFit="1" customWidth="1"/>
    <col min="6739" max="6739" width="13.140625" style="33" bestFit="1" customWidth="1"/>
    <col min="6740" max="6740" width="16.5703125" style="33" customWidth="1"/>
    <col min="6741" max="6741" width="13" style="33" bestFit="1" customWidth="1"/>
    <col min="6742" max="6742" width="13.140625" style="33" bestFit="1" customWidth="1"/>
    <col min="6743" max="6743" width="16.5703125" style="33" customWidth="1"/>
    <col min="6744" max="6744" width="10.140625" style="33" bestFit="1" customWidth="1"/>
    <col min="6745" max="6745" width="16.5703125" style="33" bestFit="1" customWidth="1"/>
    <col min="6746" max="6746" width="14.140625" style="33" customWidth="1"/>
    <col min="6747" max="6747" width="16.42578125" style="33" bestFit="1" customWidth="1"/>
    <col min="6748" max="6748" width="10.28515625" style="33" bestFit="1" customWidth="1"/>
    <col min="6749" max="6992" width="9.140625" style="33"/>
    <col min="6993" max="6993" width="4.28515625" style="33" customWidth="1"/>
    <col min="6994" max="6994" width="27.5703125" style="33" bestFit="1" customWidth="1"/>
    <col min="6995" max="6995" width="13.140625" style="33" bestFit="1" customWidth="1"/>
    <col min="6996" max="6996" width="16.5703125" style="33" customWidth="1"/>
    <col min="6997" max="6997" width="13" style="33" bestFit="1" customWidth="1"/>
    <col min="6998" max="6998" width="13.140625" style="33" bestFit="1" customWidth="1"/>
    <col min="6999" max="6999" width="16.5703125" style="33" customWidth="1"/>
    <col min="7000" max="7000" width="10.140625" style="33" bestFit="1" customWidth="1"/>
    <col min="7001" max="7001" width="16.5703125" style="33" bestFit="1" customWidth="1"/>
    <col min="7002" max="7002" width="14.140625" style="33" customWidth="1"/>
    <col min="7003" max="7003" width="16.42578125" style="33" bestFit="1" customWidth="1"/>
    <col min="7004" max="7004" width="10.28515625" style="33" bestFit="1" customWidth="1"/>
    <col min="7005" max="7248" width="9.140625" style="33"/>
    <col min="7249" max="7249" width="4.28515625" style="33" customWidth="1"/>
    <col min="7250" max="7250" width="27.5703125" style="33" bestFit="1" customWidth="1"/>
    <col min="7251" max="7251" width="13.140625" style="33" bestFit="1" customWidth="1"/>
    <col min="7252" max="7252" width="16.5703125" style="33" customWidth="1"/>
    <col min="7253" max="7253" width="13" style="33" bestFit="1" customWidth="1"/>
    <col min="7254" max="7254" width="13.140625" style="33" bestFit="1" customWidth="1"/>
    <col min="7255" max="7255" width="16.5703125" style="33" customWidth="1"/>
    <col min="7256" max="7256" width="10.140625" style="33" bestFit="1" customWidth="1"/>
    <col min="7257" max="7257" width="16.5703125" style="33" bestFit="1" customWidth="1"/>
    <col min="7258" max="7258" width="14.140625" style="33" customWidth="1"/>
    <col min="7259" max="7259" width="16.42578125" style="33" bestFit="1" customWidth="1"/>
    <col min="7260" max="7260" width="10.28515625" style="33" bestFit="1" customWidth="1"/>
    <col min="7261" max="7504" width="9.140625" style="33"/>
    <col min="7505" max="7505" width="4.28515625" style="33" customWidth="1"/>
    <col min="7506" max="7506" width="27.5703125" style="33" bestFit="1" customWidth="1"/>
    <col min="7507" max="7507" width="13.140625" style="33" bestFit="1" customWidth="1"/>
    <col min="7508" max="7508" width="16.5703125" style="33" customWidth="1"/>
    <col min="7509" max="7509" width="13" style="33" bestFit="1" customWidth="1"/>
    <col min="7510" max="7510" width="13.140625" style="33" bestFit="1" customWidth="1"/>
    <col min="7511" max="7511" width="16.5703125" style="33" customWidth="1"/>
    <col min="7512" max="7512" width="10.140625" style="33" bestFit="1" customWidth="1"/>
    <col min="7513" max="7513" width="16.5703125" style="33" bestFit="1" customWidth="1"/>
    <col min="7514" max="7514" width="14.140625" style="33" customWidth="1"/>
    <col min="7515" max="7515" width="16.42578125" style="33" bestFit="1" customWidth="1"/>
    <col min="7516" max="7516" width="10.28515625" style="33" bestFit="1" customWidth="1"/>
    <col min="7517" max="7760" width="9.140625" style="33"/>
    <col min="7761" max="7761" width="4.28515625" style="33" customWidth="1"/>
    <col min="7762" max="7762" width="27.5703125" style="33" bestFit="1" customWidth="1"/>
    <col min="7763" max="7763" width="13.140625" style="33" bestFit="1" customWidth="1"/>
    <col min="7764" max="7764" width="16.5703125" style="33" customWidth="1"/>
    <col min="7765" max="7765" width="13" style="33" bestFit="1" customWidth="1"/>
    <col min="7766" max="7766" width="13.140625" style="33" bestFit="1" customWidth="1"/>
    <col min="7767" max="7767" width="16.5703125" style="33" customWidth="1"/>
    <col min="7768" max="7768" width="10.140625" style="33" bestFit="1" customWidth="1"/>
    <col min="7769" max="7769" width="16.5703125" style="33" bestFit="1" customWidth="1"/>
    <col min="7770" max="7770" width="14.140625" style="33" customWidth="1"/>
    <col min="7771" max="7771" width="16.42578125" style="33" bestFit="1" customWidth="1"/>
    <col min="7772" max="7772" width="10.28515625" style="33" bestFit="1" customWidth="1"/>
    <col min="7773" max="8016" width="9.140625" style="33"/>
    <col min="8017" max="8017" width="4.28515625" style="33" customWidth="1"/>
    <col min="8018" max="8018" width="27.5703125" style="33" bestFit="1" customWidth="1"/>
    <col min="8019" max="8019" width="13.140625" style="33" bestFit="1" customWidth="1"/>
    <col min="8020" max="8020" width="16.5703125" style="33" customWidth="1"/>
    <col min="8021" max="8021" width="13" style="33" bestFit="1" customWidth="1"/>
    <col min="8022" max="8022" width="13.140625" style="33" bestFit="1" customWidth="1"/>
    <col min="8023" max="8023" width="16.5703125" style="33" customWidth="1"/>
    <col min="8024" max="8024" width="10.140625" style="33" bestFit="1" customWidth="1"/>
    <col min="8025" max="8025" width="16.5703125" style="33" bestFit="1" customWidth="1"/>
    <col min="8026" max="8026" width="14.140625" style="33" customWidth="1"/>
    <col min="8027" max="8027" width="16.42578125" style="33" bestFit="1" customWidth="1"/>
    <col min="8028" max="8028" width="10.28515625" style="33" bestFit="1" customWidth="1"/>
    <col min="8029" max="8272" width="9.140625" style="33"/>
    <col min="8273" max="8273" width="4.28515625" style="33" customWidth="1"/>
    <col min="8274" max="8274" width="27.5703125" style="33" bestFit="1" customWidth="1"/>
    <col min="8275" max="8275" width="13.140625" style="33" bestFit="1" customWidth="1"/>
    <col min="8276" max="8276" width="16.5703125" style="33" customWidth="1"/>
    <col min="8277" max="8277" width="13" style="33" bestFit="1" customWidth="1"/>
    <col min="8278" max="8278" width="13.140625" style="33" bestFit="1" customWidth="1"/>
    <col min="8279" max="8279" width="16.5703125" style="33" customWidth="1"/>
    <col min="8280" max="8280" width="10.140625" style="33" bestFit="1" customWidth="1"/>
    <col min="8281" max="8281" width="16.5703125" style="33" bestFit="1" customWidth="1"/>
    <col min="8282" max="8282" width="14.140625" style="33" customWidth="1"/>
    <col min="8283" max="8283" width="16.42578125" style="33" bestFit="1" customWidth="1"/>
    <col min="8284" max="8284" width="10.28515625" style="33" bestFit="1" customWidth="1"/>
    <col min="8285" max="8528" width="9.140625" style="33"/>
    <col min="8529" max="8529" width="4.28515625" style="33" customWidth="1"/>
    <col min="8530" max="8530" width="27.5703125" style="33" bestFit="1" customWidth="1"/>
    <col min="8531" max="8531" width="13.140625" style="33" bestFit="1" customWidth="1"/>
    <col min="8532" max="8532" width="16.5703125" style="33" customWidth="1"/>
    <col min="8533" max="8533" width="13" style="33" bestFit="1" customWidth="1"/>
    <col min="8534" max="8534" width="13.140625" style="33" bestFit="1" customWidth="1"/>
    <col min="8535" max="8535" width="16.5703125" style="33" customWidth="1"/>
    <col min="8536" max="8536" width="10.140625" style="33" bestFit="1" customWidth="1"/>
    <col min="8537" max="8537" width="16.5703125" style="33" bestFit="1" customWidth="1"/>
    <col min="8538" max="8538" width="14.140625" style="33" customWidth="1"/>
    <col min="8539" max="8539" width="16.42578125" style="33" bestFit="1" customWidth="1"/>
    <col min="8540" max="8540" width="10.28515625" style="33" bestFit="1" customWidth="1"/>
    <col min="8541" max="8784" width="9.140625" style="33"/>
    <col min="8785" max="8785" width="4.28515625" style="33" customWidth="1"/>
    <col min="8786" max="8786" width="27.5703125" style="33" bestFit="1" customWidth="1"/>
    <col min="8787" max="8787" width="13.140625" style="33" bestFit="1" customWidth="1"/>
    <col min="8788" max="8788" width="16.5703125" style="33" customWidth="1"/>
    <col min="8789" max="8789" width="13" style="33" bestFit="1" customWidth="1"/>
    <col min="8790" max="8790" width="13.140625" style="33" bestFit="1" customWidth="1"/>
    <col min="8791" max="8791" width="16.5703125" style="33" customWidth="1"/>
    <col min="8792" max="8792" width="10.140625" style="33" bestFit="1" customWidth="1"/>
    <col min="8793" max="8793" width="16.5703125" style="33" bestFit="1" customWidth="1"/>
    <col min="8794" max="8794" width="14.140625" style="33" customWidth="1"/>
    <col min="8795" max="8795" width="16.42578125" style="33" bestFit="1" customWidth="1"/>
    <col min="8796" max="8796" width="10.28515625" style="33" bestFit="1" customWidth="1"/>
    <col min="8797" max="9040" width="9.140625" style="33"/>
    <col min="9041" max="9041" width="4.28515625" style="33" customWidth="1"/>
    <col min="9042" max="9042" width="27.5703125" style="33" bestFit="1" customWidth="1"/>
    <col min="9043" max="9043" width="13.140625" style="33" bestFit="1" customWidth="1"/>
    <col min="9044" max="9044" width="16.5703125" style="33" customWidth="1"/>
    <col min="9045" max="9045" width="13" style="33" bestFit="1" customWidth="1"/>
    <col min="9046" max="9046" width="13.140625" style="33" bestFit="1" customWidth="1"/>
    <col min="9047" max="9047" width="16.5703125" style="33" customWidth="1"/>
    <col min="9048" max="9048" width="10.140625" style="33" bestFit="1" customWidth="1"/>
    <col min="9049" max="9049" width="16.5703125" style="33" bestFit="1" customWidth="1"/>
    <col min="9050" max="9050" width="14.140625" style="33" customWidth="1"/>
    <col min="9051" max="9051" width="16.42578125" style="33" bestFit="1" customWidth="1"/>
    <col min="9052" max="9052" width="10.28515625" style="33" bestFit="1" customWidth="1"/>
    <col min="9053" max="9296" width="9.140625" style="33"/>
    <col min="9297" max="9297" width="4.28515625" style="33" customWidth="1"/>
    <col min="9298" max="9298" width="27.5703125" style="33" bestFit="1" customWidth="1"/>
    <col min="9299" max="9299" width="13.140625" style="33" bestFit="1" customWidth="1"/>
    <col min="9300" max="9300" width="16.5703125" style="33" customWidth="1"/>
    <col min="9301" max="9301" width="13" style="33" bestFit="1" customWidth="1"/>
    <col min="9302" max="9302" width="13.140625" style="33" bestFit="1" customWidth="1"/>
    <col min="9303" max="9303" width="16.5703125" style="33" customWidth="1"/>
    <col min="9304" max="9304" width="10.140625" style="33" bestFit="1" customWidth="1"/>
    <col min="9305" max="9305" width="16.5703125" style="33" bestFit="1" customWidth="1"/>
    <col min="9306" max="9306" width="14.140625" style="33" customWidth="1"/>
    <col min="9307" max="9307" width="16.42578125" style="33" bestFit="1" customWidth="1"/>
    <col min="9308" max="9308" width="10.28515625" style="33" bestFit="1" customWidth="1"/>
    <col min="9309" max="9552" width="9.140625" style="33"/>
    <col min="9553" max="9553" width="4.28515625" style="33" customWidth="1"/>
    <col min="9554" max="9554" width="27.5703125" style="33" bestFit="1" customWidth="1"/>
    <col min="9555" max="9555" width="13.140625" style="33" bestFit="1" customWidth="1"/>
    <col min="9556" max="9556" width="16.5703125" style="33" customWidth="1"/>
    <col min="9557" max="9557" width="13" style="33" bestFit="1" customWidth="1"/>
    <col min="9558" max="9558" width="13.140625" style="33" bestFit="1" customWidth="1"/>
    <col min="9559" max="9559" width="16.5703125" style="33" customWidth="1"/>
    <col min="9560" max="9560" width="10.140625" style="33" bestFit="1" customWidth="1"/>
    <col min="9561" max="9561" width="16.5703125" style="33" bestFit="1" customWidth="1"/>
    <col min="9562" max="9562" width="14.140625" style="33" customWidth="1"/>
    <col min="9563" max="9563" width="16.42578125" style="33" bestFit="1" customWidth="1"/>
    <col min="9564" max="9564" width="10.28515625" style="33" bestFit="1" customWidth="1"/>
    <col min="9565" max="9808" width="9.140625" style="33"/>
    <col min="9809" max="9809" width="4.28515625" style="33" customWidth="1"/>
    <col min="9810" max="9810" width="27.5703125" style="33" bestFit="1" customWidth="1"/>
    <col min="9811" max="9811" width="13.140625" style="33" bestFit="1" customWidth="1"/>
    <col min="9812" max="9812" width="16.5703125" style="33" customWidth="1"/>
    <col min="9813" max="9813" width="13" style="33" bestFit="1" customWidth="1"/>
    <col min="9814" max="9814" width="13.140625" style="33" bestFit="1" customWidth="1"/>
    <col min="9815" max="9815" width="16.5703125" style="33" customWidth="1"/>
    <col min="9816" max="9816" width="10.140625" style="33" bestFit="1" customWidth="1"/>
    <col min="9817" max="9817" width="16.5703125" style="33" bestFit="1" customWidth="1"/>
    <col min="9818" max="9818" width="14.140625" style="33" customWidth="1"/>
    <col min="9819" max="9819" width="16.42578125" style="33" bestFit="1" customWidth="1"/>
    <col min="9820" max="9820" width="10.28515625" style="33" bestFit="1" customWidth="1"/>
    <col min="9821" max="10064" width="9.140625" style="33"/>
    <col min="10065" max="10065" width="4.28515625" style="33" customWidth="1"/>
    <col min="10066" max="10066" width="27.5703125" style="33" bestFit="1" customWidth="1"/>
    <col min="10067" max="10067" width="13.140625" style="33" bestFit="1" customWidth="1"/>
    <col min="10068" max="10068" width="16.5703125" style="33" customWidth="1"/>
    <col min="10069" max="10069" width="13" style="33" bestFit="1" customWidth="1"/>
    <col min="10070" max="10070" width="13.140625" style="33" bestFit="1" customWidth="1"/>
    <col min="10071" max="10071" width="16.5703125" style="33" customWidth="1"/>
    <col min="10072" max="10072" width="10.140625" style="33" bestFit="1" customWidth="1"/>
    <col min="10073" max="10073" width="16.5703125" style="33" bestFit="1" customWidth="1"/>
    <col min="10074" max="10074" width="14.140625" style="33" customWidth="1"/>
    <col min="10075" max="10075" width="16.42578125" style="33" bestFit="1" customWidth="1"/>
    <col min="10076" max="10076" width="10.28515625" style="33" bestFit="1" customWidth="1"/>
    <col min="10077" max="10320" width="9.140625" style="33"/>
    <col min="10321" max="10321" width="4.28515625" style="33" customWidth="1"/>
    <col min="10322" max="10322" width="27.5703125" style="33" bestFit="1" customWidth="1"/>
    <col min="10323" max="10323" width="13.140625" style="33" bestFit="1" customWidth="1"/>
    <col min="10324" max="10324" width="16.5703125" style="33" customWidth="1"/>
    <col min="10325" max="10325" width="13" style="33" bestFit="1" customWidth="1"/>
    <col min="10326" max="10326" width="13.140625" style="33" bestFit="1" customWidth="1"/>
    <col min="10327" max="10327" width="16.5703125" style="33" customWidth="1"/>
    <col min="10328" max="10328" width="10.140625" style="33" bestFit="1" customWidth="1"/>
    <col min="10329" max="10329" width="16.5703125" style="33" bestFit="1" customWidth="1"/>
    <col min="10330" max="10330" width="14.140625" style="33" customWidth="1"/>
    <col min="10331" max="10331" width="16.42578125" style="33" bestFit="1" customWidth="1"/>
    <col min="10332" max="10332" width="10.28515625" style="33" bestFit="1" customWidth="1"/>
    <col min="10333" max="10576" width="9.140625" style="33"/>
    <col min="10577" max="10577" width="4.28515625" style="33" customWidth="1"/>
    <col min="10578" max="10578" width="27.5703125" style="33" bestFit="1" customWidth="1"/>
    <col min="10579" max="10579" width="13.140625" style="33" bestFit="1" customWidth="1"/>
    <col min="10580" max="10580" width="16.5703125" style="33" customWidth="1"/>
    <col min="10581" max="10581" width="13" style="33" bestFit="1" customWidth="1"/>
    <col min="10582" max="10582" width="13.140625" style="33" bestFit="1" customWidth="1"/>
    <col min="10583" max="10583" width="16.5703125" style="33" customWidth="1"/>
    <col min="10584" max="10584" width="10.140625" style="33" bestFit="1" customWidth="1"/>
    <col min="10585" max="10585" width="16.5703125" style="33" bestFit="1" customWidth="1"/>
    <col min="10586" max="10586" width="14.140625" style="33" customWidth="1"/>
    <col min="10587" max="10587" width="16.42578125" style="33" bestFit="1" customWidth="1"/>
    <col min="10588" max="10588" width="10.28515625" style="33" bestFit="1" customWidth="1"/>
    <col min="10589" max="10832" width="9.140625" style="33"/>
    <col min="10833" max="10833" width="4.28515625" style="33" customWidth="1"/>
    <col min="10834" max="10834" width="27.5703125" style="33" bestFit="1" customWidth="1"/>
    <col min="10835" max="10835" width="13.140625" style="33" bestFit="1" customWidth="1"/>
    <col min="10836" max="10836" width="16.5703125" style="33" customWidth="1"/>
    <col min="10837" max="10837" width="13" style="33" bestFit="1" customWidth="1"/>
    <col min="10838" max="10838" width="13.140625" style="33" bestFit="1" customWidth="1"/>
    <col min="10839" max="10839" width="16.5703125" style="33" customWidth="1"/>
    <col min="10840" max="10840" width="10.140625" style="33" bestFit="1" customWidth="1"/>
    <col min="10841" max="10841" width="16.5703125" style="33" bestFit="1" customWidth="1"/>
    <col min="10842" max="10842" width="14.140625" style="33" customWidth="1"/>
    <col min="10843" max="10843" width="16.42578125" style="33" bestFit="1" customWidth="1"/>
    <col min="10844" max="10844" width="10.28515625" style="33" bestFit="1" customWidth="1"/>
    <col min="10845" max="11088" width="9.140625" style="33"/>
    <col min="11089" max="11089" width="4.28515625" style="33" customWidth="1"/>
    <col min="11090" max="11090" width="27.5703125" style="33" bestFit="1" customWidth="1"/>
    <col min="11091" max="11091" width="13.140625" style="33" bestFit="1" customWidth="1"/>
    <col min="11092" max="11092" width="16.5703125" style="33" customWidth="1"/>
    <col min="11093" max="11093" width="13" style="33" bestFit="1" customWidth="1"/>
    <col min="11094" max="11094" width="13.140625" style="33" bestFit="1" customWidth="1"/>
    <col min="11095" max="11095" width="16.5703125" style="33" customWidth="1"/>
    <col min="11096" max="11096" width="10.140625" style="33" bestFit="1" customWidth="1"/>
    <col min="11097" max="11097" width="16.5703125" style="33" bestFit="1" customWidth="1"/>
    <col min="11098" max="11098" width="14.140625" style="33" customWidth="1"/>
    <col min="11099" max="11099" width="16.42578125" style="33" bestFit="1" customWidth="1"/>
    <col min="11100" max="11100" width="10.28515625" style="33" bestFit="1" customWidth="1"/>
    <col min="11101" max="11344" width="9.140625" style="33"/>
    <col min="11345" max="11345" width="4.28515625" style="33" customWidth="1"/>
    <col min="11346" max="11346" width="27.5703125" style="33" bestFit="1" customWidth="1"/>
    <col min="11347" max="11347" width="13.140625" style="33" bestFit="1" customWidth="1"/>
    <col min="11348" max="11348" width="16.5703125" style="33" customWidth="1"/>
    <col min="11349" max="11349" width="13" style="33" bestFit="1" customWidth="1"/>
    <col min="11350" max="11350" width="13.140625" style="33" bestFit="1" customWidth="1"/>
    <col min="11351" max="11351" width="16.5703125" style="33" customWidth="1"/>
    <col min="11352" max="11352" width="10.140625" style="33" bestFit="1" customWidth="1"/>
    <col min="11353" max="11353" width="16.5703125" style="33" bestFit="1" customWidth="1"/>
    <col min="11354" max="11354" width="14.140625" style="33" customWidth="1"/>
    <col min="11355" max="11355" width="16.42578125" style="33" bestFit="1" customWidth="1"/>
    <col min="11356" max="11356" width="10.28515625" style="33" bestFit="1" customWidth="1"/>
    <col min="11357" max="11600" width="9.140625" style="33"/>
    <col min="11601" max="11601" width="4.28515625" style="33" customWidth="1"/>
    <col min="11602" max="11602" width="27.5703125" style="33" bestFit="1" customWidth="1"/>
    <col min="11603" max="11603" width="13.140625" style="33" bestFit="1" customWidth="1"/>
    <col min="11604" max="11604" width="16.5703125" style="33" customWidth="1"/>
    <col min="11605" max="11605" width="13" style="33" bestFit="1" customWidth="1"/>
    <col min="11606" max="11606" width="13.140625" style="33" bestFit="1" customWidth="1"/>
    <col min="11607" max="11607" width="16.5703125" style="33" customWidth="1"/>
    <col min="11608" max="11608" width="10.140625" style="33" bestFit="1" customWidth="1"/>
    <col min="11609" max="11609" width="16.5703125" style="33" bestFit="1" customWidth="1"/>
    <col min="11610" max="11610" width="14.140625" style="33" customWidth="1"/>
    <col min="11611" max="11611" width="16.42578125" style="33" bestFit="1" customWidth="1"/>
    <col min="11612" max="11612" width="10.28515625" style="33" bestFit="1" customWidth="1"/>
    <col min="11613" max="11856" width="9.140625" style="33"/>
    <col min="11857" max="11857" width="4.28515625" style="33" customWidth="1"/>
    <col min="11858" max="11858" width="27.5703125" style="33" bestFit="1" customWidth="1"/>
    <col min="11859" max="11859" width="13.140625" style="33" bestFit="1" customWidth="1"/>
    <col min="11860" max="11860" width="16.5703125" style="33" customWidth="1"/>
    <col min="11861" max="11861" width="13" style="33" bestFit="1" customWidth="1"/>
    <col min="11862" max="11862" width="13.140625" style="33" bestFit="1" customWidth="1"/>
    <col min="11863" max="11863" width="16.5703125" style="33" customWidth="1"/>
    <col min="11864" max="11864" width="10.140625" style="33" bestFit="1" customWidth="1"/>
    <col min="11865" max="11865" width="16.5703125" style="33" bestFit="1" customWidth="1"/>
    <col min="11866" max="11866" width="14.140625" style="33" customWidth="1"/>
    <col min="11867" max="11867" width="16.42578125" style="33" bestFit="1" customWidth="1"/>
    <col min="11868" max="11868" width="10.28515625" style="33" bestFit="1" customWidth="1"/>
    <col min="11869" max="12112" width="9.140625" style="33"/>
    <col min="12113" max="12113" width="4.28515625" style="33" customWidth="1"/>
    <col min="12114" max="12114" width="27.5703125" style="33" bestFit="1" customWidth="1"/>
    <col min="12115" max="12115" width="13.140625" style="33" bestFit="1" customWidth="1"/>
    <col min="12116" max="12116" width="16.5703125" style="33" customWidth="1"/>
    <col min="12117" max="12117" width="13" style="33" bestFit="1" customWidth="1"/>
    <col min="12118" max="12118" width="13.140625" style="33" bestFit="1" customWidth="1"/>
    <col min="12119" max="12119" width="16.5703125" style="33" customWidth="1"/>
    <col min="12120" max="12120" width="10.140625" style="33" bestFit="1" customWidth="1"/>
    <col min="12121" max="12121" width="16.5703125" style="33" bestFit="1" customWidth="1"/>
    <col min="12122" max="12122" width="14.140625" style="33" customWidth="1"/>
    <col min="12123" max="12123" width="16.42578125" style="33" bestFit="1" customWidth="1"/>
    <col min="12124" max="12124" width="10.28515625" style="33" bestFit="1" customWidth="1"/>
    <col min="12125" max="12368" width="9.140625" style="33"/>
    <col min="12369" max="12369" width="4.28515625" style="33" customWidth="1"/>
    <col min="12370" max="12370" width="27.5703125" style="33" bestFit="1" customWidth="1"/>
    <col min="12371" max="12371" width="13.140625" style="33" bestFit="1" customWidth="1"/>
    <col min="12372" max="12372" width="16.5703125" style="33" customWidth="1"/>
    <col min="12373" max="12373" width="13" style="33" bestFit="1" customWidth="1"/>
    <col min="12374" max="12374" width="13.140625" style="33" bestFit="1" customWidth="1"/>
    <col min="12375" max="12375" width="16.5703125" style="33" customWidth="1"/>
    <col min="12376" max="12376" width="10.140625" style="33" bestFit="1" customWidth="1"/>
    <col min="12377" max="12377" width="16.5703125" style="33" bestFit="1" customWidth="1"/>
    <col min="12378" max="12378" width="14.140625" style="33" customWidth="1"/>
    <col min="12379" max="12379" width="16.42578125" style="33" bestFit="1" customWidth="1"/>
    <col min="12380" max="12380" width="10.28515625" style="33" bestFit="1" customWidth="1"/>
    <col min="12381" max="12624" width="9.140625" style="33"/>
    <col min="12625" max="12625" width="4.28515625" style="33" customWidth="1"/>
    <col min="12626" max="12626" width="27.5703125" style="33" bestFit="1" customWidth="1"/>
    <col min="12627" max="12627" width="13.140625" style="33" bestFit="1" customWidth="1"/>
    <col min="12628" max="12628" width="16.5703125" style="33" customWidth="1"/>
    <col min="12629" max="12629" width="13" style="33" bestFit="1" customWidth="1"/>
    <col min="12630" max="12630" width="13.140625" style="33" bestFit="1" customWidth="1"/>
    <col min="12631" max="12631" width="16.5703125" style="33" customWidth="1"/>
    <col min="12632" max="12632" width="10.140625" style="33" bestFit="1" customWidth="1"/>
    <col min="12633" max="12633" width="16.5703125" style="33" bestFit="1" customWidth="1"/>
    <col min="12634" max="12634" width="14.140625" style="33" customWidth="1"/>
    <col min="12635" max="12635" width="16.42578125" style="33" bestFit="1" customWidth="1"/>
    <col min="12636" max="12636" width="10.28515625" style="33" bestFit="1" customWidth="1"/>
    <col min="12637" max="12880" width="9.140625" style="33"/>
    <col min="12881" max="12881" width="4.28515625" style="33" customWidth="1"/>
    <col min="12882" max="12882" width="27.5703125" style="33" bestFit="1" customWidth="1"/>
    <col min="12883" max="12883" width="13.140625" style="33" bestFit="1" customWidth="1"/>
    <col min="12884" max="12884" width="16.5703125" style="33" customWidth="1"/>
    <col min="12885" max="12885" width="13" style="33" bestFit="1" customWidth="1"/>
    <col min="12886" max="12886" width="13.140625" style="33" bestFit="1" customWidth="1"/>
    <col min="12887" max="12887" width="16.5703125" style="33" customWidth="1"/>
    <col min="12888" max="12888" width="10.140625" style="33" bestFit="1" customWidth="1"/>
    <col min="12889" max="12889" width="16.5703125" style="33" bestFit="1" customWidth="1"/>
    <col min="12890" max="12890" width="14.140625" style="33" customWidth="1"/>
    <col min="12891" max="12891" width="16.42578125" style="33" bestFit="1" customWidth="1"/>
    <col min="12892" max="12892" width="10.28515625" style="33" bestFit="1" customWidth="1"/>
    <col min="12893" max="13136" width="9.140625" style="33"/>
    <col min="13137" max="13137" width="4.28515625" style="33" customWidth="1"/>
    <col min="13138" max="13138" width="27.5703125" style="33" bestFit="1" customWidth="1"/>
    <col min="13139" max="13139" width="13.140625" style="33" bestFit="1" customWidth="1"/>
    <col min="13140" max="13140" width="16.5703125" style="33" customWidth="1"/>
    <col min="13141" max="13141" width="13" style="33" bestFit="1" customWidth="1"/>
    <col min="13142" max="13142" width="13.140625" style="33" bestFit="1" customWidth="1"/>
    <col min="13143" max="13143" width="16.5703125" style="33" customWidth="1"/>
    <col min="13144" max="13144" width="10.140625" style="33" bestFit="1" customWidth="1"/>
    <col min="13145" max="13145" width="16.5703125" style="33" bestFit="1" customWidth="1"/>
    <col min="13146" max="13146" width="14.140625" style="33" customWidth="1"/>
    <col min="13147" max="13147" width="16.42578125" style="33" bestFit="1" customWidth="1"/>
    <col min="13148" max="13148" width="10.28515625" style="33" bestFit="1" customWidth="1"/>
    <col min="13149" max="13392" width="9.140625" style="33"/>
    <col min="13393" max="13393" width="4.28515625" style="33" customWidth="1"/>
    <col min="13394" max="13394" width="27.5703125" style="33" bestFit="1" customWidth="1"/>
    <col min="13395" max="13395" width="13.140625" style="33" bestFit="1" customWidth="1"/>
    <col min="13396" max="13396" width="16.5703125" style="33" customWidth="1"/>
    <col min="13397" max="13397" width="13" style="33" bestFit="1" customWidth="1"/>
    <col min="13398" max="13398" width="13.140625" style="33" bestFit="1" customWidth="1"/>
    <col min="13399" max="13399" width="16.5703125" style="33" customWidth="1"/>
    <col min="13400" max="13400" width="10.140625" style="33" bestFit="1" customWidth="1"/>
    <col min="13401" max="13401" width="16.5703125" style="33" bestFit="1" customWidth="1"/>
    <col min="13402" max="13402" width="14.140625" style="33" customWidth="1"/>
    <col min="13403" max="13403" width="16.42578125" style="33" bestFit="1" customWidth="1"/>
    <col min="13404" max="13404" width="10.28515625" style="33" bestFit="1" customWidth="1"/>
    <col min="13405" max="13648" width="9.140625" style="33"/>
    <col min="13649" max="13649" width="4.28515625" style="33" customWidth="1"/>
    <col min="13650" max="13650" width="27.5703125" style="33" bestFit="1" customWidth="1"/>
    <col min="13651" max="13651" width="13.140625" style="33" bestFit="1" customWidth="1"/>
    <col min="13652" max="13652" width="16.5703125" style="33" customWidth="1"/>
    <col min="13653" max="13653" width="13" style="33" bestFit="1" customWidth="1"/>
    <col min="13654" max="13654" width="13.140625" style="33" bestFit="1" customWidth="1"/>
    <col min="13655" max="13655" width="16.5703125" style="33" customWidth="1"/>
    <col min="13656" max="13656" width="10.140625" style="33" bestFit="1" customWidth="1"/>
    <col min="13657" max="13657" width="16.5703125" style="33" bestFit="1" customWidth="1"/>
    <col min="13658" max="13658" width="14.140625" style="33" customWidth="1"/>
    <col min="13659" max="13659" width="16.42578125" style="33" bestFit="1" customWidth="1"/>
    <col min="13660" max="13660" width="10.28515625" style="33" bestFit="1" customWidth="1"/>
    <col min="13661" max="13904" width="9.140625" style="33"/>
    <col min="13905" max="13905" width="4.28515625" style="33" customWidth="1"/>
    <col min="13906" max="13906" width="27.5703125" style="33" bestFit="1" customWidth="1"/>
    <col min="13907" max="13907" width="13.140625" style="33" bestFit="1" customWidth="1"/>
    <col min="13908" max="13908" width="16.5703125" style="33" customWidth="1"/>
    <col min="13909" max="13909" width="13" style="33" bestFit="1" customWidth="1"/>
    <col min="13910" max="13910" width="13.140625" style="33" bestFit="1" customWidth="1"/>
    <col min="13911" max="13911" width="16.5703125" style="33" customWidth="1"/>
    <col min="13912" max="13912" width="10.140625" style="33" bestFit="1" customWidth="1"/>
    <col min="13913" max="13913" width="16.5703125" style="33" bestFit="1" customWidth="1"/>
    <col min="13914" max="13914" width="14.140625" style="33" customWidth="1"/>
    <col min="13915" max="13915" width="16.42578125" style="33" bestFit="1" customWidth="1"/>
    <col min="13916" max="13916" width="10.28515625" style="33" bestFit="1" customWidth="1"/>
    <col min="13917" max="14160" width="9.140625" style="33"/>
    <col min="14161" max="14161" width="4.28515625" style="33" customWidth="1"/>
    <col min="14162" max="14162" width="27.5703125" style="33" bestFit="1" customWidth="1"/>
    <col min="14163" max="14163" width="13.140625" style="33" bestFit="1" customWidth="1"/>
    <col min="14164" max="14164" width="16.5703125" style="33" customWidth="1"/>
    <col min="14165" max="14165" width="13" style="33" bestFit="1" customWidth="1"/>
    <col min="14166" max="14166" width="13.140625" style="33" bestFit="1" customWidth="1"/>
    <col min="14167" max="14167" width="16.5703125" style="33" customWidth="1"/>
    <col min="14168" max="14168" width="10.140625" style="33" bestFit="1" customWidth="1"/>
    <col min="14169" max="14169" width="16.5703125" style="33" bestFit="1" customWidth="1"/>
    <col min="14170" max="14170" width="14.140625" style="33" customWidth="1"/>
    <col min="14171" max="14171" width="16.42578125" style="33" bestFit="1" customWidth="1"/>
    <col min="14172" max="14172" width="10.28515625" style="33" bestFit="1" customWidth="1"/>
    <col min="14173" max="14416" width="9.140625" style="33"/>
    <col min="14417" max="14417" width="4.28515625" style="33" customWidth="1"/>
    <col min="14418" max="14418" width="27.5703125" style="33" bestFit="1" customWidth="1"/>
    <col min="14419" max="14419" width="13.140625" style="33" bestFit="1" customWidth="1"/>
    <col min="14420" max="14420" width="16.5703125" style="33" customWidth="1"/>
    <col min="14421" max="14421" width="13" style="33" bestFit="1" customWidth="1"/>
    <col min="14422" max="14422" width="13.140625" style="33" bestFit="1" customWidth="1"/>
    <col min="14423" max="14423" width="16.5703125" style="33" customWidth="1"/>
    <col min="14424" max="14424" width="10.140625" style="33" bestFit="1" customWidth="1"/>
    <col min="14425" max="14425" width="16.5703125" style="33" bestFit="1" customWidth="1"/>
    <col min="14426" max="14426" width="14.140625" style="33" customWidth="1"/>
    <col min="14427" max="14427" width="16.42578125" style="33" bestFit="1" customWidth="1"/>
    <col min="14428" max="14428" width="10.28515625" style="33" bestFit="1" customWidth="1"/>
    <col min="14429" max="14672" width="9.140625" style="33"/>
    <col min="14673" max="14673" width="4.28515625" style="33" customWidth="1"/>
    <col min="14674" max="14674" width="27.5703125" style="33" bestFit="1" customWidth="1"/>
    <col min="14675" max="14675" width="13.140625" style="33" bestFit="1" customWidth="1"/>
    <col min="14676" max="14676" width="16.5703125" style="33" customWidth="1"/>
    <col min="14677" max="14677" width="13" style="33" bestFit="1" customWidth="1"/>
    <col min="14678" max="14678" width="13.140625" style="33" bestFit="1" customWidth="1"/>
    <col min="14679" max="14679" width="16.5703125" style="33" customWidth="1"/>
    <col min="14680" max="14680" width="10.140625" style="33" bestFit="1" customWidth="1"/>
    <col min="14681" max="14681" width="16.5703125" style="33" bestFit="1" customWidth="1"/>
    <col min="14682" max="14682" width="14.140625" style="33" customWidth="1"/>
    <col min="14683" max="14683" width="16.42578125" style="33" bestFit="1" customWidth="1"/>
    <col min="14684" max="14684" width="10.28515625" style="33" bestFit="1" customWidth="1"/>
    <col min="14685" max="14928" width="9.140625" style="33"/>
    <col min="14929" max="14929" width="4.28515625" style="33" customWidth="1"/>
    <col min="14930" max="14930" width="27.5703125" style="33" bestFit="1" customWidth="1"/>
    <col min="14931" max="14931" width="13.140625" style="33" bestFit="1" customWidth="1"/>
    <col min="14932" max="14932" width="16.5703125" style="33" customWidth="1"/>
    <col min="14933" max="14933" width="13" style="33" bestFit="1" customWidth="1"/>
    <col min="14934" max="14934" width="13.140625" style="33" bestFit="1" customWidth="1"/>
    <col min="14935" max="14935" width="16.5703125" style="33" customWidth="1"/>
    <col min="14936" max="14936" width="10.140625" style="33" bestFit="1" customWidth="1"/>
    <col min="14937" max="14937" width="16.5703125" style="33" bestFit="1" customWidth="1"/>
    <col min="14938" max="14938" width="14.140625" style="33" customWidth="1"/>
    <col min="14939" max="14939" width="16.42578125" style="33" bestFit="1" customWidth="1"/>
    <col min="14940" max="14940" width="10.28515625" style="33" bestFit="1" customWidth="1"/>
    <col min="14941" max="15184" width="9.140625" style="33"/>
    <col min="15185" max="15185" width="4.28515625" style="33" customWidth="1"/>
    <col min="15186" max="15186" width="27.5703125" style="33" bestFit="1" customWidth="1"/>
    <col min="15187" max="15187" width="13.140625" style="33" bestFit="1" customWidth="1"/>
    <col min="15188" max="15188" width="16.5703125" style="33" customWidth="1"/>
    <col min="15189" max="15189" width="13" style="33" bestFit="1" customWidth="1"/>
    <col min="15190" max="15190" width="13.140625" style="33" bestFit="1" customWidth="1"/>
    <col min="15191" max="15191" width="16.5703125" style="33" customWidth="1"/>
    <col min="15192" max="15192" width="10.140625" style="33" bestFit="1" customWidth="1"/>
    <col min="15193" max="15193" width="16.5703125" style="33" bestFit="1" customWidth="1"/>
    <col min="15194" max="15194" width="14.140625" style="33" customWidth="1"/>
    <col min="15195" max="15195" width="16.42578125" style="33" bestFit="1" customWidth="1"/>
    <col min="15196" max="15196" width="10.28515625" style="33" bestFit="1" customWidth="1"/>
    <col min="15197" max="15440" width="9.140625" style="33"/>
    <col min="15441" max="15441" width="4.28515625" style="33" customWidth="1"/>
    <col min="15442" max="15442" width="27.5703125" style="33" bestFit="1" customWidth="1"/>
    <col min="15443" max="15443" width="13.140625" style="33" bestFit="1" customWidth="1"/>
    <col min="15444" max="15444" width="16.5703125" style="33" customWidth="1"/>
    <col min="15445" max="15445" width="13" style="33" bestFit="1" customWidth="1"/>
    <col min="15446" max="15446" width="13.140625" style="33" bestFit="1" customWidth="1"/>
    <col min="15447" max="15447" width="16.5703125" style="33" customWidth="1"/>
    <col min="15448" max="15448" width="10.140625" style="33" bestFit="1" customWidth="1"/>
    <col min="15449" max="15449" width="16.5703125" style="33" bestFit="1" customWidth="1"/>
    <col min="15450" max="15450" width="14.140625" style="33" customWidth="1"/>
    <col min="15451" max="15451" width="16.42578125" style="33" bestFit="1" customWidth="1"/>
    <col min="15452" max="15452" width="10.28515625" style="33" bestFit="1" customWidth="1"/>
    <col min="15453" max="15696" width="9.140625" style="33"/>
    <col min="15697" max="15697" width="4.28515625" style="33" customWidth="1"/>
    <col min="15698" max="15698" width="27.5703125" style="33" bestFit="1" customWidth="1"/>
    <col min="15699" max="15699" width="13.140625" style="33" bestFit="1" customWidth="1"/>
    <col min="15700" max="15700" width="16.5703125" style="33" customWidth="1"/>
    <col min="15701" max="15701" width="13" style="33" bestFit="1" customWidth="1"/>
    <col min="15702" max="15702" width="13.140625" style="33" bestFit="1" customWidth="1"/>
    <col min="15703" max="15703" width="16.5703125" style="33" customWidth="1"/>
    <col min="15704" max="15704" width="10.140625" style="33" bestFit="1" customWidth="1"/>
    <col min="15705" max="15705" width="16.5703125" style="33" bestFit="1" customWidth="1"/>
    <col min="15706" max="15706" width="14.140625" style="33" customWidth="1"/>
    <col min="15707" max="15707" width="16.42578125" style="33" bestFit="1" customWidth="1"/>
    <col min="15708" max="15708" width="10.28515625" style="33" bestFit="1" customWidth="1"/>
    <col min="15709" max="15952" width="9.140625" style="33"/>
    <col min="15953" max="15953" width="4.28515625" style="33" customWidth="1"/>
    <col min="15954" max="15954" width="27.5703125" style="33" bestFit="1" customWidth="1"/>
    <col min="15955" max="15955" width="13.140625" style="33" bestFit="1" customWidth="1"/>
    <col min="15956" max="15956" width="16.5703125" style="33" customWidth="1"/>
    <col min="15957" max="15957" width="13" style="33" bestFit="1" customWidth="1"/>
    <col min="15958" max="15958" width="13.140625" style="33" bestFit="1" customWidth="1"/>
    <col min="15959" max="15959" width="16.5703125" style="33" customWidth="1"/>
    <col min="15960" max="15960" width="10.140625" style="33" bestFit="1" customWidth="1"/>
    <col min="15961" max="15961" width="16.5703125" style="33" bestFit="1" customWidth="1"/>
    <col min="15962" max="15962" width="14.140625" style="33" customWidth="1"/>
    <col min="15963" max="15963" width="16.42578125" style="33" bestFit="1" customWidth="1"/>
    <col min="15964" max="15964" width="10.28515625" style="33" bestFit="1" customWidth="1"/>
    <col min="15965" max="16384" width="9.140625" style="33"/>
  </cols>
  <sheetData>
    <row r="1" spans="1:183" ht="15" customHeight="1">
      <c r="A1" s="32" t="s">
        <v>2992</v>
      </c>
      <c r="B1" s="36"/>
      <c r="C1" s="34"/>
      <c r="D1" s="34"/>
      <c r="E1" s="34"/>
      <c r="F1" s="34"/>
      <c r="G1" s="34"/>
      <c r="H1" s="34"/>
      <c r="I1" s="34"/>
      <c r="J1" s="34"/>
      <c r="K1" s="34"/>
      <c r="L1" s="34"/>
      <c r="S1" s="34"/>
      <c r="T1" s="34"/>
      <c r="U1" s="34"/>
      <c r="V1" s="34"/>
      <c r="W1" s="34"/>
      <c r="X1" s="34"/>
      <c r="Y1" s="34"/>
      <c r="Z1" s="34"/>
      <c r="AA1" s="34"/>
      <c r="AH1" s="34"/>
      <c r="AI1" s="34"/>
      <c r="AJ1" s="34"/>
      <c r="AK1" s="34"/>
      <c r="AL1" s="34"/>
      <c r="AM1" s="34"/>
      <c r="AN1" s="34"/>
      <c r="AO1" s="34"/>
      <c r="AP1" s="34"/>
      <c r="AW1" s="34"/>
      <c r="AX1" s="34"/>
      <c r="AY1" s="34"/>
      <c r="AZ1" s="34"/>
      <c r="BA1" s="34"/>
      <c r="BB1" s="34"/>
      <c r="BC1" s="34"/>
      <c r="BD1" s="34"/>
      <c r="BE1" s="34"/>
      <c r="BL1" s="34"/>
      <c r="BM1" s="34"/>
      <c r="BN1" s="34"/>
      <c r="BO1" s="34"/>
      <c r="BP1" s="34"/>
      <c r="BQ1" s="34"/>
      <c r="BR1" s="34"/>
      <c r="BS1" s="34"/>
      <c r="BT1" s="34"/>
      <c r="CA1" s="34"/>
      <c r="CB1" s="34"/>
      <c r="CC1" s="34"/>
      <c r="CD1" s="34"/>
      <c r="CE1" s="34"/>
      <c r="CF1" s="34"/>
      <c r="CG1" s="34"/>
      <c r="CH1" s="34"/>
      <c r="CI1" s="34"/>
      <c r="CP1" s="34"/>
      <c r="CQ1" s="34"/>
      <c r="CR1" s="34"/>
      <c r="CS1" s="34"/>
      <c r="CT1" s="34"/>
      <c r="CU1" s="34"/>
      <c r="CV1" s="34"/>
      <c r="CW1" s="34"/>
      <c r="CX1" s="34"/>
      <c r="DE1" s="34"/>
      <c r="DF1" s="34"/>
      <c r="DG1" s="34"/>
      <c r="DH1" s="34"/>
      <c r="DI1" s="34"/>
      <c r="DJ1" s="34"/>
      <c r="DK1" s="34"/>
      <c r="DL1" s="34"/>
      <c r="DM1" s="34"/>
      <c r="DT1" s="34"/>
      <c r="DU1" s="34"/>
      <c r="DV1" s="34"/>
      <c r="DW1" s="34"/>
      <c r="DX1" s="34"/>
      <c r="DY1" s="34"/>
      <c r="DZ1" s="34"/>
      <c r="EA1" s="34"/>
      <c r="EB1" s="34"/>
      <c r="EI1" s="34"/>
      <c r="EJ1" s="34"/>
      <c r="EK1" s="34"/>
      <c r="EL1" s="34"/>
      <c r="EM1" s="34"/>
      <c r="EN1" s="34"/>
      <c r="EO1" s="34"/>
      <c r="EP1" s="34"/>
      <c r="EQ1" s="34"/>
      <c r="EX1" s="504"/>
      <c r="EY1" s="504"/>
      <c r="EZ1" s="504"/>
      <c r="FA1" s="504"/>
      <c r="FB1" s="504"/>
      <c r="FC1" s="504"/>
      <c r="FD1" s="504"/>
      <c r="FE1" s="504"/>
      <c r="FF1" s="504"/>
      <c r="FM1" s="518"/>
      <c r="FN1" s="518"/>
      <c r="FO1" s="518"/>
      <c r="FP1" s="518"/>
      <c r="FQ1" s="518"/>
      <c r="FR1" s="518"/>
      <c r="FS1" s="518"/>
      <c r="FT1" s="518"/>
      <c r="FU1" s="518"/>
    </row>
    <row r="2" spans="1:183" ht="15" customHeight="1">
      <c r="A2" s="287"/>
      <c r="B2" s="36"/>
      <c r="C2" s="34"/>
      <c r="D2" s="34"/>
      <c r="E2" s="34"/>
      <c r="F2" s="34"/>
      <c r="G2" s="34"/>
      <c r="H2" s="34"/>
      <c r="I2" s="34"/>
      <c r="J2" s="34"/>
      <c r="K2" s="34"/>
      <c r="L2" s="34"/>
      <c r="S2" s="34"/>
      <c r="T2" s="34"/>
      <c r="U2" s="34"/>
      <c r="V2" s="34"/>
      <c r="W2" s="34"/>
      <c r="X2" s="34"/>
      <c r="Y2" s="34"/>
      <c r="Z2" s="34"/>
      <c r="AA2" s="34"/>
      <c r="AH2" s="34"/>
      <c r="AI2" s="34"/>
      <c r="AJ2" s="34"/>
      <c r="AK2" s="34"/>
      <c r="AL2" s="34"/>
      <c r="AM2" s="34"/>
      <c r="AN2" s="34"/>
      <c r="AO2" s="34"/>
      <c r="AP2" s="34"/>
      <c r="AW2" s="34"/>
      <c r="AX2" s="34"/>
      <c r="AY2" s="34"/>
      <c r="AZ2" s="34"/>
      <c r="BA2" s="34"/>
      <c r="BB2" s="34"/>
      <c r="BC2" s="34"/>
      <c r="BD2" s="34"/>
      <c r="BE2" s="34"/>
      <c r="BL2" s="34"/>
      <c r="BM2" s="34"/>
      <c r="BN2" s="34"/>
      <c r="BO2" s="34"/>
      <c r="BP2" s="34"/>
      <c r="BQ2" s="34"/>
      <c r="BR2" s="34"/>
      <c r="BS2" s="34"/>
      <c r="BT2" s="34"/>
      <c r="CA2" s="34"/>
      <c r="CB2" s="34"/>
      <c r="CC2" s="34"/>
      <c r="CD2" s="34"/>
      <c r="CE2" s="34"/>
      <c r="CF2" s="34"/>
      <c r="CG2" s="34"/>
      <c r="CH2" s="34"/>
      <c r="CI2" s="34"/>
      <c r="CP2" s="34"/>
      <c r="CQ2" s="34"/>
      <c r="CR2" s="34"/>
      <c r="CS2" s="34"/>
      <c r="CT2" s="34"/>
      <c r="CU2" s="34"/>
      <c r="CV2" s="34"/>
      <c r="CW2" s="34"/>
      <c r="CX2" s="34"/>
      <c r="DE2" s="34"/>
      <c r="DF2" s="34"/>
      <c r="DG2" s="34"/>
      <c r="DH2" s="34"/>
      <c r="DI2" s="34"/>
      <c r="DJ2" s="34"/>
      <c r="DK2" s="34"/>
      <c r="DL2" s="34"/>
      <c r="DM2" s="34"/>
      <c r="DT2" s="34"/>
      <c r="DU2" s="34"/>
      <c r="DV2" s="34"/>
      <c r="DW2" s="34"/>
      <c r="DX2" s="34"/>
      <c r="DY2" s="34"/>
      <c r="DZ2" s="34"/>
      <c r="EA2" s="34"/>
      <c r="EB2" s="34"/>
      <c r="EI2" s="34"/>
      <c r="EJ2" s="34"/>
      <c r="EK2" s="34"/>
      <c r="EL2" s="34"/>
      <c r="EM2" s="34"/>
      <c r="EN2" s="34"/>
      <c r="EO2" s="34"/>
      <c r="EP2" s="34"/>
      <c r="EQ2" s="34"/>
      <c r="EX2" s="504"/>
      <c r="EY2" s="504"/>
      <c r="EZ2" s="504"/>
      <c r="FA2" s="504"/>
      <c r="FB2" s="504"/>
      <c r="FC2" s="504"/>
      <c r="FD2" s="504"/>
      <c r="FE2" s="504"/>
      <c r="FF2" s="504"/>
      <c r="FM2" s="518"/>
      <c r="FN2" s="518"/>
      <c r="FO2" s="518"/>
      <c r="FP2" s="518"/>
      <c r="FQ2" s="518"/>
      <c r="FR2" s="518"/>
      <c r="FS2" s="518"/>
      <c r="FT2" s="518"/>
      <c r="FU2" s="518"/>
    </row>
    <row r="3" spans="1:183" ht="15" customHeight="1">
      <c r="A3" s="1581" t="s">
        <v>69</v>
      </c>
      <c r="B3" s="1581" t="s">
        <v>2</v>
      </c>
      <c r="C3" s="1818" t="s">
        <v>70</v>
      </c>
      <c r="D3" s="1838" t="s">
        <v>4</v>
      </c>
      <c r="E3" s="1838"/>
      <c r="F3" s="1838"/>
      <c r="G3" s="1838"/>
      <c r="H3" s="1838"/>
      <c r="I3" s="1838"/>
      <c r="J3" s="1838"/>
      <c r="K3" s="1838"/>
      <c r="L3" s="274" t="s">
        <v>194</v>
      </c>
      <c r="M3" s="73"/>
      <c r="N3" s="1831" t="s">
        <v>81</v>
      </c>
      <c r="O3" s="1831"/>
      <c r="P3" s="1831"/>
      <c r="Q3" s="78" t="s">
        <v>54</v>
      </c>
      <c r="R3" s="78" t="s">
        <v>55</v>
      </c>
      <c r="S3" s="1829" t="s">
        <v>379</v>
      </c>
      <c r="T3" s="1830"/>
      <c r="U3" s="1830"/>
      <c r="V3" s="1830"/>
      <c r="W3" s="1830"/>
      <c r="X3" s="1830"/>
      <c r="Y3" s="1830"/>
      <c r="Z3" s="1830"/>
      <c r="AA3" s="274" t="s">
        <v>195</v>
      </c>
      <c r="AB3" s="73"/>
      <c r="AC3" s="1831" t="s">
        <v>81</v>
      </c>
      <c r="AD3" s="1831"/>
      <c r="AE3" s="1831"/>
      <c r="AF3" s="78" t="s">
        <v>54</v>
      </c>
      <c r="AG3" s="78" t="s">
        <v>55</v>
      </c>
      <c r="AH3" s="1829" t="s">
        <v>5</v>
      </c>
      <c r="AI3" s="1830"/>
      <c r="AJ3" s="1830"/>
      <c r="AK3" s="1830"/>
      <c r="AL3" s="1830"/>
      <c r="AM3" s="1830"/>
      <c r="AN3" s="1830"/>
      <c r="AO3" s="1830"/>
      <c r="AP3" s="274" t="s">
        <v>239</v>
      </c>
      <c r="AQ3" s="73"/>
      <c r="AR3" s="1831" t="s">
        <v>81</v>
      </c>
      <c r="AS3" s="1831"/>
      <c r="AT3" s="1831"/>
      <c r="AU3" s="78" t="s">
        <v>54</v>
      </c>
      <c r="AV3" s="78" t="s">
        <v>55</v>
      </c>
      <c r="AW3" s="1829" t="s">
        <v>57</v>
      </c>
      <c r="AX3" s="1830"/>
      <c r="AY3" s="1830"/>
      <c r="AZ3" s="1830"/>
      <c r="BA3" s="1830"/>
      <c r="BB3" s="1830"/>
      <c r="BC3" s="1830"/>
      <c r="BD3" s="1830"/>
      <c r="BE3" s="274" t="s">
        <v>240</v>
      </c>
      <c r="BF3" s="73"/>
      <c r="BG3" s="1831" t="s">
        <v>81</v>
      </c>
      <c r="BH3" s="1831"/>
      <c r="BI3" s="1831"/>
      <c r="BJ3" s="78" t="s">
        <v>54</v>
      </c>
      <c r="BK3" s="78" t="s">
        <v>55</v>
      </c>
      <c r="BL3" s="1829" t="s">
        <v>58</v>
      </c>
      <c r="BM3" s="1830"/>
      <c r="BN3" s="1830"/>
      <c r="BO3" s="1830"/>
      <c r="BP3" s="1830"/>
      <c r="BQ3" s="1830"/>
      <c r="BR3" s="1830"/>
      <c r="BS3" s="1830"/>
      <c r="BT3" s="274" t="s">
        <v>58</v>
      </c>
      <c r="BU3" s="73"/>
      <c r="BV3" s="1831" t="s">
        <v>81</v>
      </c>
      <c r="BW3" s="1831"/>
      <c r="BX3" s="1831"/>
      <c r="BY3" s="78" t="s">
        <v>54</v>
      </c>
      <c r="BZ3" s="78" t="s">
        <v>55</v>
      </c>
      <c r="CA3" s="1829" t="s">
        <v>59</v>
      </c>
      <c r="CB3" s="1830"/>
      <c r="CC3" s="1830"/>
      <c r="CD3" s="1830"/>
      <c r="CE3" s="1830"/>
      <c r="CF3" s="1830"/>
      <c r="CG3" s="1830"/>
      <c r="CH3" s="1830"/>
      <c r="CI3" s="274" t="s">
        <v>241</v>
      </c>
      <c r="CJ3" s="73"/>
      <c r="CK3" s="1831" t="s">
        <v>81</v>
      </c>
      <c r="CL3" s="1831"/>
      <c r="CM3" s="1831"/>
      <c r="CN3" s="78" t="s">
        <v>54</v>
      </c>
      <c r="CO3" s="78" t="s">
        <v>55</v>
      </c>
      <c r="CP3" s="1829" t="s">
        <v>60</v>
      </c>
      <c r="CQ3" s="1830"/>
      <c r="CR3" s="1830"/>
      <c r="CS3" s="1830"/>
      <c r="CT3" s="1830"/>
      <c r="CU3" s="1830"/>
      <c r="CV3" s="1830"/>
      <c r="CW3" s="1830"/>
      <c r="CX3" s="274" t="s">
        <v>242</v>
      </c>
      <c r="CY3" s="73"/>
      <c r="CZ3" s="1831" t="s">
        <v>81</v>
      </c>
      <c r="DA3" s="1831"/>
      <c r="DB3" s="1831"/>
      <c r="DC3" s="78" t="s">
        <v>54</v>
      </c>
      <c r="DD3" s="78" t="s">
        <v>55</v>
      </c>
      <c r="DE3" s="1829" t="s">
        <v>559</v>
      </c>
      <c r="DF3" s="1830"/>
      <c r="DG3" s="1830"/>
      <c r="DH3" s="1830"/>
      <c r="DI3" s="1830"/>
      <c r="DJ3" s="1830"/>
      <c r="DK3" s="1830"/>
      <c r="DL3" s="1830"/>
      <c r="DM3" s="274" t="s">
        <v>243</v>
      </c>
      <c r="DN3" s="73"/>
      <c r="DO3" s="1831" t="s">
        <v>81</v>
      </c>
      <c r="DP3" s="1831"/>
      <c r="DQ3" s="1831"/>
      <c r="DR3" s="78" t="s">
        <v>54</v>
      </c>
      <c r="DS3" s="78" t="s">
        <v>55</v>
      </c>
      <c r="DT3" s="1829" t="s">
        <v>602</v>
      </c>
      <c r="DU3" s="1830"/>
      <c r="DV3" s="1830"/>
      <c r="DW3" s="1830"/>
      <c r="DX3" s="1830"/>
      <c r="DY3" s="1830"/>
      <c r="DZ3" s="1830"/>
      <c r="EA3" s="1830"/>
      <c r="EB3" s="274" t="s">
        <v>244</v>
      </c>
      <c r="EC3" s="73"/>
      <c r="ED3" s="1831" t="s">
        <v>81</v>
      </c>
      <c r="EE3" s="1831"/>
      <c r="EF3" s="1831"/>
      <c r="EG3" s="78" t="s">
        <v>54</v>
      </c>
      <c r="EH3" s="78" t="s">
        <v>55</v>
      </c>
      <c r="EI3" s="1829" t="s">
        <v>641</v>
      </c>
      <c r="EJ3" s="1830"/>
      <c r="EK3" s="1830"/>
      <c r="EL3" s="1830"/>
      <c r="EM3" s="1830"/>
      <c r="EN3" s="1830"/>
      <c r="EO3" s="1830"/>
      <c r="EP3" s="1830"/>
      <c r="EQ3" s="274" t="s">
        <v>245</v>
      </c>
      <c r="ER3" s="73"/>
      <c r="ES3" s="1831" t="s">
        <v>81</v>
      </c>
      <c r="ET3" s="1831"/>
      <c r="EU3" s="1831"/>
      <c r="EV3" s="78" t="s">
        <v>54</v>
      </c>
      <c r="EW3" s="78" t="s">
        <v>55</v>
      </c>
      <c r="EX3" s="1829" t="s">
        <v>1616</v>
      </c>
      <c r="EY3" s="1830"/>
      <c r="EZ3" s="1830"/>
      <c r="FA3" s="1830"/>
      <c r="FB3" s="1830"/>
      <c r="FC3" s="1830"/>
      <c r="FD3" s="1830"/>
      <c r="FE3" s="1830"/>
      <c r="FF3" s="274" t="s">
        <v>238</v>
      </c>
      <c r="FG3" s="73"/>
      <c r="FH3" s="1831" t="s">
        <v>81</v>
      </c>
      <c r="FI3" s="1831"/>
      <c r="FJ3" s="1831"/>
      <c r="FK3" s="78" t="s">
        <v>54</v>
      </c>
      <c r="FL3" s="78" t="s">
        <v>55</v>
      </c>
      <c r="FM3" s="1829" t="s">
        <v>1617</v>
      </c>
      <c r="FN3" s="1830"/>
      <c r="FO3" s="1830"/>
      <c r="FP3" s="1830"/>
      <c r="FQ3" s="1830"/>
      <c r="FR3" s="1830"/>
      <c r="FS3" s="1830"/>
      <c r="FT3" s="1830"/>
      <c r="FU3" s="274" t="s">
        <v>140</v>
      </c>
      <c r="FV3" s="73"/>
      <c r="FW3" s="1831" t="s">
        <v>81</v>
      </c>
      <c r="FX3" s="1831"/>
      <c r="FY3" s="1831"/>
      <c r="FZ3" s="78" t="s">
        <v>54</v>
      </c>
      <c r="GA3" s="78" t="s">
        <v>55</v>
      </c>
    </row>
    <row r="4" spans="1:183" s="37" customFormat="1" ht="14.1" customHeight="1">
      <c r="A4" s="1581"/>
      <c r="B4" s="1581"/>
      <c r="C4" s="1818"/>
      <c r="D4" s="1821" t="s">
        <v>75</v>
      </c>
      <c r="E4" s="1832"/>
      <c r="F4" s="1821" t="s">
        <v>76</v>
      </c>
      <c r="G4" s="1832"/>
      <c r="H4" s="1832"/>
      <c r="I4" s="1832"/>
      <c r="J4" s="1833"/>
      <c r="K4" s="1832" t="s">
        <v>71</v>
      </c>
      <c r="L4" s="1822"/>
      <c r="M4" s="79"/>
      <c r="N4" s="1834" t="s">
        <v>79</v>
      </c>
      <c r="O4" s="1834"/>
      <c r="P4" s="1834"/>
      <c r="Q4" s="80">
        <f>D75</f>
        <v>12049</v>
      </c>
      <c r="R4" s="80" t="e">
        <f>E75</f>
        <v>#VALUE!</v>
      </c>
      <c r="S4" s="1821" t="s">
        <v>75</v>
      </c>
      <c r="T4" s="1832"/>
      <c r="U4" s="1821" t="s">
        <v>76</v>
      </c>
      <c r="V4" s="1832"/>
      <c r="W4" s="1832"/>
      <c r="X4" s="1832"/>
      <c r="Y4" s="1833"/>
      <c r="Z4" s="1832" t="s">
        <v>71</v>
      </c>
      <c r="AA4" s="1822"/>
      <c r="AB4" s="79"/>
      <c r="AC4" s="1834" t="s">
        <v>79</v>
      </c>
      <c r="AD4" s="1834"/>
      <c r="AE4" s="1834"/>
      <c r="AF4" s="80">
        <f>S75</f>
        <v>12049</v>
      </c>
      <c r="AG4" s="80" t="e">
        <f>T75</f>
        <v>#VALUE!</v>
      </c>
      <c r="AH4" s="1821" t="s">
        <v>75</v>
      </c>
      <c r="AI4" s="1832"/>
      <c r="AJ4" s="1821" t="s">
        <v>76</v>
      </c>
      <c r="AK4" s="1832"/>
      <c r="AL4" s="1832"/>
      <c r="AM4" s="1832"/>
      <c r="AN4" s="1833"/>
      <c r="AO4" s="1832" t="s">
        <v>71</v>
      </c>
      <c r="AP4" s="1822"/>
      <c r="AQ4" s="79"/>
      <c r="AR4" s="1834" t="s">
        <v>79</v>
      </c>
      <c r="AS4" s="1834"/>
      <c r="AT4" s="1834"/>
      <c r="AU4" s="80">
        <f>AH75</f>
        <v>12049</v>
      </c>
      <c r="AV4" s="80" t="e">
        <f ca="1">AI75</f>
        <v>#VALUE!</v>
      </c>
      <c r="AW4" s="1821" t="s">
        <v>75</v>
      </c>
      <c r="AX4" s="1832"/>
      <c r="AY4" s="1821" t="s">
        <v>76</v>
      </c>
      <c r="AZ4" s="1832"/>
      <c r="BA4" s="1832"/>
      <c r="BB4" s="1832"/>
      <c r="BC4" s="1833"/>
      <c r="BD4" s="1832" t="s">
        <v>71</v>
      </c>
      <c r="BE4" s="1822"/>
      <c r="BF4" s="79"/>
      <c r="BG4" s="1834" t="s">
        <v>79</v>
      </c>
      <c r="BH4" s="1834"/>
      <c r="BI4" s="1834"/>
      <c r="BJ4" s="80">
        <f>AW75</f>
        <v>12049</v>
      </c>
      <c r="BK4" s="80" t="e">
        <f ca="1">AX75</f>
        <v>#VALUE!</v>
      </c>
      <c r="BL4" s="1821" t="s">
        <v>75</v>
      </c>
      <c r="BM4" s="1832"/>
      <c r="BN4" s="1821" t="s">
        <v>76</v>
      </c>
      <c r="BO4" s="1832"/>
      <c r="BP4" s="1832"/>
      <c r="BQ4" s="1832"/>
      <c r="BR4" s="1833"/>
      <c r="BS4" s="1832" t="s">
        <v>71</v>
      </c>
      <c r="BT4" s="1822"/>
      <c r="BU4" s="79"/>
      <c r="BV4" s="1834" t="s">
        <v>79</v>
      </c>
      <c r="BW4" s="1834"/>
      <c r="BX4" s="1834"/>
      <c r="BY4" s="80">
        <f>BL75</f>
        <v>12049</v>
      </c>
      <c r="BZ4" s="80" t="e">
        <f ca="1">BM75</f>
        <v>#VALUE!</v>
      </c>
      <c r="CA4" s="1821" t="s">
        <v>75</v>
      </c>
      <c r="CB4" s="1832"/>
      <c r="CC4" s="1821" t="s">
        <v>76</v>
      </c>
      <c r="CD4" s="1832"/>
      <c r="CE4" s="1832"/>
      <c r="CF4" s="1832"/>
      <c r="CG4" s="1833"/>
      <c r="CH4" s="1832" t="s">
        <v>71</v>
      </c>
      <c r="CI4" s="1822"/>
      <c r="CJ4" s="79"/>
      <c r="CK4" s="1834" t="s">
        <v>79</v>
      </c>
      <c r="CL4" s="1834"/>
      <c r="CM4" s="1834"/>
      <c r="CN4" s="80">
        <f>CA75</f>
        <v>12049</v>
      </c>
      <c r="CO4" s="80" t="e">
        <f ca="1">CB75</f>
        <v>#VALUE!</v>
      </c>
      <c r="CP4" s="1821" t="s">
        <v>75</v>
      </c>
      <c r="CQ4" s="1832"/>
      <c r="CR4" s="1821" t="s">
        <v>76</v>
      </c>
      <c r="CS4" s="1832"/>
      <c r="CT4" s="1832"/>
      <c r="CU4" s="1832"/>
      <c r="CV4" s="1833"/>
      <c r="CW4" s="1832" t="s">
        <v>71</v>
      </c>
      <c r="CX4" s="1822"/>
      <c r="CY4" s="79"/>
      <c r="CZ4" s="1834" t="s">
        <v>79</v>
      </c>
      <c r="DA4" s="1834"/>
      <c r="DB4" s="1834"/>
      <c r="DC4" s="80">
        <f>CP75</f>
        <v>12049</v>
      </c>
      <c r="DD4" s="80" t="e">
        <f ca="1">CQ75</f>
        <v>#VALUE!</v>
      </c>
      <c r="DE4" s="1821" t="s">
        <v>75</v>
      </c>
      <c r="DF4" s="1832"/>
      <c r="DG4" s="1821" t="s">
        <v>76</v>
      </c>
      <c r="DH4" s="1832"/>
      <c r="DI4" s="1832"/>
      <c r="DJ4" s="1832"/>
      <c r="DK4" s="1833"/>
      <c r="DL4" s="1832" t="s">
        <v>71</v>
      </c>
      <c r="DM4" s="1822"/>
      <c r="DN4" s="79"/>
      <c r="DO4" s="1834" t="s">
        <v>79</v>
      </c>
      <c r="DP4" s="1834"/>
      <c r="DQ4" s="1834"/>
      <c r="DR4" s="80">
        <f>DE75</f>
        <v>12049</v>
      </c>
      <c r="DS4" s="80" t="e">
        <f ca="1">DF75</f>
        <v>#VALUE!</v>
      </c>
      <c r="DT4" s="1821" t="s">
        <v>75</v>
      </c>
      <c r="DU4" s="1832"/>
      <c r="DV4" s="1821" t="s">
        <v>76</v>
      </c>
      <c r="DW4" s="1832"/>
      <c r="DX4" s="1832"/>
      <c r="DY4" s="1832"/>
      <c r="DZ4" s="1833"/>
      <c r="EA4" s="1832" t="s">
        <v>71</v>
      </c>
      <c r="EB4" s="1822"/>
      <c r="EC4" s="79"/>
      <c r="ED4" s="1834" t="s">
        <v>79</v>
      </c>
      <c r="EE4" s="1834"/>
      <c r="EF4" s="1834"/>
      <c r="EG4" s="80">
        <f>DT75</f>
        <v>12049</v>
      </c>
      <c r="EH4" s="80" t="e">
        <f ca="1">DU75</f>
        <v>#VALUE!</v>
      </c>
      <c r="EI4" s="1821" t="s">
        <v>75</v>
      </c>
      <c r="EJ4" s="1832"/>
      <c r="EK4" s="1821" t="s">
        <v>76</v>
      </c>
      <c r="EL4" s="1832"/>
      <c r="EM4" s="1832"/>
      <c r="EN4" s="1832"/>
      <c r="EO4" s="1833"/>
      <c r="EP4" s="1832" t="s">
        <v>71</v>
      </c>
      <c r="EQ4" s="1822"/>
      <c r="ER4" s="79"/>
      <c r="ES4" s="1834" t="s">
        <v>79</v>
      </c>
      <c r="ET4" s="1834"/>
      <c r="EU4" s="1834"/>
      <c r="EV4" s="80">
        <f>EI75</f>
        <v>12049</v>
      </c>
      <c r="EW4" s="80" t="e">
        <f>EJ75</f>
        <v>#VALUE!</v>
      </c>
      <c r="EX4" s="1821" t="s">
        <v>75</v>
      </c>
      <c r="EY4" s="1832"/>
      <c r="EZ4" s="1821" t="s">
        <v>76</v>
      </c>
      <c r="FA4" s="1832"/>
      <c r="FB4" s="1832"/>
      <c r="FC4" s="1832"/>
      <c r="FD4" s="1833"/>
      <c r="FE4" s="1832" t="s">
        <v>71</v>
      </c>
      <c r="FF4" s="1822"/>
      <c r="FG4" s="79"/>
      <c r="FH4" s="1834" t="s">
        <v>79</v>
      </c>
      <c r="FI4" s="1834"/>
      <c r="FJ4" s="1834"/>
      <c r="FK4" s="80">
        <f>EX75</f>
        <v>12049</v>
      </c>
      <c r="FL4" s="80" t="e">
        <f>EY75</f>
        <v>#VALUE!</v>
      </c>
      <c r="FM4" s="1821" t="s">
        <v>75</v>
      </c>
      <c r="FN4" s="1832"/>
      <c r="FO4" s="1821" t="s">
        <v>76</v>
      </c>
      <c r="FP4" s="1832"/>
      <c r="FQ4" s="1832"/>
      <c r="FR4" s="1832"/>
      <c r="FS4" s="1833"/>
      <c r="FT4" s="1832" t="s">
        <v>71</v>
      </c>
      <c r="FU4" s="1822"/>
      <c r="FV4" s="79"/>
      <c r="FW4" s="1834" t="s">
        <v>79</v>
      </c>
      <c r="FX4" s="1834"/>
      <c r="FY4" s="1834"/>
      <c r="FZ4" s="80">
        <f>FM75</f>
        <v>12049</v>
      </c>
      <c r="GA4" s="80" t="e">
        <f>FN75</f>
        <v>#VALUE!</v>
      </c>
    </row>
    <row r="5" spans="1:183" s="37" customFormat="1" ht="14.1" customHeight="1">
      <c r="A5" s="1581"/>
      <c r="B5" s="1581"/>
      <c r="C5" s="1818"/>
      <c r="D5" s="1825" t="s">
        <v>54</v>
      </c>
      <c r="E5" s="1818" t="s">
        <v>55</v>
      </c>
      <c r="F5" s="1821" t="s">
        <v>54</v>
      </c>
      <c r="G5" s="1822"/>
      <c r="H5" s="1818" t="s">
        <v>55</v>
      </c>
      <c r="I5" s="1613"/>
      <c r="J5" s="1823"/>
      <c r="K5" s="1822" t="s">
        <v>54</v>
      </c>
      <c r="L5" s="1581" t="s">
        <v>55</v>
      </c>
      <c r="M5" s="79"/>
      <c r="N5" s="1828" t="s">
        <v>80</v>
      </c>
      <c r="O5" s="1828"/>
      <c r="P5" s="1828"/>
      <c r="Q5" s="81">
        <f>F75</f>
        <v>0</v>
      </c>
      <c r="R5" s="81">
        <f>H75</f>
        <v>3465091933</v>
      </c>
      <c r="S5" s="1825" t="s">
        <v>54</v>
      </c>
      <c r="T5" s="1818" t="s">
        <v>55</v>
      </c>
      <c r="U5" s="1821" t="s">
        <v>54</v>
      </c>
      <c r="V5" s="1822"/>
      <c r="W5" s="1818" t="s">
        <v>55</v>
      </c>
      <c r="X5" s="1613"/>
      <c r="Y5" s="1823"/>
      <c r="Z5" s="1822" t="s">
        <v>54</v>
      </c>
      <c r="AA5" s="1581" t="s">
        <v>55</v>
      </c>
      <c r="AB5" s="79"/>
      <c r="AC5" s="1828" t="s">
        <v>80</v>
      </c>
      <c r="AD5" s="1828"/>
      <c r="AE5" s="1828"/>
      <c r="AF5" s="81">
        <f>U75</f>
        <v>0</v>
      </c>
      <c r="AG5" s="81">
        <f>W75</f>
        <v>2321526523</v>
      </c>
      <c r="AH5" s="1825" t="s">
        <v>54</v>
      </c>
      <c r="AI5" s="1818" t="s">
        <v>55</v>
      </c>
      <c r="AJ5" s="1821" t="s">
        <v>54</v>
      </c>
      <c r="AK5" s="1822"/>
      <c r="AL5" s="1818" t="s">
        <v>55</v>
      </c>
      <c r="AM5" s="1613"/>
      <c r="AN5" s="1823"/>
      <c r="AO5" s="1822" t="s">
        <v>54</v>
      </c>
      <c r="AP5" s="1581" t="s">
        <v>55</v>
      </c>
      <c r="AQ5" s="79"/>
      <c r="AR5" s="1828" t="s">
        <v>80</v>
      </c>
      <c r="AS5" s="1828"/>
      <c r="AT5" s="1828"/>
      <c r="AU5" s="81">
        <f>AJ75</f>
        <v>0</v>
      </c>
      <c r="AV5" s="81">
        <f>AL75</f>
        <v>2109952616</v>
      </c>
      <c r="AW5" s="1825" t="s">
        <v>54</v>
      </c>
      <c r="AX5" s="1818" t="s">
        <v>55</v>
      </c>
      <c r="AY5" s="1821" t="s">
        <v>54</v>
      </c>
      <c r="AZ5" s="1822"/>
      <c r="BA5" s="1818" t="s">
        <v>55</v>
      </c>
      <c r="BB5" s="1613"/>
      <c r="BC5" s="1823"/>
      <c r="BD5" s="1822" t="s">
        <v>54</v>
      </c>
      <c r="BE5" s="1581" t="s">
        <v>55</v>
      </c>
      <c r="BF5" s="79"/>
      <c r="BG5" s="1828" t="s">
        <v>80</v>
      </c>
      <c r="BH5" s="1828"/>
      <c r="BI5" s="1828"/>
      <c r="BJ5" s="81">
        <f>AY75</f>
        <v>0</v>
      </c>
      <c r="BK5" s="81">
        <f>BA75</f>
        <v>1706594408</v>
      </c>
      <c r="BL5" s="1825" t="s">
        <v>54</v>
      </c>
      <c r="BM5" s="1818" t="s">
        <v>55</v>
      </c>
      <c r="BN5" s="1821" t="s">
        <v>54</v>
      </c>
      <c r="BO5" s="1822"/>
      <c r="BP5" s="1818" t="s">
        <v>55</v>
      </c>
      <c r="BQ5" s="1613"/>
      <c r="BR5" s="1823"/>
      <c r="BS5" s="1822" t="s">
        <v>54</v>
      </c>
      <c r="BT5" s="1581" t="s">
        <v>55</v>
      </c>
      <c r="BU5" s="79"/>
      <c r="BV5" s="1828" t="s">
        <v>80</v>
      </c>
      <c r="BW5" s="1828"/>
      <c r="BX5" s="1828"/>
      <c r="BY5" s="81">
        <f>BN75</f>
        <v>0</v>
      </c>
      <c r="BZ5" s="81">
        <f>BP75</f>
        <v>1992089475</v>
      </c>
      <c r="CA5" s="1825" t="s">
        <v>54</v>
      </c>
      <c r="CB5" s="1818" t="s">
        <v>55</v>
      </c>
      <c r="CC5" s="1821" t="s">
        <v>54</v>
      </c>
      <c r="CD5" s="1822"/>
      <c r="CE5" s="1818" t="s">
        <v>55</v>
      </c>
      <c r="CF5" s="1613"/>
      <c r="CG5" s="1823"/>
      <c r="CH5" s="1822" t="s">
        <v>54</v>
      </c>
      <c r="CI5" s="1581" t="s">
        <v>55</v>
      </c>
      <c r="CJ5" s="79"/>
      <c r="CK5" s="1828" t="s">
        <v>80</v>
      </c>
      <c r="CL5" s="1828"/>
      <c r="CM5" s="1828"/>
      <c r="CN5" s="81">
        <f>CC75</f>
        <v>0</v>
      </c>
      <c r="CO5" s="81">
        <f>CE75</f>
        <v>4579442431</v>
      </c>
      <c r="CP5" s="1825" t="s">
        <v>54</v>
      </c>
      <c r="CQ5" s="1818" t="s">
        <v>55</v>
      </c>
      <c r="CR5" s="1821" t="s">
        <v>54</v>
      </c>
      <c r="CS5" s="1822"/>
      <c r="CT5" s="1818" t="s">
        <v>55</v>
      </c>
      <c r="CU5" s="1613"/>
      <c r="CV5" s="1823"/>
      <c r="CW5" s="1822" t="s">
        <v>54</v>
      </c>
      <c r="CX5" s="1581" t="s">
        <v>55</v>
      </c>
      <c r="CY5" s="79"/>
      <c r="CZ5" s="1828" t="s">
        <v>80</v>
      </c>
      <c r="DA5" s="1828"/>
      <c r="DB5" s="1828"/>
      <c r="DC5" s="81">
        <f>CR75</f>
        <v>0</v>
      </c>
      <c r="DD5" s="81">
        <f>CT75</f>
        <v>2914179808</v>
      </c>
      <c r="DE5" s="1825" t="s">
        <v>54</v>
      </c>
      <c r="DF5" s="1818" t="s">
        <v>55</v>
      </c>
      <c r="DG5" s="1821" t="s">
        <v>54</v>
      </c>
      <c r="DH5" s="1822"/>
      <c r="DI5" s="1818" t="s">
        <v>55</v>
      </c>
      <c r="DJ5" s="1613"/>
      <c r="DK5" s="1823"/>
      <c r="DL5" s="1822" t="s">
        <v>54</v>
      </c>
      <c r="DM5" s="1581" t="s">
        <v>55</v>
      </c>
      <c r="DN5" s="79"/>
      <c r="DO5" s="1828" t="s">
        <v>80</v>
      </c>
      <c r="DP5" s="1828"/>
      <c r="DQ5" s="1828"/>
      <c r="DR5" s="81">
        <f>DG75</f>
        <v>0</v>
      </c>
      <c r="DS5" s="81">
        <f>DI75</f>
        <v>1748007356</v>
      </c>
      <c r="DT5" s="1825" t="s">
        <v>54</v>
      </c>
      <c r="DU5" s="1818" t="s">
        <v>55</v>
      </c>
      <c r="DV5" s="1821" t="s">
        <v>54</v>
      </c>
      <c r="DW5" s="1822"/>
      <c r="DX5" s="1818" t="s">
        <v>55</v>
      </c>
      <c r="DY5" s="1613"/>
      <c r="DZ5" s="1823"/>
      <c r="EA5" s="1822" t="s">
        <v>54</v>
      </c>
      <c r="EB5" s="1581" t="s">
        <v>55</v>
      </c>
      <c r="EC5" s="79"/>
      <c r="ED5" s="1828" t="s">
        <v>80</v>
      </c>
      <c r="EE5" s="1828"/>
      <c r="EF5" s="1828"/>
      <c r="EG5" s="81">
        <f>DV75</f>
        <v>0</v>
      </c>
      <c r="EH5" s="81">
        <f>DX75</f>
        <v>1237905579.3100002</v>
      </c>
      <c r="EI5" s="1825" t="s">
        <v>54</v>
      </c>
      <c r="EJ5" s="1818" t="s">
        <v>55</v>
      </c>
      <c r="EK5" s="1821" t="s">
        <v>54</v>
      </c>
      <c r="EL5" s="1822"/>
      <c r="EM5" s="1818" t="s">
        <v>55</v>
      </c>
      <c r="EN5" s="1613"/>
      <c r="EO5" s="1823"/>
      <c r="EP5" s="1822" t="s">
        <v>54</v>
      </c>
      <c r="EQ5" s="1581" t="s">
        <v>55</v>
      </c>
      <c r="ER5" s="79"/>
      <c r="ES5" s="1828" t="s">
        <v>80</v>
      </c>
      <c r="ET5" s="1828"/>
      <c r="EU5" s="1828"/>
      <c r="EV5" s="81">
        <f>EK75</f>
        <v>0</v>
      </c>
      <c r="EW5" s="81">
        <f>EM75</f>
        <v>914490929</v>
      </c>
      <c r="EX5" s="1825" t="s">
        <v>54</v>
      </c>
      <c r="EY5" s="1818" t="s">
        <v>55</v>
      </c>
      <c r="EZ5" s="1821" t="s">
        <v>54</v>
      </c>
      <c r="FA5" s="1822"/>
      <c r="FB5" s="1818" t="s">
        <v>55</v>
      </c>
      <c r="FC5" s="1613"/>
      <c r="FD5" s="1823"/>
      <c r="FE5" s="1822" t="s">
        <v>54</v>
      </c>
      <c r="FF5" s="1581" t="s">
        <v>55</v>
      </c>
      <c r="FG5" s="79"/>
      <c r="FH5" s="1828" t="s">
        <v>80</v>
      </c>
      <c r="FI5" s="1828"/>
      <c r="FJ5" s="1828"/>
      <c r="FK5" s="81">
        <f>EZ75</f>
        <v>0</v>
      </c>
      <c r="FL5" s="81">
        <f>FB75</f>
        <v>142900000</v>
      </c>
      <c r="FM5" s="1825" t="s">
        <v>54</v>
      </c>
      <c r="FN5" s="1818" t="s">
        <v>55</v>
      </c>
      <c r="FO5" s="1821" t="s">
        <v>54</v>
      </c>
      <c r="FP5" s="1822"/>
      <c r="FQ5" s="1818" t="s">
        <v>55</v>
      </c>
      <c r="FR5" s="1613"/>
      <c r="FS5" s="1823"/>
      <c r="FT5" s="1822" t="s">
        <v>54</v>
      </c>
      <c r="FU5" s="1581" t="s">
        <v>55</v>
      </c>
      <c r="FV5" s="79"/>
      <c r="FW5" s="1828" t="s">
        <v>80</v>
      </c>
      <c r="FX5" s="1828"/>
      <c r="FY5" s="1828"/>
      <c r="FZ5" s="81">
        <f>FO75</f>
        <v>0</v>
      </c>
      <c r="GA5" s="81">
        <f>FQ75</f>
        <v>895292185.98000002</v>
      </c>
    </row>
    <row r="6" spans="1:183" s="37" customFormat="1" ht="14.1" customHeight="1">
      <c r="A6" s="1827"/>
      <c r="B6" s="1827"/>
      <c r="C6" s="1819"/>
      <c r="D6" s="1826"/>
      <c r="E6" s="1819"/>
      <c r="F6" s="91" t="s">
        <v>78</v>
      </c>
      <c r="G6" s="92" t="s">
        <v>77</v>
      </c>
      <c r="H6" s="93" t="s">
        <v>78</v>
      </c>
      <c r="I6" s="92" t="s">
        <v>1</v>
      </c>
      <c r="J6" s="94" t="s">
        <v>77</v>
      </c>
      <c r="K6" s="1824"/>
      <c r="L6" s="1827"/>
      <c r="M6" s="102"/>
      <c r="N6" s="1828" t="s">
        <v>83</v>
      </c>
      <c r="O6" s="1828"/>
      <c r="P6" s="1828"/>
      <c r="Q6" s="81">
        <f>G75</f>
        <v>0</v>
      </c>
      <c r="R6" s="81">
        <f>I75</f>
        <v>-4539528.5</v>
      </c>
      <c r="S6" s="1826"/>
      <c r="T6" s="1819"/>
      <c r="U6" s="271" t="s">
        <v>78</v>
      </c>
      <c r="V6" s="92" t="s">
        <v>77</v>
      </c>
      <c r="W6" s="93" t="s">
        <v>78</v>
      </c>
      <c r="X6" s="92" t="s">
        <v>1</v>
      </c>
      <c r="Y6" s="94" t="s">
        <v>77</v>
      </c>
      <c r="Z6" s="1824"/>
      <c r="AA6" s="1827"/>
      <c r="AB6" s="102"/>
      <c r="AC6" s="1828" t="s">
        <v>83</v>
      </c>
      <c r="AD6" s="1828"/>
      <c r="AE6" s="1828"/>
      <c r="AF6" s="81">
        <f>V75</f>
        <v>0</v>
      </c>
      <c r="AG6" s="81">
        <f ca="1">X75</f>
        <v>0</v>
      </c>
      <c r="AH6" s="1826"/>
      <c r="AI6" s="1819"/>
      <c r="AJ6" s="292" t="s">
        <v>78</v>
      </c>
      <c r="AK6" s="92" t="s">
        <v>77</v>
      </c>
      <c r="AL6" s="93" t="s">
        <v>78</v>
      </c>
      <c r="AM6" s="92" t="s">
        <v>1</v>
      </c>
      <c r="AN6" s="94" t="s">
        <v>77</v>
      </c>
      <c r="AO6" s="1824"/>
      <c r="AP6" s="1827"/>
      <c r="AQ6" s="102"/>
      <c r="AR6" s="1828" t="s">
        <v>83</v>
      </c>
      <c r="AS6" s="1828"/>
      <c r="AT6" s="1828"/>
      <c r="AU6" s="81">
        <f>AK75</f>
        <v>0</v>
      </c>
      <c r="AV6" s="81">
        <f ca="1">AM75</f>
        <v>-1850000</v>
      </c>
      <c r="AW6" s="1826"/>
      <c r="AX6" s="1819"/>
      <c r="AY6" s="303" t="s">
        <v>78</v>
      </c>
      <c r="AZ6" s="92" t="s">
        <v>77</v>
      </c>
      <c r="BA6" s="93" t="s">
        <v>78</v>
      </c>
      <c r="BB6" s="92" t="s">
        <v>1</v>
      </c>
      <c r="BC6" s="94" t="s">
        <v>77</v>
      </c>
      <c r="BD6" s="1824"/>
      <c r="BE6" s="1827"/>
      <c r="BF6" s="102"/>
      <c r="BG6" s="1828" t="s">
        <v>83</v>
      </c>
      <c r="BH6" s="1828"/>
      <c r="BI6" s="1828"/>
      <c r="BJ6" s="81">
        <f>AZ75</f>
        <v>0</v>
      </c>
      <c r="BK6" s="81">
        <f>BB75</f>
        <v>-1850000</v>
      </c>
      <c r="BL6" s="1826"/>
      <c r="BM6" s="1819"/>
      <c r="BN6" s="335" t="s">
        <v>78</v>
      </c>
      <c r="BO6" s="92" t="s">
        <v>77</v>
      </c>
      <c r="BP6" s="93" t="s">
        <v>78</v>
      </c>
      <c r="BQ6" s="92" t="s">
        <v>1</v>
      </c>
      <c r="BR6" s="94" t="s">
        <v>77</v>
      </c>
      <c r="BS6" s="1824"/>
      <c r="BT6" s="1827"/>
      <c r="BU6" s="102"/>
      <c r="BV6" s="1828" t="s">
        <v>83</v>
      </c>
      <c r="BW6" s="1828"/>
      <c r="BX6" s="1828"/>
      <c r="BY6" s="81">
        <f>BO75</f>
        <v>0</v>
      </c>
      <c r="BZ6" s="81">
        <f>BQ75</f>
        <v>-1850000</v>
      </c>
      <c r="CA6" s="1826"/>
      <c r="CB6" s="1819"/>
      <c r="CC6" s="354" t="s">
        <v>78</v>
      </c>
      <c r="CD6" s="92" t="s">
        <v>77</v>
      </c>
      <c r="CE6" s="93" t="s">
        <v>78</v>
      </c>
      <c r="CF6" s="92" t="s">
        <v>85</v>
      </c>
      <c r="CG6" s="94" t="s">
        <v>77</v>
      </c>
      <c r="CH6" s="1824"/>
      <c r="CI6" s="1827"/>
      <c r="CJ6" s="102"/>
      <c r="CK6" s="1828" t="s">
        <v>83</v>
      </c>
      <c r="CL6" s="1828"/>
      <c r="CM6" s="1828"/>
      <c r="CN6" s="81">
        <f>CD75</f>
        <v>0</v>
      </c>
      <c r="CO6" s="81">
        <f ca="1">CF75</f>
        <v>-1850000</v>
      </c>
      <c r="CP6" s="1826"/>
      <c r="CQ6" s="1819"/>
      <c r="CR6" s="373" t="s">
        <v>78</v>
      </c>
      <c r="CS6" s="92" t="s">
        <v>77</v>
      </c>
      <c r="CT6" s="93" t="s">
        <v>78</v>
      </c>
      <c r="CU6" s="92" t="s">
        <v>77</v>
      </c>
      <c r="CV6" s="94" t="s">
        <v>85</v>
      </c>
      <c r="CW6" s="1824"/>
      <c r="CX6" s="1827"/>
      <c r="CY6" s="102"/>
      <c r="CZ6" s="1828" t="s">
        <v>83</v>
      </c>
      <c r="DA6" s="1828"/>
      <c r="DB6" s="1828"/>
      <c r="DC6" s="81">
        <f>CS75</f>
        <v>0</v>
      </c>
      <c r="DD6" s="81">
        <f>CU75</f>
        <v>-1850000</v>
      </c>
      <c r="DE6" s="1826"/>
      <c r="DF6" s="1819"/>
      <c r="DG6" s="381" t="s">
        <v>78</v>
      </c>
      <c r="DH6" s="92" t="s">
        <v>77</v>
      </c>
      <c r="DI6" s="93" t="s">
        <v>78</v>
      </c>
      <c r="DJ6" s="92" t="s">
        <v>77</v>
      </c>
      <c r="DK6" s="94" t="s">
        <v>85</v>
      </c>
      <c r="DL6" s="1824"/>
      <c r="DM6" s="1827"/>
      <c r="DN6" s="102"/>
      <c r="DO6" s="1828" t="s">
        <v>83</v>
      </c>
      <c r="DP6" s="1828"/>
      <c r="DQ6" s="1828"/>
      <c r="DR6" s="81">
        <f>DH75</f>
        <v>0</v>
      </c>
      <c r="DS6" s="81">
        <f>DJ75</f>
        <v>-1850000</v>
      </c>
      <c r="DT6" s="1826"/>
      <c r="DU6" s="1819"/>
      <c r="DV6" s="400" t="s">
        <v>78</v>
      </c>
      <c r="DW6" s="92" t="s">
        <v>77</v>
      </c>
      <c r="DX6" s="93" t="s">
        <v>78</v>
      </c>
      <c r="DY6" s="92" t="s">
        <v>77</v>
      </c>
      <c r="DZ6" s="94" t="s">
        <v>85</v>
      </c>
      <c r="EA6" s="1824"/>
      <c r="EB6" s="1827"/>
      <c r="EC6" s="102"/>
      <c r="ED6" s="1828" t="s">
        <v>83</v>
      </c>
      <c r="EE6" s="1828"/>
      <c r="EF6" s="1828"/>
      <c r="EG6" s="81">
        <f>DW75</f>
        <v>0</v>
      </c>
      <c r="EH6" s="81">
        <f>DY75</f>
        <v>0</v>
      </c>
      <c r="EI6" s="1826"/>
      <c r="EJ6" s="1819"/>
      <c r="EK6" s="408" t="s">
        <v>78</v>
      </c>
      <c r="EL6" s="92" t="s">
        <v>77</v>
      </c>
      <c r="EM6" s="93" t="s">
        <v>78</v>
      </c>
      <c r="EN6" s="92" t="s">
        <v>77</v>
      </c>
      <c r="EO6" s="94" t="s">
        <v>85</v>
      </c>
      <c r="EP6" s="1824"/>
      <c r="EQ6" s="1827"/>
      <c r="ER6" s="102"/>
      <c r="ES6" s="1828" t="s">
        <v>83</v>
      </c>
      <c r="ET6" s="1828"/>
      <c r="EU6" s="1828"/>
      <c r="EV6" s="81">
        <f>EL75</f>
        <v>0</v>
      </c>
      <c r="EW6" s="81">
        <f>EN75</f>
        <v>0</v>
      </c>
      <c r="EX6" s="1826"/>
      <c r="EY6" s="1819"/>
      <c r="EZ6" s="508" t="s">
        <v>78</v>
      </c>
      <c r="FA6" s="92" t="s">
        <v>77</v>
      </c>
      <c r="FB6" s="503" t="s">
        <v>78</v>
      </c>
      <c r="FC6" s="92" t="s">
        <v>77</v>
      </c>
      <c r="FD6" s="94" t="s">
        <v>85</v>
      </c>
      <c r="FE6" s="1824"/>
      <c r="FF6" s="1827"/>
      <c r="FG6" s="102"/>
      <c r="FH6" s="1828" t="s">
        <v>83</v>
      </c>
      <c r="FI6" s="1828"/>
      <c r="FJ6" s="1828"/>
      <c r="FK6" s="81">
        <f>FA75</f>
        <v>0</v>
      </c>
      <c r="FL6" s="81">
        <f>FC75</f>
        <v>-1850000</v>
      </c>
      <c r="FM6" s="1826"/>
      <c r="FN6" s="1819"/>
      <c r="FO6" s="522" t="s">
        <v>78</v>
      </c>
      <c r="FP6" s="92" t="s">
        <v>77</v>
      </c>
      <c r="FQ6" s="517" t="s">
        <v>78</v>
      </c>
      <c r="FR6" s="92" t="s">
        <v>77</v>
      </c>
      <c r="FS6" s="94" t="s">
        <v>85</v>
      </c>
      <c r="FT6" s="1824"/>
      <c r="FU6" s="1827"/>
      <c r="FV6" s="102"/>
      <c r="FW6" s="1828" t="s">
        <v>83</v>
      </c>
      <c r="FX6" s="1828"/>
      <c r="FY6" s="1828"/>
      <c r="FZ6" s="81">
        <f>FP75</f>
        <v>0</v>
      </c>
      <c r="GA6" s="81">
        <f>FR75</f>
        <v>0</v>
      </c>
    </row>
    <row r="7" spans="1:183" s="37" customFormat="1" ht="14.1" customHeight="1">
      <c r="A7" s="42">
        <v>1</v>
      </c>
      <c r="B7" s="86" t="s">
        <v>109</v>
      </c>
      <c r="C7" s="322" t="s">
        <v>126</v>
      </c>
      <c r="D7" s="173">
        <f>SUMIF(Report_BM!$B$6:$B$73,CONCATENATE($C7,L$3),Report_BM!$E$6:$E$73)+SUMIF(Report_BM!$B$6:$B$73,CONCATENATE($C7,L$3),Report_BM!$H$6:$H$73)</f>
        <v>0</v>
      </c>
      <c r="E7" s="275">
        <f>SUMIF(Report_BM!$B$6:$B$73,CONCATENATE($C7,L$3),Report_BM!$F$6:$F$73)+SUMIF(Report_BM!$B$6:$B$73,CONCATENATE($C7,L$3),Report_BM!$I$6:$I$73)</f>
        <v>0</v>
      </c>
      <c r="F7" s="173">
        <f>SUMIF(Report_BM!$B$6:$B$73,CONCATENATE($C7,L$3),Report_BM!$K$6:$K$73)</f>
        <v>0</v>
      </c>
      <c r="G7" s="38">
        <f>SUMIF(Report_BM!$B$6:$B$73,CONCATENATE($C7,$L$3),Report_BM!$L$6:$L$73)</f>
        <v>0</v>
      </c>
      <c r="H7" s="38">
        <f ca="1">SUMIF(Report_BM!$B$6:$B$73,CONCATENATE($C7,$L$3),Report_BM!$M$6:$M$73)</f>
        <v>0</v>
      </c>
      <c r="I7" s="38">
        <f>SUMIF(Report_BM!$B$6:$B$73,CONCATENATE($C7,$L$3),Report_BM!$N$6:$N$73)</f>
        <v>0</v>
      </c>
      <c r="J7" s="201">
        <f>SUMIF(Report_BM!$B$6:$B$73,CONCATENATE($C7,$L$3),Report_BM!$O$6:$O$73)</f>
        <v>0</v>
      </c>
      <c r="K7" s="173">
        <f>SUMIF(Report_BM!$B$6:$B$73,CONCATENATE($C7,$L$3),Report_BM!$P$6:$P$73)</f>
        <v>0</v>
      </c>
      <c r="L7" s="38">
        <f ca="1">SUMIF(Report_BM!$B$6:$B$73,CONCATENATE($C7,$L$3),Report_BM!$Q$6:$Q$73)</f>
        <v>0</v>
      </c>
      <c r="M7" s="102"/>
      <c r="N7" s="1820" t="s">
        <v>86</v>
      </c>
      <c r="O7" s="1820"/>
      <c r="P7" s="1820"/>
      <c r="Q7" s="48">
        <f>G76</f>
        <v>0</v>
      </c>
      <c r="R7" s="48">
        <f>J75</f>
        <v>-61493543.5854</v>
      </c>
      <c r="S7" s="173">
        <f>SUMIF(Report_BM!$AI$8:$AI$72,CONCATENATE($C7,AA$3),Report_BM!$U$8:$U$72)+SUMIF(Report_BM!$AI$8:$AI$72,CONCATENATE($C7,AA$3),Report_BM!$X$8:$X$72)</f>
        <v>0</v>
      </c>
      <c r="T7" s="275">
        <f>SUMIF(Report_BM!$AI$8:$AI$72,CONCATENATE($C7,AA$3),Report_BM!$V$8:$V$72)+SUMIF(Report_BM!$AI$8:$AI$72,CONCATENATE($C7,AA$3),Report_BM!$Y$8:$Y$72)</f>
        <v>0</v>
      </c>
      <c r="U7" s="173">
        <f>SUMIF(Report_BM!$AI$8:$AI$72,CONCATENATE($C7,$AA$3),Report_BM!$AA$8:$AA$72)</f>
        <v>0</v>
      </c>
      <c r="V7" s="38">
        <f>SUMIF(Report_BM!$AI$8:$AI$72,CONCATENATE($C7,$AA$3),Report_BM!$AB$8:$AB$72)</f>
        <v>0</v>
      </c>
      <c r="W7" s="38">
        <f>SUMIF(Report_BM!$AI$8:$AI$72,CONCATENATE($C7,$AA$3),Report_BM!$AC$8:$AC$72)</f>
        <v>0</v>
      </c>
      <c r="X7" s="38">
        <f ca="1">SUMIF(Report_BM!$AI$7:$AI$73,CONCATENATE($C7,$AA$3),Report_BM!$AD$7:$AD$73)</f>
        <v>0</v>
      </c>
      <c r="Y7" s="201">
        <f>SUMIF(Master_Data!$AK$152:$AK$864,CONCATENATE($C7,AA$3),Master_Data!$T$152:$T$864)</f>
        <v>0</v>
      </c>
      <c r="Z7" s="173">
        <f>SUMIF(Report_BM!$AI$8:$AI$72,CONCATENATE($C7,$AA$3),Report_BM!$AF$8:$AF$72)</f>
        <v>0</v>
      </c>
      <c r="AA7" s="38">
        <f>SUMIF(Report_BM!$AI$8:$AI$72,CONCATENATE($C7,$AA$3),Report_BM!$AG$8:$AG$72)</f>
        <v>0</v>
      </c>
      <c r="AB7" s="102"/>
      <c r="AC7" s="1820" t="s">
        <v>86</v>
      </c>
      <c r="AD7" s="1820"/>
      <c r="AE7" s="1820"/>
      <c r="AF7" s="48">
        <f>V76</f>
        <v>0</v>
      </c>
      <c r="AG7" s="48">
        <f>Y75</f>
        <v>-32532394.511840001</v>
      </c>
      <c r="AH7" s="173">
        <f>SUMIF(Report_BM!$AZ$5:$AZ$72,CONCATENATE($C7,AP$3),Report_BM!$AL$5:$AL$72)+SUMIF(Report_BM!$AZ$5:$AZ$72,CONCATENATE($C7,AP$3),Report_BM!$AO$5:$AO$72)</f>
        <v>0</v>
      </c>
      <c r="AI7" s="201" t="e">
        <f ca="1">SUMIF(Report_BM!$AZ$5:$AZ$72,CONCATENATE($C7,$AP$3),Report_BM!$AM$5:$AM$72)+SUMIF(Report_BM!$AZ$5:$AZ$72,CONCATENATE($C7,$AP$3),Report_BM!$AP$5:$AP$72)</f>
        <v>#VALUE!</v>
      </c>
      <c r="AJ7" s="173">
        <f>SUMIF(Report_BM!$AZ$5:$AZ$72,CONCATENATE($C7,$AP$3),Report_BM!$AR$5:$AR$72)</f>
        <v>0</v>
      </c>
      <c r="AK7" s="38">
        <f>SUMIF(Report_BM!$AZ$5:$AZ$72,CONCATENATE($C7,$AP$3),Report_BM!$AS$5:$AS$72)</f>
        <v>0</v>
      </c>
      <c r="AL7" s="38">
        <f>SUMIF(Report_BM!$AZ$5:$AZ$72,CONCATENATE($C7,$AP$3),Report_BM!$AT$5:$AT$72)</f>
        <v>85860000</v>
      </c>
      <c r="AM7" s="38">
        <f ca="1">SUMIF(Report_BM!$AZ$5:$AZ$72,CONCATENATE($C7,$AP$3),Report_BM!$AU$5:$AU$72)</f>
        <v>0</v>
      </c>
      <c r="AN7" s="201">
        <f>SUMIF(Master_Data!$AK$152:$AK$915,CONCATENATE($C7,AP$3),Master_Data!$T$152:$T$915)</f>
        <v>-1590000</v>
      </c>
      <c r="AO7" s="173">
        <f>SUMIF(Report_BM!$AZ$5:$AZ$72,CONCATENATE($C7,$AP$3),Report_BM!$AW$5:$AW$72)</f>
        <v>0</v>
      </c>
      <c r="AP7" s="38" t="e">
        <f ca="1">SUMIF(Report_BM!$AZ$5:$AZ$72,CONCATENATE($C7,$AP$3),Report_BM!$AX$5:$AX$72)</f>
        <v>#VALUE!</v>
      </c>
      <c r="AQ7" s="102"/>
      <c r="AR7" s="1820" t="s">
        <v>86</v>
      </c>
      <c r="AS7" s="1820"/>
      <c r="AT7" s="1820"/>
      <c r="AU7" s="48">
        <f>AK76</f>
        <v>0</v>
      </c>
      <c r="AV7" s="48">
        <f>AN75</f>
        <v>-36688268.328160003</v>
      </c>
      <c r="AW7" s="173">
        <f>SUMIF(Report_BM!$BQ$6:$BQ$73,CONCATENATE($C7,BE$3),Report_BM!$BC$6:$BC$73)+SUMIF(Report_BM!$BQ$6:$BQ$73,CONCATENATE($C7,BE$3),Report_BM!$BF$6:$BF$73)</f>
        <v>0</v>
      </c>
      <c r="AX7" s="201" t="e">
        <f ca="1">SUMIF(Report_BM!$BQ$6:$BQ$73,CONCATENATE($C7,$BE$3),Report_BM!$BD$6:$BD$73)+SUMIF(Report_BM!$BQ$6:$BQ$73,CONCATENATE($C7,$BE$3),Report_BM!$BG$6:$BG$73)</f>
        <v>#VALUE!</v>
      </c>
      <c r="AY7" s="173">
        <f>SUMIF(Report_BM!$BQ$6:$BQ$73,CONCATENATE($C7,BE$3),Report_BM!$BI$6:$BI$73)</f>
        <v>0</v>
      </c>
      <c r="AZ7" s="38">
        <f>SUMIF(Report_BM!$BQ$6:$BQ$73,CONCATENATE($C7,BE$3),Report_BM!$BJ$6:$BJ$73)</f>
        <v>0</v>
      </c>
      <c r="BA7" s="38">
        <f>SUMIF(Report_BM!$BQ$6:$BQ$73,CONCATENATE($C7,BE$3),Report_BM!$BK$6:$BK$73)</f>
        <v>43686000</v>
      </c>
      <c r="BB7" s="38">
        <f>SUMIF(Report_BM!$BQ$6:$BQ$73,CONCATENATE($C7,BE$3),Report_BM!$BL$6:$BL$73)</f>
        <v>0</v>
      </c>
      <c r="BC7" s="201">
        <f>SUMIF(Master_Data!$AK$152:$AK$864,CONCATENATE($C7,BE$3),Master_Data!$T$152:$T$864)</f>
        <v>-809000</v>
      </c>
      <c r="BD7" s="173">
        <f>SUMIF(Report_BM!$BQ$6:$BQ$73,CONCATENATE($C7,BE$3),Report_BM!$BN$6:$BN$73)</f>
        <v>0</v>
      </c>
      <c r="BE7" s="38" t="e">
        <f ca="1">SUMIF(Report_BM!$BQ$6:$BQ$73,CONCATENATE($C7,BE$3),Report_BM!$BO$6:$BO$73)</f>
        <v>#VALUE!</v>
      </c>
      <c r="BF7" s="102"/>
      <c r="BG7" s="1820" t="s">
        <v>86</v>
      </c>
      <c r="BH7" s="1820"/>
      <c r="BI7" s="1820"/>
      <c r="BJ7" s="48">
        <f>AZ76</f>
        <v>0</v>
      </c>
      <c r="BK7" s="48">
        <f>BC75</f>
        <v>-30187982.600000001</v>
      </c>
      <c r="BL7" s="173">
        <f>SUMIF(Report_BM!$CH$6:$CH$73,CONCATENATE($C7,BT$3),Report_BM!$BT$6:$BT$73)+SUMIF(Report_BM!$CH$6:$CH$73,CONCATENATE($C7,BT$3),Report_BM!$BW$6:$BW$73)</f>
        <v>0</v>
      </c>
      <c r="BM7" s="201" t="e">
        <f ca="1">SUMIF(Report_BM!$CH$6:$CH$73,CONCATENATE($C7,$BT$3),Report_BM!$BU$6:$BU$73)+SUMIF(Report_BM!$CH$6:$CH$73,CONCATENATE($C7,$BT$3),Report_BM!$BX$6:$BX$73)</f>
        <v>#VALUE!</v>
      </c>
      <c r="BN7" s="173">
        <f>SUMIF(Report_BM!$CH$6:$CH$73,CONCATENATE($C7,BT$3),Report_BM!$BZ$6:$BZ$73)</f>
        <v>0</v>
      </c>
      <c r="BO7" s="38">
        <f>SUMIF(Report_BM!$CH$6:$CH$73,CONCATENATE($C7,BT$3),Report_BM!$CA$6:$CA$73)</f>
        <v>0</v>
      </c>
      <c r="BP7" s="38">
        <f>SUMIF(Report_BM!$CH$6:$CH$73,CONCATENATE($C7,BT$3),Report_BM!$CB$6:$CB$73)</f>
        <v>0</v>
      </c>
      <c r="BQ7" s="38">
        <f>SUMIF(Report_BM!$CH$6:$CH$73,CONCATENATE($C7,BT$3),Report_BM!$CC$6:$CC$73)</f>
        <v>0</v>
      </c>
      <c r="BR7" s="201">
        <f>SUMIF(Master_Data!$AK$152:$AK$864,CONCATENATE($C7,BT$3),Master_Data!$T$152:$T$864)</f>
        <v>0</v>
      </c>
      <c r="BS7" s="173">
        <f>SUMIF(Report_BM!$CH$6:$CH$73,CONCATENATE($C7,BT$3),Report_BM!$CE$6:$CE$73)</f>
        <v>0</v>
      </c>
      <c r="BT7" s="38" t="e">
        <f ca="1">SUMIF(Report_BM!$CH$6:$CH$73,CONCATENATE($C7,BT$3),Report_BM!$CF$6:$CF$73)</f>
        <v>#VALUE!</v>
      </c>
      <c r="BU7" s="102"/>
      <c r="BV7" s="1820" t="s">
        <v>86</v>
      </c>
      <c r="BW7" s="1820"/>
      <c r="BX7" s="1820"/>
      <c r="BY7" s="48">
        <f>BO76</f>
        <v>0</v>
      </c>
      <c r="BZ7" s="48">
        <f>BR75</f>
        <v>-36341396.102119997</v>
      </c>
      <c r="CA7" s="173">
        <f>SUMIF(Report_BM!$CY$6:$CY$73,CONCATENATE($C7,CI$3),Report_BM!$CK$6:$CK$73)+SUMIF(Report_BM!$CY$6:$CY$73,CONCATENATE($C7,CI$3),Report_BM!$CN$6:$CN$73)</f>
        <v>0</v>
      </c>
      <c r="CB7" s="201" t="e">
        <f ca="1">SUMIF(Report_BM!$CY$6:$CY$73,CONCATENATE($C7,$CI$3),Report_BM!$CL$6:$CL$73)+SUMIF(Report_BM!$CY$6:$CY$73,CONCATENATE($C7,$CI$3),Report_BM!$CO$6:$CO$73)</f>
        <v>#VALUE!</v>
      </c>
      <c r="CC7" s="173">
        <f>SUMIF(Report_BM!$CY$6:$CY$73,CONCATENATE($C7,CI$3),Report_BM!$CQ$6:$CQ$73)</f>
        <v>0</v>
      </c>
      <c r="CD7" s="38">
        <f>SUMIF(Report_BM!$CY$6:$CY$73,CONCATENATE($C7,CI$3),Report_BM!$CR$6:$CR$73)</f>
        <v>0</v>
      </c>
      <c r="CE7" s="38">
        <f>SUMIF(Report_BM!$CY$6:$CY$73,CONCATENATE($C7,CI$3),Report_BM!$CS$6:$CS$73)</f>
        <v>0</v>
      </c>
      <c r="CF7" s="38">
        <f ca="1">SUMIF(Report_BM!$CY$6:$CY$73,CONCATENATE($C7,CI$3),Report_BM!$CT$6:$CT$73)</f>
        <v>0</v>
      </c>
      <c r="CG7" s="201">
        <f>SUMIF(Report_BM!$CY$6:$CY$73,CONCATENATE($C7,CI$3),Report_BM!$CU$6:$CU$73)</f>
        <v>0</v>
      </c>
      <c r="CH7" s="173">
        <f>SUMIF(Report_BM!$CY$6:$CY$73,CONCATENATE($C7,CI$3),Report_BM!$CV$6:$CV$73)</f>
        <v>0</v>
      </c>
      <c r="CI7" s="38" t="e">
        <f ca="1">SUMIF(Report_BM!$CY$6:$CY$73,CONCATENATE($C7,CI$3),Report_BM!$CW$6:$CW$73)</f>
        <v>#VALUE!</v>
      </c>
      <c r="CJ7" s="102"/>
      <c r="CK7" s="1820" t="s">
        <v>86</v>
      </c>
      <c r="CL7" s="1820"/>
      <c r="CM7" s="1820"/>
      <c r="CN7" s="48">
        <f>CD76</f>
        <v>0</v>
      </c>
      <c r="CO7" s="48">
        <f>CG75</f>
        <v>-74841230.051039994</v>
      </c>
      <c r="CP7" s="173">
        <f>SUMIF(Report_BM!$DP$6:$DP$73,CONCATENATE($C7,CX$3),Report_BM!$DB$6:$DB$73)+SUMIF(Report_BM!$DP$6:$DP$73,CONCATENATE($C7,CX$3),Report_BM!$DE$6:$DE$73)</f>
        <v>0</v>
      </c>
      <c r="CQ7" s="201" t="e">
        <f ca="1">SUMIF(Report_BM!$DP$6:$DP$73,CONCATENATE($C7,$CX$3),Report_BM!$DC$6:$DC$73)+SUMIF(Report_BM!$DP$6:$DP$73,CONCATENATE($C7,$CX$3),Report_BM!$DF$6:$DF$73)</f>
        <v>#VALUE!</v>
      </c>
      <c r="CR7" s="173">
        <f>SUMIF(Report_BM!$DP$6:$DP$73,CONCATENATE($C7,CX$3),Report_BM!$DH$6:$DH$73)</f>
        <v>0</v>
      </c>
      <c r="CS7" s="38">
        <f>SUMIF(Report_BM!$DP$6:$DP$73,CONCATENATE($C7,CX$3),Report_BM!$DI$6:$DI$73)</f>
        <v>0</v>
      </c>
      <c r="CT7" s="38">
        <f>SUMIF(Report_BM!$DP$6:$DP$73,CONCATENATE($C7,CX$3),Report_BM!$DJ$6:$DJ$73)</f>
        <v>0</v>
      </c>
      <c r="CU7" s="38">
        <f>SUMIF(Report_BM!$DP$6:$DP$73,CONCATENATE($C7,CX$3),Report_BM!$DK$6:$DK$73)</f>
        <v>0</v>
      </c>
      <c r="CV7" s="201">
        <f>SUMIF(Master_Data!$AK$152:$AK$864,CONCATENATE($C7,CX$3),Master_Data!$T$152:$T$864)</f>
        <v>0</v>
      </c>
      <c r="CW7" s="173">
        <f>SUMIF(Report_BM!$DP$6:$DP$73,CONCATENATE($C7,CX$3),Report_BM!$DM$6:$DM$73)</f>
        <v>0</v>
      </c>
      <c r="CX7" s="38" t="e">
        <f ca="1">SUMIF(Report_BM!$DP$6:$DP$73,CONCATENATE($C7,CX$3),Report_BM!$DN$6:$DN$73)</f>
        <v>#VALUE!</v>
      </c>
      <c r="CY7" s="102"/>
      <c r="CZ7" s="1820" t="s">
        <v>86</v>
      </c>
      <c r="DA7" s="1820"/>
      <c r="DB7" s="1820"/>
      <c r="DC7" s="48">
        <f>CS76</f>
        <v>0</v>
      </c>
      <c r="DD7" s="48">
        <f>CV75</f>
        <v>-52047224.32</v>
      </c>
      <c r="DE7" s="173">
        <f>SUMIF(Report_BM!$EG$6:$EG$73,CONCATENATE($C7,DM$3),Report_BM!$DS$6:$DS$73)+SUMIF(Report_BM!$EG$6:$EG$73,CONCATENATE($C7,DM$3),Report_BM!$DV$6:$DV$73)</f>
        <v>0</v>
      </c>
      <c r="DF7" s="201" t="e">
        <f ca="1">SUMIF(Report_BM!$EG$6:$EG$73,CONCATENATE($C7,$DM$3),Report_BM!$DT$6:$DT$73)+SUMIF(Report_BM!$EG$6:$EG$73,CONCATENATE($C7,$DM$3),Report_BM!$DW$6:$DW$73)</f>
        <v>#VALUE!</v>
      </c>
      <c r="DG7" s="173">
        <f>SUMIF(Report_BM!$EG$6:$EG$73,CONCATENATE($C7,DM$3),Report_BM!$DY$6:$DY$73)</f>
        <v>0</v>
      </c>
      <c r="DH7" s="38">
        <f>SUMIF(Report_BM!EG$6:EG$73,CONCATENATE($C7,DM$3),Report_BM!DZ$6:DZ$73)</f>
        <v>0</v>
      </c>
      <c r="DI7" s="38">
        <f>SUMIF(Report_BM!EG$6:EG$73,CONCATENATE($C7,DM$3),Report_BM!$EA$6:$EA$73)</f>
        <v>0</v>
      </c>
      <c r="DJ7" s="38">
        <f>SUMIF(Report_BM!EG$6:EG$73,CONCATENATE($C7,DM$3),Report_BM!$EB$6:$EB$73)</f>
        <v>0</v>
      </c>
      <c r="DK7" s="201">
        <f>SUMIF(Master_Data!$AK$152:$AK$864,CONCATENATE($C7,DM$3),Master_Data!$T$152:$T$864)</f>
        <v>0</v>
      </c>
      <c r="DL7" s="173">
        <f>SUMIF(Report_BM!EG$6:EG$73,CONCATENATE($C7,DM$3),Report_BM!ED$6:ED$73)</f>
        <v>0</v>
      </c>
      <c r="DM7" s="38" t="e">
        <f ca="1">SUMIF(Report_BM!EG$6:EG$73,CONCATENATE($C7,DM$3),Report_BM!EE$6:EE$73)</f>
        <v>#VALUE!</v>
      </c>
      <c r="DN7" s="102"/>
      <c r="DO7" s="1820" t="s">
        <v>86</v>
      </c>
      <c r="DP7" s="1820"/>
      <c r="DQ7" s="1820"/>
      <c r="DR7" s="48">
        <f>DH76</f>
        <v>0</v>
      </c>
      <c r="DS7" s="48">
        <f>DK75</f>
        <v>-32616379.386700001</v>
      </c>
      <c r="DT7" s="173">
        <f>SUMIF(Report_BM!$EX$6:$EX$73,CONCATENATE($C7,EB$3),Report_BM!$EJ$6:$EJ$73)+SUMIF(Report_BM!$EX$6:$EX$73,CONCATENATE($C7,EB$3),Report_BM!$EM$6:$EM$73)</f>
        <v>0</v>
      </c>
      <c r="DU7" s="201" t="e">
        <f ca="1">SUMIF(Report_BM!$EX$6:$EX$73,CONCATENATE($C7,$EB$3),Report_BM!$EK$6:$EK$73)+SUMIF(Report_BM!$EX$6:$EX$73,CONCATENATE($C7,$EB$3),Report_BM!$EN$6:$EN$73)</f>
        <v>#VALUE!</v>
      </c>
      <c r="DV7" s="173">
        <f>SUMIF(Report_BM!$EX$6:$EX$73,CONCATENATE($C7,EB$3),Report_BM!$EP$6:$EP$73)</f>
        <v>0</v>
      </c>
      <c r="DW7" s="38">
        <f>SUMIF(Report_BM!$EX$6:$EX$73,CONCATENATE($C7,EB$3),Report_BM!$EQ$6:$EQ$73)</f>
        <v>0</v>
      </c>
      <c r="DX7" s="38">
        <f>SUMIF(Report_BM!$EX$6:$EX$73,CONCATENATE($C7,EB$3),Report_BM!$ER$6:$ER$73)</f>
        <v>0</v>
      </c>
      <c r="DY7" s="38">
        <f>SUMIF(Report_BM!$EX$6:$EX$73,CONCATENATE($C7,EB$3),Report_BM!$ES$6:$ES$73)</f>
        <v>0</v>
      </c>
      <c r="DZ7" s="201">
        <f>SUMIF(Master_Data!$AK$152:$AK$864,CONCATENATE($C7,EB$3),Master_Data!$T$152:$T$864)</f>
        <v>0</v>
      </c>
      <c r="EA7" s="173">
        <f>SUMIF(Report_BM!EX$6:EX$73,CONCATENATE($C7,EB$3),Report_BM!EU$6:EU$73)</f>
        <v>0</v>
      </c>
      <c r="EB7" s="38">
        <f>SUMIF(Report_BM!EX$6:EX$73,CONCATENATE($C7,EB$3),Report_BM!EV$6:EV$73)</f>
        <v>0</v>
      </c>
      <c r="EC7" s="102"/>
      <c r="ED7" s="1820" t="s">
        <v>86</v>
      </c>
      <c r="EE7" s="1820"/>
      <c r="EF7" s="1820"/>
      <c r="EG7" s="48">
        <f>DW76</f>
        <v>0</v>
      </c>
      <c r="EH7" s="48">
        <f>DZ75</f>
        <v>-22239623.439999998</v>
      </c>
      <c r="EI7" s="173">
        <f>SUMIF(Report_BM!$FO$6:$FO$73,CONCATENATE($C7,EQ$3),Report_BM!$FA$6:$FA$73)+SUMIF(Report_BM!$FO$6:$FO$73,CONCATENATE($C7,EQ$3),Report_BM!$FD$6:$FD$73)</f>
        <v>0</v>
      </c>
      <c r="EJ7" s="201">
        <f>SUMIF(Report_BM!$FO$6:$FO$73,CONCATENATE($C7,$EQ$3),Report_BM!$FB$6:$FB$73)+SUMIF(Report_BM!$FO$6:$FO$73,CONCATENATE($C7,$EQ$3),Report_BM!$FE$6:$FE$73)</f>
        <v>0</v>
      </c>
      <c r="EK7" s="173">
        <f>SUMIF(Report_BM!$FO$6:$FO$73,CONCATENATE($C7,EQ$3),Report_BM!$FG$6:$FG$73)</f>
        <v>0</v>
      </c>
      <c r="EL7" s="38">
        <f>SUMIF(Report_BM!$FO$6:$FO$73,CONCATENATE($C7,EQ$3),Report_BM!$FH$6:$FH$73)</f>
        <v>0</v>
      </c>
      <c r="EM7" s="38">
        <f>SUMIF(Report_BM!$FO$6:$FO$73,CONCATENATE($C7,EQ$3),Report_BM!$FI$6:$FI$73)</f>
        <v>0</v>
      </c>
      <c r="EN7" s="38">
        <f>SUMIF(Report_BM!$FO$6:$FO$73,CONCATENATE($C7,EQ$3),Report_BM!$FJ$6:$FJ$73)</f>
        <v>0</v>
      </c>
      <c r="EO7" s="201">
        <f>SUMIF(Master_Data!$AK$152:$AK$864,CONCATENATE($C7,EQ$3),Master_Data!$T$152:$T$864)</f>
        <v>0</v>
      </c>
      <c r="EP7" s="173">
        <f>SUMIF(Report_BM!FO$6:FO$73,CONCATENATE($C7,EQ$3),Report_BM!FL$6:FL$73)</f>
        <v>0</v>
      </c>
      <c r="EQ7" s="38">
        <f>SUMIF(Report_BM!FO$6:FO$73,CONCATENATE($C7,EQ$3),Report_BM!FM$6:FM$73)</f>
        <v>0</v>
      </c>
      <c r="ER7" s="102"/>
      <c r="ES7" s="1820" t="s">
        <v>86</v>
      </c>
      <c r="ET7" s="1820"/>
      <c r="EU7" s="1820"/>
      <c r="EV7" s="48">
        <f>EL76</f>
        <v>0</v>
      </c>
      <c r="EW7" s="48">
        <f>EO75</f>
        <v>-16935017.200000003</v>
      </c>
      <c r="EX7" s="173">
        <f>SUMIF(Report_BM!$GF$6:$GF$73,CONCATENATE($C7,FF$3),Report_BM!$FR$6:$FR$73)+SUMIF(Report_BM!$GF$6:$GF$73,CONCATENATE($C7,FF$3),Report_BM!$FU$6:$FU$73)</f>
        <v>0</v>
      </c>
      <c r="EY7" s="201">
        <f>SUMIF(Report_BM!$GF$6:$GF$73,CONCATENATE($C7,$FF$3),Report_BM!$FS$6:$FS$73)+SUMIF(Report_BM!$GF$6:$GF$73,CONCATENATE($C7,$FF$3),Report_BM!$FV$6:$FV$73)</f>
        <v>0</v>
      </c>
      <c r="EZ7" s="173">
        <f>SUMIF(Report_BM!$GF$6:$GF$73,CONCATENATE($C7,FF$3),Report_BM!$FX$6:$FX$73)</f>
        <v>0</v>
      </c>
      <c r="FA7" s="38">
        <f>SUMIF(Report_BM!$GF$6:$GF$73,CONCATENATE($C7,FF$3),Report_BM!$FY$6:$FY$73)</f>
        <v>0</v>
      </c>
      <c r="FB7" s="38">
        <f>SUMIF(Report_BM!$GF$6:$GF$73,CONCATENATE($C7,FF$3),Report_BM!$FZ$6:$FZ$73)</f>
        <v>0</v>
      </c>
      <c r="FC7" s="38">
        <f>SUMIF(Report_BM!$GF$6:$GF$73,CONCATENATE($C7,FF$3),Report_BM!$GA$6:$GA$73)</f>
        <v>0</v>
      </c>
      <c r="FD7" s="201">
        <f>SUMIF(Master_Data!$AK$152:$AK$864,CONCATENATE($C7,FF$3),Master_Data!$T$152:$T$864)</f>
        <v>0</v>
      </c>
      <c r="FE7" s="173">
        <f>SUMIF(Report_BM!GF$6:GF$73,CONCATENATE($C7,FF$3),Report_BM!GC$6:GC$73)</f>
        <v>0</v>
      </c>
      <c r="FF7" s="38">
        <f>SUMIF(Report_BM!GF$6:GF$73,CONCATENATE($C7,FF$3),Report_BM!GD$6:GD$73)</f>
        <v>0</v>
      </c>
      <c r="FG7" s="102"/>
      <c r="FH7" s="1820" t="s">
        <v>86</v>
      </c>
      <c r="FI7" s="1820"/>
      <c r="FJ7" s="1820"/>
      <c r="FK7" s="48">
        <f>FA76</f>
        <v>0</v>
      </c>
      <c r="FL7" s="48">
        <f>FD75</f>
        <v>-2100000</v>
      </c>
      <c r="FM7" s="173">
        <f>SUMIF(Report_BM!$GW$6:$GW$73,CONCATENATE($C7,FU$3),Report_BM!$GI$6:$GI$73)+SUMIF(Report_BM!$GW$6:$GW$73,CONCATENATE($C7,FU$3),Report_BM!$GL$6:$GL$73)</f>
        <v>0</v>
      </c>
      <c r="FN7" s="201">
        <f>SUMIF(Report_BM!$GW$6:$GW$73,CONCATENATE($C7,$FU$3),Report_BM!$GJ$6:$GJ$73)+SUMIF(Report_BM!$GW$6:$GW$73,CONCATENATE($C7,$FU$3),Report_BM!$GM$6:$GM$73)</f>
        <v>0</v>
      </c>
      <c r="FO7" s="173">
        <f>SUMIF(Report_BM!$GW$6:$GW$73,CONCATENATE($C7,FU$3),Report_BM!$GO$6:$GO$73)</f>
        <v>0</v>
      </c>
      <c r="FP7" s="38">
        <f>SUMIF(Report_BM!$GW$6:$GW$73,CONCATENATE($C7,FU$3),Report_BM!$GP$6:$GP$73)</f>
        <v>0</v>
      </c>
      <c r="FQ7" s="38">
        <f>SUMIF(Report_BM!$GW$6:$GW$73,CONCATENATE($C7,FU$3),Report_BM!$GQ$6:$GQ$73)</f>
        <v>0</v>
      </c>
      <c r="FR7" s="38">
        <f>SUMIF(Report_BM!$GW$6:$GW$73,CONCATENATE($C7,FU$3),Report_BM!$GR$6:$GR$73)</f>
        <v>0</v>
      </c>
      <c r="FS7" s="201">
        <f>SUMIF(Master_Data!$AK$152:$AK$864,CONCATENATE($C7,FU$3),Master_Data!$T$152:$T$864)</f>
        <v>0</v>
      </c>
      <c r="FT7" s="173">
        <f>SUMIF(Report_BM!GW$6:GW$73,CONCATENATE($C7,FU$3),Report_BM!GT$6:GT$73)</f>
        <v>0</v>
      </c>
      <c r="FU7" s="38">
        <f>SUMIF(Report_BM!GW$6:GW$73,CONCATENATE($C7,FU$3),Report_BM!GU$6:GU$73)</f>
        <v>0</v>
      </c>
      <c r="FV7" s="102"/>
      <c r="FW7" s="1820" t="s">
        <v>86</v>
      </c>
      <c r="FX7" s="1820"/>
      <c r="FY7" s="1820"/>
      <c r="FZ7" s="48">
        <f>FP76</f>
        <v>0</v>
      </c>
      <c r="GA7" s="48">
        <f>FS75</f>
        <v>-16579484.925799999</v>
      </c>
    </row>
    <row r="8" spans="1:183" s="37" customFormat="1" ht="14.1" customHeight="1">
      <c r="A8" s="9">
        <v>2</v>
      </c>
      <c r="B8" s="321" t="s">
        <v>73</v>
      </c>
      <c r="C8" s="323" t="s">
        <v>413</v>
      </c>
      <c r="D8" s="45">
        <f>SUMIF(Report_BM!$B$6:$B$73,CONCATENATE($C8,L$3),Report_BM!$E$6:$E$73)+SUMIF(Report_BM!$B$6:$B$73,CONCATENATE($C8,L$3),Report_BM!$H$6:$H$73)</f>
        <v>0</v>
      </c>
      <c r="E8" s="276">
        <f>SUMIF(Report_BM!$B$6:$B$73,CONCATENATE($C8,L$3),Report_BM!$F$6:$F$73)+SUMIF(Report_BM!$B$6:$B$73,CONCATENATE($C8,L$3),Report_BM!$I$6:$I$73)</f>
        <v>0</v>
      </c>
      <c r="F8" s="45">
        <f>SUMIF(Report_BM!$B$6:$B$73,CONCATENATE($C8,L$3),Report_BM!$K$6:$K$73)</f>
        <v>0</v>
      </c>
      <c r="G8" s="39">
        <f>SUMIF(Report_BM!$B$6:$B$73,CONCATENATE($C8,$L$3),Report_BM!$L$6:$L$73)</f>
        <v>0</v>
      </c>
      <c r="H8" s="39">
        <f>SUMIF(Report_BM!$B$6:$B$73,CONCATENATE($C8,$L$3),Report_BM!$M$6:$M$73)</f>
        <v>0</v>
      </c>
      <c r="I8" s="39">
        <f>SUMIF(Report_BM!$B$6:$B$73,CONCATENATE($C8,$L$3),Report_BM!$N$6:$N$73)</f>
        <v>0</v>
      </c>
      <c r="J8" s="46">
        <f>SUMIF(Report_BM!$B$6:$B$73,CONCATENATE($C8,$L$3),Report_BM!$O$6:$O$73)</f>
        <v>0</v>
      </c>
      <c r="K8" s="45">
        <f>SUMIF(Report_BM!$B$6:$B$73,CONCATENATE($C8,$L$3),Report_BM!$P$6:$P$73)</f>
        <v>0</v>
      </c>
      <c r="L8" s="39">
        <f>SUMIF(Report_BM!$B$6:$B$73,CONCATENATE($C8,$L$3),Report_BM!$Q$6:$Q$73)</f>
        <v>0</v>
      </c>
      <c r="M8" s="102"/>
      <c r="N8" s="1815" t="s">
        <v>82</v>
      </c>
      <c r="O8" s="1816"/>
      <c r="P8" s="1817"/>
      <c r="Q8" s="234">
        <f>Q4-Q5-Q6-Q7</f>
        <v>12049</v>
      </c>
      <c r="R8" s="49" t="e">
        <f>R4-R5+R6-R7</f>
        <v>#VALUE!</v>
      </c>
      <c r="S8" s="45">
        <f>SUMIF(Report_BM!$AI$8:$AI$72,CONCATENATE($C8,AA$3),Report_BM!$U$8:$U$72)+SUMIF(Report_BM!$AI$8:$AI$72,CONCATENATE($C8,AA$3),Report_BM!$X$8:$X$72)</f>
        <v>0</v>
      </c>
      <c r="T8" s="276">
        <f>SUMIF(Report_BM!$AI$8:$AI$72,CONCATENATE($C8,AA$3),Report_BM!$V$8:$V$72)+SUMIF(Report_BM!$AI$8:$AI$72,CONCATENATE($C8,AA$3),Report_BM!$Y$8:$Y$72)</f>
        <v>0</v>
      </c>
      <c r="U8" s="45">
        <f>SUMIF(Report_BM!$AI$8:$AI$72,CONCATENATE($C8,$AA$3),Report_BM!$AA$8:$AA$72)</f>
        <v>0</v>
      </c>
      <c r="V8" s="39">
        <f>SUMIF(Report_BM!$AI$8:$AI$72,CONCATENATE($C8,$AA$3),Report_BM!$AB$8:$AB$72)</f>
        <v>0</v>
      </c>
      <c r="W8" s="39">
        <f>SUMIF(Report_BM!$AI$8:$AI$72,CONCATENATE($C8,$AA$3),Report_BM!$AC$8:$AC$72)</f>
        <v>0</v>
      </c>
      <c r="X8" s="39">
        <f>SUMIF(Report_BM!$AI$7:$AI$73,CONCATENATE($C8,$AA$3),Report_BM!$AD$7:$AD$73)</f>
        <v>0</v>
      </c>
      <c r="Y8" s="46">
        <f>SUMIF(Master_Data!$AK$152:$AK$864,CONCATENATE($C8,AA$3),Master_Data!$T$152:$T$864)</f>
        <v>0</v>
      </c>
      <c r="Z8" s="45">
        <f>SUMIF(Report_BM!$AI$8:$AI$72,CONCATENATE($C8,$AA$3),Report_BM!$AF$8:$AF$72)</f>
        <v>0</v>
      </c>
      <c r="AA8" s="39">
        <f>SUMIF(Report_BM!$AI$8:$AI$72,CONCATENATE($C8,$AA$3),Report_BM!$AG$8:$AG$72)</f>
        <v>0</v>
      </c>
      <c r="AB8" s="102"/>
      <c r="AC8" s="1815" t="s">
        <v>82</v>
      </c>
      <c r="AD8" s="1816"/>
      <c r="AE8" s="1817"/>
      <c r="AF8" s="234">
        <f>AF4-AF5-AF6-AF7</f>
        <v>12049</v>
      </c>
      <c r="AG8" s="49" t="e">
        <f ca="1">AG4-AG5+AG6-AG7</f>
        <v>#VALUE!</v>
      </c>
      <c r="AH8" s="45">
        <f>SUMIF(Report_BM!$AZ$5:$AZ$72,CONCATENATE($C8,AP$3),Report_BM!$AL$5:$AL$72)+SUMIF(Report_BM!$AZ$5:$AZ$72,CONCATENATE($C8,AP$3),Report_BM!$AO$5:$AO$72)</f>
        <v>0</v>
      </c>
      <c r="AI8" s="46">
        <f>SUMIF(Report_BM!$AZ$5:$AZ$72,CONCATENATE($C8,$AP$3),Report_BM!$AM$5:$AM$72)+SUMIF(Report_BM!$AZ$5:$AZ$72,CONCATENATE($C8,$AP$3),Report_BM!$AP$5:$AP$72)</f>
        <v>0</v>
      </c>
      <c r="AJ8" s="45">
        <f>SUMIF(Report_BM!$AZ$5:$AZ$72,CONCATENATE($C8,$AP$3),Report_BM!$AR$5:$AR$72)</f>
        <v>0</v>
      </c>
      <c r="AK8" s="39">
        <f>SUMIF(Report_BM!$AZ$5:$AZ$72,CONCATENATE($C8,$AP$3),Report_BM!$AS$5:$AS$72)</f>
        <v>0</v>
      </c>
      <c r="AL8" s="39">
        <f>SUMIF(Report_BM!$AZ$5:$AZ$72,CONCATENATE($C8,$AP$3),Report_BM!$AT$5:$AT$72)</f>
        <v>0</v>
      </c>
      <c r="AM8" s="39">
        <f>SUMIF(Report_BM!$AZ$5:$AZ$72,CONCATENATE($C8,$AP$3),Report_BM!$AU$5:$AU$72)</f>
        <v>0</v>
      </c>
      <c r="AN8" s="46">
        <f>SUMIF(Master_Data!$AK$152:$AK$915,CONCATENATE($C8,AP$3),Master_Data!$T$152:$T$915)</f>
        <v>0</v>
      </c>
      <c r="AO8" s="45">
        <f>SUMIF(Report_BM!$AZ$5:$AZ$72,CONCATENATE($C8,$AP$3),Report_BM!$AW$5:$AW$72)</f>
        <v>0</v>
      </c>
      <c r="AP8" s="39">
        <f>SUMIF(Report_BM!$AZ$5:$AZ$72,CONCATENATE($C8,$AP$3),Report_BM!$AX$5:$AX$72)</f>
        <v>0</v>
      </c>
      <c r="AQ8" s="102"/>
      <c r="AR8" s="1815" t="s">
        <v>82</v>
      </c>
      <c r="AS8" s="1816"/>
      <c r="AT8" s="1817"/>
      <c r="AU8" s="234">
        <f>AU4-AU5-AU6-AU7</f>
        <v>12049</v>
      </c>
      <c r="AV8" s="49" t="e">
        <f ca="1">AV4-AV5+AV6-AV7</f>
        <v>#VALUE!</v>
      </c>
      <c r="AW8" s="45">
        <f>SUMIF(Report_BM!$BQ$6:$BQ$73,CONCATENATE($C8,BE$3),Report_BM!$BC$6:$BC$73)+SUMIF(Report_BM!$BQ$6:$BQ$73,CONCATENATE($C8,BE$3),Report_BM!$BF$6:$BF$73)</f>
        <v>0</v>
      </c>
      <c r="AX8" s="46">
        <f>SUMIF(Report_BM!$BQ$6:$BQ$73,CONCATENATE($C8,$BE$3),Report_BM!$BD$6:$BD$73)+SUMIF(Report_BM!$BQ$6:$BQ$73,CONCATENATE($C8,$BE$3),Report_BM!$BG$6:$BG$73)</f>
        <v>0</v>
      </c>
      <c r="AY8" s="45">
        <f>SUMIF(Report_BM!$BQ$6:$BQ$73,CONCATENATE($C8,BE$3),Report_BM!$BI$6:$BI$73)</f>
        <v>0</v>
      </c>
      <c r="AZ8" s="39">
        <f>SUMIF(Report_BM!$BQ$6:$BQ$73,CONCATENATE($C8,BE$3),Report_BM!$BJ$6:$BJ$73)</f>
        <v>0</v>
      </c>
      <c r="BA8" s="39">
        <f>SUMIF(Report_BM!$BQ$6:$BQ$73,CONCATENATE($C8,BE$3),Report_BM!$BK$6:$BK$73)</f>
        <v>0</v>
      </c>
      <c r="BB8" s="39">
        <f>SUMIF(Report_BM!$BQ$6:$BQ$73,CONCATENATE($C8,BE$3),Report_BM!$BL$6:$BL$73)</f>
        <v>0</v>
      </c>
      <c r="BC8" s="46">
        <f>SUMIF(Master_Data!$AK$152:$AK$864,CONCATENATE($C8,BE$3),Master_Data!$T$152:$T$864)</f>
        <v>0</v>
      </c>
      <c r="BD8" s="45">
        <f>SUMIF(Report_BM!$BQ$6:$BQ$73,CONCATENATE($C8,BE$3),Report_BM!$BN$6:$BN$73)</f>
        <v>0</v>
      </c>
      <c r="BE8" s="39">
        <f>SUMIF(Report_BM!$BQ$6:$BQ$73,CONCATENATE($C8,BE$3),Report_BM!$BO$6:$BO$73)</f>
        <v>0</v>
      </c>
      <c r="BF8" s="102"/>
      <c r="BG8" s="1815" t="s">
        <v>82</v>
      </c>
      <c r="BH8" s="1816"/>
      <c r="BI8" s="1817"/>
      <c r="BJ8" s="49">
        <f>BJ4-BJ5+BJ6+BJ7</f>
        <v>12049</v>
      </c>
      <c r="BK8" s="49" t="e">
        <f ca="1">BK4-BK5+BK6+BK7</f>
        <v>#VALUE!</v>
      </c>
      <c r="BL8" s="45">
        <f>SUMIF(Report_BM!$CH$6:$CH$73,CONCATENATE($C8,BT$3),Report_BM!$BT$6:$BT$73)+SUMIF(Report_BM!$CH$6:$CH$73,CONCATENATE($C8,BT$3),Report_BM!$BW$6:$BW$73)</f>
        <v>0</v>
      </c>
      <c r="BM8" s="46">
        <f>SUMIF(Report_BM!$CH$6:$CH$73,CONCATENATE($C8,$BT$3),Report_BM!$BU$6:$BU$73)+SUMIF(Report_BM!$CH$6:$CH$73,CONCATENATE($C8,$BT$3),Report_BM!$BX$6:$BX$73)</f>
        <v>0</v>
      </c>
      <c r="BN8" s="45">
        <f>SUMIF(Report_BM!$CH$6:$CH$73,CONCATENATE($C8,BT$3),Report_BM!$BZ$6:$BZ$73)</f>
        <v>0</v>
      </c>
      <c r="BO8" s="39">
        <f>SUMIF(Report_BM!$CH$6:$CH$73,CONCATENATE($C8,BT$3),Report_BM!$CA$6:$CA$73)</f>
        <v>0</v>
      </c>
      <c r="BP8" s="39">
        <f>SUMIF(Report_BM!$CH$6:$CH$73,CONCATENATE($C8,BT$3),Report_BM!$CB$6:$CB$73)</f>
        <v>0</v>
      </c>
      <c r="BQ8" s="39">
        <f>SUMIF(Report_BM!$CH$6:$CH$73,CONCATENATE($C8,BT$3),Report_BM!$CC$6:$CC$73)</f>
        <v>0</v>
      </c>
      <c r="BR8" s="46">
        <f>SUMIF(Master_Data!$AK$152:$AK$864,CONCATENATE($C8,BT$3),Master_Data!$T$152:$T$864)</f>
        <v>0</v>
      </c>
      <c r="BS8" s="45">
        <f>SUMIF(Report_BM!$CH$6:$CH$73,CONCATENATE($C8,BT$3),Report_BM!$CE$6:$CE$73)</f>
        <v>0</v>
      </c>
      <c r="BT8" s="39">
        <f>SUMIF(Report_BM!$CH$6:$CH$73,CONCATENATE($C8,BT$3),Report_BM!$CF$6:$CF$73)</f>
        <v>0</v>
      </c>
      <c r="BU8" s="102"/>
      <c r="BV8" s="1815" t="s">
        <v>82</v>
      </c>
      <c r="BW8" s="1816"/>
      <c r="BX8" s="1817"/>
      <c r="BY8" s="49">
        <f>BY4-BY5+BY6+BY7</f>
        <v>12049</v>
      </c>
      <c r="BZ8" s="49" t="e">
        <f ca="1">BZ4-BZ5+BZ6+BZ7</f>
        <v>#VALUE!</v>
      </c>
      <c r="CA8" s="45">
        <f>SUMIF(Report_BM!$CY$6:$CY$73,CONCATENATE($C8,CI$3),Report_BM!$CK$6:$CK$73)+SUMIF(Report_BM!$CY$6:$CY$73,CONCATENATE($C8,CI$3),Report_BM!$CN$6:$CN$73)</f>
        <v>0</v>
      </c>
      <c r="CB8" s="46">
        <f>SUMIF(Report_BM!$CY$6:$CY$73,CONCATENATE($C8,$CI$3),Report_BM!$CL$6:$CL$73)+SUMIF(Report_BM!$CY$6:$CY$73,CONCATENATE($C8,$CI$3),Report_BM!$CO$6:$CO$73)</f>
        <v>0</v>
      </c>
      <c r="CC8" s="45">
        <f>SUMIF(Report_BM!$CY$6:$CY$73,CONCATENATE($C8,CI$3),Report_BM!$CQ$6:$CQ$73)</f>
        <v>0</v>
      </c>
      <c r="CD8" s="39">
        <f>SUMIF(Report_BM!$CY$6:$CY$73,CONCATENATE($C8,CI$3),Report_BM!$CR$6:$CR$73)</f>
        <v>0</v>
      </c>
      <c r="CE8" s="39">
        <f>SUMIF(Report_BM!$CY$6:$CY$73,CONCATENATE($C8,CI$3),Report_BM!$CS$6:$CS$73)</f>
        <v>0</v>
      </c>
      <c r="CF8" s="39">
        <f>SUMIF(Report_BM!$CY$6:$CY$73,CONCATENATE($C8,CI$3),Report_BM!$CT$6:$CT$73)</f>
        <v>0</v>
      </c>
      <c r="CG8" s="46">
        <f>SUMIF(Report_BM!$CY$6:$CY$73,CONCATENATE($C8,CI$3),Report_BM!$CU$6:$CU$73)</f>
        <v>0</v>
      </c>
      <c r="CH8" s="45">
        <f>SUMIF(Report_BM!$CY$6:$CY$73,CONCATENATE($C8,CI$3),Report_BM!$CV$6:$CV$73)</f>
        <v>0</v>
      </c>
      <c r="CI8" s="39">
        <f>SUMIF(Report_BM!$CY$6:$CY$73,CONCATENATE($C8,CI$3),Report_BM!$CW$6:$CW$73)</f>
        <v>0</v>
      </c>
      <c r="CJ8" s="102"/>
      <c r="CK8" s="1815" t="s">
        <v>82</v>
      </c>
      <c r="CL8" s="1816"/>
      <c r="CM8" s="1817"/>
      <c r="CN8" s="49">
        <f>CN4-CN5+CN6+CN7</f>
        <v>12049</v>
      </c>
      <c r="CO8" s="49" t="e">
        <f ca="1">CO4-CO5+CO6+CO7</f>
        <v>#VALUE!</v>
      </c>
      <c r="CP8" s="45">
        <f>SUMIF(Report_BM!$DP$6:$DP$73,CONCATENATE($C8,CX$3),Report_BM!$DB$6:$DB$73)+SUMIF(Report_BM!$DP$6:$DP$73,CONCATENATE($C8,CX$3),Report_BM!$DE$6:$DE$73)</f>
        <v>0</v>
      </c>
      <c r="CQ8" s="46">
        <f>SUMIF(Report_BM!$DP$6:$DP$73,CONCATENATE($C8,$CX$3),Report_BM!$DC$6:$DC$73)+SUMIF(Report_BM!$DP$6:$DP$73,CONCATENATE($C8,$CX$3),Report_BM!$DF$6:$DF$73)</f>
        <v>0</v>
      </c>
      <c r="CR8" s="45">
        <f>SUMIF(Report_BM!$DP$6:$DP$73,CONCATENATE($C8,CX$3),Report_BM!$DH$6:$DH$73)</f>
        <v>0</v>
      </c>
      <c r="CS8" s="39">
        <f>SUMIF(Report_BM!$DP$6:$DP$73,CONCATENATE($C8,CX$3),Report_BM!$DI$6:$DI$73)</f>
        <v>0</v>
      </c>
      <c r="CT8" s="39">
        <f>SUMIF(Report_BM!$DP$6:$DP$73,CONCATENATE($C8,CX$3),Report_BM!$DJ$6:$DJ$73)</f>
        <v>0</v>
      </c>
      <c r="CU8" s="39">
        <f>SUMIF(Report_BM!$DP$6:$DP$73,CONCATENATE($C8,CX$3),Report_BM!$DK$6:$DK$73)</f>
        <v>0</v>
      </c>
      <c r="CV8" s="46">
        <f>SUMIF(Master_Data!$AK$152:$AK$864,CONCATENATE($C8,CX$3),Master_Data!$T$152:$T$864)</f>
        <v>0</v>
      </c>
      <c r="CW8" s="45">
        <f>SUMIF(Report_BM!$DP$6:$DP$73,CONCATENATE($C8,CX$3),Report_BM!$DM$6:$DM$73)</f>
        <v>0</v>
      </c>
      <c r="CX8" s="39">
        <f>SUMIF(Report_BM!$DP$6:$DP$73,CONCATENATE($C8,CX$3),Report_BM!$DN$6:$DN$73)</f>
        <v>0</v>
      </c>
      <c r="CY8" s="102"/>
      <c r="CZ8" s="1815" t="s">
        <v>82</v>
      </c>
      <c r="DA8" s="1816"/>
      <c r="DB8" s="1817"/>
      <c r="DC8" s="49">
        <f>DC4-DC5+DC6+DC7</f>
        <v>12049</v>
      </c>
      <c r="DD8" s="49" t="e">
        <f ca="1">DD4-DD5+DD6+DD7</f>
        <v>#VALUE!</v>
      </c>
      <c r="DE8" s="45">
        <f>SUMIF(Report_BM!$EG$6:$EG$73,CONCATENATE($C8,DM$3),Report_BM!$DS$6:$DS$73)+SUMIF(Report_BM!$EG$6:$EG$73,CONCATENATE($C8,DM$3),Report_BM!$DV$6:$DV$73)</f>
        <v>0</v>
      </c>
      <c r="DF8" s="46">
        <f>SUMIF(Report_BM!$EG$6:$EG$73,CONCATENATE($C8,$DM$3),Report_BM!$DT$6:$DT$73)+SUMIF(Report_BM!$EG$6:$EG$73,CONCATENATE($C8,$DM$3),Report_BM!$DW$6:$DW$73)</f>
        <v>0</v>
      </c>
      <c r="DG8" s="45">
        <f>SUMIF(Report_BM!$EG$6:$EG$73,CONCATENATE($C8,DM$3),Report_BM!$DY$6:$DY$73)</f>
        <v>0</v>
      </c>
      <c r="DH8" s="39">
        <f>SUMIF(Report_BM!EG$6:EG$73,CONCATENATE($C8,DM$3),Report_BM!DZ$6:DZ$73)</f>
        <v>0</v>
      </c>
      <c r="DI8" s="39">
        <f>SUMIF(Report_BM!EG$6:EG$73,CONCATENATE($C8,DM$3),Report_BM!$EA$6:$EA$73)</f>
        <v>0</v>
      </c>
      <c r="DJ8" s="39">
        <f>SUMIF(Report_BM!EG$6:EG$73,CONCATENATE($C8,DM$3),Report_BM!$EB$6:$EB$73)</f>
        <v>0</v>
      </c>
      <c r="DK8" s="46">
        <f>SUMIF(Master_Data!$AK$152:$AK$864,CONCATENATE($C8,DM$3),Master_Data!$T$152:$T$864)</f>
        <v>0</v>
      </c>
      <c r="DL8" s="45">
        <f>SUMIF(Report_BM!EG$6:EG$73,CONCATENATE($C8,DM$3),Report_BM!ED$6:ED$73)</f>
        <v>0</v>
      </c>
      <c r="DM8" s="39">
        <f>SUMIF(Report_BM!EG$6:EG$73,CONCATENATE($C8,DM$3),Report_BM!EE$6:EE$73)</f>
        <v>0</v>
      </c>
      <c r="DN8" s="102"/>
      <c r="DO8" s="1815" t="s">
        <v>82</v>
      </c>
      <c r="DP8" s="1816"/>
      <c r="DQ8" s="1817"/>
      <c r="DR8" s="49">
        <f>DR4-DR5+DR6+DR7</f>
        <v>12049</v>
      </c>
      <c r="DS8" s="49" t="e">
        <f ca="1">DS4-DS5+DS6+DS7</f>
        <v>#VALUE!</v>
      </c>
      <c r="DT8" s="45">
        <f>SUMIF(Report_BM!$EX$6:$EX$73,CONCATENATE($C8,EB$3),Report_BM!$EJ$6:$EJ$73)+SUMIF(Report_BM!$EX$6:$EX$73,CONCATENATE($C8,EB$3),Report_BM!$EM$6:$EM$73)</f>
        <v>0</v>
      </c>
      <c r="DU8" s="46">
        <f>SUMIF(Report_BM!$EX$6:$EX$73,CONCATENATE($C8,$EB$3),Report_BM!$EK$6:$EK$73)+SUMIF(Report_BM!$EX$6:$EX$73,CONCATENATE($C8,$EB$3),Report_BM!$EN$6:$EN$73)</f>
        <v>0</v>
      </c>
      <c r="DV8" s="45">
        <f>SUMIF(Report_BM!$EX$6:$EX$73,CONCATENATE($C8,EB$3),Report_BM!$EP$6:$EP$73)</f>
        <v>0</v>
      </c>
      <c r="DW8" s="39">
        <f>SUMIF(Report_BM!$EX$6:$EX$73,CONCATENATE($C8,EB$3),Report_BM!$EQ$6:$EQ$73)</f>
        <v>0</v>
      </c>
      <c r="DX8" s="39">
        <f>SUMIF(Report_BM!$EX$6:$EX$73,CONCATENATE($C8,EB$3),Report_BM!$ER$6:$ER$73)</f>
        <v>0</v>
      </c>
      <c r="DY8" s="39">
        <f>SUMIF(Report_BM!$EX$6:$EX$73,CONCATENATE($C8,EB$3),Report_BM!$ES$6:$ES$73)</f>
        <v>0</v>
      </c>
      <c r="DZ8" s="46">
        <f>SUMIF(Master_Data!$AK$152:$AK$864,CONCATENATE($C8,EB$3),Master_Data!$T$152:$T$864)</f>
        <v>0</v>
      </c>
      <c r="EA8" s="45">
        <f>SUMIF(Report_BM!EX$6:EX$73,CONCATENATE($C8,EB$3),Report_BM!EU$6:EU$73)</f>
        <v>0</v>
      </c>
      <c r="EB8" s="39">
        <f>SUMIF(Report_BM!EX$6:EX$73,CONCATENATE($C8,EB$3),Report_BM!EV$6:EV$73)</f>
        <v>0</v>
      </c>
      <c r="EC8" s="102"/>
      <c r="ED8" s="1815" t="s">
        <v>82</v>
      </c>
      <c r="EE8" s="1816"/>
      <c r="EF8" s="1817"/>
      <c r="EG8" s="49">
        <f>EG4-EG5+EG6+EG7</f>
        <v>12049</v>
      </c>
      <c r="EH8" s="49" t="e">
        <f ca="1">EH4-EH5+EH6+EH7</f>
        <v>#VALUE!</v>
      </c>
      <c r="EI8" s="45">
        <f>SUMIF(Report_BM!$FO$6:$FO$73,CONCATENATE($C8,EQ$3),Report_BM!$FA$6:$FA$73)+SUMIF(Report_BM!$FO$6:$FO$73,CONCATENATE($C8,EQ$3),Report_BM!$FD$6:$FD$73)</f>
        <v>0</v>
      </c>
      <c r="EJ8" s="46">
        <f>SUMIF(Report_BM!$FO$6:$FO$73,CONCATENATE($C8,$EQ$3),Report_BM!$FB$6:$FB$73)+SUMIF(Report_BM!$FO$6:$FO$73,CONCATENATE($C8,$EQ$3),Report_BM!$FE$6:$FE$73)</f>
        <v>0</v>
      </c>
      <c r="EK8" s="45">
        <f>SUMIF(Report_BM!$FO$6:$FO$73,CONCATENATE($C8,EQ$3),Report_BM!$FG$6:$FG$73)</f>
        <v>0</v>
      </c>
      <c r="EL8" s="39">
        <f>SUMIF(Report_BM!$FO$6:$FO$73,CONCATENATE($C8,EQ$3),Report_BM!$FH$6:$FH$73)</f>
        <v>0</v>
      </c>
      <c r="EM8" s="39">
        <f>SUMIF(Report_BM!$FO$6:$FO$73,CONCATENATE($C8,EQ$3),Report_BM!$FI$6:$FI$73)</f>
        <v>0</v>
      </c>
      <c r="EN8" s="39">
        <f>SUMIF(Report_BM!$FO$6:$FO$73,CONCATENATE($C8,EQ$3),Report_BM!$FJ$6:$FJ$73)</f>
        <v>0</v>
      </c>
      <c r="EO8" s="46">
        <f>SUMIF(Master_Data!$AK$152:$AK$864,CONCATENATE($C8,EQ$3),Master_Data!$T$152:$T$864)</f>
        <v>0</v>
      </c>
      <c r="EP8" s="45">
        <f>SUMIF(Report_BM!FO$6:FO$73,CONCATENATE($C8,EQ$3),Report_BM!FL$6:FL$73)</f>
        <v>0</v>
      </c>
      <c r="EQ8" s="39">
        <f>SUMIF(Report_BM!FO$6:FO$73,CONCATENATE($C8,EQ$3),Report_BM!FM$6:FM$73)</f>
        <v>0</v>
      </c>
      <c r="ER8" s="102"/>
      <c r="ES8" s="1815" t="s">
        <v>82</v>
      </c>
      <c r="ET8" s="1816"/>
      <c r="EU8" s="1817"/>
      <c r="EV8" s="49">
        <f>EV4-EV5+EV6+EV7</f>
        <v>12049</v>
      </c>
      <c r="EW8" s="49" t="e">
        <f>EW4-EW5+EW6+EW7</f>
        <v>#VALUE!</v>
      </c>
      <c r="EX8" s="45">
        <f>SUMIF(Report_BM!$GF$6:$GF$73,CONCATENATE($C8,FF$3),Report_BM!$FR$6:$FR$73)+SUMIF(Report_BM!$GF$6:$GF$73,CONCATENATE($C8,FF$3),Report_BM!$FU$6:$FU$73)</f>
        <v>0</v>
      </c>
      <c r="EY8" s="46">
        <f>SUMIF(Report_BM!$GF$6:$GF$73,CONCATENATE($C8,$FF$3),Report_BM!$FS$6:$FS$73)+SUMIF(Report_BM!$GF$6:$GF$73,CONCATENATE($C8,$FF$3),Report_BM!$FV$6:$FV$73)</f>
        <v>0</v>
      </c>
      <c r="EZ8" s="45">
        <f>SUMIF(Report_BM!$GF$6:$GF$73,CONCATENATE($C8,FF$3),Report_BM!$FX$6:$FX$73)</f>
        <v>0</v>
      </c>
      <c r="FA8" s="39">
        <f>SUMIF(Report_BM!$GF$6:$GF$73,CONCATENATE($C8,FF$3),Report_BM!$FY$6:$FY$73)</f>
        <v>0</v>
      </c>
      <c r="FB8" s="39">
        <f>SUMIF(Report_BM!$GF$6:$GF$73,CONCATENATE($C8,FF$3),Report_BM!$FZ$6:$FZ$73)</f>
        <v>0</v>
      </c>
      <c r="FC8" s="39">
        <f>SUMIF(Report_BM!$GF$6:$GF$73,CONCATENATE($C8,FF$3),Report_BM!$GA$6:$GA$73)</f>
        <v>0</v>
      </c>
      <c r="FD8" s="46">
        <f>SUMIF(Master_Data!$AK$152:$AK$864,CONCATENATE($C8,FF$3),Master_Data!$T$152:$T$864)</f>
        <v>0</v>
      </c>
      <c r="FE8" s="45">
        <f>SUMIF(Report_BM!GF$6:GF$73,CONCATENATE($C8,FF$3),Report_BM!GC$6:GC$73)</f>
        <v>0</v>
      </c>
      <c r="FF8" s="39">
        <f>SUMIF(Report_BM!GF$6:GF$73,CONCATENATE($C8,FF$3),Report_BM!GD$6:GD$73)</f>
        <v>0</v>
      </c>
      <c r="FG8" s="102"/>
      <c r="FH8" s="1815" t="s">
        <v>82</v>
      </c>
      <c r="FI8" s="1816"/>
      <c r="FJ8" s="1817"/>
      <c r="FK8" s="49">
        <f>FK4-FK5+FK6+FK7</f>
        <v>12049</v>
      </c>
      <c r="FL8" s="49" t="e">
        <f>FL4-FL5+FL6+FL7</f>
        <v>#VALUE!</v>
      </c>
      <c r="FM8" s="45">
        <f>SUMIF(Report_BM!$GW$6:$GW$73,CONCATENATE($C8,FU$3),Report_BM!$GI$6:$GI$73)+SUMIF(Report_BM!$GW$6:$GW$73,CONCATENATE($C8,FU$3),Report_BM!$GL$6:$GL$73)</f>
        <v>0</v>
      </c>
      <c r="FN8" s="46">
        <f>SUMIF(Report_BM!$GW$6:$GW$73,CONCATENATE($C8,$FU$3),Report_BM!$GJ$6:$GJ$73)+SUMIF(Report_BM!$GW$6:$GW$73,CONCATENATE($C8,$FU$3),Report_BM!$GM$6:$GM$73)</f>
        <v>0</v>
      </c>
      <c r="FO8" s="45">
        <f>SUMIF(Report_BM!$GW$6:$GW$73,CONCATENATE($C8,FU$3),Report_BM!$GO$6:$GO$73)</f>
        <v>0</v>
      </c>
      <c r="FP8" s="39">
        <f>SUMIF(Report_BM!$GW$6:$GW$73,CONCATENATE($C8,FU$3),Report_BM!$GP$6:$GP$73)</f>
        <v>0</v>
      </c>
      <c r="FQ8" s="39">
        <f>SUMIF(Report_BM!$GW$6:$GW$73,CONCATENATE($C8,FU$3),Report_BM!$GQ$6:$GQ$73)</f>
        <v>0</v>
      </c>
      <c r="FR8" s="39">
        <f>SUMIF(Report_BM!$GW$6:$GW$73,CONCATENATE($C8,FU$3),Report_BM!$GR$6:$GR$73)</f>
        <v>0</v>
      </c>
      <c r="FS8" s="46">
        <f>SUMIF(Master_Data!$AK$152:$AK$864,CONCATENATE($C8,FU$3),Master_Data!$T$152:$T$864)</f>
        <v>0</v>
      </c>
      <c r="FT8" s="45">
        <f>SUMIF(Report_BM!GW$6:GW$73,CONCATENATE($C8,FU$3),Report_BM!GT$6:GT$73)</f>
        <v>0</v>
      </c>
      <c r="FU8" s="39">
        <f>SUMIF(Report_BM!GW$6:GW$73,CONCATENATE($C8,FU$3),Report_BM!GU$6:GU$73)</f>
        <v>0</v>
      </c>
      <c r="FV8" s="102"/>
      <c r="FW8" s="1815" t="s">
        <v>82</v>
      </c>
      <c r="FX8" s="1816"/>
      <c r="FY8" s="1817"/>
      <c r="FZ8" s="49">
        <f>FZ4-FZ5+FZ6+FZ7</f>
        <v>12049</v>
      </c>
      <c r="GA8" s="49" t="e">
        <f>GA4-GA5+GA6+GA7</f>
        <v>#VALUE!</v>
      </c>
    </row>
    <row r="9" spans="1:183" s="79" customFormat="1" ht="14.1" customHeight="1">
      <c r="A9" s="9">
        <v>3</v>
      </c>
      <c r="B9" s="328" t="s">
        <v>16</v>
      </c>
      <c r="C9" s="613" t="s">
        <v>13</v>
      </c>
      <c r="D9" s="45">
        <f>SUMIF(Report_BM!$B$6:$B$73,CONCATENATE($C9,L$3),Report_BM!$E$6:$E$73)+SUMIF(Report_BM!$B$6:$B$73,CONCATENATE($C9,L$3),Report_BM!$H$6:$H$73)</f>
        <v>0</v>
      </c>
      <c r="E9" s="276">
        <f>SUMIF(Report_BM!$B$6:$B$73,CONCATENATE($C9,L$3),Report_BM!$F$6:$F$73)+SUMIF(Report_BM!$B$6:$B$73,CONCATENATE($C9,L$3),Report_BM!$I$6:$I$73)</f>
        <v>142500000</v>
      </c>
      <c r="F9" s="45">
        <f>SUMIF(Report_BM!$B$6:$B$73,CONCATENATE($C9,L$3),Report_BM!$K$6:$K$73)</f>
        <v>0</v>
      </c>
      <c r="G9" s="39">
        <f>SUMIF(Report_BM!$B$6:$B$73,CONCATENATE($C9,$L$3),Report_BM!$L$6:$L$73)</f>
        <v>0</v>
      </c>
      <c r="H9" s="39">
        <f>SUMIF(Report_BM!$B$6:$B$73,CONCATENATE($C9,$L$3),Report_BM!$M$6:$M$73)</f>
        <v>0</v>
      </c>
      <c r="I9" s="39">
        <f>SUMIF(Report_BM!$B$6:$B$73,CONCATENATE($C9,$L$3),Report_BM!$N$6:$N$73)</f>
        <v>0</v>
      </c>
      <c r="J9" s="46">
        <f>SUMIF(Report_BM!$B$6:$B$73,CONCATENATE($C9,$L$3),Report_BM!$O$6:$O$73)</f>
        <v>0</v>
      </c>
      <c r="K9" s="45">
        <f>SUMIF(Report_BM!$B$6:$B$73,CONCATENATE($C9,$L$3),Report_BM!$P$6:$P$73)</f>
        <v>0</v>
      </c>
      <c r="L9" s="39">
        <f>SUMIF(Report_BM!$B$6:$B$73,CONCATENATE($C9,$L$3),Report_BM!$Q$6:$Q$73)</f>
        <v>142500000</v>
      </c>
      <c r="M9" s="102"/>
      <c r="N9" s="614"/>
      <c r="O9" s="614"/>
      <c r="P9" s="614"/>
      <c r="Q9" s="614"/>
      <c r="R9" s="615"/>
      <c r="S9" s="45">
        <f>SUMIF(Report_BM!$AI$8:$AI$72,CONCATENATE($C9,AA$3),Report_BM!$U$8:$U$72)+SUMIF(Report_BM!$AI$8:$AI$72,CONCATENATE($C9,AA$3),Report_BM!$X$8:$X$72)</f>
        <v>0</v>
      </c>
      <c r="T9" s="276">
        <f>SUMIF(Report_BM!$AI$8:$AI$72,CONCATENATE($C9,AA$3),Report_BM!$V$8:$V$72)+SUMIF(Report_BM!$AI$8:$AI$72,CONCATENATE($C9,AA$3),Report_BM!$Y$8:$Y$72)</f>
        <v>142500000</v>
      </c>
      <c r="U9" s="45">
        <f>SUMIF(Report_BM!$AI$8:$AI$72,CONCATENATE($C9,$AA$3),Report_BM!$AA$8:$AA$72)</f>
        <v>0</v>
      </c>
      <c r="V9" s="39">
        <f>SUMIF(Report_BM!$AI$8:$AI$72,CONCATENATE($C9,$AA$3),Report_BM!$AB$8:$AB$72)</f>
        <v>0</v>
      </c>
      <c r="W9" s="39">
        <f>SUMIF(Report_BM!$AI$8:$AI$72,CONCATENATE($C9,$AA$3),Report_BM!$AC$8:$AC$72)</f>
        <v>0</v>
      </c>
      <c r="X9" s="39">
        <f ca="1">SUMIF(Report_BM!$AI$7:$AI$73,CONCATENATE($C9,$AA$3),Report_BM!$AD$7:$AD$73)</f>
        <v>0</v>
      </c>
      <c r="Y9" s="46">
        <f>SUMIF(Master_Data!$AK$152:$AK$864,CONCATENATE($C9,AA$3),Master_Data!$T$152:$T$864)</f>
        <v>0</v>
      </c>
      <c r="Z9" s="45">
        <f>SUMIF(Report_BM!$AI$8:$AI$72,CONCATENATE($C9,$AA$3),Report_BM!$AF$8:$AF$72)</f>
        <v>0</v>
      </c>
      <c r="AA9" s="39">
        <f ca="1">SUMIF(Report_BM!$AI$8:$AI$72,CONCATENATE($C9,$AA$3),Report_BM!$AG$8:$AG$72)</f>
        <v>142500000</v>
      </c>
      <c r="AB9" s="102"/>
      <c r="AH9" s="45">
        <f>SUMIF(Report_BM!$AZ$5:$AZ$72,CONCATENATE($C9,AP$3),Report_BM!$AL$5:$AL$72)+SUMIF(Report_BM!$AZ$5:$AZ$72,CONCATENATE($C9,AP$3),Report_BM!$AO$5:$AO$72)</f>
        <v>0</v>
      </c>
      <c r="AI9" s="46">
        <f ca="1">SUMIF(Report_BM!$AZ$5:$AZ$72,CONCATENATE($C9,$AP$3),Report_BM!$AM$5:$AM$72)+SUMIF(Report_BM!$AZ$5:$AZ$72,CONCATENATE($C9,$AP$3),Report_BM!$AP$5:$AP$72)</f>
        <v>142500000</v>
      </c>
      <c r="AJ9" s="45">
        <f>SUMIF(Report_BM!$AZ$5:$AZ$72,CONCATENATE($C9,$AP$3),Report_BM!$AR$5:$AR$72)</f>
        <v>0</v>
      </c>
      <c r="AK9" s="39">
        <f>SUMIF(Report_BM!$AZ$5:$AZ$72,CONCATENATE($C9,$AP$3),Report_BM!$AS$5:$AS$72)</f>
        <v>0</v>
      </c>
      <c r="AL9" s="39">
        <f>SUMIF(Report_BM!$AZ$5:$AZ$72,CONCATENATE($C9,$AP$3),Report_BM!$AT$5:$AT$72)</f>
        <v>0</v>
      </c>
      <c r="AM9" s="39">
        <f ca="1">SUMIF(Report_BM!$AZ$5:$AZ$72,CONCATENATE($C9,$AP$3),Report_BM!$AU$5:$AU$72)</f>
        <v>0</v>
      </c>
      <c r="AN9" s="46">
        <f>SUMIF(Master_Data!$AK$152:$AK$915,CONCATENATE($C9,AP$3),Master_Data!$T$152:$T$915)</f>
        <v>0</v>
      </c>
      <c r="AO9" s="45">
        <f>SUMIF(Report_BM!$AZ$5:$AZ$72,CONCATENATE($C9,$AP$3),Report_BM!$AW$5:$AW$72)</f>
        <v>0</v>
      </c>
      <c r="AP9" s="39">
        <f ca="1">SUMIF(Report_BM!$AZ$5:$AZ$72,CONCATENATE($C9,$AP$3),Report_BM!$AX$5:$AX$72)</f>
        <v>142500000</v>
      </c>
      <c r="AQ9" s="102"/>
      <c r="AW9" s="45">
        <f>SUMIF(Report_BM!$BQ$6:$BQ$73,CONCATENATE($C9,BE$3),Report_BM!$BC$6:$BC$73)+SUMIF(Report_BM!$BQ$6:$BQ$73,CONCATENATE($C9,BE$3),Report_BM!$BF$6:$BF$73)</f>
        <v>0</v>
      </c>
      <c r="AX9" s="46">
        <f ca="1">SUMIF(Report_BM!$BQ$6:$BQ$73,CONCATENATE($C9,$BE$3),Report_BM!$BD$6:$BD$73)+SUMIF(Report_BM!$BQ$6:$BQ$73,CONCATENATE($C9,$BE$3),Report_BM!$BG$6:$BG$73)</f>
        <v>142500000</v>
      </c>
      <c r="AY9" s="45">
        <f>SUMIF(Report_BM!$BQ$6:$BQ$73,CONCATENATE($C9,BE$3),Report_BM!$BI$6:$BI$73)</f>
        <v>0</v>
      </c>
      <c r="AZ9" s="39">
        <f>SUMIF(Report_BM!$BQ$6:$BQ$73,CONCATENATE($C9,BE$3),Report_BM!$BJ$6:$BJ$73)</f>
        <v>0</v>
      </c>
      <c r="BA9" s="39">
        <f>SUMIF(Report_BM!$BQ$6:$BQ$73,CONCATENATE($C9,BE$3),Report_BM!$BK$6:$BK$73)</f>
        <v>0</v>
      </c>
      <c r="BB9" s="39">
        <f>SUMIF(Report_BM!$BQ$6:$BQ$73,CONCATENATE($C9,BE$3),Report_BM!$BL$6:$BL$73)</f>
        <v>0</v>
      </c>
      <c r="BC9" s="46">
        <f>SUMIF(Master_Data!$AK$152:$AK$864,CONCATENATE($C9,BE$3),Master_Data!$T$152:$T$864)</f>
        <v>0</v>
      </c>
      <c r="BD9" s="45">
        <f>SUMIF(Report_BM!$BQ$6:$BQ$73,CONCATENATE($C9,BE$3),Report_BM!$BN$6:$BN$73)</f>
        <v>0</v>
      </c>
      <c r="BE9" s="39">
        <f ca="1">SUMIF(Report_BM!$BQ$6:$BQ$73,CONCATENATE($C9,BE$3),Report_BM!$BO$6:$BO$73)</f>
        <v>142500000</v>
      </c>
      <c r="BF9" s="102"/>
      <c r="BL9" s="45">
        <f>SUMIF(Report_BM!$CH$6:$CH$73,CONCATENATE($C9,BT$3),Report_BM!$BT$6:$BT$73)+SUMIF(Report_BM!$CH$6:$CH$73,CONCATENATE($C9,BT$3),Report_BM!$BW$6:$BW$73)</f>
        <v>0</v>
      </c>
      <c r="BM9" s="46">
        <f ca="1">SUMIF(Report_BM!$CH$6:$CH$73,CONCATENATE($C9,$BT$3),Report_BM!$BU$6:$BU$73)+SUMIF(Report_BM!$CH$6:$CH$73,CONCATENATE($C9,$BT$3),Report_BM!$BX$6:$BX$73)</f>
        <v>142500000</v>
      </c>
      <c r="BN9" s="45">
        <f>SUMIF(Report_BM!$CH$6:$CH$73,CONCATENATE($C9,BT$3),Report_BM!$BZ$6:$BZ$73)</f>
        <v>0</v>
      </c>
      <c r="BO9" s="39">
        <f>SUMIF(Report_BM!$CH$6:$CH$73,CONCATENATE($C9,BT$3),Report_BM!$CA$6:$CA$73)</f>
        <v>0</v>
      </c>
      <c r="BP9" s="39">
        <f>SUMIF(Report_BM!$CH$6:$CH$73,CONCATENATE($C9,BT$3),Report_BM!$CB$6:$CB$73)</f>
        <v>0</v>
      </c>
      <c r="BQ9" s="39">
        <f>SUMIF(Report_BM!$CH$6:$CH$73,CONCATENATE($C9,BT$3),Report_BM!$CC$6:$CC$73)</f>
        <v>0</v>
      </c>
      <c r="BR9" s="46">
        <f>SUMIF(Master_Data!$AK$152:$AK$864,CONCATENATE($C9,BT$3),Master_Data!$T$152:$T$864)</f>
        <v>0</v>
      </c>
      <c r="BS9" s="45">
        <f>SUMIF(Report_BM!$CH$6:$CH$73,CONCATENATE($C9,BT$3),Report_BM!$CE$6:$CE$73)</f>
        <v>0</v>
      </c>
      <c r="BT9" s="39">
        <f ca="1">SUMIF(Report_BM!$CH$6:$CH$73,CONCATENATE($C9,BT$3),Report_BM!$CF$6:$CF$73)</f>
        <v>142500000</v>
      </c>
      <c r="BU9" s="102"/>
      <c r="CA9" s="45">
        <f>SUMIF(Report_BM!$CY$6:$CY$73,CONCATENATE($C9,CI$3),Report_BM!$CK$6:$CK$73)+SUMIF(Report_BM!$CY$6:$CY$73,CONCATENATE($C9,CI$3),Report_BM!$CN$6:$CN$73)</f>
        <v>0</v>
      </c>
      <c r="CB9" s="46">
        <f ca="1">SUMIF(Report_BM!$CY$6:$CY$73,CONCATENATE($C9,$CI$3),Report_BM!$CL$6:$CL$73)+SUMIF(Report_BM!$CY$6:$CY$73,CONCATENATE($C9,$CI$3),Report_BM!$CO$6:$CO$73)</f>
        <v>142500000</v>
      </c>
      <c r="CC9" s="45">
        <f>SUMIF(Report_BM!$CY$6:$CY$73,CONCATENATE($C9,CI$3),Report_BM!$CQ$6:$CQ$73)</f>
        <v>0</v>
      </c>
      <c r="CD9" s="39">
        <f>SUMIF(Report_BM!$CY$6:$CY$73,CONCATENATE($C9,CI$3),Report_BM!$CR$6:$CR$73)</f>
        <v>0</v>
      </c>
      <c r="CE9" s="39">
        <f>SUMIF(Report_BM!$CY$6:$CY$73,CONCATENATE($C9,CI$3),Report_BM!$CS$6:$CS$73)</f>
        <v>0</v>
      </c>
      <c r="CF9" s="39">
        <f ca="1">SUMIF(Report_BM!$CY$6:$CY$73,CONCATENATE($C9,CI$3),Report_BM!$CT$6:$CT$73)</f>
        <v>0</v>
      </c>
      <c r="CG9" s="46">
        <f>SUMIF(Report_BM!$CY$6:$CY$73,CONCATENATE($C9,CI$3),Report_BM!$CU$6:$CU$73)</f>
        <v>0</v>
      </c>
      <c r="CH9" s="45">
        <f>SUMIF(Report_BM!$CY$6:$CY$73,CONCATENATE($C9,CI$3),Report_BM!$CV$6:$CV$73)</f>
        <v>0</v>
      </c>
      <c r="CI9" s="39">
        <f ca="1">SUMIF(Report_BM!$CY$6:$CY$73,CONCATENATE($C9,CI$3),Report_BM!$CW$6:$CW$73)</f>
        <v>142500000</v>
      </c>
      <c r="CJ9" s="102"/>
      <c r="CP9" s="45">
        <f>SUMIF(Report_BM!$DP$6:$DP$73,CONCATENATE($C9,CX$3),Report_BM!$DB$6:$DB$73)+SUMIF(Report_BM!$DP$6:$DP$73,CONCATENATE($C9,CX$3),Report_BM!$DE$6:$DE$73)</f>
        <v>0</v>
      </c>
      <c r="CQ9" s="46">
        <f ca="1">SUMIF(Report_BM!$DP$6:$DP$73,CONCATENATE($C9,$CX$3),Report_BM!$DC$6:$DC$73)+SUMIF(Report_BM!$DP$6:$DP$73,CONCATENATE($C9,$CX$3),Report_BM!$DF$6:$DF$73)</f>
        <v>142500000</v>
      </c>
      <c r="CR9" s="45">
        <f>SUMIF(Report_BM!$DP$6:$DP$73,CONCATENATE($C9,CX$3),Report_BM!$DH$6:$DH$73)</f>
        <v>0</v>
      </c>
      <c r="CS9" s="39">
        <f>SUMIF(Report_BM!$DP$6:$DP$73,CONCATENATE($C9,CX$3),Report_BM!$DI$6:$DI$73)</f>
        <v>0</v>
      </c>
      <c r="CT9" s="39">
        <f>SUMIF(Report_BM!$DP$6:$DP$73,CONCATENATE($C9,CX$3),Report_BM!$DJ$6:$DJ$73)</f>
        <v>0</v>
      </c>
      <c r="CU9" s="39">
        <f>SUMIF(Report_BM!$DP$6:$DP$73,CONCATENATE($C9,CX$3),Report_BM!$DK$6:$DK$73)</f>
        <v>0</v>
      </c>
      <c r="CV9" s="46">
        <f>SUMIF(Master_Data!$AK$152:$AK$864,CONCATENATE($C9,CX$3),Master_Data!$T$152:$T$864)</f>
        <v>0</v>
      </c>
      <c r="CW9" s="45">
        <f>SUMIF(Report_BM!$DP$6:$DP$73,CONCATENATE($C9,CX$3),Report_BM!$DM$6:$DM$73)</f>
        <v>0</v>
      </c>
      <c r="CX9" s="39">
        <f ca="1">SUMIF(Report_BM!$DP$6:$DP$73,CONCATENATE($C9,CX$3),Report_BM!$DN$6:$DN$73)</f>
        <v>142500000</v>
      </c>
      <c r="CY9" s="102"/>
      <c r="DE9" s="45">
        <f>SUMIF(Report_BM!$EG$6:$EG$73,CONCATENATE($C9,DM$3),Report_BM!$DS$6:$DS$73)+SUMIF(Report_BM!$EG$6:$EG$73,CONCATENATE($C9,DM$3),Report_BM!$DV$6:$DV$73)</f>
        <v>0</v>
      </c>
      <c r="DF9" s="46">
        <f ca="1">SUMIF(Report_BM!$EG$6:$EG$73,CONCATENATE($C9,$DM$3),Report_BM!$DT$6:$DT$73)+SUMIF(Report_BM!$EG$6:$EG$73,CONCATENATE($C9,$DM$3),Report_BM!$DW$6:$DW$73)</f>
        <v>142500000</v>
      </c>
      <c r="DG9" s="45">
        <f>SUMIF(Report_BM!$EG$6:$EG$73,CONCATENATE($C9,DM$3),Report_BM!$DY$6:$DY$73)</f>
        <v>0</v>
      </c>
      <c r="DH9" s="39">
        <f>SUMIF(Report_BM!EG$6:EG$73,CONCATENATE($C9,DM$3),Report_BM!DZ$6:DZ$73)</f>
        <v>0</v>
      </c>
      <c r="DI9" s="39">
        <f>SUMIF(Report_BM!EG$6:EG$73,CONCATENATE($C9,DM$3),Report_BM!$EA$6:$EA$73)</f>
        <v>0</v>
      </c>
      <c r="DJ9" s="39">
        <f>SUMIF(Report_BM!EG$6:EG$73,CONCATENATE($C9,DM$3),Report_BM!$EB$6:$EB$73)</f>
        <v>0</v>
      </c>
      <c r="DK9" s="46">
        <f>SUMIF(Master_Data!$AK$152:$AK$864,CONCATENATE($C9,DM$3),Master_Data!$T$152:$T$864)</f>
        <v>0</v>
      </c>
      <c r="DL9" s="45">
        <f>SUMIF(Report_BM!EG$6:EG$73,CONCATENATE($C9,DM$3),Report_BM!ED$6:ED$73)</f>
        <v>0</v>
      </c>
      <c r="DM9" s="39">
        <f ca="1">SUMIF(Report_BM!EG$6:EG$73,CONCATENATE($C9,DM$3),Report_BM!EE$6:EE$73)</f>
        <v>142500000</v>
      </c>
      <c r="DN9" s="102"/>
      <c r="DT9" s="45">
        <f>SUMIF(Report_BM!$EX$6:$EX$73,CONCATENATE($C9,EB$3),Report_BM!$EJ$6:$EJ$73)+SUMIF(Report_BM!$EX$6:$EX$73,CONCATENATE($C9,EB$3),Report_BM!$EM$6:$EM$73)</f>
        <v>0</v>
      </c>
      <c r="DU9" s="46">
        <f ca="1">SUMIF(Report_BM!$EX$6:$EX$73,CONCATENATE($C9,$EB$3),Report_BM!$EK$6:$EK$73)+SUMIF(Report_BM!$EX$6:$EX$73,CONCATENATE($C9,$EB$3),Report_BM!$EN$6:$EN$73)</f>
        <v>142500000</v>
      </c>
      <c r="DV9" s="45">
        <f>SUMIF(Report_BM!$EX$6:$EX$73,CONCATENATE($C9,EB$3),Report_BM!$EP$6:$EP$73)</f>
        <v>0</v>
      </c>
      <c r="DW9" s="39">
        <f>SUMIF(Report_BM!$EX$6:$EX$73,CONCATENATE($C9,EB$3),Report_BM!$EQ$6:$EQ$73)</f>
        <v>0</v>
      </c>
      <c r="DX9" s="39">
        <f>SUMIF(Report_BM!$EX$6:$EX$73,CONCATENATE($C9,EB$3),Report_BM!$ER$6:$ER$73)</f>
        <v>0</v>
      </c>
      <c r="DY9" s="39">
        <f>SUMIF(Report_BM!$EX$6:$EX$73,CONCATENATE($C9,EB$3),Report_BM!$ES$6:$ES$73)</f>
        <v>0</v>
      </c>
      <c r="DZ9" s="46">
        <f>SUMIF(Master_Data!$AK$152:$AK$864,CONCATENATE($C9,EB$3),Master_Data!$T$152:$T$864)</f>
        <v>0</v>
      </c>
      <c r="EA9" s="45">
        <f>SUMIF(Report_BM!EX$6:EX$73,CONCATENATE($C9,EB$3),Report_BM!EU$6:EU$73)</f>
        <v>0</v>
      </c>
      <c r="EB9" s="39">
        <f>SUMIF(Report_BM!EX$6:EX$73,CONCATENATE($C9,EB$3),Report_BM!EV$6:EV$73)</f>
        <v>0</v>
      </c>
      <c r="EC9" s="102"/>
      <c r="EI9" s="45">
        <f>SUMIF(Report_BM!$FO$6:$FO$73,CONCATENATE($C9,EQ$3),Report_BM!$FA$6:$FA$73)+SUMIF(Report_BM!$FO$6:$FO$73,CONCATENATE($C9,EQ$3),Report_BM!$FD$6:$FD$73)</f>
        <v>0</v>
      </c>
      <c r="EJ9" s="46">
        <f>SUMIF(Report_BM!$FO$6:$FO$73,CONCATENATE($C9,$EQ$3),Report_BM!$FB$6:$FB$73)+SUMIF(Report_BM!$FO$6:$FO$73,CONCATENATE($C9,$EQ$3),Report_BM!$FE$6:$FE$73)</f>
        <v>0</v>
      </c>
      <c r="EK9" s="45">
        <f>SUMIF(Report_BM!$FO$6:$FO$73,CONCATENATE($C9,EQ$3),Report_BM!$FG$6:$FG$73)</f>
        <v>0</v>
      </c>
      <c r="EL9" s="39">
        <f>SUMIF(Report_BM!$FO$6:$FO$73,CONCATENATE($C9,EQ$3),Report_BM!$FH$6:$FH$73)</f>
        <v>0</v>
      </c>
      <c r="EM9" s="39">
        <f>SUMIF(Report_BM!$FO$6:$FO$73,CONCATENATE($C9,EQ$3),Report_BM!$FI$6:$FI$73)</f>
        <v>0</v>
      </c>
      <c r="EN9" s="39">
        <f>SUMIF(Report_BM!$FO$6:$FO$73,CONCATENATE($C9,EQ$3),Report_BM!$FJ$6:$FJ$73)</f>
        <v>0</v>
      </c>
      <c r="EO9" s="46">
        <f>SUMIF(Master_Data!$AK$152:$AK$864,CONCATENATE($C9,EQ$3),Master_Data!$T$152:$T$864)</f>
        <v>0</v>
      </c>
      <c r="EP9" s="45">
        <f>SUMIF(Report_BM!FO$6:FO$73,CONCATENATE($C9,EQ$3),Report_BM!FL$6:FL$73)</f>
        <v>0</v>
      </c>
      <c r="EQ9" s="39">
        <f>SUMIF(Report_BM!FO$6:FO$73,CONCATENATE($C9,EQ$3),Report_BM!FM$6:FM$73)</f>
        <v>0</v>
      </c>
      <c r="ER9" s="102"/>
      <c r="EX9" s="45">
        <f>SUMIF(Report_BM!$GF$6:$GF$73,CONCATENATE($C9,FF$3),Report_BM!$FR$6:$FR$73)+SUMIF(Report_BM!$GF$6:$GF$73,CONCATENATE($C9,FF$3),Report_BM!$FU$6:$FU$73)</f>
        <v>0</v>
      </c>
      <c r="EY9" s="46">
        <f>SUMIF(Report_BM!$GF$6:$GF$73,CONCATENATE($C9,$FF$3),Report_BM!$FS$6:$FS$73)+SUMIF(Report_BM!$GF$6:$GF$73,CONCATENATE($C9,$FF$3),Report_BM!$FV$6:$FV$73)</f>
        <v>0</v>
      </c>
      <c r="EZ9" s="45">
        <f>SUMIF(Report_BM!$GF$6:$GF$73,CONCATENATE($C9,FF$3),Report_BM!$FX$6:$FX$73)</f>
        <v>0</v>
      </c>
      <c r="FA9" s="39">
        <f>SUMIF(Report_BM!$GF$6:$GF$73,CONCATENATE($C9,FF$3),Report_BM!$FY$6:$FY$73)</f>
        <v>0</v>
      </c>
      <c r="FB9" s="39">
        <f>SUMIF(Report_BM!$GF$6:$GF$73,CONCATENATE($C9,FF$3),Report_BM!$FZ$6:$FZ$73)</f>
        <v>0</v>
      </c>
      <c r="FC9" s="39">
        <f>SUMIF(Report_BM!$GF$6:$GF$73,CONCATENATE($C9,FF$3),Report_BM!$GA$6:$GA$73)</f>
        <v>0</v>
      </c>
      <c r="FD9" s="46">
        <f>SUMIF(Master_Data!$AK$152:$AK$864,CONCATENATE($C9,FF$3),Master_Data!$T$152:$T$864)</f>
        <v>0</v>
      </c>
      <c r="FE9" s="45">
        <f>SUMIF(Report_BM!GF$6:GF$73,CONCATENATE($C9,FF$3),Report_BM!GC$6:GC$73)</f>
        <v>0</v>
      </c>
      <c r="FF9" s="39">
        <f>SUMIF(Report_BM!GF$6:GF$73,CONCATENATE($C9,FF$3),Report_BM!GD$6:GD$73)</f>
        <v>0</v>
      </c>
      <c r="FG9" s="102"/>
      <c r="FM9" s="45">
        <f>SUMIF(Report_BM!$GW$6:$GW$73,CONCATENATE($C9,FU$3),Report_BM!$GI$6:$GI$73)+SUMIF(Report_BM!$GW$6:$GW$73,CONCATENATE($C9,FU$3),Report_BM!$GL$6:$GL$73)</f>
        <v>0</v>
      </c>
      <c r="FN9" s="46">
        <f>SUMIF(Report_BM!$GW$6:$GW$73,CONCATENATE($C9,$FU$3),Report_BM!$GJ$6:$GJ$73)+SUMIF(Report_BM!$GW$6:$GW$73,CONCATENATE($C9,$FU$3),Report_BM!$GM$6:$GM$73)</f>
        <v>0</v>
      </c>
      <c r="FO9" s="45">
        <f>SUMIF(Report_BM!$GW$6:$GW$73,CONCATENATE($C9,FU$3),Report_BM!$GO$6:$GO$73)</f>
        <v>0</v>
      </c>
      <c r="FP9" s="39">
        <f>SUMIF(Report_BM!$GW$6:$GW$73,CONCATENATE($C9,FU$3),Report_BM!$GP$6:$GP$73)</f>
        <v>0</v>
      </c>
      <c r="FQ9" s="39">
        <f>SUMIF(Report_BM!$GW$6:$GW$73,CONCATENATE($C9,FU$3),Report_BM!$GQ$6:$GQ$73)</f>
        <v>0</v>
      </c>
      <c r="FR9" s="39">
        <f>SUMIF(Report_BM!$GW$6:$GW$73,CONCATENATE($C9,FU$3),Report_BM!$GR$6:$GR$73)</f>
        <v>0</v>
      </c>
      <c r="FS9" s="46">
        <f>SUMIF(Master_Data!$AK$152:$AK$864,CONCATENATE($C9,FU$3),Master_Data!$T$152:$T$864)</f>
        <v>0</v>
      </c>
      <c r="FT9" s="45">
        <f>SUMIF(Report_BM!GW$6:GW$73,CONCATENATE($C9,FU$3),Report_BM!GT$6:GT$73)</f>
        <v>0</v>
      </c>
      <c r="FU9" s="39">
        <f>SUMIF(Report_BM!GW$6:GW$73,CONCATENATE($C9,FU$3),Report_BM!GU$6:GU$73)</f>
        <v>0</v>
      </c>
      <c r="FV9" s="102"/>
    </row>
    <row r="10" spans="1:183" s="40" customFormat="1" ht="14.1" customHeight="1">
      <c r="A10" s="9">
        <v>4</v>
      </c>
      <c r="B10" s="328" t="s">
        <v>344</v>
      </c>
      <c r="C10" s="323" t="s">
        <v>173</v>
      </c>
      <c r="D10" s="45">
        <f>SUMIF(Report_BM!$B$6:$B$73,CONCATENATE($C10,L$3),Report_BM!$E$6:$E$73)+SUMIF(Report_BM!$B$6:$B$73,CONCATENATE($C10,L$3),Report_BM!$H$6:$H$73)</f>
        <v>6050</v>
      </c>
      <c r="E10" s="276">
        <f>SUMIF(Report_BM!$B$6:$B$73,CONCATENATE($C10,L$3),Report_BM!$F$6:$F$73)+SUMIF(Report_BM!$B$6:$B$73,CONCATENATE($C10,L$3),Report_BM!$I$6:$I$73)</f>
        <v>0</v>
      </c>
      <c r="F10" s="45">
        <f>SUMIF(Report_BM!$B$6:$B$73,CONCATENATE($C10,L$3),Report_BM!$K$6:$K$73)</f>
        <v>0</v>
      </c>
      <c r="G10" s="39">
        <f>SUMIF(Report_BM!$B$6:$B$73,CONCATENATE($C10,$L$3),Report_BM!$L$6:$L$73)</f>
        <v>0</v>
      </c>
      <c r="H10" s="39">
        <f>SUMIF(Report_BM!$B$6:$B$73,CONCATENATE($C10,$L$3),Report_BM!$M$6:$M$73)</f>
        <v>0</v>
      </c>
      <c r="I10" s="39">
        <f>SUMIF(Report_BM!$B$6:$B$73,CONCATENATE($C10,$L$3),Report_BM!$N$6:$N$73)</f>
        <v>0</v>
      </c>
      <c r="J10" s="46">
        <f>SUMIF(Report_BM!$B$6:$B$73,CONCATENATE($C10,$L$3),Report_BM!$O$6:$O$73)</f>
        <v>0</v>
      </c>
      <c r="K10" s="45">
        <f>SUMIF(Report_BM!$B$6:$B$73,CONCATENATE($C10,$L$3),Report_BM!$P$6:$P$73)</f>
        <v>6050</v>
      </c>
      <c r="L10" s="39">
        <f>SUMIF(Report_BM!$B$6:$B$73,CONCATENATE($C10,$L$3),Report_BM!$Q$6:$Q$73)</f>
        <v>0</v>
      </c>
      <c r="M10" s="103"/>
      <c r="N10" s="104"/>
      <c r="O10" s="104"/>
      <c r="P10" s="104"/>
      <c r="Q10" s="104"/>
      <c r="R10" s="320"/>
      <c r="S10" s="45">
        <f>SUMIF(Report_BM!$AI$8:$AI$72,CONCATENATE($C10,AA$3),Report_BM!$U$8:$U$72)+SUMIF(Report_BM!$AI$8:$AI$72,CONCATENATE($C10,AA$3),Report_BM!$X$8:$X$72)</f>
        <v>6050</v>
      </c>
      <c r="T10" s="276">
        <f>SUMIF(Report_BM!$AI$8:$AI$72,CONCATENATE($C10,AA$3),Report_BM!$V$8:$V$72)+SUMIF(Report_BM!$AI$8:$AI$72,CONCATENATE($C10,AA$3),Report_BM!$Y$8:$Y$72)</f>
        <v>0</v>
      </c>
      <c r="U10" s="45">
        <f>SUMIF(Report_BM!$AI$8:$AI$72,CONCATENATE($C10,AA$3),Report_BM!$AA$8:$AB$72)</f>
        <v>0</v>
      </c>
      <c r="V10" s="39">
        <f>SUMIF(Report_BM!$AI$8:$AI$72,CONCATENATE($C10,$AA$3),Report_BM!$AB$8:$AB$72)</f>
        <v>0</v>
      </c>
      <c r="W10" s="39">
        <f>SUMIF(Report_BM!$AI$8:$AI$72,CONCATENATE($C10,$AA$3),Report_BM!$AC$8:$AC$72)</f>
        <v>0</v>
      </c>
      <c r="X10" s="39">
        <f ca="1">SUMIF(Report_BM!$AI$7:$AI$73,CONCATENATE($C10,$AA$3),Report_BM!$AD$7:$AD$73)</f>
        <v>0</v>
      </c>
      <c r="Y10" s="46">
        <f>SUMIF(Master_Data!$AK$152:$AK$864,CONCATENATE($C10,AA$3),Master_Data!$T$152:$T$864)</f>
        <v>0</v>
      </c>
      <c r="Z10" s="45">
        <f>SUMIF(Report_BM!$AI$8:$AI$72,CONCATENATE($C10,$AA$3),Report_BM!$AF$8:$AF$72)</f>
        <v>6050</v>
      </c>
      <c r="AA10" s="39">
        <f ca="1">SUMIF(Report_BM!$AI$8:$AI$72,CONCATENATE($C10,$AA$3),Report_BM!$AG$8:$AG$72)</f>
        <v>0</v>
      </c>
      <c r="AB10" s="103"/>
      <c r="AC10" s="104"/>
      <c r="AD10" s="104"/>
      <c r="AE10" s="104"/>
      <c r="AF10" s="104"/>
      <c r="AG10" s="320"/>
      <c r="AH10" s="45">
        <f>SUMIF(Report_BM!$AZ$5:$AZ$72,CONCATENATE($C10,AP$3),Report_BM!$AL$5:$AL$72)+SUMIF(Report_BM!$AZ$5:$AZ$72,CONCATENATE($C10,AP$3),Report_BM!$AO$5:$AO$72)</f>
        <v>6050</v>
      </c>
      <c r="AI10" s="46">
        <f ca="1">SUMIF(Report_BM!$AZ$5:$AZ$72,CONCATENATE($C10,$AP$3),Report_BM!$AM$5:$AM$72)+SUMIF(Report_BM!$AZ$5:$AZ$72,CONCATENATE($C10,$AP$3),Report_BM!$AP$5:$AP$72)</f>
        <v>0</v>
      </c>
      <c r="AJ10" s="45">
        <f>SUMIF(Report_BM!$AZ$5:$AZ$72,CONCATENATE($C10,$AP$3),Report_BM!$AR$5:$AR$72)</f>
        <v>0</v>
      </c>
      <c r="AK10" s="39">
        <f>SUMIF(Report_BM!$AZ$5:$AZ$72,CONCATENATE($C10,$AP$3),Report_BM!$AS$5:$AS$72)</f>
        <v>0</v>
      </c>
      <c r="AL10" s="39">
        <f>SUMIF(Report_BM!$AZ$5:$AZ$72,CONCATENATE($C10,$AP$3),Report_BM!$AT$5:$AT$72)</f>
        <v>0</v>
      </c>
      <c r="AM10" s="39">
        <f ca="1">SUMIF(Report_BM!$AZ$5:$AZ$72,CONCATENATE($C10,$AP$3),Report_BM!$AU$5:$AU$72)</f>
        <v>0</v>
      </c>
      <c r="AN10" s="46">
        <f>SUMIF(Master_Data!$AK$152:$AK$915,CONCATENATE($C10,AP$3),Master_Data!$T$152:$T$915)</f>
        <v>0</v>
      </c>
      <c r="AO10" s="45">
        <f>SUMIF(Report_BM!$AZ$5:$AZ$72,CONCATENATE($C10,$AP$3),Report_BM!$AW$5:$AW$72)</f>
        <v>6050</v>
      </c>
      <c r="AP10" s="39">
        <f ca="1">SUMIF(Report_BM!$AZ$5:$AZ$72,CONCATENATE($C10,$AP$3),Report_BM!$AX$5:$AX$72)</f>
        <v>0</v>
      </c>
      <c r="AQ10" s="103"/>
      <c r="AR10" s="104"/>
      <c r="AS10" s="104"/>
      <c r="AT10" s="104"/>
      <c r="AU10" s="104"/>
      <c r="AV10" s="320"/>
      <c r="AW10" s="45">
        <f>SUMIF(Report_BM!$BQ$6:$BQ$73,CONCATENATE($C10,BE$3),Report_BM!$BC$6:$BC$73)+SUMIF(Report_BM!$BQ$6:$BQ$73,CONCATENATE($C10,BE$3),Report_BM!$BF$6:$BF$73)</f>
        <v>6050</v>
      </c>
      <c r="AX10" s="46">
        <f ca="1">SUMIF(Report_BM!$BQ$6:$BQ$73,CONCATENATE($C10,$BE$3),Report_BM!$BD$6:$BD$73)+SUMIF(Report_BM!$BQ$6:$BQ$73,CONCATENATE($C10,$BE$3),Report_BM!$BG$6:$BG$73)</f>
        <v>0</v>
      </c>
      <c r="AY10" s="45">
        <f>SUMIF(Report_BM!$BQ$6:$BQ$73,CONCATENATE($C10,BE$3),Report_BM!$BI$6:$BI$73)</f>
        <v>0</v>
      </c>
      <c r="AZ10" s="39">
        <f>SUMIF(Report_BM!$BQ$6:$BQ$73,CONCATENATE($C10,BE$3),Report_BM!$BJ$6:$BJ$73)</f>
        <v>0</v>
      </c>
      <c r="BA10" s="39">
        <f>SUMIF(Report_BM!$BQ$6:$BQ$73,CONCATENATE($C10,BE$3),Report_BM!$BK$6:$BK$73)</f>
        <v>0</v>
      </c>
      <c r="BB10" s="39">
        <f>SUMIF(Report_BM!$BQ$6:$BQ$73,CONCATENATE($C10,BE$3),Report_BM!$BL$6:$BL$73)</f>
        <v>0</v>
      </c>
      <c r="BC10" s="46">
        <f>SUMIF(Master_Data!$AK$152:$AK$864,CONCATENATE($C10,BE$3),Master_Data!$T$152:$T$864)</f>
        <v>0</v>
      </c>
      <c r="BD10" s="45">
        <f>SUMIF(Report_BM!$BQ$6:$BQ$73,CONCATENATE($C10,BE$3),Report_BM!$BN$6:$BN$73)</f>
        <v>6050</v>
      </c>
      <c r="BE10" s="39">
        <f ca="1">SUMIF(Report_BM!$BQ$6:$BQ$73,CONCATENATE($C10,BE$3),Report_BM!$BO$6:$BO$73)</f>
        <v>0</v>
      </c>
      <c r="BF10" s="103"/>
      <c r="BG10" s="104"/>
      <c r="BH10" s="104"/>
      <c r="BI10" s="104"/>
      <c r="BJ10" s="104"/>
      <c r="BK10" s="104"/>
      <c r="BL10" s="45">
        <f>SUMIF(Report_BM!$CH$6:$CH$73,CONCATENATE($C10,BT$3),Report_BM!$BT$6:$BT$73)+SUMIF(Report_BM!$CH$6:$CH$73,CONCATENATE($C10,BT$3),Report_BM!$BW$6:$BW$73)</f>
        <v>6050</v>
      </c>
      <c r="BM10" s="46">
        <f ca="1">SUMIF(Report_BM!$CH$6:$CH$73,CONCATENATE($C10,$BT$3),Report_BM!$BU$6:$BU$73)+SUMIF(Report_BM!$CH$6:$CH$73,CONCATENATE($C10,$BT$3),Report_BM!$BX$6:$BX$73)</f>
        <v>0</v>
      </c>
      <c r="BN10" s="45">
        <f>SUMIF(Report_BM!$CH$6:$CH$73,CONCATENATE($C10,BT$3),Report_BM!$BZ$6:$BZ$73)</f>
        <v>0</v>
      </c>
      <c r="BO10" s="39">
        <f>SUMIF(Report_BM!$CH$6:$CH$73,CONCATENATE($C10,BT$3),Report_BM!$CA$6:$CA$73)</f>
        <v>0</v>
      </c>
      <c r="BP10" s="39">
        <f>SUMIF(Report_BM!$CH$6:$CH$73,CONCATENATE($C10,BT$3),Report_BM!$CB$6:$CB$73)</f>
        <v>0</v>
      </c>
      <c r="BQ10" s="39">
        <f>SUMIF(Report_BM!$CH$6:$CH$73,CONCATENATE($C10,BT$3),Report_BM!$CC$6:$CC$73)</f>
        <v>0</v>
      </c>
      <c r="BR10" s="46">
        <f>SUMIF(Master_Data!$AK$152:$AK$864,CONCATENATE($C10,BT$3),Master_Data!$T$152:$T$864)</f>
        <v>0</v>
      </c>
      <c r="BS10" s="45">
        <f>SUMIF(Report_BM!$CH$6:$CH$73,CONCATENATE($C10,BT$3),Report_BM!$CE$6:$CE$73)</f>
        <v>6050</v>
      </c>
      <c r="BT10" s="39">
        <f ca="1">SUMIF(Report_BM!$CH$6:$CH$73,CONCATENATE($C10,BT$3),Report_BM!$CF$6:$CF$73)</f>
        <v>0</v>
      </c>
      <c r="BU10" s="103"/>
      <c r="BV10" s="104"/>
      <c r="BW10" s="104"/>
      <c r="BX10" s="104"/>
      <c r="BY10" s="104"/>
      <c r="BZ10" s="104"/>
      <c r="CA10" s="45">
        <f>SUMIF(Report_BM!$CY$6:$CY$73,CONCATENATE($C10,CI$3),Report_BM!$CK$6:$CK$73)+SUMIF(Report_BM!$CY$6:$CY$73,CONCATENATE($C10,CI$3),Report_BM!$CN$6:$CN$73)</f>
        <v>6050</v>
      </c>
      <c r="CB10" s="46">
        <f ca="1">SUMIF(Report_BM!$CY$6:$CY$73,CONCATENATE($C10,$CI$3),Report_BM!$CL$6:$CL$73)+SUMIF(Report_BM!$CY$6:$CY$73,CONCATENATE($C10,$CI$3),Report_BM!$CO$6:$CO$73)</f>
        <v>0</v>
      </c>
      <c r="CC10" s="45">
        <f>SUMIF(Report_BM!$CY$6:$CY$73,CONCATENATE($C10,CI$3),Report_BM!$CQ$6:$CQ$73)</f>
        <v>0</v>
      </c>
      <c r="CD10" s="39">
        <f>SUMIF(Report_BM!$CY$6:$CY$73,CONCATENATE($C10,CI$3),Report_BM!$CR$6:$CR$73)</f>
        <v>0</v>
      </c>
      <c r="CE10" s="39">
        <f>SUMIF(Report_BM!$CY$6:$CY$73,CONCATENATE($C10,CI$3),Report_BM!$CS$6:$CS$73)</f>
        <v>0</v>
      </c>
      <c r="CF10" s="39">
        <f ca="1">SUMIF(Report_BM!$CY$6:$CY$73,CONCATENATE($C10,CI$3),Report_BM!$CT$6:$CT$73)</f>
        <v>0</v>
      </c>
      <c r="CG10" s="46">
        <f>SUMIF(Report_BM!$CY$6:$CY$73,CONCATENATE($C10,CI$3),Report_BM!$CU$6:$CU$73)</f>
        <v>0</v>
      </c>
      <c r="CH10" s="45">
        <f>SUMIF(Report_BM!$CY$6:$CY$73,CONCATENATE($C10,CI$3),Report_BM!$CV$6:$CV$73)</f>
        <v>6050</v>
      </c>
      <c r="CI10" s="39">
        <f ca="1">SUMIF(Report_BM!$CY$6:$CY$73,CONCATENATE($C10,CI$3),Report_BM!$CW$6:$CW$73)</f>
        <v>0</v>
      </c>
      <c r="CJ10" s="103"/>
      <c r="CK10" s="104"/>
      <c r="CL10" s="104"/>
      <c r="CM10" s="104"/>
      <c r="CN10" s="104"/>
      <c r="CO10" s="104"/>
      <c r="CP10" s="45">
        <f>SUMIF(Report_BM!$DP$6:$DP$73,CONCATENATE($C10,CX$3),Report_BM!$DB$6:$DB$73)+SUMIF(Report_BM!$DP$6:$DP$73,CONCATENATE($C10,CX$3),Report_BM!$DE$6:$DE$73)</f>
        <v>6050</v>
      </c>
      <c r="CQ10" s="46">
        <f ca="1">SUMIF(Report_BM!$DP$6:$DP$73,CONCATENATE($C10,$CX$3),Report_BM!$DC$6:$DC$73)+SUMIF(Report_BM!$DP$6:$DP$73,CONCATENATE($C10,$CX$3),Report_BM!$DF$6:$DF$73)</f>
        <v>0</v>
      </c>
      <c r="CR10" s="45">
        <f>SUMIF(Report_BM!$DP$6:$DP$73,CONCATENATE($C10,CX$3),Report_BM!$DH$6:$DH$73)</f>
        <v>0</v>
      </c>
      <c r="CS10" s="39">
        <f>SUMIF(Report_BM!$DP$6:$DP$73,CONCATENATE($C10,CX$3),Report_BM!$DI$6:$DI$73)</f>
        <v>0</v>
      </c>
      <c r="CT10" s="39">
        <f>SUMIF(Report_BM!$DP$6:$DP$73,CONCATENATE($C10,CX$3),Report_BM!$DJ$6:$DJ$73)</f>
        <v>0</v>
      </c>
      <c r="CU10" s="39">
        <f>SUMIF(Report_BM!$DP$6:$DP$73,CONCATENATE($C10,CX$3),Report_BM!$DK$6:$DK$73)</f>
        <v>0</v>
      </c>
      <c r="CV10" s="46">
        <f>SUMIF(Master_Data!$AK$152:$AK$864,CONCATENATE($C10,CX$3),Master_Data!$T$152:$T$864)</f>
        <v>0</v>
      </c>
      <c r="CW10" s="45">
        <f>SUMIF(Report_BM!$DP$6:$DP$73,CONCATENATE($C10,CX$3),Report_BM!$DM$6:$DM$73)</f>
        <v>6050</v>
      </c>
      <c r="CX10" s="39">
        <f ca="1">SUMIF(Report_BM!$DP$6:$DP$73,CONCATENATE($C10,CX$3),Report_BM!$DN$6:$DN$73)</f>
        <v>0</v>
      </c>
      <c r="CY10" s="103"/>
      <c r="CZ10" s="104"/>
      <c r="DA10" s="104"/>
      <c r="DB10" s="104"/>
      <c r="DC10" s="104"/>
      <c r="DD10" s="104"/>
      <c r="DE10" s="45">
        <f>SUMIF(Report_BM!$EG$6:$EG$73,CONCATENATE($C10,DM$3),Report_BM!$DS$6:$DS$73)+SUMIF(Report_BM!$EG$6:$EG$73,CONCATENATE($C10,DM$3),Report_BM!$DV$6:$DV$73)</f>
        <v>6050</v>
      </c>
      <c r="DF10" s="46">
        <f ca="1">SUMIF(Report_BM!$EG$6:$EG$73,CONCATENATE($C10,$DM$3),Report_BM!$DT$6:$DT$73)+SUMIF(Report_BM!$EG$6:$EG$73,CONCATENATE($C10,$DM$3),Report_BM!$DW$6:$DW$73)</f>
        <v>0</v>
      </c>
      <c r="DG10" s="45">
        <f>SUMIF(Report_BM!$EG$6:$EG$73,CONCATENATE($C10,DM$3),Report_BM!$DY$6:$DY$73)</f>
        <v>0</v>
      </c>
      <c r="DH10" s="39">
        <f>SUMIF(Report_BM!EG$6:EG$73,CONCATENATE($C10,DM$3),Report_BM!DZ$6:DZ$73)</f>
        <v>0</v>
      </c>
      <c r="DI10" s="39">
        <f>SUMIF(Report_BM!EG$6:EG$73,CONCATENATE($C10,DM$3),Report_BM!$EA$6:$EA$73)</f>
        <v>0</v>
      </c>
      <c r="DJ10" s="39">
        <f>SUMIF(Report_BM!EG$6:EG$73,CONCATENATE($C10,DM$3),Report_BM!$EB$6:$EB$73)</f>
        <v>0</v>
      </c>
      <c r="DK10" s="46">
        <f>SUMIF(Master_Data!$AK$152:$AK$864,CONCATENATE($C10,DM$3),Master_Data!$T$152:$T$864)</f>
        <v>0</v>
      </c>
      <c r="DL10" s="45">
        <f>SUMIF(Report_BM!EG$6:EG$73,CONCATENATE($C10,DM$3),Report_BM!ED$6:ED$73)</f>
        <v>6050</v>
      </c>
      <c r="DM10" s="39">
        <f ca="1">SUMIF(Report_BM!EG$6:EG$73,CONCATENATE($C10,DM$3),Report_BM!EE$6:EE$73)</f>
        <v>0</v>
      </c>
      <c r="DN10" s="103"/>
      <c r="DO10" s="104"/>
      <c r="DP10" s="104"/>
      <c r="DQ10" s="104"/>
      <c r="DR10" s="104"/>
      <c r="DS10" s="104"/>
      <c r="DT10" s="45">
        <f>SUMIF(Report_BM!$EX$6:$EX$73,CONCATENATE($C10,EB$3),Report_BM!$EJ$6:$EJ$73)+SUMIF(Report_BM!$EX$6:$EX$73,CONCATENATE($C10,EB$3),Report_BM!$EM$6:$EM$73)</f>
        <v>6050</v>
      </c>
      <c r="DU10" s="46">
        <f ca="1">SUMIF(Report_BM!$EX$6:$EX$73,CONCATENATE($C10,$EB$3),Report_BM!$EK$6:$EK$73)+SUMIF(Report_BM!$EX$6:$EX$73,CONCATENATE($C10,$EB$3),Report_BM!$EN$6:$EN$73)</f>
        <v>0</v>
      </c>
      <c r="DV10" s="45">
        <f>SUMIF(Report_BM!$EX$6:$EX$73,CONCATENATE($C10,EB$3),Report_BM!$EP$6:$EP$73)</f>
        <v>0</v>
      </c>
      <c r="DW10" s="39">
        <f>SUMIF(Report_BM!$EX$6:$EX$73,CONCATENATE($C10,EB$3),Report_BM!$EQ$6:$EQ$73)</f>
        <v>0</v>
      </c>
      <c r="DX10" s="39">
        <f>SUMIF(Report_BM!$EX$6:$EX$73,CONCATENATE($C10,EB$3),Report_BM!$ER$6:$ER$73)</f>
        <v>0</v>
      </c>
      <c r="DY10" s="39">
        <f>SUMIF(Report_BM!$EX$6:$EX$73,CONCATENATE($C10,EB$3),Report_BM!$ES$6:$ES$73)</f>
        <v>0</v>
      </c>
      <c r="DZ10" s="46">
        <f>SUMIF(Master_Data!$AK$152:$AK$864,CONCATENATE($C10,EB$3),Master_Data!$T$152:$T$864)</f>
        <v>0</v>
      </c>
      <c r="EA10" s="45">
        <f>SUMIF(Report_BM!EX$6:EX$73,CONCATENATE($C10,EB$3),Report_BM!EU$6:EU$73)</f>
        <v>6050</v>
      </c>
      <c r="EB10" s="39">
        <f>SUMIF(Report_BM!EX$6:EX$73,CONCATENATE($C10,EB$3),Report_BM!EV$6:EV$73)</f>
        <v>0</v>
      </c>
      <c r="EC10" s="103"/>
      <c r="ED10" s="104"/>
      <c r="EE10" s="104"/>
      <c r="EF10" s="104"/>
      <c r="EG10" s="104"/>
      <c r="EH10" s="104"/>
      <c r="EI10" s="45">
        <f>SUMIF(Report_BM!$FO$6:$FO$73,CONCATENATE($C10,EQ$3),Report_BM!$FA$6:$FA$73)+SUMIF(Report_BM!$FO$6:$FO$73,CONCATENATE($C10,EQ$3),Report_BM!$FD$6:$FD$73)</f>
        <v>6050</v>
      </c>
      <c r="EJ10" s="46">
        <f>SUMIF(Report_BM!$FO$6:$FO$73,CONCATENATE($C10,$EQ$3),Report_BM!$FB$6:$FB$73)+SUMIF(Report_BM!$FO$6:$FO$73,CONCATENATE($C10,$EQ$3),Report_BM!$FE$6:$FE$73)</f>
        <v>0</v>
      </c>
      <c r="EK10" s="45">
        <f>SUMIF(Report_BM!$FO$6:$FO$73,CONCATENATE($C10,EQ$3),Report_BM!$FG$6:$FG$73)</f>
        <v>0</v>
      </c>
      <c r="EL10" s="39">
        <f>SUMIF(Report_BM!$FO$6:$FO$73,CONCATENATE($C10,EQ$3),Report_BM!$FH$6:$FH$73)</f>
        <v>0</v>
      </c>
      <c r="EM10" s="39">
        <f>SUMIF(Report_BM!$FO$6:$FO$73,CONCATENATE($C10,EQ$3),Report_BM!$FI$6:$FI$73)</f>
        <v>0</v>
      </c>
      <c r="EN10" s="39">
        <f>SUMIF(Report_BM!$FO$6:$FO$73,CONCATENATE($C10,EQ$3),Report_BM!$FJ$6:$FJ$73)</f>
        <v>0</v>
      </c>
      <c r="EO10" s="46">
        <f>SUMIF(Master_Data!$AK$152:$AK$864,CONCATENATE($C10,EQ$3),Master_Data!$T$152:$T$864)</f>
        <v>0</v>
      </c>
      <c r="EP10" s="45">
        <f>SUMIF(Report_BM!FO$6:FO$73,CONCATENATE($C10,EQ$3),Report_BM!FL$6:FL$73)</f>
        <v>6050</v>
      </c>
      <c r="EQ10" s="39">
        <f>SUMIF(Report_BM!FO$6:FO$73,CONCATENATE($C10,EQ$3),Report_BM!FM$6:FM$73)</f>
        <v>0</v>
      </c>
      <c r="ER10" s="103"/>
      <c r="ES10" s="104"/>
      <c r="ET10" s="104"/>
      <c r="EU10" s="104"/>
      <c r="EV10" s="104"/>
      <c r="EW10" s="104"/>
      <c r="EX10" s="45">
        <f>SUMIF(Report_BM!$GF$6:$GF$73,CONCATENATE($C10,FF$3),Report_BM!$FR$6:$FR$73)+SUMIF(Report_BM!$GF$6:$GF$73,CONCATENATE($C10,FF$3),Report_BM!$FU$6:$FU$73)</f>
        <v>6050</v>
      </c>
      <c r="EY10" s="46">
        <f>SUMIF(Report_BM!$GF$6:$GF$73,CONCATENATE($C10,$FF$3),Report_BM!$FS$6:$FS$73)+SUMIF(Report_BM!$GF$6:$GF$73,CONCATENATE($C10,$FF$3),Report_BM!$FV$6:$FV$73)</f>
        <v>0</v>
      </c>
      <c r="EZ10" s="45">
        <f>SUMIF(Report_BM!$GF$6:$GF$73,CONCATENATE($C10,FF$3),Report_BM!$FX$6:$FX$73)</f>
        <v>0</v>
      </c>
      <c r="FA10" s="39">
        <f>SUMIF(Report_BM!$GF$6:$GF$73,CONCATENATE($C10,FF$3),Report_BM!$FY$6:$FY$73)</f>
        <v>0</v>
      </c>
      <c r="FB10" s="39">
        <f>SUMIF(Report_BM!$GF$6:$GF$73,CONCATENATE($C10,FF$3),Report_BM!$FZ$6:$FZ$73)</f>
        <v>0</v>
      </c>
      <c r="FC10" s="39">
        <f>SUMIF(Report_BM!$GF$6:$GF$73,CONCATENATE($C10,FF$3),Report_BM!$GA$6:$GA$73)</f>
        <v>0</v>
      </c>
      <c r="FD10" s="46">
        <f>SUMIF(Master_Data!$AK$152:$AK$864,CONCATENATE($C10,FF$3),Master_Data!$T$152:$T$864)</f>
        <v>0</v>
      </c>
      <c r="FE10" s="45">
        <f>SUMIF(Report_BM!GF$6:GF$73,CONCATENATE($C10,FF$3),Report_BM!GC$6:GC$73)</f>
        <v>6050</v>
      </c>
      <c r="FF10" s="39">
        <f>SUMIF(Report_BM!GF$6:GF$73,CONCATENATE($C10,FF$3),Report_BM!GD$6:GD$73)</f>
        <v>0</v>
      </c>
      <c r="FG10" s="103"/>
      <c r="FH10" s="104"/>
      <c r="FI10" s="104"/>
      <c r="FJ10" s="104"/>
      <c r="FK10" s="104"/>
      <c r="FL10" s="104"/>
      <c r="FM10" s="45">
        <f>SUMIF(Report_BM!$GW$6:$GW$73,CONCATENATE($C10,FU$3),Report_BM!$GI$6:$GI$73)+SUMIF(Report_BM!$GW$6:$GW$73,CONCATENATE($C10,FU$3),Report_BM!$GL$6:$GL$73)</f>
        <v>6050</v>
      </c>
      <c r="FN10" s="46">
        <f>SUMIF(Report_BM!$GW$6:$GW$73,CONCATENATE($C10,$FU$3),Report_BM!$GJ$6:$GJ$73)+SUMIF(Report_BM!$GW$6:$GW$73,CONCATENATE($C10,$FU$3),Report_BM!$GM$6:$GM$73)</f>
        <v>0</v>
      </c>
      <c r="FO10" s="45">
        <f>SUMIF(Report_BM!$GW$6:$GW$73,CONCATENATE($C10,FU$3),Report_BM!$GO$6:$GO$73)</f>
        <v>0</v>
      </c>
      <c r="FP10" s="39">
        <f>SUMIF(Report_BM!$GW$6:$GW$73,CONCATENATE($C10,FU$3),Report_BM!$GP$6:$GP$73)</f>
        <v>0</v>
      </c>
      <c r="FQ10" s="39">
        <f>SUMIF(Report_BM!$GW$6:$GW$73,CONCATENATE($C10,FU$3),Report_BM!$GQ$6:$GQ$73)</f>
        <v>0</v>
      </c>
      <c r="FR10" s="39">
        <f>SUMIF(Report_BM!$GW$6:$GW$73,CONCATENATE($C10,FU$3),Report_BM!$GR$6:$GR$73)</f>
        <v>0</v>
      </c>
      <c r="FS10" s="46">
        <f>SUMIF(Master_Data!$AK$152:$AK$864,CONCATENATE($C10,FU$3),Master_Data!$T$152:$T$864)</f>
        <v>0</v>
      </c>
      <c r="FT10" s="45">
        <f>SUMIF(Report_BM!GW$6:GW$73,CONCATENATE($C10,FU$3),Report_BM!GT$6:GT$73)</f>
        <v>6050</v>
      </c>
      <c r="FU10" s="39">
        <f>SUMIF(Report_BM!GW$6:GW$73,CONCATENATE($C10,FU$3),Report_BM!GU$6:GU$73)</f>
        <v>0</v>
      </c>
      <c r="FV10" s="103"/>
      <c r="FW10" s="104"/>
      <c r="FX10" s="104"/>
      <c r="FY10" s="104"/>
      <c r="FZ10" s="104"/>
      <c r="GA10" s="104"/>
    </row>
    <row r="11" spans="1:183" s="40" customFormat="1" ht="14.1" customHeight="1">
      <c r="A11" s="9">
        <v>5</v>
      </c>
      <c r="B11" s="328" t="s">
        <v>21</v>
      </c>
      <c r="C11" s="323" t="s">
        <v>20</v>
      </c>
      <c r="D11" s="45">
        <f>SUMIF(Report_BM!$B$6:$B$73,CONCATENATE($C11,L$3),Report_BM!$E$6:$E$73)+SUMIF(Report_BM!$B$6:$B$73,CONCATENATE($C11,L$3),Report_BM!$H$6:$H$73)</f>
        <v>0</v>
      </c>
      <c r="E11" s="276" t="e">
        <f>SUMIF(Report_BM!$B$6:$B$73,CONCATENATE($C11,L$3),Report_BM!$F$6:$F$73)+SUMIF(Report_BM!$B$6:$B$73,CONCATENATE($C11,L$3),Report_BM!$I$6:$I$73)</f>
        <v>#VALUE!</v>
      </c>
      <c r="F11" s="45">
        <f>SUMIF(Report_BM!$B$6:$B$73,CONCATENATE($C11,L$3),Report_BM!$K$6:$K$73)</f>
        <v>0</v>
      </c>
      <c r="G11" s="39">
        <f>SUMIF(Report_BM!$B$6:$B$73,CONCATENATE($C11,$L$3),Report_BM!$L$6:$L$73)</f>
        <v>0</v>
      </c>
      <c r="H11" s="39">
        <f>SUMIF(Report_BM!$B$6:$B$73,CONCATENATE($C11,$L$3),Report_BM!$M$6:$M$73)</f>
        <v>1761337081</v>
      </c>
      <c r="I11" s="39">
        <f>SUMIF(Report_BM!$B$6:$B$73,CONCATENATE($C11,$L$3),Report_BM!$N$6:$N$73)</f>
        <v>0</v>
      </c>
      <c r="J11" s="46">
        <f>SUMIF(Report_BM!$B$6:$B$73,CONCATENATE($C11,$L$3),Report_BM!$O$6:$O$73)</f>
        <v>-32617353.380400002</v>
      </c>
      <c r="K11" s="45">
        <f>SUMIF(Report_BM!$B$6:$B$73,CONCATENATE($C11,$L$3),Report_BM!$P$6:$P$73)</f>
        <v>0</v>
      </c>
      <c r="L11" s="39" t="e">
        <f>SUMIF(Report_BM!$B$6:$B$73,CONCATENATE($C11,$L$3),Report_BM!$Q$6:$Q$73)</f>
        <v>#VALUE!</v>
      </c>
      <c r="M11" s="103"/>
      <c r="N11" s="104"/>
      <c r="O11" s="104"/>
      <c r="P11" s="104"/>
      <c r="Q11" s="104"/>
      <c r="R11" s="104"/>
      <c r="S11" s="45">
        <f>SUMIF(Report_BM!$AI$8:$AI$72,CONCATENATE($C11,AA$3),Report_BM!$U$8:$U$72)+SUMIF(Report_BM!$AI$8:$AI$72,CONCATENATE($C11,AA$3),Report_BM!$X$8:$X$72)</f>
        <v>0</v>
      </c>
      <c r="T11" s="276" t="e">
        <f>SUMIF(Report_BM!$AI$8:$AI$72,CONCATENATE($C11,AA$3),Report_BM!$V$8:$V$72)+SUMIF(Report_BM!$AI$8:$AI$72,CONCATENATE($C11,AA$3),Report_BM!$Y$8:$Y$72)</f>
        <v>#VALUE!</v>
      </c>
      <c r="U11" s="45">
        <f>SUMIF(Report_BM!$AI$8:$AI$72,CONCATENATE($C11,AA$3),Report_BM!$AA$8:$AB$72)</f>
        <v>0</v>
      </c>
      <c r="V11" s="39">
        <f>SUMIF(Report_BM!$AI$8:$AI$72,CONCATENATE($C11,$AA$3),Report_BM!$AB$8:$AB$72)</f>
        <v>0</v>
      </c>
      <c r="W11" s="39">
        <f>SUMIF(Report_BM!$AI$8:$AI$72,CONCATENATE($C11,$AA$3),Report_BM!$AC$8:$AC$72)</f>
        <v>890488052</v>
      </c>
      <c r="X11" s="39">
        <f ca="1">SUMIF(Report_BM!$AI$7:$AI$73,CONCATENATE($C11,$AA$3),Report_BM!$AD$7:$AD$73)</f>
        <v>0</v>
      </c>
      <c r="Y11" s="46">
        <f>SUMIF(Master_Data!$AK$152:$AK$864,CONCATENATE($C11,AA$3),Master_Data!$T$152:$T$864)</f>
        <v>-16490519.511840001</v>
      </c>
      <c r="Z11" s="45">
        <f>SUMIF(Report_BM!$AI$8:$AI$72,CONCATENATE($C11,$AA$3),Report_BM!$AF$8:$AF$72)</f>
        <v>0</v>
      </c>
      <c r="AA11" s="39" t="e">
        <f ca="1">SUMIF(Report_BM!$AI$8:$AI$72,CONCATENATE($C11,$AA$3),Report_BM!$AG$8:$AG$72)</f>
        <v>#VALUE!</v>
      </c>
      <c r="AB11" s="103"/>
      <c r="AC11" s="104"/>
      <c r="AD11" s="104"/>
      <c r="AE11" s="104"/>
      <c r="AF11" s="104"/>
      <c r="AG11" s="104"/>
      <c r="AH11" s="45">
        <f>SUMIF(Report_BM!$AZ$5:$AZ$72,CONCATENATE($C11,AP$3),Report_BM!$AL$5:$AL$72)+SUMIF(Report_BM!$AZ$5:$AZ$72,CONCATENATE($C11,AP$3),Report_BM!$AO$5:$AO$72)</f>
        <v>0</v>
      </c>
      <c r="AI11" s="46" t="e">
        <f ca="1">SUMIF(Report_BM!$AZ$5:$AZ$72,CONCATENATE($C11,$AP$3),Report_BM!$AM$5:$AM$72)+SUMIF(Report_BM!$AZ$5:$AZ$72,CONCATENATE($C11,$AP$3),Report_BM!$AP$5:$AP$72)</f>
        <v>#VALUE!</v>
      </c>
      <c r="AJ11" s="45">
        <f>SUMIF(Report_BM!$AZ$5:$AZ$72,CONCATENATE($C11,$AP$3),Report_BM!$AR$5:$AR$72)</f>
        <v>0</v>
      </c>
      <c r="AK11" s="39">
        <f>SUMIF(Report_BM!$AZ$5:$AZ$72,CONCATENATE($C11,$AP$3),Report_BM!$AS$5:$AS$72)</f>
        <v>0</v>
      </c>
      <c r="AL11" s="39">
        <f>SUMIF(Report_BM!$AZ$5:$AZ$72,CONCATENATE($C11,$AP$3),Report_BM!$AT$5:$AT$72)</f>
        <v>884638201</v>
      </c>
      <c r="AM11" s="39">
        <f ca="1">SUMIF(Report_BM!$AZ$5:$AZ$72,CONCATENATE($C11,$AP$3),Report_BM!$AU$5:$AU$72)</f>
        <v>0</v>
      </c>
      <c r="AN11" s="46">
        <f>SUMIF(Master_Data!$AK$152:$AK$915,CONCATENATE($C11,AP$3),Master_Data!$T$152:$T$915)</f>
        <v>-16382188.928160001</v>
      </c>
      <c r="AO11" s="45">
        <f>SUMIF(Report_BM!$AZ$5:$AZ$72,CONCATENATE($C11,$AP$3),Report_BM!$AW$5:$AW$72)</f>
        <v>0</v>
      </c>
      <c r="AP11" s="39" t="e">
        <f ca="1">SUMIF(Report_BM!$AZ$5:$AZ$72,CONCATENATE($C11,$AP$3),Report_BM!$AX$5:$AX$72)</f>
        <v>#VALUE!</v>
      </c>
      <c r="AQ11" s="103"/>
      <c r="AR11" s="104"/>
      <c r="AS11" s="104"/>
      <c r="AT11" s="104"/>
      <c r="AU11" s="104"/>
      <c r="AV11" s="104"/>
      <c r="AW11" s="45">
        <f>SUMIF(Report_BM!$BQ$6:$BQ$73,CONCATENATE($C11,BE$3),Report_BM!$BC$6:$BC$73)+SUMIF(Report_BM!$BQ$6:$BQ$73,CONCATENATE($C11,BE$3),Report_BM!$BF$6:$BF$73)</f>
        <v>0</v>
      </c>
      <c r="AX11" s="46" t="e">
        <f ca="1">SUMIF(Report_BM!$BQ$6:$BQ$73,CONCATENATE($C11,$BE$3),Report_BM!$BD$6:$BD$73)+SUMIF(Report_BM!$BQ$6:$BQ$73,CONCATENATE($C11,$BE$3),Report_BM!$BG$6:$BG$73)</f>
        <v>#VALUE!</v>
      </c>
      <c r="AY11" s="45">
        <f>SUMIF(Report_BM!$BQ$6:$BQ$73,CONCATENATE($C11,BE$3),Report_BM!$BI$6:$BI$73)</f>
        <v>0</v>
      </c>
      <c r="AZ11" s="39">
        <f>SUMIF(Report_BM!$BQ$6:$BQ$73,CONCATENATE($C11,BE$3),Report_BM!$BJ$6:$BJ$73)</f>
        <v>0</v>
      </c>
      <c r="BA11" s="39">
        <f>SUMIF(Report_BM!$BQ$6:$BQ$73,CONCATENATE($C11,BE$3),Report_BM!$BK$6:$BK$73)</f>
        <v>0</v>
      </c>
      <c r="BB11" s="39">
        <f>SUMIF(Report_BM!$BQ$6:$BQ$73,CONCATENATE($C11,BE$3),Report_BM!$BL$6:$BL$73)</f>
        <v>0</v>
      </c>
      <c r="BC11" s="46">
        <f>SUMIF(Master_Data!$AK$152:$AK$864,CONCATENATE($C11,BE$3),Master_Data!$T$152:$T$864)</f>
        <v>0</v>
      </c>
      <c r="BD11" s="45">
        <f>SUMIF(Report_BM!$BQ$6:$BQ$73,CONCATENATE($C11,BE$3),Report_BM!$BN$6:$BN$73)</f>
        <v>0</v>
      </c>
      <c r="BE11" s="39" t="e">
        <f ca="1">SUMIF(Report_BM!$BQ$6:$BQ$73,CONCATENATE($C11,BE$3),Report_BM!$BO$6:$BO$73)</f>
        <v>#VALUE!</v>
      </c>
      <c r="BF11" s="103"/>
      <c r="BG11" s="104"/>
      <c r="BH11" s="104"/>
      <c r="BI11" s="104"/>
      <c r="BJ11" s="104"/>
      <c r="BK11" s="104"/>
      <c r="BL11" s="45">
        <f>SUMIF(Report_BM!$CH$6:$CH$73,CONCATENATE($C11,BT$3),Report_BM!$BT$6:$BT$73)+SUMIF(Report_BM!$CH$6:$CH$73,CONCATENATE($C11,BT$3),Report_BM!$BW$6:$BW$73)</f>
        <v>0</v>
      </c>
      <c r="BM11" s="46" t="e">
        <f ca="1">SUMIF(Report_BM!$CH$6:$CH$73,CONCATENATE($C11,$BT$3),Report_BM!$BU$6:$BU$73)+SUMIF(Report_BM!$CH$6:$CH$73,CONCATENATE($C11,$BT$3),Report_BM!$BX$6:$BX$73)</f>
        <v>#VALUE!</v>
      </c>
      <c r="BN11" s="45">
        <f>SUMIF(Report_BM!$CH$6:$CH$73,CONCATENATE($C11,BT$3),Report_BM!$BZ$6:$BZ$73)</f>
        <v>0</v>
      </c>
      <c r="BO11" s="39">
        <f>SUMIF(Report_BM!$CH$6:$CH$73,CONCATENATE($C11,BT$3),Report_BM!$CA$6:$CA$73)</f>
        <v>0</v>
      </c>
      <c r="BP11" s="39">
        <f>SUMIF(Report_BM!$CH$6:$CH$73,CONCATENATE($C11,BT$3),Report_BM!$CB$6:$CB$73)</f>
        <v>882770198</v>
      </c>
      <c r="BQ11" s="39">
        <f>SUMIF(Report_BM!$CH$6:$CH$73,CONCATENATE($C11,BT$3),Report_BM!$CC$6:$CC$73)</f>
        <v>0</v>
      </c>
      <c r="BR11" s="46">
        <f>SUMIF(Master_Data!$AK$152:$AK$864,CONCATENATE($C11,BT$3),Master_Data!$T$152:$T$864)</f>
        <v>-16347596.292720001</v>
      </c>
      <c r="BS11" s="45">
        <f>SUMIF(Report_BM!$CH$6:$CH$73,CONCATENATE($C11,BT$3),Report_BM!$CE$6:$CE$73)</f>
        <v>0</v>
      </c>
      <c r="BT11" s="39" t="e">
        <f ca="1">SUMIF(Report_BM!$CH$6:$CH$73,CONCATENATE($C11,BT$3),Report_BM!$CF$6:$CF$73)</f>
        <v>#VALUE!</v>
      </c>
      <c r="BU11" s="103"/>
      <c r="BV11" s="104"/>
      <c r="BW11" s="104"/>
      <c r="BX11" s="104"/>
      <c r="BY11" s="104"/>
      <c r="BZ11" s="104"/>
      <c r="CA11" s="45">
        <f>SUMIF(Report_BM!$CY$6:$CY$73,CONCATENATE($C11,CI$3),Report_BM!$CK$6:$CK$73)+SUMIF(Report_BM!$CY$6:$CY$73,CONCATENATE($C11,CI$3),Report_BM!$CN$6:$CN$73)</f>
        <v>0</v>
      </c>
      <c r="CB11" s="46" t="e">
        <f ca="1">SUMIF(Report_BM!$CY$6:$CY$73,CONCATENATE($C11,$CI$3),Report_BM!$CL$6:$CL$73)+SUMIF(Report_BM!$CY$6:$CY$73,CONCATENATE($C11,$CI$3),Report_BM!$CO$6:$CO$73)</f>
        <v>#VALUE!</v>
      </c>
      <c r="CC11" s="45">
        <f>SUMIF(Report_BM!$CY$6:$CY$73,CONCATENATE($C11,CI$3),Report_BM!$CQ$6:$CQ$73)</f>
        <v>0</v>
      </c>
      <c r="CD11" s="39">
        <f>SUMIF(Report_BM!$CY$6:$CY$73,CONCATENATE($C11,CI$3),Report_BM!$CR$6:$CR$73)</f>
        <v>0</v>
      </c>
      <c r="CE11" s="39">
        <f>SUMIF(Report_BM!$CY$6:$CY$73,CONCATENATE($C11,CI$3),Report_BM!$CS$6:$CS$73)</f>
        <v>925215030</v>
      </c>
      <c r="CF11" s="39">
        <f ca="1">SUMIF(Report_BM!$CY$6:$CY$73,CONCATENATE($C11,CI$3),Report_BM!$CT$6:$CT$73)</f>
        <v>0</v>
      </c>
      <c r="CG11" s="46">
        <f>SUMIF(Report_BM!$CY$6:$CY$73,CONCATENATE($C11,CI$3),Report_BM!$CU$6:$CU$73)</f>
        <v>-17133611.697839998</v>
      </c>
      <c r="CH11" s="45">
        <f>SUMIF(Report_BM!$CY$6:$CY$73,CONCATENATE($C11,CI$3),Report_BM!$CV$6:$CV$73)</f>
        <v>0</v>
      </c>
      <c r="CI11" s="39" t="e">
        <f ca="1">SUMIF(Report_BM!$CY$6:$CY$73,CONCATENATE($C11,CI$3),Report_BM!$CW$6:$CW$73)</f>
        <v>#VALUE!</v>
      </c>
      <c r="CJ11" s="103"/>
      <c r="CK11" s="104"/>
      <c r="CL11" s="104"/>
      <c r="CM11" s="104"/>
      <c r="CN11" s="104"/>
      <c r="CO11" s="104"/>
      <c r="CP11" s="45">
        <f>SUMIF(Report_BM!$DP$6:$DP$73,CONCATENATE($C11,CX$3),Report_BM!$DB$6:$DB$73)+SUMIF(Report_BM!$DP$6:$DP$73,CONCATENATE($C11,CX$3),Report_BM!$DE$6:$DE$73)</f>
        <v>0</v>
      </c>
      <c r="CQ11" s="46" t="e">
        <f ca="1">SUMIF(Report_BM!$DP$6:$DP$73,CONCATENATE($C11,$CX$3),Report_BM!$DC$6:$DC$73)+SUMIF(Report_BM!$DP$6:$DP$73,CONCATENATE($C11,$CX$3),Report_BM!$DF$6:$DF$73)</f>
        <v>#VALUE!</v>
      </c>
      <c r="CR11" s="45">
        <f>SUMIF(Report_BM!$DP$6:$DP$73,CONCATENATE($C11,CX$3),Report_BM!$DH$6:$DH$73)</f>
        <v>0</v>
      </c>
      <c r="CS11" s="39">
        <f>SUMIF(Report_BM!$DP$6:$DP$73,CONCATENATE($C11,CX$3),Report_BM!$DI$6:$DI$73)</f>
        <v>0</v>
      </c>
      <c r="CT11" s="39">
        <f>SUMIF(Report_BM!$DP$6:$DP$73,CONCATENATE($C11,CX$3),Report_BM!$DJ$6:$DJ$73)</f>
        <v>819096862</v>
      </c>
      <c r="CU11" s="39">
        <f>SUMIF(Report_BM!$DP$6:$DP$73,CONCATENATE($C11,CX$3),Report_BM!$DK$6:$DK$73)</f>
        <v>0</v>
      </c>
      <c r="CV11" s="46">
        <f>SUMIF(Master_Data!$AK$152:$AK$864,CONCATENATE($C11,CX$3),Master_Data!$T$152:$T$864)</f>
        <v>-15168460.4</v>
      </c>
      <c r="CW11" s="45">
        <f>SUMIF(Report_BM!$DP$6:$DP$73,CONCATENATE($C11,CX$3),Report_BM!$DM$6:$DM$73)</f>
        <v>0</v>
      </c>
      <c r="CX11" s="39" t="e">
        <f ca="1">SUMIF(Report_BM!$DP$6:$DP$73,CONCATENATE($C11,CX$3),Report_BM!$DN$6:$DN$73)</f>
        <v>#VALUE!</v>
      </c>
      <c r="CY11" s="103"/>
      <c r="CZ11" s="104"/>
      <c r="DA11" s="104"/>
      <c r="DB11" s="104"/>
      <c r="DC11" s="104"/>
      <c r="DD11" s="104"/>
      <c r="DE11" s="45">
        <f>SUMIF(Report_BM!$EG$6:$EG$73,CONCATENATE($C11,DM$3),Report_BM!$DS$6:$DS$73)+SUMIF(Report_BM!$EG$6:$EG$73,CONCATENATE($C11,DM$3),Report_BM!$DV$6:$DV$73)</f>
        <v>0</v>
      </c>
      <c r="DF11" s="46" t="e">
        <f ca="1">SUMIF(Report_BM!$EG$6:$EG$73,CONCATENATE($C11,$DM$3),Report_BM!$DT$6:$DT$73)+SUMIF(Report_BM!$EG$6:$EG$73,CONCATENATE($C11,$DM$3),Report_BM!$DW$6:$DW$73)</f>
        <v>#VALUE!</v>
      </c>
      <c r="DG11" s="45">
        <f>SUMIF(Report_BM!$EG$6:$EG$73,CONCATENATE($C11,DM$3),Report_BM!$DY$6:$DY$73)</f>
        <v>0</v>
      </c>
      <c r="DH11" s="39">
        <f>SUMIF(Report_BM!EG$6:EG$73,CONCATENATE($C11,DM$3),Report_BM!DZ$6:DZ$73)</f>
        <v>0</v>
      </c>
      <c r="DI11" s="39">
        <f>SUMIF(Report_BM!EG$6:EG$73,CONCATENATE($C11,DM$3),Report_BM!$EA$6:$EA$73)</f>
        <v>851573774</v>
      </c>
      <c r="DJ11" s="39">
        <f>SUMIF(Report_BM!EG$6:EG$73,CONCATENATE($C11,DM$3),Report_BM!$EB$6:$EB$73)</f>
        <v>0</v>
      </c>
      <c r="DK11" s="46">
        <f>SUMIF(Master_Data!$AK$152:$AK$864,CONCATENATE($C11,DM$3),Master_Data!$T$152:$T$864)</f>
        <v>-15769884.720000001</v>
      </c>
      <c r="DL11" s="45">
        <f>SUMIF(Report_BM!EG$6:EG$73,CONCATENATE($C11,DM$3),Report_BM!ED$6:ED$73)</f>
        <v>0</v>
      </c>
      <c r="DM11" s="39" t="e">
        <f ca="1">SUMIF(Report_BM!EG$6:EG$73,CONCATENATE($C11,DM$3),Report_BM!EE$6:EE$73)</f>
        <v>#VALUE!</v>
      </c>
      <c r="DN11" s="103"/>
      <c r="DO11" s="104"/>
      <c r="DP11" s="104"/>
      <c r="DQ11" s="104"/>
      <c r="DR11" s="104"/>
      <c r="DS11" s="104"/>
      <c r="DT11" s="45">
        <f>SUMIF(Report_BM!$EX$6:$EX$73,CONCATENATE($C11,EB$3),Report_BM!$EJ$6:$EJ$73)+SUMIF(Report_BM!$EX$6:$EX$73,CONCATENATE($C11,EB$3),Report_BM!$EM$6:$EM$73)</f>
        <v>0</v>
      </c>
      <c r="DU11" s="46" t="e">
        <f ca="1">SUMIF(Report_BM!$EX$6:$EX$73,CONCATENATE($C11,$EB$3),Report_BM!$EK$6:$EK$73)+SUMIF(Report_BM!$EX$6:$EX$73,CONCATENATE($C11,$EB$3),Report_BM!$EN$6:$EN$73)</f>
        <v>#VALUE!</v>
      </c>
      <c r="DV11" s="45">
        <f>SUMIF(Report_BM!$EX$6:$EX$73,CONCATENATE($C11,EB$3),Report_BM!$EP$6:$EP$73)</f>
        <v>0</v>
      </c>
      <c r="DW11" s="39">
        <f>SUMIF(Report_BM!$EX$6:$EX$73,CONCATENATE($C11,EB$3),Report_BM!$EQ$6:$EQ$73)</f>
        <v>0</v>
      </c>
      <c r="DX11" s="39">
        <f>SUMIF(Report_BM!$EX$6:$EX$73,CONCATENATE($C11,EB$3),Report_BM!$ER$6:$ER$73)</f>
        <v>820535264.6400001</v>
      </c>
      <c r="DY11" s="39">
        <f>SUMIF(Report_BM!$EX$6:$EX$73,CONCATENATE($C11,EB$3),Report_BM!$ES$6:$ES$73)</f>
        <v>0</v>
      </c>
      <c r="DZ11" s="46">
        <f>SUMIF(Master_Data!$AK$152:$AK$864,CONCATENATE($C11,EB$3),Master_Data!$T$152:$T$864)</f>
        <v>-14652415.439999999</v>
      </c>
      <c r="EA11" s="45">
        <f>SUMIF(Report_BM!EX$6:EX$73,CONCATENATE($C11,EB$3),Report_BM!EU$6:EU$73)</f>
        <v>0</v>
      </c>
      <c r="EB11" s="39">
        <f>SUMIF(Report_BM!EX$6:EX$73,CONCATENATE($C11,EB$3),Report_BM!EV$6:EV$73)</f>
        <v>0</v>
      </c>
      <c r="EC11" s="103"/>
      <c r="ED11" s="104"/>
      <c r="EE11" s="104"/>
      <c r="EF11" s="104"/>
      <c r="EG11" s="104"/>
      <c r="EH11" s="104"/>
      <c r="EI11" s="45">
        <f>SUMIF(Report_BM!$FO$6:$FO$73,CONCATENATE($C11,EQ$3),Report_BM!$FA$6:$FA$73)+SUMIF(Report_BM!$FO$6:$FO$73,CONCATENATE($C11,EQ$3),Report_BM!$FD$6:$FD$73)</f>
        <v>0</v>
      </c>
      <c r="EJ11" s="46">
        <f>SUMIF(Report_BM!$FO$6:$FO$73,CONCATENATE($C11,$EQ$3),Report_BM!$FB$6:$FB$73)+SUMIF(Report_BM!$FO$6:$FO$73,CONCATENATE($C11,$EQ$3),Report_BM!$FE$6:$FE$73)</f>
        <v>0</v>
      </c>
      <c r="EK11" s="45">
        <f>SUMIF(Report_BM!$FO$6:$FO$73,CONCATENATE($C11,EQ$3),Report_BM!$FG$6:$FG$73)</f>
        <v>0</v>
      </c>
      <c r="EL11" s="39">
        <f>SUMIF(Report_BM!$FO$6:$FO$73,CONCATENATE($C11,EQ$3),Report_BM!$FH$6:$FH$73)</f>
        <v>0</v>
      </c>
      <c r="EM11" s="39">
        <f>SUMIF(Report_BM!$FO$6:$FO$73,CONCATENATE($C11,EQ$3),Report_BM!$FI$6:$FI$73)</f>
        <v>632826929</v>
      </c>
      <c r="EN11" s="39">
        <f>SUMIF(Report_BM!$FO$6:$FO$73,CONCATENATE($C11,EQ$3),Report_BM!$FJ$6:$FJ$73)</f>
        <v>0</v>
      </c>
      <c r="EO11" s="46">
        <f>SUMIF(Master_Data!$AK$152:$AK$864,CONCATENATE($C11,EQ$3),Master_Data!$T$152:$T$864)</f>
        <v>-11719017.200000001</v>
      </c>
      <c r="EP11" s="45">
        <f>SUMIF(Report_BM!FO$6:FO$73,CONCATENATE($C11,EQ$3),Report_BM!FL$6:FL$73)</f>
        <v>0</v>
      </c>
      <c r="EQ11" s="39">
        <f>SUMIF(Report_BM!FO$6:FO$73,CONCATENATE($C11,EQ$3),Report_BM!FM$6:FM$73)</f>
        <v>-644545946.20000005</v>
      </c>
      <c r="ER11" s="103"/>
      <c r="ES11" s="104"/>
      <c r="ET11" s="104"/>
      <c r="EU11" s="104"/>
      <c r="EV11" s="104"/>
      <c r="EW11" s="104"/>
      <c r="EX11" s="45">
        <f>SUMIF(Report_BM!$GF$6:$GF$73,CONCATENATE($C11,FF$3),Report_BM!$FR$6:$FR$73)+SUMIF(Report_BM!$GF$6:$GF$73,CONCATENATE($C11,FF$3),Report_BM!$FU$6:$FU$73)</f>
        <v>0</v>
      </c>
      <c r="EY11" s="46">
        <f>SUMIF(Report_BM!$GF$6:$GF$73,CONCATENATE($C11,$FF$3),Report_BM!$FS$6:$FS$73)+SUMIF(Report_BM!$GF$6:$GF$73,CONCATENATE($C11,$FF$3),Report_BM!$FV$6:$FV$73)</f>
        <v>-644545946.20000005</v>
      </c>
      <c r="EZ11" s="45">
        <f>SUMIF(Report_BM!$GF$6:$GF$73,CONCATENATE($C11,FF$3),Report_BM!$FX$6:$FX$73)</f>
        <v>0</v>
      </c>
      <c r="FA11" s="39">
        <f>SUMIF(Report_BM!$GF$6:$GF$73,CONCATENATE($C11,FF$3),Report_BM!$FY$6:$FY$73)</f>
        <v>0</v>
      </c>
      <c r="FB11" s="39">
        <f>SUMIF(Report_BM!$GF$6:$GF$73,CONCATENATE($C11,FF$3),Report_BM!$FZ$6:$FZ$73)</f>
        <v>0</v>
      </c>
      <c r="FC11" s="39">
        <f>SUMIF(Report_BM!$GF$6:$GF$73,CONCATENATE($C11,FF$3),Report_BM!$GA$6:$GA$73)</f>
        <v>0</v>
      </c>
      <c r="FD11" s="46">
        <f>SUMIF(Master_Data!$AK$152:$AK$864,CONCATENATE($C11,FF$3),Master_Data!$T$152:$T$864)</f>
        <v>0</v>
      </c>
      <c r="FE11" s="45">
        <f>SUMIF(Report_BM!GF$6:GF$73,CONCATENATE($C11,FF$3),Report_BM!GC$6:GC$73)</f>
        <v>0</v>
      </c>
      <c r="FF11" s="39">
        <f>SUMIF(Report_BM!GF$6:GF$73,CONCATENATE($C11,FF$3),Report_BM!GD$6:GD$73)</f>
        <v>-644545946.20000005</v>
      </c>
      <c r="FG11" s="103"/>
      <c r="FH11" s="104"/>
      <c r="FI11" s="104"/>
      <c r="FJ11" s="104"/>
      <c r="FK11" s="104"/>
      <c r="FL11" s="104"/>
      <c r="FM11" s="45">
        <f>SUMIF(Report_BM!$GW$6:$GW$73,CONCATENATE($C11,FU$3),Report_BM!$GI$6:$GI$73)+SUMIF(Report_BM!$GW$6:$GW$73,CONCATENATE($C11,FU$3),Report_BM!$GL$6:$GL$73)</f>
        <v>0</v>
      </c>
      <c r="FN11" s="46">
        <f>SUMIF(Report_BM!$GW$6:$GW$73,CONCATENATE($C11,$FU$3),Report_BM!$GJ$6:$GJ$73)+SUMIF(Report_BM!$GW$6:$GW$73,CONCATENATE($C11,$FU$3),Report_BM!$GM$6:$GM$73)</f>
        <v>-644545946.20000005</v>
      </c>
      <c r="FO11" s="45">
        <f>SUMIF(Report_BM!$GW$6:$GW$73,CONCATENATE($C11,FU$3),Report_BM!$GO$6:$GO$73)</f>
        <v>0</v>
      </c>
      <c r="FP11" s="39">
        <f>SUMIF(Report_BM!$GW$6:$GW$73,CONCATENATE($C11,FU$3),Report_BM!$GP$6:$GP$73)</f>
        <v>0</v>
      </c>
      <c r="FQ11" s="39">
        <f>SUMIF(Report_BM!$GW$6:$GW$73,CONCATENATE($C11,FU$3),Report_BM!$GQ$6:$GQ$73)</f>
        <v>714932185.98000002</v>
      </c>
      <c r="FR11" s="39">
        <f>SUMIF(Report_BM!$GW$6:$GW$73,CONCATENATE($C11,FU$3),Report_BM!$GR$6:$GR$73)</f>
        <v>0</v>
      </c>
      <c r="FS11" s="46">
        <f>SUMIF(Master_Data!$AK$152:$AK$864,CONCATENATE($C11,FU$3),Master_Data!$T$152:$T$864)</f>
        <v>-13239484.925799999</v>
      </c>
      <c r="FT11" s="45">
        <f>SUMIF(Report_BM!GW$6:GW$73,CONCATENATE($C11,FU$3),Report_BM!GT$6:GT$73)</f>
        <v>0</v>
      </c>
      <c r="FU11" s="39">
        <f>SUMIF(Report_BM!GW$6:GW$73,CONCATENATE($C11,FU$3),Report_BM!GU$6:GU$73)</f>
        <v>-1372717617.1058002</v>
      </c>
      <c r="FV11" s="103"/>
      <c r="FW11" s="104"/>
      <c r="FX11" s="104"/>
      <c r="FY11" s="104"/>
      <c r="FZ11" s="104"/>
      <c r="GA11" s="104"/>
    </row>
    <row r="12" spans="1:183" s="40" customFormat="1" ht="14.1" customHeight="1">
      <c r="A12" s="9">
        <v>6</v>
      </c>
      <c r="B12" s="328" t="s">
        <v>23</v>
      </c>
      <c r="C12" s="323" t="s">
        <v>22</v>
      </c>
      <c r="D12" s="45">
        <f>SUMIF(Report_BM!$B$6:$B$73,CONCATENATE($C12,L$3),Report_BM!$E$6:$E$73)+SUMIF(Report_BM!$B$6:$B$73,CONCATENATE($C12,L$3),Report_BM!$H$6:$H$73)</f>
        <v>0</v>
      </c>
      <c r="E12" s="276" t="e">
        <f>SUMIF(Report_BM!$B$6:$B$73,CONCATENATE($C12,L$3),Report_BM!$F$6:$F$73)+SUMIF(Report_BM!$B$6:$B$73,CONCATENATE($C12,L$3),Report_BM!$I$6:$I$73)</f>
        <v>#VALUE!</v>
      </c>
      <c r="F12" s="45">
        <f>SUMIF(Report_BM!$B$6:$B$73,CONCATENATE($C12,L$3),Report_BM!$K$6:$K$73)</f>
        <v>0</v>
      </c>
      <c r="G12" s="39">
        <f>SUMIF(Report_BM!$B$6:$B$73,CONCATENATE($C12,$L$3),Report_BM!$L$6:$L$73)</f>
        <v>0</v>
      </c>
      <c r="H12" s="39">
        <f>SUMIF(Report_BM!$B$6:$B$73,CONCATENATE($C12,$L$3),Report_BM!$M$6:$M$73)</f>
        <v>65955589</v>
      </c>
      <c r="I12" s="39">
        <f>SUMIF(Report_BM!$B$6:$B$73,CONCATENATE($C12,$L$3),Report_BM!$N$6:$N$73)</f>
        <v>0</v>
      </c>
      <c r="J12" s="46">
        <f>SUMIF(Report_BM!$B$6:$B$73,CONCATENATE($C12,$L$3),Report_BM!$O$6:$O$73)</f>
        <v>-1221399.8</v>
      </c>
      <c r="K12" s="45">
        <f>SUMIF(Report_BM!$B$6:$B$73,CONCATENATE($C12,$L$3),Report_BM!$P$6:$P$73)</f>
        <v>0</v>
      </c>
      <c r="L12" s="39" t="e">
        <f>SUMIF(Report_BM!$B$6:$B$73,CONCATENATE($C12,$L$3),Report_BM!$Q$6:$Q$73)</f>
        <v>#VALUE!</v>
      </c>
      <c r="M12" s="103"/>
      <c r="N12" s="104"/>
      <c r="O12" s="104"/>
      <c r="P12" s="104"/>
      <c r="Q12" s="104"/>
      <c r="R12" s="104"/>
      <c r="S12" s="45">
        <f>SUMIF(Report_BM!$AI$8:$AI$72,CONCATENATE($C12,AA$3),Report_BM!$U$8:$U$72)+SUMIF(Report_BM!$AI$8:$AI$72,CONCATENATE($C12,AA$3),Report_BM!$X$8:$X$72)</f>
        <v>0</v>
      </c>
      <c r="T12" s="276" t="e">
        <f>SUMIF(Report_BM!$AI$8:$AI$72,CONCATENATE($C12,AA$3),Report_BM!$V$8:$V$72)+SUMIF(Report_BM!$AI$8:$AI$72,CONCATENATE($C12,AA$3),Report_BM!$Y$8:$Y$72)</f>
        <v>#VALUE!</v>
      </c>
      <c r="U12" s="45">
        <f>SUMIF(Report_BM!$AI$8:$AI$72,CONCATENATE($C12,AA$3),Report_BM!$AA$8:$AB$72)</f>
        <v>0</v>
      </c>
      <c r="V12" s="39">
        <f>SUMIF(Report_BM!$AI$8:$AI$72,CONCATENATE($C12,$AA$3),Report_BM!$AB$8:$AB$72)</f>
        <v>0</v>
      </c>
      <c r="W12" s="39">
        <f>SUMIF(Report_BM!$AI$8:$AI$72,CONCATENATE($C12,$AA$3),Report_BM!$AC$8:$AC$72)</f>
        <v>48837600</v>
      </c>
      <c r="X12" s="39">
        <f ca="1">SUMIF(Report_BM!$AI$7:$AI$73,CONCATENATE($C12,$AA$3),Report_BM!$AD$7:$AD$73)</f>
        <v>0</v>
      </c>
      <c r="Y12" s="46">
        <f>SUMIF(Master_Data!$AK$152:$AK$864,CONCATENATE($C12,AA$3),Master_Data!$T$152:$T$864)</f>
        <v>-904400</v>
      </c>
      <c r="Z12" s="45">
        <f>SUMIF(Report_BM!$AI$8:$AI$72,CONCATENATE($C12,$AA$3),Report_BM!$AF$8:$AF$72)</f>
        <v>0</v>
      </c>
      <c r="AA12" s="39" t="e">
        <f ca="1">SUMIF(Report_BM!$AI$8:$AI$72,CONCATENATE($C12,$AA$3),Report_BM!$AG$8:$AG$72)</f>
        <v>#VALUE!</v>
      </c>
      <c r="AB12" s="103"/>
      <c r="AC12" s="104"/>
      <c r="AD12" s="104"/>
      <c r="AE12" s="104"/>
      <c r="AF12" s="104"/>
      <c r="AG12" s="104"/>
      <c r="AH12" s="45">
        <f>SUMIF(Report_BM!$AZ$5:$AZ$72,CONCATENATE($C12,AP$3),Report_BM!$AL$5:$AL$72)+SUMIF(Report_BM!$AZ$5:$AZ$72,CONCATENATE($C12,AP$3),Report_BM!$AO$5:$AO$72)</f>
        <v>0</v>
      </c>
      <c r="AI12" s="46" t="e">
        <f ca="1">SUMIF(Report_BM!$AZ$5:$AZ$72,CONCATENATE($C12,$AP$3),Report_BM!$AM$5:$AM$72)+SUMIF(Report_BM!$AZ$5:$AZ$72,CONCATENATE($C12,$AP$3),Report_BM!$AP$5:$AP$72)</f>
        <v>#VALUE!</v>
      </c>
      <c r="AJ12" s="45">
        <f>SUMIF(Report_BM!$AZ$5:$AZ$72,CONCATENATE($C12,$AP$3),Report_BM!$AR$5:$AR$72)</f>
        <v>0</v>
      </c>
      <c r="AK12" s="39">
        <f>SUMIF(Report_BM!$AZ$5:$AZ$72,CONCATENATE($C12,$AP$3),Report_BM!$AS$5:$AS$72)</f>
        <v>0</v>
      </c>
      <c r="AL12" s="39">
        <f>SUMIF(Report_BM!$AZ$5:$AZ$72,CONCATENATE($C12,$AP$3),Report_BM!$AT$5:$AT$72)</f>
        <v>48837600</v>
      </c>
      <c r="AM12" s="39">
        <f ca="1">SUMIF(Report_BM!$AZ$5:$AZ$72,CONCATENATE($C12,$AP$3),Report_BM!$AU$5:$AU$72)</f>
        <v>0</v>
      </c>
      <c r="AN12" s="46">
        <f>SUMIF(Master_Data!$AK$152:$AK$915,CONCATENATE($C12,AP$3),Master_Data!$T$152:$T$915)</f>
        <v>-904400</v>
      </c>
      <c r="AO12" s="45">
        <f>SUMIF(Report_BM!$AZ$5:$AZ$72,CONCATENATE($C12,$AP$3),Report_BM!$AW$5:$AW$72)</f>
        <v>0</v>
      </c>
      <c r="AP12" s="39" t="e">
        <f ca="1">SUMIF(Report_BM!$AZ$5:$AZ$72,CONCATENATE($C12,$AP$3),Report_BM!$AX$5:$AX$72)</f>
        <v>#VALUE!</v>
      </c>
      <c r="AQ12" s="103"/>
      <c r="AR12" s="104"/>
      <c r="AS12" s="104"/>
      <c r="AT12" s="104"/>
      <c r="AU12" s="104"/>
      <c r="AV12" s="104"/>
      <c r="AW12" s="45">
        <f>SUMIF(Report_BM!$BQ$6:$BQ$73,CONCATENATE($C12,BE$3),Report_BM!$BC$6:$BC$73)+SUMIF(Report_BM!$BQ$6:$BQ$73,CONCATENATE($C12,BE$3),Report_BM!$BF$6:$BF$73)</f>
        <v>0</v>
      </c>
      <c r="AX12" s="46" t="e">
        <f ca="1">SUMIF(Report_BM!$BQ$6:$BQ$73,CONCATENATE($C12,$BE$3),Report_BM!$BD$6:$BD$73)+SUMIF(Report_BM!$BQ$6:$BQ$73,CONCATENATE($C12,$BE$3),Report_BM!$BG$6:$BG$73)</f>
        <v>#VALUE!</v>
      </c>
      <c r="AY12" s="45">
        <f>SUMIF(Report_BM!$BQ$6:$BQ$73,CONCATENATE($C12,BE$3),Report_BM!$BI$6:$BI$73)</f>
        <v>0</v>
      </c>
      <c r="AZ12" s="39">
        <f>SUMIF(Report_BM!$BQ$6:$BQ$73,CONCATENATE($C12,BE$3),Report_BM!$BJ$6:$BJ$73)</f>
        <v>0</v>
      </c>
      <c r="BA12" s="39">
        <f>SUMIF(Report_BM!$BQ$6:$BQ$73,CONCATENATE($C12,BE$3),Report_BM!$BK$6:$BK$73)</f>
        <v>48837600</v>
      </c>
      <c r="BB12" s="39">
        <f>SUMIF(Report_BM!$BQ$6:$BQ$73,CONCATENATE($C12,BE$3),Report_BM!$BL$6:$BL$73)</f>
        <v>0</v>
      </c>
      <c r="BC12" s="46">
        <f>SUMIF(Master_Data!$AK$152:$AK$864,CONCATENATE($C12,BE$3),Master_Data!$T$152:$T$864)</f>
        <v>-904400</v>
      </c>
      <c r="BD12" s="45">
        <f>SUMIF(Report_BM!$BQ$6:$BQ$73,CONCATENATE($C12,BE$3),Report_BM!$BN$6:$BN$73)</f>
        <v>0</v>
      </c>
      <c r="BE12" s="39" t="e">
        <f ca="1">SUMIF(Report_BM!$BQ$6:$BQ$73,CONCATENATE($C12,BE$3),Report_BM!$BO$6:$BO$73)</f>
        <v>#VALUE!</v>
      </c>
      <c r="BF12" s="103"/>
      <c r="BG12" s="104"/>
      <c r="BH12" s="104"/>
      <c r="BI12" s="104"/>
      <c r="BJ12" s="104"/>
      <c r="BK12" s="104"/>
      <c r="BL12" s="45">
        <f>SUMIF(Report_BM!$CH$6:$CH$73,CONCATENATE($C12,BT$3),Report_BM!$BT$6:$BT$73)+SUMIF(Report_BM!$CH$6:$CH$73,CONCATENATE($C12,BT$3),Report_BM!$BW$6:$BW$73)</f>
        <v>0</v>
      </c>
      <c r="BM12" s="46" t="e">
        <f ca="1">SUMIF(Report_BM!$CH$6:$CH$73,CONCATENATE($C12,$BT$3),Report_BM!$BU$6:$BU$73)+SUMIF(Report_BM!$CH$6:$CH$73,CONCATENATE($C12,$BT$3),Report_BM!$BX$6:$BX$73)</f>
        <v>#VALUE!</v>
      </c>
      <c r="BN12" s="45">
        <f>SUMIF(Report_BM!$CH$6:$CH$73,CONCATENATE($C12,BT$3),Report_BM!$BZ$6:$BZ$73)</f>
        <v>0</v>
      </c>
      <c r="BO12" s="39">
        <f>SUMIF(Report_BM!$CH$6:$CH$73,CONCATENATE($C12,BT$3),Report_BM!$CA$6:$CA$73)</f>
        <v>0</v>
      </c>
      <c r="BP12" s="39">
        <f>SUMIF(Report_BM!$CH$6:$CH$73,CONCATENATE($C12,BT$3),Report_BM!$CB$6:$CB$73)</f>
        <v>48837600</v>
      </c>
      <c r="BQ12" s="39">
        <f>SUMIF(Report_BM!$CH$6:$CH$73,CONCATENATE($C12,BT$3),Report_BM!$CC$6:$CC$73)</f>
        <v>0</v>
      </c>
      <c r="BR12" s="46">
        <f>SUMIF(Master_Data!$AK$152:$AK$864,CONCATENATE($C12,BT$3),Master_Data!$T$152:$T$864)</f>
        <v>-904400</v>
      </c>
      <c r="BS12" s="45">
        <f>SUMIF(Report_BM!$CH$6:$CH$73,CONCATENATE($C12,BT$3),Report_BM!$CE$6:$CE$73)</f>
        <v>0</v>
      </c>
      <c r="BT12" s="39" t="e">
        <f ca="1">SUMIF(Report_BM!$CH$6:$CH$73,CONCATENATE($C12,BT$3),Report_BM!$CF$6:$CF$73)</f>
        <v>#VALUE!</v>
      </c>
      <c r="BU12" s="103"/>
      <c r="BV12" s="104"/>
      <c r="BW12" s="104"/>
      <c r="BX12" s="104"/>
      <c r="BY12" s="104"/>
      <c r="BZ12" s="104"/>
      <c r="CA12" s="45">
        <f>SUMIF(Report_BM!$CY$6:$CY$73,CONCATENATE($C12,CI$3),Report_BM!$CK$6:$CK$73)+SUMIF(Report_BM!$CY$6:$CY$73,CONCATENATE($C12,CI$3),Report_BM!$CN$6:$CN$73)</f>
        <v>0</v>
      </c>
      <c r="CB12" s="46" t="e">
        <f ca="1">SUMIF(Report_BM!$CY$6:$CY$73,CONCATENATE($C12,$CI$3),Report_BM!$CL$6:$CL$73)+SUMIF(Report_BM!$CY$6:$CY$73,CONCATENATE($C12,$CI$3),Report_BM!$CO$6:$CO$73)</f>
        <v>#VALUE!</v>
      </c>
      <c r="CC12" s="45">
        <f>SUMIF(Report_BM!$CY$6:$CY$73,CONCATENATE($C12,CI$3),Report_BM!$CQ$6:$CQ$73)</f>
        <v>0</v>
      </c>
      <c r="CD12" s="39">
        <f>SUMIF(Report_BM!$CY$6:$CY$73,CONCATENATE($C12,CI$3),Report_BM!$CR$6:$CR$73)</f>
        <v>0</v>
      </c>
      <c r="CE12" s="39">
        <f>SUMIF(Report_BM!$CY$6:$CY$73,CONCATENATE($C12,CI$3),Report_BM!$CS$6:$CS$73)</f>
        <v>48837600</v>
      </c>
      <c r="CF12" s="39">
        <f ca="1">SUMIF(Report_BM!$CY$6:$CY$73,CONCATENATE($C12,CI$3),Report_BM!$CT$6:$CT$73)</f>
        <v>0</v>
      </c>
      <c r="CG12" s="46">
        <f>SUMIF(Report_BM!$CY$6:$CY$73,CONCATENATE($C12,CI$3),Report_BM!$CU$6:$CU$73)</f>
        <v>-904400</v>
      </c>
      <c r="CH12" s="45">
        <f>SUMIF(Report_BM!$CY$6:$CY$73,CONCATENATE($C12,CI$3),Report_BM!$CV$6:$CV$73)</f>
        <v>0</v>
      </c>
      <c r="CI12" s="39" t="e">
        <f ca="1">SUMIF(Report_BM!$CY$6:$CY$73,CONCATENATE($C12,CI$3),Report_BM!$CW$6:$CW$73)</f>
        <v>#VALUE!</v>
      </c>
      <c r="CJ12" s="103"/>
      <c r="CK12" s="104"/>
      <c r="CL12" s="104"/>
      <c r="CM12" s="104"/>
      <c r="CN12" s="104"/>
      <c r="CO12" s="104"/>
      <c r="CP12" s="45">
        <f>SUMIF(Report_BM!$DP$6:$DP$73,CONCATENATE($C12,CX$3),Report_BM!$DB$6:$DB$73)+SUMIF(Report_BM!$DP$6:$DP$73,CONCATENATE($C12,CX$3),Report_BM!$DE$6:$DE$73)</f>
        <v>0</v>
      </c>
      <c r="CQ12" s="46" t="e">
        <f ca="1">SUMIF(Report_BM!$DP$6:$DP$73,CONCATENATE($C12,$CX$3),Report_BM!$DC$6:$DC$73)+SUMIF(Report_BM!$DP$6:$DP$73,CONCATENATE($C12,$CX$3),Report_BM!$DF$6:$DF$73)</f>
        <v>#VALUE!</v>
      </c>
      <c r="CR12" s="45">
        <f>SUMIF(Report_BM!$DP$6:$DP$73,CONCATENATE($C12,CX$3),Report_BM!$DH$6:$DH$73)</f>
        <v>0</v>
      </c>
      <c r="CS12" s="39">
        <f>SUMIF(Report_BM!$DP$6:$DP$73,CONCATENATE($C12,CX$3),Report_BM!$DI$6:$DI$73)</f>
        <v>0</v>
      </c>
      <c r="CT12" s="39">
        <f>SUMIF(Report_BM!$DP$6:$DP$73,CONCATENATE($C12,CX$3),Report_BM!$DJ$6:$DJ$73)</f>
        <v>48837600</v>
      </c>
      <c r="CU12" s="39">
        <f>SUMIF(Report_BM!$DP$6:$DP$73,CONCATENATE($C12,CX$3),Report_BM!$DK$6:$DK$73)</f>
        <v>0</v>
      </c>
      <c r="CV12" s="46">
        <f>SUMIF(Master_Data!$AK$152:$AK$864,CONCATENATE($C12,CX$3),Master_Data!$T$152:$T$864)</f>
        <v>-904400</v>
      </c>
      <c r="CW12" s="45">
        <f>SUMIF(Report_BM!$DP$6:$DP$73,CONCATENATE($C12,CX$3),Report_BM!$DM$6:$DM$73)</f>
        <v>0</v>
      </c>
      <c r="CX12" s="39" t="e">
        <f ca="1">SUMIF(Report_BM!$DP$6:$DP$73,CONCATENATE($C12,CX$3),Report_BM!$DN$6:$DN$73)</f>
        <v>#VALUE!</v>
      </c>
      <c r="CY12" s="103"/>
      <c r="CZ12" s="104"/>
      <c r="DA12" s="104"/>
      <c r="DB12" s="104"/>
      <c r="DC12" s="104"/>
      <c r="DD12" s="104"/>
      <c r="DE12" s="45">
        <f>SUMIF(Report_BM!$EG$6:$EG$73,CONCATENATE($C12,DM$3),Report_BM!$DS$6:$DS$73)+SUMIF(Report_BM!$EG$6:$EG$73,CONCATENATE($C12,DM$3),Report_BM!$DV$6:$DV$73)</f>
        <v>0</v>
      </c>
      <c r="DF12" s="46" t="e">
        <f ca="1">SUMIF(Report_BM!$EG$6:$EG$73,CONCATENATE($C12,$DM$3),Report_BM!$DT$6:$DT$73)+SUMIF(Report_BM!$EG$6:$EG$73,CONCATENATE($C12,$DM$3),Report_BM!$DW$6:$DW$73)</f>
        <v>#VALUE!</v>
      </c>
      <c r="DG12" s="45">
        <f>SUMIF(Report_BM!$EG$6:$EG$73,CONCATENATE($C12,DM$3),Report_BM!$DY$6:$DY$73)</f>
        <v>0</v>
      </c>
      <c r="DH12" s="39">
        <f>SUMIF(Report_BM!EG$6:EG$73,CONCATENATE($C12,DM$3),Report_BM!DZ$6:DZ$73)</f>
        <v>0</v>
      </c>
      <c r="DI12" s="39">
        <f>SUMIF(Report_BM!EG$6:EG$73,CONCATENATE($C12,DM$3),Report_BM!$EA$6:$EA$73)</f>
        <v>0</v>
      </c>
      <c r="DJ12" s="39">
        <f>SUMIF(Report_BM!EG$6:EG$73,CONCATENATE($C12,DM$3),Report_BM!$EB$6:$EB$73)</f>
        <v>0</v>
      </c>
      <c r="DK12" s="46">
        <f>SUMIF(Master_Data!$AK$152:$AK$864,CONCATENATE($C12,DM$3),Master_Data!$T$152:$T$864)</f>
        <v>0</v>
      </c>
      <c r="DL12" s="45">
        <f>SUMIF(Report_BM!EG$6:EG$73,CONCATENATE($C12,DM$3),Report_BM!ED$6:ED$73)</f>
        <v>0</v>
      </c>
      <c r="DM12" s="39" t="e">
        <f ca="1">SUMIF(Report_BM!EG$6:EG$73,CONCATENATE($C12,DM$3),Report_BM!EE$6:EE$73)</f>
        <v>#VALUE!</v>
      </c>
      <c r="DN12" s="103"/>
      <c r="DO12" s="104"/>
      <c r="DP12" s="104"/>
      <c r="DQ12" s="104"/>
      <c r="DR12" s="104"/>
      <c r="DS12" s="104"/>
      <c r="DT12" s="45">
        <f>SUMIF(Report_BM!$EX$6:$EX$73,CONCATENATE($C12,EB$3),Report_BM!$EJ$6:$EJ$73)+SUMIF(Report_BM!$EX$6:$EX$73,CONCATENATE($C12,EB$3),Report_BM!$EM$6:$EM$73)</f>
        <v>0</v>
      </c>
      <c r="DU12" s="46" t="e">
        <f ca="1">SUMIF(Report_BM!$EX$6:$EX$73,CONCATENATE($C12,$EB$3),Report_BM!$EK$6:$EK$73)+SUMIF(Report_BM!$EX$6:$EX$73,CONCATENATE($C12,$EB$3),Report_BM!$EN$6:$EN$73)</f>
        <v>#VALUE!</v>
      </c>
      <c r="DV12" s="45">
        <f>SUMIF(Report_BM!$EX$6:$EX$73,CONCATENATE($C12,EB$3),Report_BM!$EP$6:$EP$73)</f>
        <v>0</v>
      </c>
      <c r="DW12" s="39">
        <f>SUMIF(Report_BM!$EX$6:$EX$73,CONCATENATE($C12,EB$3),Report_BM!$EQ$6:$EQ$73)</f>
        <v>0</v>
      </c>
      <c r="DX12" s="39">
        <f>SUMIF(Report_BM!$EX$6:$EX$73,CONCATENATE($C12,EB$3),Report_BM!$ER$6:$ER$73)</f>
        <v>0</v>
      </c>
      <c r="DY12" s="39">
        <f>SUMIF(Report_BM!$EX$6:$EX$73,CONCATENATE($C12,EB$3),Report_BM!$ES$6:$ES$73)</f>
        <v>0</v>
      </c>
      <c r="DZ12" s="46">
        <f>SUMIF(Master_Data!$AK$152:$AK$864,CONCATENATE($C12,EB$3),Master_Data!$T$152:$T$864)</f>
        <v>0</v>
      </c>
      <c r="EA12" s="45">
        <f>SUMIF(Report_BM!EX$6:EX$73,CONCATENATE($C12,EB$3),Report_BM!EU$6:EU$73)</f>
        <v>0</v>
      </c>
      <c r="EB12" s="39">
        <f>SUMIF(Report_BM!EX$6:EX$73,CONCATENATE($C12,EB$3),Report_BM!EV$6:EV$73)</f>
        <v>0</v>
      </c>
      <c r="EC12" s="103"/>
      <c r="ED12" s="104"/>
      <c r="EE12" s="104"/>
      <c r="EF12" s="104"/>
      <c r="EG12" s="104"/>
      <c r="EH12" s="104"/>
      <c r="EI12" s="45">
        <f>SUMIF(Report_BM!$FO$6:$FO$73,CONCATENATE($C12,EQ$3),Report_BM!$FA$6:$FA$73)+SUMIF(Report_BM!$FO$6:$FO$73,CONCATENATE($C12,EQ$3),Report_BM!$FD$6:$FD$73)</f>
        <v>0</v>
      </c>
      <c r="EJ12" s="46">
        <f>SUMIF(Report_BM!$FO$6:$FO$73,CONCATENATE($C12,$EQ$3),Report_BM!$FB$6:$FB$73)+SUMIF(Report_BM!$FO$6:$FO$73,CONCATENATE($C12,$EQ$3),Report_BM!$FE$6:$FE$73)</f>
        <v>0</v>
      </c>
      <c r="EK12" s="45">
        <f>SUMIF(Report_BM!$FO$6:$FO$73,CONCATENATE($C12,EQ$3),Report_BM!$FG$6:$FG$73)</f>
        <v>0</v>
      </c>
      <c r="EL12" s="39">
        <f>SUMIF(Report_BM!$FO$6:$FO$73,CONCATENATE($C12,EQ$3),Report_BM!$FH$6:$FH$73)</f>
        <v>0</v>
      </c>
      <c r="EM12" s="39">
        <f>SUMIF(Report_BM!$FO$6:$FO$73,CONCATENATE($C12,EQ$3),Report_BM!$FI$6:$FI$73)</f>
        <v>0</v>
      </c>
      <c r="EN12" s="39">
        <f>SUMIF(Report_BM!$FO$6:$FO$73,CONCATENATE($C12,EQ$3),Report_BM!$FJ$6:$FJ$73)</f>
        <v>0</v>
      </c>
      <c r="EO12" s="46">
        <f>SUMIF(Master_Data!$AK$152:$AK$864,CONCATENATE($C12,EQ$3),Master_Data!$T$152:$T$864)</f>
        <v>0</v>
      </c>
      <c r="EP12" s="45">
        <f>SUMIF(Report_BM!FO$6:FO$73,CONCATENATE($C12,EQ$3),Report_BM!FL$6:FL$73)</f>
        <v>0</v>
      </c>
      <c r="EQ12" s="39">
        <f>SUMIF(Report_BM!FO$6:FO$73,CONCATENATE($C12,EQ$3),Report_BM!FM$6:FM$73)</f>
        <v>0</v>
      </c>
      <c r="ER12" s="103"/>
      <c r="ES12" s="104"/>
      <c r="ET12" s="104"/>
      <c r="EU12" s="104"/>
      <c r="EV12" s="104"/>
      <c r="EW12" s="104"/>
      <c r="EX12" s="45">
        <f>SUMIF(Report_BM!$GF$6:$GF$73,CONCATENATE($C12,FF$3),Report_BM!$FR$6:$FR$73)+SUMIF(Report_BM!$GF$6:$GF$73,CONCATENATE($C12,FF$3),Report_BM!$FU$6:$FU$73)</f>
        <v>0</v>
      </c>
      <c r="EY12" s="46">
        <f>SUMIF(Report_BM!$GF$6:$GF$73,CONCATENATE($C12,$FF$3),Report_BM!$FS$6:$FS$73)+SUMIF(Report_BM!$GF$6:$GF$73,CONCATENATE($C12,$FF$3),Report_BM!$FV$6:$FV$73)</f>
        <v>0</v>
      </c>
      <c r="EZ12" s="45">
        <f>SUMIF(Report_BM!$GF$6:$GF$73,CONCATENATE($C12,FF$3),Report_BM!$FX$6:$FX$73)</f>
        <v>0</v>
      </c>
      <c r="FA12" s="39">
        <f>SUMIF(Report_BM!$GF$6:$GF$73,CONCATENATE($C12,FF$3),Report_BM!$FY$6:$FY$73)</f>
        <v>0</v>
      </c>
      <c r="FB12" s="39">
        <f>SUMIF(Report_BM!$GF$6:$GF$73,CONCATENATE($C12,FF$3),Report_BM!$FZ$6:$FZ$73)</f>
        <v>0</v>
      </c>
      <c r="FC12" s="39">
        <f>SUMIF(Report_BM!$GF$6:$GF$73,CONCATENATE($C12,FF$3),Report_BM!$GA$6:$GA$73)</f>
        <v>0</v>
      </c>
      <c r="FD12" s="46">
        <f>SUMIF(Master_Data!$AK$152:$AK$864,CONCATENATE($C12,FF$3),Master_Data!$T$152:$T$864)</f>
        <v>0</v>
      </c>
      <c r="FE12" s="45">
        <f>SUMIF(Report_BM!GF$6:GF$73,CONCATENATE($C12,FF$3),Report_BM!GC$6:GC$73)</f>
        <v>0</v>
      </c>
      <c r="FF12" s="39">
        <f>SUMIF(Report_BM!GF$6:GF$73,CONCATENATE($C12,FF$3),Report_BM!GD$6:GD$73)</f>
        <v>0</v>
      </c>
      <c r="FG12" s="103"/>
      <c r="FH12" s="104"/>
      <c r="FI12" s="104"/>
      <c r="FJ12" s="104"/>
      <c r="FK12" s="104"/>
      <c r="FL12" s="104"/>
      <c r="FM12" s="45">
        <f>SUMIF(Report_BM!$GW$6:$GW$73,CONCATENATE($C12,FU$3),Report_BM!$GI$6:$GI$73)+SUMIF(Report_BM!$GW$6:$GW$73,CONCATENATE($C12,FU$3),Report_BM!$GL$6:$GL$73)</f>
        <v>0</v>
      </c>
      <c r="FN12" s="46">
        <f>SUMIF(Report_BM!$GW$6:$GW$73,CONCATENATE($C12,$FU$3),Report_BM!$GJ$6:$GJ$73)+SUMIF(Report_BM!$GW$6:$GW$73,CONCATENATE($C12,$FU$3),Report_BM!$GM$6:$GM$73)</f>
        <v>0</v>
      </c>
      <c r="FO12" s="45">
        <f>SUMIF(Report_BM!$GW$6:$GW$73,CONCATENATE($C12,FU$3),Report_BM!$GO$6:$GO$73)</f>
        <v>0</v>
      </c>
      <c r="FP12" s="39">
        <f>SUMIF(Report_BM!$GW$6:$GW$73,CONCATENATE($C12,FU$3),Report_BM!$GP$6:$GP$73)</f>
        <v>0</v>
      </c>
      <c r="FQ12" s="39">
        <f>SUMIF(Report_BM!$GW$6:$GW$73,CONCATENATE($C12,FU$3),Report_BM!$GQ$6:$GQ$73)</f>
        <v>0</v>
      </c>
      <c r="FR12" s="39">
        <f>SUMIF(Report_BM!$GW$6:$GW$73,CONCATENATE($C12,FU$3),Report_BM!$GR$6:$GR$73)</f>
        <v>0</v>
      </c>
      <c r="FS12" s="46">
        <f>SUMIF(Master_Data!$AK$152:$AK$864,CONCATENATE($C12,FU$3),Master_Data!$T$152:$T$864)</f>
        <v>0</v>
      </c>
      <c r="FT12" s="45">
        <f>SUMIF(Report_BM!GW$6:GW$73,CONCATENATE($C12,FU$3),Report_BM!GT$6:GT$73)</f>
        <v>0</v>
      </c>
      <c r="FU12" s="39">
        <f>SUMIF(Report_BM!GW$6:GW$73,CONCATENATE($C12,FU$3),Report_BM!GU$6:GU$73)</f>
        <v>0</v>
      </c>
      <c r="FV12" s="103"/>
      <c r="FW12" s="104"/>
      <c r="FX12" s="104"/>
      <c r="FY12" s="104"/>
      <c r="FZ12" s="104"/>
      <c r="GA12" s="104"/>
    </row>
    <row r="13" spans="1:183" s="40" customFormat="1" ht="14.1" customHeight="1">
      <c r="A13" s="9">
        <v>7</v>
      </c>
      <c r="B13" s="328" t="s">
        <v>2192</v>
      </c>
      <c r="C13" s="323" t="s">
        <v>2070</v>
      </c>
      <c r="D13" s="45">
        <f>SUMIF(Report_BM!$B$6:$B$73,CONCATENATE($C13,L$3),Report_BM!$E$6:$E$73)+SUMIF(Report_BM!$B$6:$B$73,CONCATENATE($C13,L$3),Report_BM!$H$6:$H$73)</f>
        <v>0</v>
      </c>
      <c r="E13" s="276">
        <f>SUMIF(Report_BM!$B$6:$B$73,CONCATENATE($C13,L$3),Report_BM!$F$6:$F$73)+SUMIF(Report_BM!$B$6:$B$73,CONCATENATE($C13,L$3),Report_BM!$I$6:$I$73)</f>
        <v>0</v>
      </c>
      <c r="F13" s="45">
        <f>SUMIF(Report_BM!$B$6:$B$73,CONCATENATE($C13,L$3),Report_BM!$K$6:$K$73)</f>
        <v>0</v>
      </c>
      <c r="G13" s="39">
        <f>SUMIF(Report_BM!$B$6:$B$73,CONCATENATE($C13,$L$3),Report_BM!$L$6:$L$73)</f>
        <v>0</v>
      </c>
      <c r="H13" s="39">
        <f>SUMIF(Report_BM!$B$6:$B$73,CONCATENATE($C13,$L$3),Report_BM!$M$6:$M$73)</f>
        <v>0</v>
      </c>
      <c r="I13" s="39">
        <f>SUMIF(Report_BM!$B$6:$B$73,CONCATENATE($C13,$L$3),Report_BM!$N$6:$N$73)</f>
        <v>0</v>
      </c>
      <c r="J13" s="46">
        <f>SUMIF(Report_BM!$B$6:$B$73,CONCATENATE($C13,$L$3),Report_BM!$O$6:$O$73)</f>
        <v>0</v>
      </c>
      <c r="K13" s="45">
        <f>SUMIF(Report_BM!$B$6:$B$73,CONCATENATE($C13,$L$3),Report_BM!$P$6:$P$73)</f>
        <v>0</v>
      </c>
      <c r="L13" s="39">
        <f>SUMIF(Report_BM!$B$6:$B$73,CONCATENATE($C13,$L$3),Report_BM!$Q$6:$Q$73)</f>
        <v>0</v>
      </c>
      <c r="M13" s="103"/>
      <c r="N13" s="104"/>
      <c r="O13" s="104"/>
      <c r="P13" s="104"/>
      <c r="Q13" s="104"/>
      <c r="R13" s="104"/>
      <c r="S13" s="45">
        <f>SUMIF(Report_BM!$AI$8:$AI$72,CONCATENATE($C13,AA$3),Report_BM!$U$8:$U$72)+SUMIF(Report_BM!$AI$8:$AI$72,CONCATENATE($C13,AA$3),Report_BM!$X$8:$X$72)</f>
        <v>0</v>
      </c>
      <c r="T13" s="276" t="e">
        <f>SUMIF(Report_BM!$AI$8:$AI$72,CONCATENATE($C13,AA$3),Report_BM!$V$8:$V$72)+SUMIF(Report_BM!$AI$8:$AI$72,CONCATENATE($C13,AA$3),Report_BM!$Y$8:$Y$72)</f>
        <v>#VALUE!</v>
      </c>
      <c r="U13" s="45">
        <f>SUMIF(Report_BM!$AI$8:$AI$72,CONCATENATE($C13,AA$3),Report_BM!$AA$8:$AB$72)</f>
        <v>0</v>
      </c>
      <c r="V13" s="39">
        <f>SUMIF(Report_BM!$AI$8:$AI$72,CONCATENATE($C13,$AA$3),Report_BM!$AB$8:$AB$72)</f>
        <v>0</v>
      </c>
      <c r="W13" s="39">
        <f>SUMIF(Report_BM!$AI$8:$AI$72,CONCATENATE($C13,$AA$3),Report_BM!$AC$8:$AC$72)</f>
        <v>0</v>
      </c>
      <c r="X13" s="39">
        <f ca="1">SUMIF(Report_BM!$AI$7:$AI$73,CONCATENATE($C13,$AA$3),Report_BM!$AD$7:$AD$73)</f>
        <v>0</v>
      </c>
      <c r="Y13" s="46">
        <f>SUMIF(Master_Data!$AK$152:$AK$864,CONCATENATE($C13,AA$3),Master_Data!$T$152:$T$864)</f>
        <v>0</v>
      </c>
      <c r="Z13" s="45">
        <f>SUMIF(Report_BM!$AI$8:$AI$72,CONCATENATE($C13,$AA$3),Report_BM!$AF$8:$AF$72)</f>
        <v>0</v>
      </c>
      <c r="AA13" s="39" t="e">
        <f ca="1">SUMIF(Report_BM!$AI$8:$AI$72,CONCATENATE($C13,$AA$3),Report_BM!$AG$8:$AG$72)</f>
        <v>#VALUE!</v>
      </c>
      <c r="AB13" s="103"/>
      <c r="AC13" s="104"/>
      <c r="AD13" s="104"/>
      <c r="AE13" s="104"/>
      <c r="AF13" s="104"/>
      <c r="AG13" s="104"/>
      <c r="AH13" s="45">
        <f>SUMIF(Report_BM!$AZ$5:$AZ$72,CONCATENATE($C13,AP$3),Report_BM!$AL$5:$AL$72)+SUMIF(Report_BM!$AZ$5:$AZ$72,CONCATENATE($C13,AP$3),Report_BM!$AO$5:$AO$72)</f>
        <v>0</v>
      </c>
      <c r="AI13" s="46" t="e">
        <f ca="1">SUMIF(Report_BM!$AZ$5:$AZ$72,CONCATENATE($C13,$AP$3),Report_BM!$AM$5:$AM$72)+SUMIF(Report_BM!$AZ$5:$AZ$72,CONCATENATE($C13,$AP$3),Report_BM!$AP$5:$AP$72)</f>
        <v>#VALUE!</v>
      </c>
      <c r="AJ13" s="45">
        <f>SUMIF(Report_BM!$AZ$5:$AZ$72,CONCATENATE($C13,$AP$3),Report_BM!$AR$5:$AR$72)</f>
        <v>0</v>
      </c>
      <c r="AK13" s="39">
        <f>SUMIF(Report_BM!$AZ$5:$AZ$72,CONCATENATE($C13,$AP$3),Report_BM!$AS$5:$AS$72)</f>
        <v>0</v>
      </c>
      <c r="AL13" s="39">
        <f>SUMIF(Report_BM!$AZ$5:$AZ$72,CONCATENATE($C13,$AP$3),Report_BM!$AT$5:$AT$72)</f>
        <v>2854087</v>
      </c>
      <c r="AM13" s="39">
        <f ca="1">SUMIF(Report_BM!$AZ$5:$AZ$72,CONCATENATE($C13,$AP$3),Report_BM!$AU$5:$AU$72)</f>
        <v>0</v>
      </c>
      <c r="AN13" s="46">
        <f>SUMIF(Master_Data!$AK$152:$AK$915,CONCATENATE($C13,AP$3),Master_Data!$T$152:$T$915)</f>
        <v>0</v>
      </c>
      <c r="AO13" s="45">
        <f>SUMIF(Report_BM!$AZ$5:$AZ$72,CONCATENATE($C13,$AP$3),Report_BM!$AW$5:$AW$72)</f>
        <v>0</v>
      </c>
      <c r="AP13" s="39" t="e">
        <f ca="1">SUMIF(Report_BM!$AZ$5:$AZ$72,CONCATENATE($C13,$AP$3),Report_BM!$AX$5:$AX$72)</f>
        <v>#VALUE!</v>
      </c>
      <c r="AQ13" s="103"/>
      <c r="AR13" s="104"/>
      <c r="AS13" s="104"/>
      <c r="AT13" s="104"/>
      <c r="AU13" s="104"/>
      <c r="AV13" s="104"/>
      <c r="AW13" s="45">
        <f>SUMIF(Report_BM!$BQ$6:$BQ$73,CONCATENATE($C13,BE$3),Report_BM!$BC$6:$BC$73)+SUMIF(Report_BM!$BQ$6:$BQ$73,CONCATENATE($C13,BE$3),Report_BM!$BF$6:$BF$73)</f>
        <v>0</v>
      </c>
      <c r="AX13" s="46" t="e">
        <f ca="1">SUMIF(Report_BM!$BQ$6:$BQ$73,CONCATENATE($C13,$BE$3),Report_BM!$BD$6:$BD$73)+SUMIF(Report_BM!$BQ$6:$BQ$73,CONCATENATE($C13,$BE$3),Report_BM!$BG$6:$BG$73)</f>
        <v>#VALUE!</v>
      </c>
      <c r="AY13" s="45">
        <f>SUMIF(Report_BM!$BQ$6:$BQ$73,CONCATENATE($C13,BE$3),Report_BM!$BI$6:$BI$73)</f>
        <v>0</v>
      </c>
      <c r="AZ13" s="39">
        <f>SUMIF(Report_BM!$BQ$6:$BQ$73,CONCATENATE($C13,BE$3),Report_BM!$BJ$6:$BJ$73)</f>
        <v>0</v>
      </c>
      <c r="BA13" s="39">
        <f>SUMIF(Report_BM!$BQ$6:$BQ$73,CONCATENATE($C13,BE$3),Report_BM!$BK$6:$BK$73)</f>
        <v>0</v>
      </c>
      <c r="BB13" s="39">
        <f>SUMIF(Report_BM!$BQ$6:$BQ$73,CONCATENATE($C13,BE$3),Report_BM!$BL$6:$BL$73)</f>
        <v>0</v>
      </c>
      <c r="BC13" s="46">
        <f>SUMIF(Master_Data!$AK$152:$AK$864,CONCATENATE($C13,BE$3),Master_Data!$T$152:$T$864)</f>
        <v>0</v>
      </c>
      <c r="BD13" s="45">
        <f>SUMIF(Report_BM!$BQ$6:$BQ$73,CONCATENATE($C13,BE$3),Report_BM!$BN$6:$BN$73)</f>
        <v>0</v>
      </c>
      <c r="BE13" s="39" t="e">
        <f ca="1">SUMIF(Report_BM!$BQ$6:$BQ$73,CONCATENATE($C13,BE$3),Report_BM!$BO$6:$BO$73)</f>
        <v>#VALUE!</v>
      </c>
      <c r="BF13" s="103"/>
      <c r="BG13" s="104"/>
      <c r="BH13" s="104"/>
      <c r="BI13" s="104"/>
      <c r="BJ13" s="104"/>
      <c r="BK13" s="104"/>
      <c r="BL13" s="45">
        <f>SUMIF(Report_BM!$CH$6:$CH$73,CONCATENATE($C13,BT$3),Report_BM!$BT$6:$BT$73)+SUMIF(Report_BM!$CH$6:$CH$73,CONCATENATE($C13,BT$3),Report_BM!$BW$6:$BW$73)</f>
        <v>0</v>
      </c>
      <c r="BM13" s="46" t="e">
        <f ca="1">SUMIF(Report_BM!$CH$6:$CH$73,CONCATENATE($C13,$BT$3),Report_BM!$BU$6:$BU$73)+SUMIF(Report_BM!$CH$6:$CH$73,CONCATENATE($C13,$BT$3),Report_BM!$BX$6:$BX$73)</f>
        <v>#VALUE!</v>
      </c>
      <c r="BN13" s="45">
        <f>SUMIF(Report_BM!$CH$6:$CH$73,CONCATENATE($C13,BT$3),Report_BM!$BZ$6:$BZ$73)</f>
        <v>0</v>
      </c>
      <c r="BO13" s="39">
        <f>SUMIF(Report_BM!$CH$6:$CH$73,CONCATENATE($C13,BT$3),Report_BM!$CA$6:$CA$73)</f>
        <v>0</v>
      </c>
      <c r="BP13" s="39">
        <f>SUMIF(Report_BM!$CH$6:$CH$73,CONCATENATE($C13,BT$3),Report_BM!$CB$6:$CB$73)</f>
        <v>2854087</v>
      </c>
      <c r="BQ13" s="39">
        <f>SUMIF(Report_BM!$CH$6:$CH$73,CONCATENATE($C13,BT$3),Report_BM!$CC$6:$CC$73)</f>
        <v>0</v>
      </c>
      <c r="BR13" s="46">
        <f>SUMIF(Master_Data!$AK$152:$AK$864,CONCATENATE($C13,BT$3),Master_Data!$T$152:$T$864)</f>
        <v>0</v>
      </c>
      <c r="BS13" s="45">
        <f>SUMIF(Report_BM!$CH$6:$CH$73,CONCATENATE($C13,BT$3),Report_BM!$CE$6:$CE$73)</f>
        <v>0</v>
      </c>
      <c r="BT13" s="39" t="e">
        <f ca="1">SUMIF(Report_BM!$CH$6:$CH$73,CONCATENATE($C13,BT$3),Report_BM!$CF$6:$CF$73)</f>
        <v>#VALUE!</v>
      </c>
      <c r="BU13" s="103"/>
      <c r="BV13" s="104"/>
      <c r="BW13" s="104"/>
      <c r="BX13" s="104"/>
      <c r="BY13" s="104"/>
      <c r="BZ13" s="104"/>
      <c r="CA13" s="45">
        <f>SUMIF(Report_BM!$CY$6:$CY$73,CONCATENATE($C13,CI$3),Report_BM!$CK$6:$CK$73)+SUMIF(Report_BM!$CY$6:$CY$73,CONCATENATE($C13,CI$3),Report_BM!$CN$6:$CN$73)</f>
        <v>0</v>
      </c>
      <c r="CB13" s="46" t="e">
        <f ca="1">SUMIF(Report_BM!$CY$6:$CY$73,CONCATENATE($C13,$CI$3),Report_BM!$CL$6:$CL$73)+SUMIF(Report_BM!$CY$6:$CY$73,CONCATENATE($C13,$CI$3),Report_BM!$CO$6:$CO$73)</f>
        <v>#VALUE!</v>
      </c>
      <c r="CC13" s="45">
        <f>SUMIF(Report_BM!$CY$6:$CY$73,CONCATENATE($C13,CI$3),Report_BM!$CQ$6:$CQ$73)</f>
        <v>0</v>
      </c>
      <c r="CD13" s="39">
        <f>SUMIF(Report_BM!$CY$6:$CY$73,CONCATENATE($C13,CI$3),Report_BM!$CR$6:$CR$73)</f>
        <v>0</v>
      </c>
      <c r="CE13" s="39">
        <f>SUMIF(Report_BM!$CY$6:$CY$73,CONCATENATE($C13,CI$3),Report_BM!$CS$6:$CS$73)</f>
        <v>0</v>
      </c>
      <c r="CF13" s="39">
        <f ca="1">SUMIF(Report_BM!$CY$6:$CY$73,CONCATENATE($C13,CI$3),Report_BM!$CT$6:$CT$73)</f>
        <v>0</v>
      </c>
      <c r="CG13" s="46">
        <f>SUMIF(Report_BM!$CY$6:$CY$73,CONCATENATE($C13,CI$3),Report_BM!$CU$6:$CU$73)</f>
        <v>0</v>
      </c>
      <c r="CH13" s="45">
        <f>SUMIF(Report_BM!$CY$6:$CY$73,CONCATENATE($C13,CI$3),Report_BM!$CV$6:$CV$73)</f>
        <v>0</v>
      </c>
      <c r="CI13" s="39" t="e">
        <f ca="1">SUMIF(Report_BM!$CY$6:$CY$73,CONCATENATE($C13,CI$3),Report_BM!$CW$6:$CW$73)</f>
        <v>#VALUE!</v>
      </c>
      <c r="CJ13" s="103"/>
      <c r="CK13" s="104"/>
      <c r="CL13" s="104"/>
      <c r="CM13" s="104"/>
      <c r="CN13" s="104"/>
      <c r="CO13" s="104"/>
      <c r="CP13" s="45">
        <f>SUMIF(Report_BM!$DP$6:$DP$73,CONCATENATE($C13,CX$3),Report_BM!$DB$6:$DB$73)+SUMIF(Report_BM!$DP$6:$DP$73,CONCATENATE($C13,CX$3),Report_BM!$DE$6:$DE$73)</f>
        <v>0</v>
      </c>
      <c r="CQ13" s="46" t="e">
        <f ca="1">SUMIF(Report_BM!$DP$6:$DP$73,CONCATENATE($C13,$CX$3),Report_BM!$DC$6:$DC$73)+SUMIF(Report_BM!$DP$6:$DP$73,CONCATENATE($C13,$CX$3),Report_BM!$DF$6:$DF$73)</f>
        <v>#VALUE!</v>
      </c>
      <c r="CR13" s="45">
        <f>SUMIF(Report_BM!$DP$6:$DP$73,CONCATENATE($C13,CX$3),Report_BM!$DH$6:$DH$73)</f>
        <v>0</v>
      </c>
      <c r="CS13" s="39">
        <f>SUMIF(Report_BM!$DP$6:$DP$73,CONCATENATE($C13,CX$3),Report_BM!$DI$6:$DI$73)</f>
        <v>0</v>
      </c>
      <c r="CT13" s="39">
        <f>SUMIF(Report_BM!$DP$6:$DP$73,CONCATENATE($C13,CX$3),Report_BM!$DJ$6:$DJ$73)</f>
        <v>0</v>
      </c>
      <c r="CU13" s="39">
        <f>SUMIF(Report_BM!$DP$6:$DP$73,CONCATENATE($C13,CX$3),Report_BM!$DK$6:$DK$73)</f>
        <v>0</v>
      </c>
      <c r="CV13" s="46">
        <f>SUMIF(Master_Data!$AK$152:$AK$864,CONCATENATE($C13,CX$3),Master_Data!$T$152:$T$864)</f>
        <v>0</v>
      </c>
      <c r="CW13" s="45">
        <f>SUMIF(Report_BM!$DP$6:$DP$73,CONCATENATE($C13,CX$3),Report_BM!$DM$6:$DM$73)</f>
        <v>0</v>
      </c>
      <c r="CX13" s="39" t="e">
        <f ca="1">SUMIF(Report_BM!$DP$6:$DP$73,CONCATENATE($C13,CX$3),Report_BM!$DN$6:$DN$73)</f>
        <v>#VALUE!</v>
      </c>
      <c r="CY13" s="103"/>
      <c r="CZ13" s="104"/>
      <c r="DA13" s="104"/>
      <c r="DB13" s="104"/>
      <c r="DC13" s="104"/>
      <c r="DD13" s="104"/>
      <c r="DE13" s="45"/>
      <c r="DF13" s="46"/>
      <c r="DG13" s="45"/>
      <c r="DH13" s="39"/>
      <c r="DI13" s="39"/>
      <c r="DJ13" s="39"/>
      <c r="DK13" s="46"/>
      <c r="DL13" s="45"/>
      <c r="DM13" s="39"/>
      <c r="DN13" s="103"/>
      <c r="DO13" s="104"/>
      <c r="DP13" s="104"/>
      <c r="DQ13" s="104"/>
      <c r="DR13" s="104"/>
      <c r="DS13" s="104"/>
      <c r="DT13" s="45"/>
      <c r="DU13" s="46"/>
      <c r="DV13" s="45"/>
      <c r="DW13" s="39"/>
      <c r="DX13" s="39"/>
      <c r="DY13" s="39"/>
      <c r="DZ13" s="46"/>
      <c r="EA13" s="45"/>
      <c r="EB13" s="39"/>
      <c r="EC13" s="103"/>
      <c r="ED13" s="104"/>
      <c r="EE13" s="104"/>
      <c r="EF13" s="104"/>
      <c r="EG13" s="104"/>
      <c r="EH13" s="104"/>
      <c r="EI13" s="45"/>
      <c r="EJ13" s="46"/>
      <c r="EK13" s="45"/>
      <c r="EL13" s="39"/>
      <c r="EM13" s="39"/>
      <c r="EN13" s="39"/>
      <c r="EO13" s="46"/>
      <c r="EP13" s="45"/>
      <c r="EQ13" s="39"/>
      <c r="ER13" s="103"/>
      <c r="ES13" s="104"/>
      <c r="ET13" s="104"/>
      <c r="EU13" s="104"/>
      <c r="EV13" s="104"/>
      <c r="EW13" s="104"/>
      <c r="EX13" s="45"/>
      <c r="EY13" s="46"/>
      <c r="EZ13" s="45"/>
      <c r="FA13" s="39"/>
      <c r="FB13" s="39"/>
      <c r="FC13" s="39"/>
      <c r="FD13" s="46"/>
      <c r="FE13" s="45"/>
      <c r="FF13" s="39"/>
      <c r="FG13" s="103"/>
      <c r="FH13" s="104"/>
      <c r="FI13" s="104"/>
      <c r="FJ13" s="104"/>
      <c r="FK13" s="104"/>
      <c r="FL13" s="104"/>
      <c r="FM13" s="45"/>
      <c r="FN13" s="46"/>
      <c r="FO13" s="45"/>
      <c r="FP13" s="39"/>
      <c r="FQ13" s="39"/>
      <c r="FR13" s="39"/>
      <c r="FS13" s="46"/>
      <c r="FT13" s="45"/>
      <c r="FU13" s="39"/>
      <c r="FV13" s="103"/>
      <c r="FW13" s="104"/>
      <c r="FX13" s="104"/>
      <c r="FY13" s="104"/>
      <c r="FZ13" s="104"/>
      <c r="GA13" s="104"/>
    </row>
    <row r="14" spans="1:183" s="40" customFormat="1" ht="14.1" customHeight="1">
      <c r="A14" s="9">
        <v>8</v>
      </c>
      <c r="B14" s="328" t="s">
        <v>25</v>
      </c>
      <c r="C14" s="323" t="s">
        <v>24</v>
      </c>
      <c r="D14" s="45">
        <f>SUMIF(Report_BM!$B$6:$B$73,CONCATENATE($C14,L$3),Report_BM!$E$6:$E$73)+SUMIF(Report_BM!$B$6:$B$73,CONCATENATE($C14,L$3),Report_BM!$H$6:$H$73)</f>
        <v>0</v>
      </c>
      <c r="E14" s="276" t="e">
        <f>SUMIF(Report_BM!$B$6:$B$73,CONCATENATE($C14,L$3),Report_BM!$F$6:$F$73)+SUMIF(Report_BM!$B$6:$B$73,CONCATENATE($C14,L$3),Report_BM!$I$6:$I$73)</f>
        <v>#VALUE!</v>
      </c>
      <c r="F14" s="45">
        <f>SUMIF(Report_BM!$B$6:$B$73,CONCATENATE($C14,L$3),Report_BM!$K$6:$K$73)</f>
        <v>0</v>
      </c>
      <c r="G14" s="39">
        <f>SUMIF(Report_BM!$B$6:$B$73,CONCATENATE($C14,$L$3),Report_BM!$L$6:$L$73)</f>
        <v>0</v>
      </c>
      <c r="H14" s="39">
        <f>SUMIF(Report_BM!$B$6:$B$73,CONCATENATE($C14,$L$3),Report_BM!$M$6:$M$73)</f>
        <v>4320000</v>
      </c>
      <c r="I14" s="39">
        <f>SUMIF(Report_BM!$B$6:$B$73,CONCATENATE($C14,$L$3),Report_BM!$N$6:$N$73)</f>
        <v>0</v>
      </c>
      <c r="J14" s="46">
        <f>SUMIF(Report_BM!$B$6:$B$73,CONCATENATE($C14,$L$3),Report_BM!$O$6:$O$73)</f>
        <v>-80000</v>
      </c>
      <c r="K14" s="45">
        <f>SUMIF(Report_BM!$B$6:$B$73,CONCATENATE($C14,$L$3),Report_BM!$P$6:$P$73)</f>
        <v>0</v>
      </c>
      <c r="L14" s="39" t="e">
        <f>SUMIF(Report_BM!$B$6:$B$73,CONCATENATE($C14,$L$3),Report_BM!$Q$6:$Q$73)</f>
        <v>#VALUE!</v>
      </c>
      <c r="M14" s="103"/>
      <c r="N14" s="104"/>
      <c r="O14" s="104"/>
      <c r="P14" s="104"/>
      <c r="Q14" s="104"/>
      <c r="R14" s="104"/>
      <c r="S14" s="45">
        <f>SUMIF(Report_BM!$AI$8:$AI$72,CONCATENATE($C14,AA$3),Report_BM!$U$8:$U$72)+SUMIF(Report_BM!$AI$8:$AI$72,CONCATENATE($C14,AA$3),Report_BM!$X$8:$X$72)</f>
        <v>0</v>
      </c>
      <c r="T14" s="276" t="e">
        <f>SUMIF(Report_BM!$AI$8:$AI$72,CONCATENATE($C14,AA$3),Report_BM!$V$8:$V$72)+SUMIF(Report_BM!$AI$8:$AI$72,CONCATENATE($C14,AA$3),Report_BM!$Y$8:$Y$72)</f>
        <v>#VALUE!</v>
      </c>
      <c r="U14" s="45">
        <f>SUMIF(Report_BM!$AI$8:$AI$72,CONCATENATE($C14,AA$3),Report_BM!$AA$8:$AB$72)</f>
        <v>0</v>
      </c>
      <c r="V14" s="39">
        <f>SUMIF(Report_BM!$AI$8:$AI$72,CONCATENATE($C14,$AA$3),Report_BM!$AB$8:$AB$72)</f>
        <v>0</v>
      </c>
      <c r="W14" s="39">
        <f>SUMIF(Report_BM!$AI$8:$AI$72,CONCATENATE($C14,$AA$3),Report_BM!$AC$8:$AC$72)</f>
        <v>4320000</v>
      </c>
      <c r="X14" s="39">
        <f ca="1">SUMIF(Report_BM!$AI$7:$AI$73,CONCATENATE($C14,$AA$3),Report_BM!$AD$7:$AD$73)</f>
        <v>0</v>
      </c>
      <c r="Y14" s="46">
        <f>SUMIF(Master_Data!$AK$152:$AK$864,CONCATENATE($C14,AA$3),Master_Data!$T$152:$T$864)</f>
        <v>-80000</v>
      </c>
      <c r="Z14" s="45">
        <f>SUMIF(Report_BM!$AI$8:$AI$72,CONCATENATE($C14,$AA$3),Report_BM!$AF$8:$AF$72)</f>
        <v>0</v>
      </c>
      <c r="AA14" s="39" t="e">
        <f ca="1">SUMIF(Report_BM!$AI$8:$AI$72,CONCATENATE($C14,$AA$3),Report_BM!$AG$8:$AG$72)</f>
        <v>#VALUE!</v>
      </c>
      <c r="AB14" s="103"/>
      <c r="AC14" s="104"/>
      <c r="AD14" s="104"/>
      <c r="AE14" s="104"/>
      <c r="AF14" s="104"/>
      <c r="AG14" s="104"/>
      <c r="AH14" s="45">
        <f>SUMIF(Report_BM!$AZ$5:$AZ$72,CONCATENATE($C14,AP$3),Report_BM!$AL$5:$AL$72)+SUMIF(Report_BM!$AZ$5:$AZ$72,CONCATENATE($C14,AP$3),Report_BM!$AO$5:$AO$72)</f>
        <v>0</v>
      </c>
      <c r="AI14" s="46" t="e">
        <f ca="1">SUMIF(Report_BM!$AZ$5:$AZ$72,CONCATENATE($C14,$AP$3),Report_BM!$AM$5:$AM$72)+SUMIF(Report_BM!$AZ$5:$AZ$72,CONCATENATE($C14,$AP$3),Report_BM!$AP$5:$AP$72)</f>
        <v>#VALUE!</v>
      </c>
      <c r="AJ14" s="45">
        <f>SUMIF(Report_BM!$AZ$5:$AZ$72,CONCATENATE($C14,$AP$3),Report_BM!$AR$5:$AR$72)</f>
        <v>0</v>
      </c>
      <c r="AK14" s="39">
        <f>SUMIF(Report_BM!$AZ$5:$AZ$72,CONCATENATE($C14,$AP$3),Report_BM!$AS$5:$AS$72)</f>
        <v>0</v>
      </c>
      <c r="AL14" s="39">
        <f>SUMIF(Report_BM!$AZ$5:$AZ$72,CONCATENATE($C14,$AP$3),Report_BM!$AT$5:$AT$72)</f>
        <v>4320000</v>
      </c>
      <c r="AM14" s="39">
        <f ca="1">SUMIF(Report_BM!$AZ$5:$AZ$72,CONCATENATE($C14,$AP$3),Report_BM!$AU$5:$AU$72)</f>
        <v>0</v>
      </c>
      <c r="AN14" s="46">
        <f>SUMIF(Master_Data!$AK$152:$AK$915,CONCATENATE($C14,AP$3),Master_Data!$T$152:$T$915)</f>
        <v>-80000</v>
      </c>
      <c r="AO14" s="45">
        <f>SUMIF(Report_BM!$AZ$5:$AZ$72,CONCATENATE($C14,$AP$3),Report_BM!$AW$5:$AW$72)</f>
        <v>0</v>
      </c>
      <c r="AP14" s="39" t="e">
        <f ca="1">SUMIF(Report_BM!$AZ$5:$AZ$72,CONCATENATE($C14,$AP$3),Report_BM!$AX$5:$AX$72)</f>
        <v>#VALUE!</v>
      </c>
      <c r="AQ14" s="103"/>
      <c r="AR14" s="104"/>
      <c r="AS14" s="104"/>
      <c r="AT14" s="104"/>
      <c r="AU14" s="104"/>
      <c r="AV14" s="104"/>
      <c r="AW14" s="45">
        <f>SUMIF(Report_BM!$BQ$6:$BQ$73,CONCATENATE($C14,BE$3),Report_BM!$BC$6:$BC$73)+SUMIF(Report_BM!$BQ$6:$BQ$73,CONCATENATE($C14,BE$3),Report_BM!$BF$6:$BF$73)</f>
        <v>0</v>
      </c>
      <c r="AX14" s="46" t="e">
        <f ca="1">SUMIF(Report_BM!$BQ$6:$BQ$73,CONCATENATE($C14,$BE$3),Report_BM!$BD$6:$BD$73)+SUMIF(Report_BM!$BQ$6:$BQ$73,CONCATENATE($C14,$BE$3),Report_BM!$BG$6:$BG$73)</f>
        <v>#VALUE!</v>
      </c>
      <c r="AY14" s="45">
        <f>SUMIF(Report_BM!$BQ$6:$BQ$73,CONCATENATE($C14,BE$3),Report_BM!$BI$6:$BI$73)</f>
        <v>0</v>
      </c>
      <c r="AZ14" s="39">
        <f>SUMIF(Report_BM!$BQ$6:$BQ$73,CONCATENATE($C14,BE$3),Report_BM!$BJ$6:$BJ$73)</f>
        <v>0</v>
      </c>
      <c r="BA14" s="39">
        <f>SUMIF(Report_BM!$BQ$6:$BQ$73,CONCATENATE($C14,BE$3),Report_BM!$BK$6:$BK$73)</f>
        <v>4320000</v>
      </c>
      <c r="BB14" s="39">
        <f>SUMIF(Report_BM!$BQ$6:$BQ$73,CONCATENATE($C14,BE$3),Report_BM!$BL$6:$BL$73)</f>
        <v>0</v>
      </c>
      <c r="BC14" s="46">
        <f>SUMIF(Master_Data!$AK$152:$AK$864,CONCATENATE($C14,BE$3),Master_Data!$T$152:$T$864)</f>
        <v>-80000</v>
      </c>
      <c r="BD14" s="45">
        <f>SUMIF(Report_BM!$BQ$6:$BQ$73,CONCATENATE($C14,BE$3),Report_BM!$BN$6:$BN$73)</f>
        <v>0</v>
      </c>
      <c r="BE14" s="39" t="e">
        <f ca="1">SUMIF(Report_BM!$BQ$6:$BQ$73,CONCATENATE($C14,BE$3),Report_BM!$BO$6:$BO$73)</f>
        <v>#VALUE!</v>
      </c>
      <c r="BF14" s="103"/>
      <c r="BG14" s="104"/>
      <c r="BH14" s="104"/>
      <c r="BI14" s="104"/>
      <c r="BJ14" s="104"/>
      <c r="BK14" s="104"/>
      <c r="BL14" s="45">
        <f>SUMIF(Report_BM!$CH$6:$CH$73,CONCATENATE($C14,BT$3),Report_BM!$BT$6:$BT$73)+SUMIF(Report_BM!$CH$6:$CH$73,CONCATENATE($C14,BT$3),Report_BM!$BW$6:$BW$73)</f>
        <v>0</v>
      </c>
      <c r="BM14" s="46" t="e">
        <f ca="1">SUMIF(Report_BM!$CH$6:$CH$73,CONCATENATE($C14,$BT$3),Report_BM!$BU$6:$BU$73)+SUMIF(Report_BM!$CH$6:$CH$73,CONCATENATE($C14,$BT$3),Report_BM!$BX$6:$BX$73)</f>
        <v>#VALUE!</v>
      </c>
      <c r="BN14" s="45">
        <f>SUMIF(Report_BM!$CH$6:$CH$73,CONCATENATE($C14,BT$3),Report_BM!$BZ$6:$BZ$73)</f>
        <v>0</v>
      </c>
      <c r="BO14" s="39">
        <f>SUMIF(Report_BM!$CH$6:$CH$73,CONCATENATE($C14,BT$3),Report_BM!$CA$6:$CA$73)</f>
        <v>0</v>
      </c>
      <c r="BP14" s="39">
        <f>SUMIF(Report_BM!$CH$6:$CH$73,CONCATENATE($C14,BT$3),Report_BM!$CB$6:$CB$73)</f>
        <v>4320000</v>
      </c>
      <c r="BQ14" s="39">
        <f>SUMIF(Report_BM!$CH$6:$CH$73,CONCATENATE($C14,BT$3),Report_BM!$CC$6:$CC$73)</f>
        <v>0</v>
      </c>
      <c r="BR14" s="46">
        <f>SUMIF(Master_Data!$AK$152:$AK$864,CONCATENATE($C14,BT$3),Master_Data!$T$152:$T$864)</f>
        <v>-80000</v>
      </c>
      <c r="BS14" s="45">
        <f>SUMIF(Report_BM!$CH$6:$CH$73,CONCATENATE($C14,BT$3),Report_BM!$CE$6:$CE$73)</f>
        <v>0</v>
      </c>
      <c r="BT14" s="39" t="e">
        <f ca="1">SUMIF(Report_BM!$CH$6:$CH$73,CONCATENATE($C14,BT$3),Report_BM!$CF$6:$CF$73)</f>
        <v>#VALUE!</v>
      </c>
      <c r="BU14" s="103"/>
      <c r="BV14" s="104"/>
      <c r="BW14" s="104"/>
      <c r="BX14" s="104"/>
      <c r="BY14" s="104"/>
      <c r="BZ14" s="104"/>
      <c r="CA14" s="45">
        <f>SUMIF(Report_BM!$CY$6:$CY$73,CONCATENATE($C14,CI$3),Report_BM!$CK$6:$CK$73)+SUMIF(Report_BM!$CY$6:$CY$73,CONCATENATE($C14,CI$3),Report_BM!$CN$6:$CN$73)</f>
        <v>0</v>
      </c>
      <c r="CB14" s="46" t="e">
        <f ca="1">SUMIF(Report_BM!$CY$6:$CY$73,CONCATENATE($C14,$CI$3),Report_BM!$CL$6:$CL$73)+SUMIF(Report_BM!$CY$6:$CY$73,CONCATENATE($C14,$CI$3),Report_BM!$CO$6:$CO$73)</f>
        <v>#VALUE!</v>
      </c>
      <c r="CC14" s="45">
        <f>SUMIF(Report_BM!$CY$6:$CY$73,CONCATENATE($C14,CI$3),Report_BM!$CQ$6:$CQ$73)</f>
        <v>0</v>
      </c>
      <c r="CD14" s="39">
        <f>SUMIF(Report_BM!$CY$6:$CY$73,CONCATENATE($C14,CI$3),Report_BM!$CR$6:$CR$73)</f>
        <v>0</v>
      </c>
      <c r="CE14" s="39">
        <f>SUMIF(Report_BM!$CY$6:$CY$73,CONCATENATE($C14,CI$3),Report_BM!$CS$6:$CS$73)</f>
        <v>4320000</v>
      </c>
      <c r="CF14" s="39">
        <f ca="1">SUMIF(Report_BM!$CY$6:$CY$73,CONCATENATE($C14,CI$3),Report_BM!$CT$6:$CT$73)</f>
        <v>0</v>
      </c>
      <c r="CG14" s="46">
        <f>SUMIF(Report_BM!$CY$6:$CY$73,CONCATENATE($C14,CI$3),Report_BM!$CU$6:$CU$73)</f>
        <v>-80000</v>
      </c>
      <c r="CH14" s="45">
        <f>SUMIF(Report_BM!$CY$6:$CY$73,CONCATENATE($C14,CI$3),Report_BM!$CV$6:$CV$73)</f>
        <v>0</v>
      </c>
      <c r="CI14" s="39" t="e">
        <f ca="1">SUMIF(Report_BM!$CY$6:$CY$73,CONCATENATE($C14,CI$3),Report_BM!$CW$6:$CW$73)</f>
        <v>#VALUE!</v>
      </c>
      <c r="CJ14" s="103"/>
      <c r="CK14" s="104"/>
      <c r="CL14" s="104"/>
      <c r="CM14" s="104"/>
      <c r="CN14" s="104"/>
      <c r="CO14" s="104"/>
      <c r="CP14" s="45">
        <f>SUMIF(Report_BM!$DP$6:$DP$73,CONCATENATE($C14,CX$3),Report_BM!$DB$6:$DB$73)+SUMIF(Report_BM!$DP$6:$DP$73,CONCATENATE($C14,CX$3),Report_BM!$DE$6:$DE$73)</f>
        <v>0</v>
      </c>
      <c r="CQ14" s="46" t="e">
        <f ca="1">SUMIF(Report_BM!$DP$6:$DP$73,CONCATENATE($C14,$CX$3),Report_BM!$DC$6:$DC$73)+SUMIF(Report_BM!$DP$6:$DP$73,CONCATENATE($C14,$CX$3),Report_BM!$DF$6:$DF$73)</f>
        <v>#VALUE!</v>
      </c>
      <c r="CR14" s="45">
        <f>SUMIF(Report_BM!$DP$6:$DP$73,CONCATENATE($C14,CX$3),Report_BM!$DH$6:$DH$73)</f>
        <v>0</v>
      </c>
      <c r="CS14" s="39">
        <f>SUMIF(Report_BM!$DP$6:$DP$73,CONCATENATE($C14,CX$3),Report_BM!$DI$6:$DI$73)</f>
        <v>0</v>
      </c>
      <c r="CT14" s="39">
        <f>SUMIF(Report_BM!$DP$6:$DP$73,CONCATENATE($C14,CX$3),Report_BM!$DJ$6:$DJ$73)</f>
        <v>4320000</v>
      </c>
      <c r="CU14" s="39">
        <f>SUMIF(Report_BM!$DP$6:$DP$73,CONCATENATE($C14,CX$3),Report_BM!$DK$6:$DK$73)</f>
        <v>0</v>
      </c>
      <c r="CV14" s="46">
        <f>SUMIF(Master_Data!$AK$152:$AK$864,CONCATENATE($C14,CX$3),Master_Data!$T$152:$T$864)</f>
        <v>-80000</v>
      </c>
      <c r="CW14" s="45">
        <f>SUMIF(Report_BM!$DP$6:$DP$73,CONCATENATE($C14,CX$3),Report_BM!$DM$6:$DM$73)</f>
        <v>0</v>
      </c>
      <c r="CX14" s="39" t="e">
        <f ca="1">SUMIF(Report_BM!$DP$6:$DP$73,CONCATENATE($C14,CX$3),Report_BM!$DN$6:$DN$73)</f>
        <v>#VALUE!</v>
      </c>
      <c r="CY14" s="103"/>
      <c r="CZ14" s="104"/>
      <c r="DA14" s="104"/>
      <c r="DB14" s="104"/>
      <c r="DC14" s="104"/>
      <c r="DD14" s="104"/>
      <c r="DE14" s="45">
        <f>SUMIF(Report_BM!$EG$6:$EG$73,CONCATENATE($C14,DM$3),Report_BM!$DS$6:$DS$73)+SUMIF(Report_BM!$EG$6:$EG$73,CONCATENATE($C14,DM$3),Report_BM!$DV$6:$DV$73)</f>
        <v>0</v>
      </c>
      <c r="DF14" s="46" t="e">
        <f ca="1">SUMIF(Report_BM!$EG$6:$EG$73,CONCATENATE($C14,$DM$3),Report_BM!$DT$6:$DT$73)+SUMIF(Report_BM!$EG$6:$EG$73,CONCATENATE($C14,$DM$3),Report_BM!$DW$6:$DW$73)</f>
        <v>#VALUE!</v>
      </c>
      <c r="DG14" s="45">
        <f>SUMIF(Report_BM!$EG$6:$EG$73,CONCATENATE($C14,DM$3),Report_BM!$DY$6:$DY$73)</f>
        <v>0</v>
      </c>
      <c r="DH14" s="39">
        <f>SUMIF(Report_BM!EG$6:EG$73,CONCATENATE($C14,DM$3),Report_BM!DZ$6:DZ$73)</f>
        <v>0</v>
      </c>
      <c r="DI14" s="39">
        <f>SUMIF(Report_BM!EG$6:EG$73,CONCATENATE($C14,DM$3),Report_BM!$EA$6:$EA$73)</f>
        <v>4320000</v>
      </c>
      <c r="DJ14" s="39">
        <f>SUMIF(Report_BM!EG$6:EG$73,CONCATENATE($C14,DM$3),Report_BM!$EB$6:$EB$73)</f>
        <v>0</v>
      </c>
      <c r="DK14" s="46">
        <f>SUMIF(Master_Data!$AK$152:$AK$864,CONCATENATE($C14,DM$3),Master_Data!$T$152:$T$864)</f>
        <v>-80000</v>
      </c>
      <c r="DL14" s="45">
        <f>SUMIF(Report_BM!EG$6:EG$73,CONCATENATE($C14,DM$3),Report_BM!ED$6:ED$73)</f>
        <v>0</v>
      </c>
      <c r="DM14" s="39" t="e">
        <f ca="1">SUMIF(Report_BM!EG$6:EG$73,CONCATENATE($C14,DM$3),Report_BM!EE$6:EE$73)</f>
        <v>#VALUE!</v>
      </c>
      <c r="DN14" s="103"/>
      <c r="DO14" s="104"/>
      <c r="DP14" s="104"/>
      <c r="DQ14" s="104"/>
      <c r="DR14" s="104"/>
      <c r="DS14" s="104"/>
      <c r="DT14" s="45">
        <f>SUMIF(Report_BM!$EX$6:$EX$73,CONCATENATE($C14,EB$3),Report_BM!$EJ$6:$EJ$73)+SUMIF(Report_BM!$EX$6:$EX$73,CONCATENATE($C14,EB$3),Report_BM!$EM$6:$EM$73)</f>
        <v>0</v>
      </c>
      <c r="DU14" s="46" t="e">
        <f ca="1">SUMIF(Report_BM!$EX$6:$EX$73,CONCATENATE($C14,$EB$3),Report_BM!$EK$6:$EK$73)+SUMIF(Report_BM!$EX$6:$EX$73,CONCATENATE($C14,$EB$3),Report_BM!$EN$6:$EN$73)</f>
        <v>#VALUE!</v>
      </c>
      <c r="DV14" s="45">
        <f>SUMIF(Report_BM!$EX$6:$EX$73,CONCATENATE($C14,EB$3),Report_BM!$EP$6:$EP$73)</f>
        <v>0</v>
      </c>
      <c r="DW14" s="39">
        <f>SUMIF(Report_BM!$EX$6:$EX$73,CONCATENATE($C14,EB$3),Report_BM!$EQ$6:$EQ$73)</f>
        <v>0</v>
      </c>
      <c r="DX14" s="39">
        <f>SUMIF(Report_BM!$EX$6:$EX$73,CONCATENATE($C14,EB$3),Report_BM!$ER$6:$ER$73)</f>
        <v>0</v>
      </c>
      <c r="DY14" s="39">
        <f>SUMIF(Report_BM!$EX$6:$EX$73,CONCATENATE($C14,EB$3),Report_BM!$ES$6:$ES$73)</f>
        <v>0</v>
      </c>
      <c r="DZ14" s="46">
        <f>SUMIF(Master_Data!$AK$152:$AK$864,CONCATENATE($C14,EB$3),Master_Data!$T$152:$T$864)</f>
        <v>0</v>
      </c>
      <c r="EA14" s="45">
        <f>SUMIF(Report_BM!EX$6:EX$73,CONCATENATE($C14,EB$3),Report_BM!EU$6:EU$73)</f>
        <v>0</v>
      </c>
      <c r="EB14" s="39">
        <f>SUMIF(Report_BM!EX$6:EX$73,CONCATENATE($C14,EB$3),Report_BM!EV$6:EV$73)</f>
        <v>0</v>
      </c>
      <c r="EC14" s="103"/>
      <c r="ED14" s="104"/>
      <c r="EE14" s="104"/>
      <c r="EF14" s="104"/>
      <c r="EG14" s="104"/>
      <c r="EH14" s="104"/>
      <c r="EI14" s="45">
        <f>SUMIF(Report_BM!$FO$6:$FO$73,CONCATENATE($C14,EQ$3),Report_BM!$FA$6:$FA$73)+SUMIF(Report_BM!$FO$6:$FO$73,CONCATENATE($C14,EQ$3),Report_BM!$FD$6:$FD$73)</f>
        <v>0</v>
      </c>
      <c r="EJ14" s="46">
        <f>SUMIF(Report_BM!$FO$6:$FO$73,CONCATENATE($C14,$EQ$3),Report_BM!$FB$6:$FB$73)+SUMIF(Report_BM!$FO$6:$FO$73,CONCATENATE($C14,$EQ$3),Report_BM!$FE$6:$FE$73)</f>
        <v>0</v>
      </c>
      <c r="EK14" s="45">
        <f>SUMIF(Report_BM!$FO$6:$FO$73,CONCATENATE($C14,EQ$3),Report_BM!$FG$6:$FG$73)</f>
        <v>0</v>
      </c>
      <c r="EL14" s="39">
        <f>SUMIF(Report_BM!$FO$6:$FO$73,CONCATENATE($C14,EQ$3),Report_BM!$FH$6:$FH$73)</f>
        <v>0</v>
      </c>
      <c r="EM14" s="39">
        <f>SUMIF(Report_BM!$FO$6:$FO$73,CONCATENATE($C14,EQ$3),Report_BM!$FI$6:$FI$73)</f>
        <v>0</v>
      </c>
      <c r="EN14" s="39">
        <f>SUMIF(Report_BM!$FO$6:$FO$73,CONCATENATE($C14,EQ$3),Report_BM!$FJ$6:$FJ$73)</f>
        <v>0</v>
      </c>
      <c r="EO14" s="46">
        <f>SUMIF(Master_Data!$AK$152:$AK$864,CONCATENATE($C14,EQ$3),Master_Data!$T$152:$T$864)</f>
        <v>0</v>
      </c>
      <c r="EP14" s="45">
        <f>SUMIF(Report_BM!FO$6:FO$73,CONCATENATE($C14,EQ$3),Report_BM!FL$6:FL$73)</f>
        <v>0</v>
      </c>
      <c r="EQ14" s="39">
        <f>SUMIF(Report_BM!FO$6:FO$73,CONCATENATE($C14,EQ$3),Report_BM!FM$6:FM$73)</f>
        <v>0</v>
      </c>
      <c r="ER14" s="103"/>
      <c r="ES14" s="104"/>
      <c r="ET14" s="104"/>
      <c r="EU14" s="104"/>
      <c r="EV14" s="104"/>
      <c r="EW14" s="104"/>
      <c r="EX14" s="45">
        <f>SUMIF(Report_BM!$GF$6:$GF$73,CONCATENATE($C14,FF$3),Report_BM!$FR$6:$FR$73)+SUMIF(Report_BM!$GF$6:$GF$73,CONCATENATE($C14,FF$3),Report_BM!$FU$6:$FU$73)</f>
        <v>0</v>
      </c>
      <c r="EY14" s="46">
        <f>SUMIF(Report_BM!$GF$6:$GF$73,CONCATENATE($C14,$FF$3),Report_BM!$FS$6:$FS$73)+SUMIF(Report_BM!$GF$6:$GF$73,CONCATENATE($C14,$FF$3),Report_BM!$FV$6:$FV$73)</f>
        <v>0</v>
      </c>
      <c r="EZ14" s="45">
        <f>SUMIF(Report_BM!$GF$6:$GF$73,CONCATENATE($C14,FF$3),Report_BM!$FX$6:$FX$73)</f>
        <v>0</v>
      </c>
      <c r="FA14" s="39">
        <f>SUMIF(Report_BM!$GF$6:$GF$73,CONCATENATE($C14,FF$3),Report_BM!$FY$6:$FY$73)</f>
        <v>0</v>
      </c>
      <c r="FB14" s="39">
        <f>SUMIF(Report_BM!$GF$6:$GF$73,CONCATENATE($C14,FF$3),Report_BM!$FZ$6:$FZ$73)</f>
        <v>0</v>
      </c>
      <c r="FC14" s="39">
        <f>SUMIF(Report_BM!$GF$6:$GF$73,CONCATENATE($C14,FF$3),Report_BM!$GA$6:$GA$73)</f>
        <v>0</v>
      </c>
      <c r="FD14" s="46">
        <f>SUMIF(Master_Data!$AK$152:$AK$864,CONCATENATE($C14,FF$3),Master_Data!$T$152:$T$864)</f>
        <v>0</v>
      </c>
      <c r="FE14" s="45">
        <f>SUMIF(Report_BM!GF$6:GF$73,CONCATENATE($C14,FF$3),Report_BM!GC$6:GC$73)</f>
        <v>0</v>
      </c>
      <c r="FF14" s="39">
        <f>SUMIF(Report_BM!GF$6:GF$73,CONCATENATE($C14,FF$3),Report_BM!GD$6:GD$73)</f>
        <v>0</v>
      </c>
      <c r="FG14" s="103"/>
      <c r="FH14" s="104"/>
      <c r="FI14" s="104"/>
      <c r="FJ14" s="104"/>
      <c r="FK14" s="104"/>
      <c r="FL14" s="104"/>
      <c r="FM14" s="45">
        <f>SUMIF(Report_BM!$GW$6:$GW$73,CONCATENATE($C14,FU$3),Report_BM!$GI$6:$GI$73)+SUMIF(Report_BM!$GW$6:$GW$73,CONCATENATE($C14,FU$3),Report_BM!$GL$6:$GL$73)</f>
        <v>0</v>
      </c>
      <c r="FN14" s="46">
        <f>SUMIF(Report_BM!$GW$6:$GW$73,CONCATENATE($C14,$FU$3),Report_BM!$GJ$6:$GJ$73)+SUMIF(Report_BM!$GW$6:$GW$73,CONCATENATE($C14,$FU$3),Report_BM!$GM$6:$GM$73)</f>
        <v>0</v>
      </c>
      <c r="FO14" s="45">
        <f>SUMIF(Report_BM!$GW$6:$GW$73,CONCATENATE($C14,FU$3),Report_BM!$GO$6:$GO$73)</f>
        <v>0</v>
      </c>
      <c r="FP14" s="39">
        <f>SUMIF(Report_BM!$GW$6:$GW$73,CONCATENATE($C14,FU$3),Report_BM!$GP$6:$GP$73)</f>
        <v>0</v>
      </c>
      <c r="FQ14" s="39">
        <f>SUMIF(Report_BM!$GW$6:$GW$73,CONCATENATE($C14,FU$3),Report_BM!$GQ$6:$GQ$73)</f>
        <v>0</v>
      </c>
      <c r="FR14" s="39">
        <f>SUMIF(Report_BM!$GW$6:$GW$73,CONCATENATE($C14,FU$3),Report_BM!$GR$6:$GR$73)</f>
        <v>0</v>
      </c>
      <c r="FS14" s="46">
        <f>SUMIF(Master_Data!$AK$152:$AK$864,CONCATENATE($C14,FU$3),Master_Data!$T$152:$T$864)</f>
        <v>0</v>
      </c>
      <c r="FT14" s="45">
        <f>SUMIF(Report_BM!GW$6:GW$73,CONCATENATE($C14,FU$3),Report_BM!GT$6:GT$73)</f>
        <v>0</v>
      </c>
      <c r="FU14" s="39">
        <f>SUMIF(Report_BM!GW$6:GW$73,CONCATENATE($C14,FU$3),Report_BM!GU$6:GU$73)</f>
        <v>0</v>
      </c>
      <c r="FV14" s="103"/>
      <c r="FW14" s="104"/>
      <c r="FX14" s="104"/>
      <c r="FY14" s="104"/>
      <c r="FZ14" s="104"/>
      <c r="GA14" s="104"/>
    </row>
    <row r="15" spans="1:183" s="40" customFormat="1" ht="14.1" customHeight="1">
      <c r="A15" s="9">
        <v>9</v>
      </c>
      <c r="B15" s="328" t="s">
        <v>329</v>
      </c>
      <c r="C15" s="613" t="s">
        <v>190</v>
      </c>
      <c r="D15" s="45">
        <f>SUMIF(Report_BM!$B$6:$B$73,CONCATENATE($C15,L$3),Report_BM!$E$6:$E$73)+SUMIF(Report_BM!$B$6:$B$73,CONCATENATE($C15,L$3),Report_BM!$H$6:$H$73)</f>
        <v>0</v>
      </c>
      <c r="E15" s="276">
        <f>SUMIF(Report_BM!$B$6:$B$73,CONCATENATE($C15,L$3),Report_BM!$F$6:$F$73)+SUMIF(Report_BM!$B$6:$B$73,CONCATENATE($C15,L$3),Report_BM!$I$6:$I$73)</f>
        <v>50000000</v>
      </c>
      <c r="F15" s="45">
        <f>SUMIF(Report_BM!$B$6:$B$73,CONCATENATE($C15,L$3),Report_BM!$K$6:$K$73)</f>
        <v>0</v>
      </c>
      <c r="G15" s="39">
        <f>SUMIF(Report_BM!$B$6:$B$73,CONCATENATE($C15,$L$3),Report_BM!$L$6:$L$73)</f>
        <v>0</v>
      </c>
      <c r="H15" s="39">
        <f>SUMIF(Report_BM!$B$6:$B$73,CONCATENATE($C15,$L$3),Report_BM!$M$6:$M$73)</f>
        <v>0</v>
      </c>
      <c r="I15" s="39">
        <f>SUMIF(Report_BM!$B$6:$B$73,CONCATENATE($C15,$L$3),Report_BM!$N$6:$N$73)</f>
        <v>0</v>
      </c>
      <c r="J15" s="46">
        <f>SUMIF(Report_BM!$B$6:$B$73,CONCATENATE($C15,$L$3),Report_BM!$O$6:$O$73)</f>
        <v>0</v>
      </c>
      <c r="K15" s="45">
        <f>SUMIF(Report_BM!$B$6:$B$73,CONCATENATE($C15,$L$3),Report_BM!$P$6:$P$73)</f>
        <v>0</v>
      </c>
      <c r="L15" s="39">
        <f>SUMIF(Report_BM!$B$6:$B$73,CONCATENATE($C15,$L$3),Report_BM!$Q$6:$Q$73)</f>
        <v>50000000</v>
      </c>
      <c r="M15" s="103"/>
      <c r="N15" s="104"/>
      <c r="O15" s="104"/>
      <c r="P15" s="104"/>
      <c r="Q15" s="104"/>
      <c r="R15" s="104"/>
      <c r="S15" s="45">
        <f>SUMIF(Report_BM!$AI$8:$AI$72,CONCATENATE($C15,AA$3),Report_BM!$U$8:$U$72)+SUMIF(Report_BM!$AI$8:$AI$72,CONCATENATE($C15,AA$3),Report_BM!$X$8:$X$72)</f>
        <v>0</v>
      </c>
      <c r="T15" s="276">
        <f>SUMIF(Report_BM!$AI$8:$AI$72,CONCATENATE($C15,AA$3),Report_BM!$V$8:$V$72)+SUMIF(Report_BM!$AI$8:$AI$72,CONCATENATE($C15,AA$3),Report_BM!$Y$8:$Y$72)</f>
        <v>50000000</v>
      </c>
      <c r="U15" s="45">
        <f>SUMIF(Report_BM!$AI$8:$AI$72,CONCATENATE($C15,AA$3),Report_BM!$AA$8:$AB$72)</f>
        <v>0</v>
      </c>
      <c r="V15" s="39">
        <f>SUMIF(Report_BM!$AI$8:$AI$72,CONCATENATE($C15,$AA$3),Report_BM!$AB$8:$AB$72)</f>
        <v>0</v>
      </c>
      <c r="W15" s="39">
        <f>SUMIF(Report_BM!$AI$8:$AI$72,CONCATENATE($C15,$AA$3),Report_BM!$AC$8:$AC$72)</f>
        <v>0</v>
      </c>
      <c r="X15" s="39">
        <f ca="1">SUMIF(Report_BM!$AI$7:$AI$73,CONCATENATE($C15,$AA$3),Report_BM!$AD$7:$AD$73)</f>
        <v>0</v>
      </c>
      <c r="Y15" s="46">
        <f>SUMIF(Master_Data!$AK$152:$AK$864,CONCATENATE($C15,AA$3),Master_Data!$T$152:$T$864)</f>
        <v>0</v>
      </c>
      <c r="Z15" s="45">
        <f>SUMIF(Report_BM!$AI$8:$AI$72,CONCATENATE($C15,$AA$3),Report_BM!$AF$8:$AF$72)</f>
        <v>0</v>
      </c>
      <c r="AA15" s="39">
        <f ca="1">SUMIF(Report_BM!$AI$8:$AI$72,CONCATENATE($C15,$AA$3),Report_BM!$AG$8:$AG$72)</f>
        <v>50000000</v>
      </c>
      <c r="AB15" s="103"/>
      <c r="AC15" s="104"/>
      <c r="AD15" s="104"/>
      <c r="AE15" s="104"/>
      <c r="AF15" s="104"/>
      <c r="AG15" s="104"/>
      <c r="AH15" s="45">
        <f>SUMIF(Report_BM!$AZ$5:$AZ$72,CONCATENATE($C15,AP$3),Report_BM!$AL$5:$AL$72)+SUMIF(Report_BM!$AZ$5:$AZ$72,CONCATENATE($C15,AP$3),Report_BM!$AO$5:$AO$72)</f>
        <v>0</v>
      </c>
      <c r="AI15" s="46">
        <f ca="1">SUMIF(Report_BM!$AZ$5:$AZ$72,CONCATENATE($C15,$AP$3),Report_BM!$AM$5:$AM$72)+SUMIF(Report_BM!$AZ$5:$AZ$72,CONCATENATE($C15,$AP$3),Report_BM!$AP$5:$AP$72)</f>
        <v>50000000</v>
      </c>
      <c r="AJ15" s="45">
        <f>SUMIF(Report_BM!$AZ$5:$AZ$72,CONCATENATE($C15,$AP$3),Report_BM!$AR$5:$AR$72)</f>
        <v>0</v>
      </c>
      <c r="AK15" s="39">
        <f>SUMIF(Report_BM!$AZ$5:$AZ$72,CONCATENATE($C15,$AP$3),Report_BM!$AS$5:$AS$72)</f>
        <v>0</v>
      </c>
      <c r="AL15" s="39">
        <f>SUMIF(Report_BM!$AZ$5:$AZ$72,CONCATENATE($C15,$AP$3),Report_BM!$AT$5:$AT$72)</f>
        <v>0</v>
      </c>
      <c r="AM15" s="39">
        <f ca="1">SUMIF(Report_BM!$AZ$5:$AZ$72,CONCATENATE($C15,$AP$3),Report_BM!$AU$5:$AU$72)</f>
        <v>0</v>
      </c>
      <c r="AN15" s="46">
        <f>SUMIF(Master_Data!$AK$152:$AK$915,CONCATENATE($C15,AP$3),Master_Data!$T$152:$T$915)</f>
        <v>0</v>
      </c>
      <c r="AO15" s="45">
        <f>SUMIF(Report_BM!$AZ$5:$AZ$72,CONCATENATE($C15,$AP$3),Report_BM!$AW$5:$AW$72)</f>
        <v>0</v>
      </c>
      <c r="AP15" s="39">
        <f ca="1">SUMIF(Report_BM!$AZ$5:$AZ$72,CONCATENATE($C15,$AP$3),Report_BM!$AX$5:$AX$72)</f>
        <v>50000000</v>
      </c>
      <c r="AQ15" s="103"/>
      <c r="AR15" s="104"/>
      <c r="AS15" s="104"/>
      <c r="AT15" s="104"/>
      <c r="AU15" s="104"/>
      <c r="AV15" s="104"/>
      <c r="AW15" s="45">
        <f>SUMIF(Report_BM!$BQ$6:$BQ$73,CONCATENATE($C15,BE$3),Report_BM!$BC$6:$BC$73)+SUMIF(Report_BM!$BQ$6:$BQ$73,CONCATENATE($C15,BE$3),Report_BM!$BF$6:$BF$73)</f>
        <v>0</v>
      </c>
      <c r="AX15" s="46">
        <f ca="1">SUMIF(Report_BM!$BQ$6:$BQ$73,CONCATENATE($C15,$BE$3),Report_BM!$BD$6:$BD$73)+SUMIF(Report_BM!$BQ$6:$BQ$73,CONCATENATE($C15,$BE$3),Report_BM!$BG$6:$BG$73)</f>
        <v>50000000</v>
      </c>
      <c r="AY15" s="45">
        <f>SUMIF(Report_BM!$BQ$6:$BQ$73,CONCATENATE($C15,BE$3),Report_BM!$BI$6:$BI$73)</f>
        <v>0</v>
      </c>
      <c r="AZ15" s="39">
        <f>SUMIF(Report_BM!$BQ$6:$BQ$73,CONCATENATE($C15,BE$3),Report_BM!$BJ$6:$BJ$73)</f>
        <v>0</v>
      </c>
      <c r="BA15" s="39">
        <f>SUMIF(Report_BM!$BQ$6:$BQ$73,CONCATENATE($C15,BE$3),Report_BM!$BK$6:$BK$73)</f>
        <v>0</v>
      </c>
      <c r="BB15" s="39">
        <f>SUMIF(Report_BM!$BQ$6:$BQ$73,CONCATENATE($C15,BE$3),Report_BM!$BL$6:$BL$73)</f>
        <v>0</v>
      </c>
      <c r="BC15" s="46">
        <f>SUMIF(Master_Data!$AK$152:$AK$864,CONCATENATE($C15,BE$3),Master_Data!$T$152:$T$864)</f>
        <v>0</v>
      </c>
      <c r="BD15" s="45">
        <f>SUMIF(Report_BM!$BQ$6:$BQ$73,CONCATENATE($C15,BE$3),Report_BM!$BN$6:$BN$73)</f>
        <v>0</v>
      </c>
      <c r="BE15" s="39">
        <f ca="1">SUMIF(Report_BM!$BQ$6:$BQ$73,CONCATENATE($C15,BE$3),Report_BM!$BO$6:$BO$73)</f>
        <v>50000000</v>
      </c>
      <c r="BF15" s="103"/>
      <c r="BG15" s="104"/>
      <c r="BH15" s="104"/>
      <c r="BI15" s="104"/>
      <c r="BJ15" s="104"/>
      <c r="BK15" s="104"/>
      <c r="BL15" s="45">
        <f>SUMIF(Report_BM!$CH$6:$CH$73,CONCATENATE($C15,BT$3),Report_BM!$BT$6:$BT$73)+SUMIF(Report_BM!$CH$6:$CH$73,CONCATENATE($C15,BT$3),Report_BM!$BW$6:$BW$73)</f>
        <v>0</v>
      </c>
      <c r="BM15" s="46">
        <f ca="1">SUMIF(Report_BM!$CH$6:$CH$73,CONCATENATE($C15,$BT$3),Report_BM!$BU$6:$BU$73)+SUMIF(Report_BM!$CH$6:$CH$73,CONCATENATE($C15,$BT$3),Report_BM!$BX$6:$BX$73)</f>
        <v>50000000</v>
      </c>
      <c r="BN15" s="45">
        <f>SUMIF(Report_BM!$CH$6:$CH$73,CONCATENATE($C15,BT$3),Report_BM!$BZ$6:$BZ$73)</f>
        <v>0</v>
      </c>
      <c r="BO15" s="39">
        <f>SUMIF(Report_BM!$CH$6:$CH$73,CONCATENATE($C15,BT$3),Report_BM!$CA$6:$CA$73)</f>
        <v>0</v>
      </c>
      <c r="BP15" s="39">
        <f>SUMIF(Report_BM!$CH$6:$CH$73,CONCATENATE($C15,BT$3),Report_BM!$CB$6:$CB$73)</f>
        <v>0</v>
      </c>
      <c r="BQ15" s="39">
        <f>SUMIF(Report_BM!$CH$6:$CH$73,CONCATENATE($C15,BT$3),Report_BM!$CC$6:$CC$73)</f>
        <v>0</v>
      </c>
      <c r="BR15" s="46">
        <f>SUMIF(Master_Data!$AK$152:$AK$864,CONCATENATE($C15,BT$3),Master_Data!$T$152:$T$864)</f>
        <v>0</v>
      </c>
      <c r="BS15" s="45">
        <f>SUMIF(Report_BM!$CH$6:$CH$73,CONCATENATE($C15,BT$3),Report_BM!$CE$6:$CE$73)</f>
        <v>0</v>
      </c>
      <c r="BT15" s="39">
        <f ca="1">SUMIF(Report_BM!$CH$6:$CH$73,CONCATENATE($C15,BT$3),Report_BM!$CF$6:$CF$73)</f>
        <v>50000000</v>
      </c>
      <c r="BU15" s="103"/>
      <c r="BV15" s="104"/>
      <c r="BW15" s="104"/>
      <c r="BX15" s="104"/>
      <c r="BY15" s="104"/>
      <c r="BZ15" s="104"/>
      <c r="CA15" s="45">
        <f>SUMIF(Report_BM!$CY$6:$CY$73,CONCATENATE($C15,CI$3),Report_BM!$CK$6:$CK$73)+SUMIF(Report_BM!$CY$6:$CY$73,CONCATENATE($C15,CI$3),Report_BM!$CN$6:$CN$73)</f>
        <v>0</v>
      </c>
      <c r="CB15" s="46">
        <f ca="1">SUMIF(Report_BM!$CY$6:$CY$73,CONCATENATE($C15,$CI$3),Report_BM!$CL$6:$CL$73)+SUMIF(Report_BM!$CY$6:$CY$73,CONCATENATE($C15,$CI$3),Report_BM!$CO$6:$CO$73)</f>
        <v>50000000</v>
      </c>
      <c r="CC15" s="45">
        <f>SUMIF(Report_BM!$CY$6:$CY$73,CONCATENATE($C15,CI$3),Report_BM!$CQ$6:$CQ$73)</f>
        <v>0</v>
      </c>
      <c r="CD15" s="39">
        <f>SUMIF(Report_BM!$CY$6:$CY$73,CONCATENATE($C15,CI$3),Report_BM!$CR$6:$CR$73)</f>
        <v>0</v>
      </c>
      <c r="CE15" s="39">
        <f>SUMIF(Report_BM!$CY$6:$CY$73,CONCATENATE($C15,CI$3),Report_BM!$CS$6:$CS$73)</f>
        <v>0</v>
      </c>
      <c r="CF15" s="39">
        <f ca="1">SUMIF(Report_BM!$CY$6:$CY$73,CONCATENATE($C15,CI$3),Report_BM!$CT$6:$CT$73)</f>
        <v>0</v>
      </c>
      <c r="CG15" s="46">
        <f>SUMIF(Report_BM!$CY$6:$CY$73,CONCATENATE($C15,CI$3),Report_BM!$CU$6:$CU$73)</f>
        <v>0</v>
      </c>
      <c r="CH15" s="45">
        <f>SUMIF(Report_BM!$CY$6:$CY$73,CONCATENATE($C15,CI$3),Report_BM!$CV$6:$CV$73)</f>
        <v>0</v>
      </c>
      <c r="CI15" s="39">
        <f ca="1">SUMIF(Report_BM!$CY$6:$CY$73,CONCATENATE($C15,CI$3),Report_BM!$CW$6:$CW$73)</f>
        <v>50000000</v>
      </c>
      <c r="CJ15" s="103"/>
      <c r="CK15" s="104"/>
      <c r="CL15" s="104"/>
      <c r="CM15" s="104"/>
      <c r="CN15" s="104"/>
      <c r="CO15" s="104"/>
      <c r="CP15" s="45">
        <f>SUMIF(Report_BM!$DP$6:$DP$73,CONCATENATE($C15,CX$3),Report_BM!$DB$6:$DB$73)+SUMIF(Report_BM!$DP$6:$DP$73,CONCATENATE($C15,CX$3),Report_BM!$DE$6:$DE$73)</f>
        <v>0</v>
      </c>
      <c r="CQ15" s="46">
        <f ca="1">SUMIF(Report_BM!$DP$6:$DP$73,CONCATENATE($C15,$CX$3),Report_BM!$DC$6:$DC$73)+SUMIF(Report_BM!$DP$6:$DP$73,CONCATENATE($C15,$CX$3),Report_BM!$DF$6:$DF$73)</f>
        <v>50000000</v>
      </c>
      <c r="CR15" s="45">
        <f>SUMIF(Report_BM!$DP$6:$DP$73,CONCATENATE($C15,CX$3),Report_BM!$DH$6:$DH$73)</f>
        <v>0</v>
      </c>
      <c r="CS15" s="39">
        <f>SUMIF(Report_BM!$DP$6:$DP$73,CONCATENATE($C15,CX$3),Report_BM!$DI$6:$DI$73)</f>
        <v>0</v>
      </c>
      <c r="CT15" s="39">
        <f>SUMIF(Report_BM!$DP$6:$DP$73,CONCATENATE($C15,CX$3),Report_BM!$DJ$6:$DJ$73)</f>
        <v>0</v>
      </c>
      <c r="CU15" s="39">
        <f>SUMIF(Report_BM!$DP$6:$DP$73,CONCATENATE($C15,CX$3),Report_BM!$DK$6:$DK$73)</f>
        <v>0</v>
      </c>
      <c r="CV15" s="46">
        <f>SUMIF(Master_Data!$AK$152:$AK$864,CONCATENATE($C15,CX$3),Master_Data!$T$152:$T$864)</f>
        <v>0</v>
      </c>
      <c r="CW15" s="45">
        <f>SUMIF(Report_BM!$DP$6:$DP$73,CONCATENATE($C15,CX$3),Report_BM!$DM$6:$DM$73)</f>
        <v>0</v>
      </c>
      <c r="CX15" s="39">
        <f ca="1">SUMIF(Report_BM!$DP$6:$DP$73,CONCATENATE($C15,CX$3),Report_BM!$DN$6:$DN$73)</f>
        <v>50000000</v>
      </c>
      <c r="CY15" s="103"/>
      <c r="CZ15" s="104"/>
      <c r="DA15" s="104"/>
      <c r="DB15" s="104"/>
      <c r="DC15" s="104"/>
      <c r="DD15" s="104"/>
      <c r="DE15" s="45">
        <f>SUMIF(Report_BM!$EG$6:$EG$73,CONCATENATE($C15,DM$3),Report_BM!$DS$6:$DS$73)+SUMIF(Report_BM!$EG$6:$EG$73,CONCATENATE($C15,DM$3),Report_BM!$DV$6:$DV$73)</f>
        <v>0</v>
      </c>
      <c r="DF15" s="46">
        <f ca="1">SUMIF(Report_BM!$EG$6:$EG$73,CONCATENATE($C15,$DM$3),Report_BM!$DT$6:$DT$73)+SUMIF(Report_BM!$EG$6:$EG$73,CONCATENATE($C15,$DM$3),Report_BM!$DW$6:$DW$73)</f>
        <v>50000000</v>
      </c>
      <c r="DG15" s="45">
        <f>SUMIF(Report_BM!$EG$6:$EG$73,CONCATENATE($C15,DM$3),Report_BM!$DY$6:$DY$73)</f>
        <v>0</v>
      </c>
      <c r="DH15" s="39">
        <f>SUMIF(Report_BM!EG$6:EG$73,CONCATENATE($C15,DM$3),Report_BM!DZ$6:DZ$73)</f>
        <v>0</v>
      </c>
      <c r="DI15" s="39">
        <f>SUMIF(Report_BM!EG$6:EG$73,CONCATENATE($C15,DM$3),Report_BM!$EA$6:$EA$73)</f>
        <v>0</v>
      </c>
      <c r="DJ15" s="39">
        <f>SUMIF(Report_BM!EG$6:EG$73,CONCATENATE($C15,DM$3),Report_BM!$EB$6:$EB$73)</f>
        <v>0</v>
      </c>
      <c r="DK15" s="46">
        <f>SUMIF(Master_Data!$AK$152:$AK$864,CONCATENATE($C15,DM$3),Master_Data!$T$152:$T$864)</f>
        <v>0</v>
      </c>
      <c r="DL15" s="45">
        <f>SUMIF(Report_BM!EG$6:EG$73,CONCATENATE($C15,DM$3),Report_BM!ED$6:ED$73)</f>
        <v>0</v>
      </c>
      <c r="DM15" s="39">
        <f ca="1">SUMIF(Report_BM!EG$6:EG$73,CONCATENATE($C15,DM$3),Report_BM!EE$6:EE$73)</f>
        <v>50000000</v>
      </c>
      <c r="DN15" s="103"/>
      <c r="DO15" s="104"/>
      <c r="DP15" s="104"/>
      <c r="DQ15" s="104"/>
      <c r="DR15" s="104"/>
      <c r="DS15" s="104"/>
      <c r="DT15" s="45">
        <f>SUMIF(Report_BM!$EX$6:$EX$73,CONCATENATE($C15,EB$3),Report_BM!$EJ$6:$EJ$73)+SUMIF(Report_BM!$EX$6:$EX$73,CONCATENATE($C15,EB$3),Report_BM!$EM$6:$EM$73)</f>
        <v>0</v>
      </c>
      <c r="DU15" s="46">
        <f ca="1">SUMIF(Report_BM!$EX$6:$EX$73,CONCATENATE($C15,$EB$3),Report_BM!$EK$6:$EK$73)+SUMIF(Report_BM!$EX$6:$EX$73,CONCATENATE($C15,$EB$3),Report_BM!$EN$6:$EN$73)</f>
        <v>50000000</v>
      </c>
      <c r="DV15" s="45">
        <f>SUMIF(Report_BM!$EX$6:$EX$73,CONCATENATE($C15,EB$3),Report_BM!$EP$6:$EP$73)</f>
        <v>0</v>
      </c>
      <c r="DW15" s="39">
        <f>SUMIF(Report_BM!$EX$6:$EX$73,CONCATENATE($C15,EB$3),Report_BM!$EQ$6:$EQ$73)</f>
        <v>0</v>
      </c>
      <c r="DX15" s="39">
        <f>SUMIF(Report_BM!$EX$6:$EX$73,CONCATENATE($C15,EB$3),Report_BM!$ER$6:$ER$73)</f>
        <v>0</v>
      </c>
      <c r="DY15" s="39">
        <f>SUMIF(Report_BM!$EX$6:$EX$73,CONCATENATE($C15,EB$3),Report_BM!$ES$6:$ES$73)</f>
        <v>0</v>
      </c>
      <c r="DZ15" s="46">
        <f>SUMIF(Master_Data!$AK$152:$AK$864,CONCATENATE($C15,EB$3),Master_Data!$T$152:$T$864)</f>
        <v>0</v>
      </c>
      <c r="EA15" s="45">
        <f>SUMIF(Report_BM!EX$6:EX$73,CONCATENATE($C15,EB$3),Report_BM!EU$6:EU$73)</f>
        <v>0</v>
      </c>
      <c r="EB15" s="39">
        <f>SUMIF(Report_BM!EX$6:EX$73,CONCATENATE($C15,EB$3),Report_BM!EV$6:EV$73)</f>
        <v>0</v>
      </c>
      <c r="EC15" s="103"/>
      <c r="ED15" s="104"/>
      <c r="EE15" s="104"/>
      <c r="EF15" s="104"/>
      <c r="EG15" s="104"/>
      <c r="EH15" s="104"/>
      <c r="EI15" s="45">
        <f>SUMIF(Report_BM!$FO$6:$FO$73,CONCATENATE($C15,EQ$3),Report_BM!$FA$6:$FA$73)+SUMIF(Report_BM!$FO$6:$FO$73,CONCATENATE($C15,EQ$3),Report_BM!$FD$6:$FD$73)</f>
        <v>0</v>
      </c>
      <c r="EJ15" s="46">
        <f>SUMIF(Report_BM!$FO$6:$FO$73,CONCATENATE($C15,$EQ$3),Report_BM!$FB$6:$FB$73)+SUMIF(Report_BM!$FO$6:$FO$73,CONCATENATE($C15,$EQ$3),Report_BM!$FE$6:$FE$73)</f>
        <v>0</v>
      </c>
      <c r="EK15" s="45">
        <f>SUMIF(Report_BM!$FO$6:$FO$73,CONCATENATE($C15,EQ$3),Report_BM!$FG$6:$FG$73)</f>
        <v>0</v>
      </c>
      <c r="EL15" s="39">
        <f>SUMIF(Report_BM!$FO$6:$FO$73,CONCATENATE($C15,EQ$3),Report_BM!$FH$6:$FH$73)</f>
        <v>0</v>
      </c>
      <c r="EM15" s="39">
        <f>SUMIF(Report_BM!$FO$6:$FO$73,CONCATENATE($C15,EQ$3),Report_BM!$FI$6:$FI$73)</f>
        <v>0</v>
      </c>
      <c r="EN15" s="39">
        <f>SUMIF(Report_BM!$FO$6:$FO$73,CONCATENATE($C15,EQ$3),Report_BM!$FJ$6:$FJ$73)</f>
        <v>0</v>
      </c>
      <c r="EO15" s="46">
        <f>SUMIF(Master_Data!$AK$152:$AK$864,CONCATENATE($C15,EQ$3),Master_Data!$T$152:$T$864)</f>
        <v>0</v>
      </c>
      <c r="EP15" s="45">
        <f>SUMIF(Report_BM!FO$6:FO$73,CONCATENATE($C15,EQ$3),Report_BM!FL$6:FL$73)</f>
        <v>0</v>
      </c>
      <c r="EQ15" s="39">
        <f>SUMIF(Report_BM!FO$6:FO$73,CONCATENATE($C15,EQ$3),Report_BM!FM$6:FM$73)</f>
        <v>0</v>
      </c>
      <c r="ER15" s="103"/>
      <c r="ES15" s="104"/>
      <c r="ET15" s="104"/>
      <c r="EU15" s="104"/>
      <c r="EV15" s="104"/>
      <c r="EW15" s="104"/>
      <c r="EX15" s="45">
        <f>SUMIF(Report_BM!$GF$6:$GF$73,CONCATENATE($C15,FF$3),Report_BM!$FR$6:$FR$73)+SUMIF(Report_BM!$GF$6:$GF$73,CONCATENATE($C15,FF$3),Report_BM!$FU$6:$FU$73)</f>
        <v>0</v>
      </c>
      <c r="EY15" s="46">
        <f>SUMIF(Report_BM!$GF$6:$GF$73,CONCATENATE($C15,$FF$3),Report_BM!$FS$6:$FS$73)+SUMIF(Report_BM!$GF$6:$GF$73,CONCATENATE($C15,$FF$3),Report_BM!$FV$6:$FV$73)</f>
        <v>0</v>
      </c>
      <c r="EZ15" s="45">
        <f>SUMIF(Report_BM!$GF$6:$GF$73,CONCATENATE($C15,FF$3),Report_BM!$FX$6:$FX$73)</f>
        <v>0</v>
      </c>
      <c r="FA15" s="39">
        <f>SUMIF(Report_BM!$GF$6:$GF$73,CONCATENATE($C15,FF$3),Report_BM!$FY$6:$FY$73)</f>
        <v>0</v>
      </c>
      <c r="FB15" s="39">
        <f>SUMIF(Report_BM!$GF$6:$GF$73,CONCATENATE($C15,FF$3),Report_BM!$FZ$6:$FZ$73)</f>
        <v>0</v>
      </c>
      <c r="FC15" s="39">
        <f>SUMIF(Report_BM!$GF$6:$GF$73,CONCATENATE($C15,FF$3),Report_BM!$GA$6:$GA$73)</f>
        <v>0</v>
      </c>
      <c r="FD15" s="46">
        <f>SUMIF(Master_Data!$AK$152:$AK$864,CONCATENATE($C15,FF$3),Master_Data!$T$152:$T$864)</f>
        <v>0</v>
      </c>
      <c r="FE15" s="45">
        <f>SUMIF(Report_BM!GF$6:GF$73,CONCATENATE($C15,FF$3),Report_BM!GC$6:GC$73)</f>
        <v>0</v>
      </c>
      <c r="FF15" s="39">
        <f>SUMIF(Report_BM!GF$6:GF$73,CONCATENATE($C15,FF$3),Report_BM!GD$6:GD$73)</f>
        <v>0</v>
      </c>
      <c r="FG15" s="103"/>
      <c r="FH15" s="104"/>
      <c r="FI15" s="104"/>
      <c r="FJ15" s="104"/>
      <c r="FK15" s="104"/>
      <c r="FL15" s="104"/>
      <c r="FM15" s="45">
        <f>SUMIF(Report_BM!$GW$6:$GW$73,CONCATENATE($C15,FU$3),Report_BM!$GI$6:$GI$73)+SUMIF(Report_BM!$GW$6:$GW$73,CONCATENATE($C15,FU$3),Report_BM!$GL$6:$GL$73)</f>
        <v>0</v>
      </c>
      <c r="FN15" s="46">
        <f>SUMIF(Report_BM!$GW$6:$GW$73,CONCATENATE($C15,$FU$3),Report_BM!$GJ$6:$GJ$73)+SUMIF(Report_BM!$GW$6:$GW$73,CONCATENATE($C15,$FU$3),Report_BM!$GM$6:$GM$73)</f>
        <v>0</v>
      </c>
      <c r="FO15" s="45">
        <f>SUMIF(Report_BM!$GW$6:$GW$73,CONCATENATE($C15,FU$3),Report_BM!$GO$6:$GO$73)</f>
        <v>0</v>
      </c>
      <c r="FP15" s="39">
        <f>SUMIF(Report_BM!$GW$6:$GW$73,CONCATENATE($C15,FU$3),Report_BM!$GP$6:$GP$73)</f>
        <v>0</v>
      </c>
      <c r="FQ15" s="39">
        <f>SUMIF(Report_BM!$GW$6:$GW$73,CONCATENATE($C15,FU$3),Report_BM!$GQ$6:$GQ$73)</f>
        <v>0</v>
      </c>
      <c r="FR15" s="39">
        <f>SUMIF(Report_BM!$GW$6:$GW$73,CONCATENATE($C15,FU$3),Report_BM!$GR$6:$GR$73)</f>
        <v>0</v>
      </c>
      <c r="FS15" s="46">
        <f>SUMIF(Master_Data!$AK$152:$AK$864,CONCATENATE($C15,FU$3),Master_Data!$T$152:$T$864)</f>
        <v>0</v>
      </c>
      <c r="FT15" s="45">
        <f>SUMIF(Report_BM!GW$6:GW$73,CONCATENATE($C15,FU$3),Report_BM!GT$6:GT$73)</f>
        <v>0</v>
      </c>
      <c r="FU15" s="39">
        <f>SUMIF(Report_BM!GW$6:GW$73,CONCATENATE($C15,FU$3),Report_BM!GU$6:GU$73)</f>
        <v>0</v>
      </c>
      <c r="FV15" s="103"/>
      <c r="FW15" s="104"/>
      <c r="FX15" s="104"/>
      <c r="FY15" s="104"/>
      <c r="FZ15" s="104"/>
      <c r="GA15" s="104"/>
    </row>
    <row r="16" spans="1:183" s="40" customFormat="1" ht="14.1" customHeight="1">
      <c r="A16" s="9">
        <v>10</v>
      </c>
      <c r="B16" s="328" t="s">
        <v>1665</v>
      </c>
      <c r="C16" s="8" t="s">
        <v>1625</v>
      </c>
      <c r="D16" s="45">
        <f>SUMIF(Report_BM!$B$6:$B$73,CONCATENATE($C16,L$3),Report_BM!$E$6:$E$73)+SUMIF(Report_BM!$B$6:$B$73,CONCATENATE($C16,L$3),Report_BM!$H$6:$H$73)</f>
        <v>0</v>
      </c>
      <c r="E16" s="276">
        <f>SUMIF(Report_BM!$B$6:$B$73,CONCATENATE($C16,L$3),Report_BM!$F$6:$F$73)+SUMIF(Report_BM!$B$6:$B$73,CONCATENATE($C16,L$3),Report_BM!$I$6:$I$73)</f>
        <v>53415450</v>
      </c>
      <c r="F16" s="45">
        <f>SUMIF(Report_BM!$B$6:$B$73,CONCATENATE($C16,L$3),Report_BM!$K$6:$K$73)</f>
        <v>0</v>
      </c>
      <c r="G16" s="39">
        <f>SUMIF(Report_BM!$B$6:$B$73,CONCATENATE($C16,$L$3),Report_BM!$L$6:$L$73)</f>
        <v>0</v>
      </c>
      <c r="H16" s="39">
        <f>SUMIF(Report_BM!$B$6:$B$73,CONCATENATE($C16,$L$3),Report_BM!$M$6:$M$73)</f>
        <v>53032110</v>
      </c>
      <c r="I16" s="39">
        <f>SUMIF(Report_BM!$B$6:$B$73,CONCATENATE($C16,$L$3),Report_BM!$N$6:$N$73)</f>
        <v>0</v>
      </c>
      <c r="J16" s="46">
        <f>SUMIF(Report_BM!$B$6:$B$73,CONCATENATE($C16,$L$3),Report_BM!$O$6:$O$73)</f>
        <v>-383540</v>
      </c>
      <c r="K16" s="45">
        <f>SUMIF(Report_BM!$B$6:$B$73,CONCATENATE($C16,$L$3),Report_BM!$P$6:$P$73)</f>
        <v>0</v>
      </c>
      <c r="L16" s="39">
        <f>SUMIF(Report_BM!$B$6:$B$73,CONCATENATE($C16,$L$3),Report_BM!$Q$6:$Q$73)</f>
        <v>-200</v>
      </c>
      <c r="M16" s="103"/>
      <c r="N16" s="104"/>
      <c r="O16" s="104"/>
      <c r="P16" s="104"/>
      <c r="Q16" s="104"/>
      <c r="R16" s="104"/>
      <c r="S16" s="45">
        <f>SUMIF(Report_BM!$AI$8:$AI$72,CONCATENATE($C16,AA$3),Report_BM!$U$8:$U$72)+SUMIF(Report_BM!$AI$8:$AI$72,CONCATENATE($C16,AA$3),Report_BM!$X$8:$X$72)</f>
        <v>0</v>
      </c>
      <c r="T16" s="276">
        <f>SUMIF(Report_BM!$AI$8:$AI$72,CONCATENATE($C16,AA$3),Report_BM!$V$8:$V$72)+SUMIF(Report_BM!$AI$8:$AI$72,CONCATENATE($C16,AA$3),Report_BM!$Y$8:$Y$72)</f>
        <v>-200</v>
      </c>
      <c r="U16" s="45">
        <f>SUMIF(Report_BM!$AI$8:$AI$72,CONCATENATE($C16,AA$3),Report_BM!$AA$8:$AB$72)</f>
        <v>0</v>
      </c>
      <c r="V16" s="39">
        <f>SUMIF(Report_BM!$AI$8:$AI$72,CONCATENATE($C16,$AA$3),Report_BM!$AB$8:$AB$72)</f>
        <v>0</v>
      </c>
      <c r="W16" s="39">
        <f>SUMIF(Report_BM!$AI$8:$AI$72,CONCATENATE($C16,$AA$3),Report_BM!$AC$8:$AC$72)</f>
        <v>0</v>
      </c>
      <c r="X16" s="39">
        <f ca="1">SUMIF(Report_BM!$AI$7:$AI$73,CONCATENATE($C16,$AA$3),Report_BM!$AD$7:$AD$73)</f>
        <v>0</v>
      </c>
      <c r="Y16" s="46">
        <f>SUMIF(Master_Data!$AK$152:$AK$864,CONCATENATE($C16,AA$3),Master_Data!$T$152:$T$864)</f>
        <v>0</v>
      </c>
      <c r="Z16" s="45">
        <f>SUMIF(Report_BM!$AI$8:$AI$72,CONCATENATE($C16,$AA$3),Report_BM!$AF$8:$AF$72)</f>
        <v>0</v>
      </c>
      <c r="AA16" s="39">
        <f ca="1">SUMIF(Report_BM!$AI$8:$AI$72,CONCATENATE($C16,$AA$3),Report_BM!$AG$8:$AG$72)</f>
        <v>-200</v>
      </c>
      <c r="AB16" s="103"/>
      <c r="AC16" s="104"/>
      <c r="AD16" s="104"/>
      <c r="AE16" s="104"/>
      <c r="AF16" s="104"/>
      <c r="AG16" s="104"/>
      <c r="AH16" s="45">
        <f>SUMIF(Report_BM!$AZ$5:$AZ$72,CONCATENATE($C16,AP$3),Report_BM!$AL$5:$AL$72)+SUMIF(Report_BM!$AZ$5:$AZ$72,CONCATENATE($C16,AP$3),Report_BM!$AO$5:$AO$72)</f>
        <v>0</v>
      </c>
      <c r="AI16" s="46">
        <f ca="1">SUMIF(Report_BM!$AZ$5:$AZ$72,CONCATENATE($C16,$AP$3),Report_BM!$AM$5:$AM$72)+SUMIF(Report_BM!$AZ$5:$AZ$72,CONCATENATE($C16,$AP$3),Report_BM!$AP$5:$AP$72)</f>
        <v>-200</v>
      </c>
      <c r="AJ16" s="45">
        <f>SUMIF(Report_BM!$AZ$5:$AZ$72,CONCATENATE($C16,$AP$3),Report_BM!$AR$5:$AR$72)</f>
        <v>0</v>
      </c>
      <c r="AK16" s="39">
        <f>SUMIF(Report_BM!$AZ$5:$AZ$72,CONCATENATE($C16,$AP$3),Report_BM!$AS$5:$AS$72)</f>
        <v>0</v>
      </c>
      <c r="AL16" s="39">
        <f>SUMIF(Report_BM!$AZ$5:$AZ$72,CONCATENATE($C16,$AP$3),Report_BM!$AT$5:$AT$72)</f>
        <v>0</v>
      </c>
      <c r="AM16" s="39">
        <f ca="1">SUMIF(Report_BM!$AZ$5:$AZ$72,CONCATENATE($C16,$AP$3),Report_BM!$AU$5:$AU$72)</f>
        <v>0</v>
      </c>
      <c r="AN16" s="46">
        <f>SUMIF(Master_Data!$AK$152:$AK$915,CONCATENATE($C16,AP$3),Master_Data!$T$152:$T$915)</f>
        <v>0</v>
      </c>
      <c r="AO16" s="45">
        <f>SUMIF(Report_BM!$AZ$5:$AZ$72,CONCATENATE($C16,$AP$3),Report_BM!$AW$5:$AW$72)</f>
        <v>0</v>
      </c>
      <c r="AP16" s="39">
        <f ca="1">SUMIF(Report_BM!$AZ$5:$AZ$72,CONCATENATE($C16,$AP$3),Report_BM!$AX$5:$AX$72)</f>
        <v>-200</v>
      </c>
      <c r="AQ16" s="103"/>
      <c r="AR16" s="104"/>
      <c r="AS16" s="104"/>
      <c r="AT16" s="104"/>
      <c r="AU16" s="104"/>
      <c r="AV16" s="104"/>
      <c r="AW16" s="45">
        <f>SUMIF(Report_BM!$BQ$6:$BQ$73,CONCATENATE($C16,BE$3),Report_BM!$BC$6:$BC$73)+SUMIF(Report_BM!$BQ$6:$BQ$73,CONCATENATE($C16,BE$3),Report_BM!$BF$6:$BF$73)</f>
        <v>0</v>
      </c>
      <c r="AX16" s="46">
        <f ca="1">SUMIF(Report_BM!$BQ$6:$BQ$73,CONCATENATE($C16,$BE$3),Report_BM!$BD$6:$BD$73)+SUMIF(Report_BM!$BQ$6:$BQ$73,CONCATENATE($C16,$BE$3),Report_BM!$BG$6:$BG$73)</f>
        <v>-200</v>
      </c>
      <c r="AY16" s="45">
        <f>SUMIF(Report_BM!$BQ$6:$BQ$73,CONCATENATE($C16,BE$3),Report_BM!$BI$6:$BI$73)</f>
        <v>0</v>
      </c>
      <c r="AZ16" s="39">
        <f>SUMIF(Report_BM!$BQ$6:$BQ$73,CONCATENATE($C16,BE$3),Report_BM!$BJ$6:$BJ$73)</f>
        <v>0</v>
      </c>
      <c r="BA16" s="39">
        <f>SUMIF(Report_BM!$BQ$6:$BQ$73,CONCATENATE($C16,BE$3),Report_BM!$BK$6:$BK$73)</f>
        <v>0</v>
      </c>
      <c r="BB16" s="39">
        <f>SUMIF(Report_BM!$BQ$6:$BQ$73,CONCATENATE($C16,BE$3),Report_BM!$BL$6:$BL$73)</f>
        <v>0</v>
      </c>
      <c r="BC16" s="46">
        <f>SUMIF(Master_Data!$AK$152:$AK$864,CONCATENATE($C16,BE$3),Master_Data!$T$152:$T$864)</f>
        <v>0</v>
      </c>
      <c r="BD16" s="45">
        <f>SUMIF(Report_BM!$BQ$6:$BQ$73,CONCATENATE($C16,BE$3),Report_BM!$BN$6:$BN$73)</f>
        <v>0</v>
      </c>
      <c r="BE16" s="39">
        <f ca="1">SUMIF(Report_BM!$BQ$6:$BQ$73,CONCATENATE($C16,BE$3),Report_BM!$BO$6:$BO$73)</f>
        <v>-200</v>
      </c>
      <c r="BF16" s="103"/>
      <c r="BG16" s="104"/>
      <c r="BH16" s="104"/>
      <c r="BI16" s="104"/>
      <c r="BJ16" s="104"/>
      <c r="BK16" s="104"/>
      <c r="BL16" s="45">
        <f>SUMIF(Report_BM!$CH$6:$CH$73,CONCATENATE($C16,BT$3),Report_BM!$BT$6:$BT$73)+SUMIF(Report_BM!$CH$6:$CH$73,CONCATENATE($C16,BT$3),Report_BM!$BW$6:$BW$73)</f>
        <v>0</v>
      </c>
      <c r="BM16" s="46" t="e">
        <f ca="1">SUMIF(Report_BM!$CH$6:$CH$73,CONCATENATE($C16,$BT$3),Report_BM!$BU$6:$BU$73)+SUMIF(Report_BM!$CH$6:$CH$73,CONCATENATE($C16,$BT$3),Report_BM!$BX$6:$BX$73)</f>
        <v>#VALUE!</v>
      </c>
      <c r="BN16" s="45">
        <f>SUMIF(Report_BM!$CH$6:$CH$73,CONCATENATE($C16,BT$3),Report_BM!$BZ$6:$BZ$73)</f>
        <v>0</v>
      </c>
      <c r="BO16" s="39">
        <f>SUMIF(Report_BM!$CH$6:$CH$73,CONCATENATE($C16,BT$3),Report_BM!$CA$6:$CA$73)</f>
        <v>0</v>
      </c>
      <c r="BP16" s="39">
        <f>SUMIF(Report_BM!$CH$6:$CH$73,CONCATENATE($C16,BT$3),Report_BM!$CB$6:$CB$73)</f>
        <v>15120000</v>
      </c>
      <c r="BQ16" s="39">
        <f>SUMIF(Report_BM!$CH$6:$CH$73,CONCATENATE($C16,BT$3),Report_BM!$CC$6:$CC$73)</f>
        <v>0</v>
      </c>
      <c r="BR16" s="46">
        <f>SUMIF(Master_Data!$AK$152:$AK$864,CONCATENATE($C16,BT$3),Master_Data!$T$152:$T$864)</f>
        <v>-280000</v>
      </c>
      <c r="BS16" s="45">
        <f>SUMIF(Report_BM!$CH$6:$CH$73,CONCATENATE($C16,BT$3),Report_BM!$CE$6:$CE$73)</f>
        <v>0</v>
      </c>
      <c r="BT16" s="39" t="e">
        <f ca="1">SUMIF(Report_BM!$CH$6:$CH$73,CONCATENATE($C16,BT$3),Report_BM!$CF$6:$CF$73)</f>
        <v>#VALUE!</v>
      </c>
      <c r="BU16" s="103"/>
      <c r="BV16" s="104"/>
      <c r="BW16" s="104"/>
      <c r="BX16" s="104"/>
      <c r="BY16" s="104"/>
      <c r="BZ16" s="104"/>
      <c r="CA16" s="45">
        <f>SUMIF(Report_BM!$CY$6:$CY$73,CONCATENATE($C16,CI$3),Report_BM!$CK$6:$CK$73)+SUMIF(Report_BM!$CY$6:$CY$73,CONCATENATE($C16,CI$3),Report_BM!$CN$6:$CN$73)</f>
        <v>0</v>
      </c>
      <c r="CB16" s="46" t="e">
        <f ca="1">SUMIF(Report_BM!$CY$6:$CY$73,CONCATENATE($C16,$CI$3),Report_BM!$CL$6:$CL$73)+SUMIF(Report_BM!$CY$6:$CY$73,CONCATENATE($C16,$CI$3),Report_BM!$CO$6:$CO$73)</f>
        <v>#VALUE!</v>
      </c>
      <c r="CC16" s="45">
        <f>SUMIF(Report_BM!$CY$6:$CY$73,CONCATENATE($C16,CI$3),Report_BM!$CQ$6:$CQ$73)</f>
        <v>0</v>
      </c>
      <c r="CD16" s="39">
        <f>SUMIF(Report_BM!$CY$6:$CY$73,CONCATENATE($C16,CI$3),Report_BM!$CR$6:$CR$73)</f>
        <v>0</v>
      </c>
      <c r="CE16" s="39">
        <f>SUMIF(Report_BM!$CY$6:$CY$73,CONCATENATE($C16,CI$3),Report_BM!$CS$6:$CS$73)</f>
        <v>0</v>
      </c>
      <c r="CF16" s="39">
        <f ca="1">SUMIF(Report_BM!$CY$6:$CY$73,CONCATENATE($C16,CI$3),Report_BM!$CT$6:$CT$73)</f>
        <v>0</v>
      </c>
      <c r="CG16" s="46">
        <f>SUMIF(Report_BM!$CY$6:$CY$73,CONCATENATE($C16,CI$3),Report_BM!$CU$6:$CU$73)</f>
        <v>0</v>
      </c>
      <c r="CH16" s="45">
        <f>SUMIF(Report_BM!$CY$6:$CY$73,CONCATENATE($C16,CI$3),Report_BM!$CV$6:$CV$73)</f>
        <v>0</v>
      </c>
      <c r="CI16" s="39" t="e">
        <f ca="1">SUMIF(Report_BM!$CY$6:$CY$73,CONCATENATE($C16,CI$3),Report_BM!$CW$6:$CW$73)</f>
        <v>#VALUE!</v>
      </c>
      <c r="CJ16" s="103"/>
      <c r="CK16" s="104"/>
      <c r="CL16" s="104"/>
      <c r="CM16" s="104"/>
      <c r="CN16" s="104"/>
      <c r="CO16" s="104"/>
      <c r="CP16" s="45">
        <f>SUMIF(Report_BM!$DP$6:$DP$73,CONCATENATE($C16,CX$3),Report_BM!$DB$6:$DB$73)+SUMIF(Report_BM!$DP$6:$DP$73,CONCATENATE($C16,CX$3),Report_BM!$DE$6:$DE$73)</f>
        <v>0</v>
      </c>
      <c r="CQ16" s="46" t="e">
        <f ca="1">SUMIF(Report_BM!$DP$6:$DP$73,CONCATENATE($C16,$CX$3),Report_BM!$DC$6:$DC$73)+SUMIF(Report_BM!$DP$6:$DP$73,CONCATENATE($C16,$CX$3),Report_BM!$DF$6:$DF$73)</f>
        <v>#VALUE!</v>
      </c>
      <c r="CR16" s="45">
        <f>SUMIF(Report_BM!$DP$6:$DP$73,CONCATENATE($C16,CX$3),Report_BM!$DH$6:$DH$73)</f>
        <v>0</v>
      </c>
      <c r="CS16" s="39">
        <f>SUMIF(Report_BM!$DP$6:$DP$73,CONCATENATE($C16,CX$3),Report_BM!$DI$6:$DI$73)</f>
        <v>0</v>
      </c>
      <c r="CT16" s="39">
        <f>SUMIF(Report_BM!$DP$6:$DP$73,CONCATENATE($C16,CX$3),Report_BM!$DJ$6:$DJ$73)</f>
        <v>0</v>
      </c>
      <c r="CU16" s="39">
        <f>SUMIF(Report_BM!$DP$6:$DP$73,CONCATENATE($C16,CX$3),Report_BM!$DK$6:$DK$73)</f>
        <v>0</v>
      </c>
      <c r="CV16" s="46">
        <f>SUMIF(Master_Data!$AK$152:$AK$864,CONCATENATE($C16,CX$3),Master_Data!$T$152:$T$864)</f>
        <v>0</v>
      </c>
      <c r="CW16" s="45">
        <f>SUMIF(Report_BM!$DP$6:$DP$73,CONCATENATE($C16,CX$3),Report_BM!$DM$6:$DM$73)</f>
        <v>0</v>
      </c>
      <c r="CX16" s="39" t="e">
        <f ca="1">SUMIF(Report_BM!$DP$6:$DP$73,CONCATENATE($C16,CX$3),Report_BM!$DN$6:$DN$73)</f>
        <v>#VALUE!</v>
      </c>
      <c r="CY16" s="103"/>
      <c r="CZ16" s="104"/>
      <c r="DA16" s="104"/>
      <c r="DB16" s="104"/>
      <c r="DC16" s="104"/>
      <c r="DD16" s="104"/>
      <c r="DE16" s="45"/>
      <c r="DF16" s="46"/>
      <c r="DG16" s="45"/>
      <c r="DH16" s="39"/>
      <c r="DI16" s="39"/>
      <c r="DJ16" s="39">
        <f>SUMIF(Report_BM!EG$6:EG$73,CONCATENATE($C16,DM$3),Report_BM!$EB$6:$EB$73)</f>
        <v>0</v>
      </c>
      <c r="DK16" s="46">
        <f>SUMIF(Master_Data!$AK$152:$AK$864,CONCATENATE($C16,DM$3),Master_Data!$T$152:$T$864)</f>
        <v>-1198620</v>
      </c>
      <c r="DL16" s="45"/>
      <c r="DM16" s="39"/>
      <c r="DN16" s="103"/>
      <c r="DO16" s="104"/>
      <c r="DP16" s="104"/>
      <c r="DQ16" s="104"/>
      <c r="DR16" s="104"/>
      <c r="DS16" s="104"/>
      <c r="DT16" s="45"/>
      <c r="DU16" s="46"/>
      <c r="DV16" s="45"/>
      <c r="DW16" s="39"/>
      <c r="DX16" s="39"/>
      <c r="DY16" s="39">
        <f>SUMIF(Report_BM!$EX$6:$EX$73,CONCATENATE($C16,EB$3),Report_BM!$ES$6:$ES$73)</f>
        <v>0</v>
      </c>
      <c r="DZ16" s="46">
        <f>SUMIF(Master_Data!$AK$152:$AK$864,CONCATENATE($C16,EB$3),Master_Data!$T$152:$T$864)</f>
        <v>0</v>
      </c>
      <c r="EA16" s="45"/>
      <c r="EB16" s="39"/>
      <c r="EC16" s="103"/>
      <c r="ED16" s="104"/>
      <c r="EE16" s="104"/>
      <c r="EF16" s="104"/>
      <c r="EG16" s="104"/>
      <c r="EH16" s="104"/>
      <c r="EI16" s="45"/>
      <c r="EJ16" s="46"/>
      <c r="EK16" s="45"/>
      <c r="EL16" s="39"/>
      <c r="EM16" s="39"/>
      <c r="EN16" s="39">
        <f>SUMIF(Report_BM!$FO$6:$FO$73,CONCATENATE($C16,EQ$3),Report_BM!$FJ$6:$FJ$73)</f>
        <v>0</v>
      </c>
      <c r="EO16" s="46">
        <f>SUMIF(Master_Data!$AK$152:$AK$864,CONCATENATE($C16,EQ$3),Master_Data!$T$152:$T$864)</f>
        <v>0</v>
      </c>
      <c r="EP16" s="45"/>
      <c r="EQ16" s="39"/>
      <c r="ER16" s="103"/>
      <c r="ES16" s="104"/>
      <c r="ET16" s="104"/>
      <c r="EU16" s="104"/>
      <c r="EV16" s="104"/>
      <c r="EW16" s="104"/>
      <c r="EX16" s="45">
        <f>SUMIF(Report_BM!$GF$6:$GF$73,CONCATENATE($C16,FF$3),Report_BM!$FR$6:$FR$73)+SUMIF(Report_BM!$GF$6:$GF$73,CONCATENATE($C16,FF$3),Report_BM!$FU$6:$FU$73)</f>
        <v>0</v>
      </c>
      <c r="EY16" s="46">
        <f>SUMIF(Report_BM!$GF$6:$GF$73,CONCATENATE($C16,$FF$3),Report_BM!$FS$6:$FS$73)+SUMIF(Report_BM!$GF$6:$GF$73,CONCATENATE($C16,$FF$3),Report_BM!$FV$6:$FV$73)</f>
        <v>0</v>
      </c>
      <c r="EZ16" s="45">
        <f>SUMIF(Report_BM!$GF$6:$GF$73,CONCATENATE($C16,FF$3),Report_BM!$FX$6:$FX$73)</f>
        <v>0</v>
      </c>
      <c r="FA16" s="39">
        <f>SUMIF(Report_BM!$GF$6:$GF$73,CONCATENATE($C16,FF$3),Report_BM!$FY$6:$FY$73)</f>
        <v>0</v>
      </c>
      <c r="FB16" s="39">
        <f>SUMIF(Report_BM!$GF$6:$GF$73,CONCATENATE($C16,FF$3),Report_BM!$FZ$6:$FZ$73)</f>
        <v>0</v>
      </c>
      <c r="FC16" s="39">
        <f>SUMIF(Report_BM!$GF$6:$GF$73,CONCATENATE($C16,FF$3),Report_BM!$GA$6:$GA$73)</f>
        <v>0</v>
      </c>
      <c r="FD16" s="46">
        <f>SUMIF(Master_Data!$AK$152:$AK$864,CONCATENATE($C16,FF$3),Master_Data!$T$152:$T$864)</f>
        <v>0</v>
      </c>
      <c r="FE16" s="45">
        <f>SUMIF(Report_BM!GF$6:GF$73,CONCATENATE($C16,FF$3),Report_BM!GC$6:GC$73)</f>
        <v>0</v>
      </c>
      <c r="FF16" s="39">
        <f>SUMIF(Report_BM!GF$6:GF$73,CONCATENATE($C16,FF$3),Report_BM!GD$6:GD$73)</f>
        <v>0</v>
      </c>
      <c r="FG16" s="103"/>
      <c r="FH16" s="104"/>
      <c r="FI16" s="104"/>
      <c r="FJ16" s="104"/>
      <c r="FK16" s="104"/>
      <c r="FL16" s="104"/>
      <c r="FM16" s="45">
        <f>SUMIF(Report_BM!$GW$6:$GW$73,CONCATENATE($C16,FU$3),Report_BM!$GI$6:$GI$73)+SUMIF(Report_BM!$GW$6:$GW$73,CONCATENATE($C16,FU$3),Report_BM!$GL$6:$GL$73)</f>
        <v>0</v>
      </c>
      <c r="FN16" s="46" t="e">
        <f>SUMIF(Report_BM!$GW$6:$GW$73,CONCATENATE($C16,$FU$3),Report_BM!$GJ$6:$GJ$73)+SUMIF(Report_BM!$GW$6:$GW$73,CONCATENATE($C16,$FU$3),Report_BM!$GM$6:$GM$73)</f>
        <v>#VALUE!</v>
      </c>
      <c r="FO16" s="45">
        <f>SUMIF(Report_BM!$GW$6:$GW$73,CONCATENATE($C16,FU$3),Report_BM!$GO$6:$GO$73)</f>
        <v>0</v>
      </c>
      <c r="FP16" s="39">
        <f>SUMIF(Report_BM!$GW$6:$GW$73,CONCATENATE($C16,FU$3),Report_BM!$GP$6:$GP$73)</f>
        <v>0</v>
      </c>
      <c r="FQ16" s="39">
        <f>SUMIF(Report_BM!$GW$6:$GW$73,CONCATENATE($C16,FU$3),Report_BM!$GQ$6:$GQ$73)</f>
        <v>0</v>
      </c>
      <c r="FR16" s="39">
        <f>SUMIF(Report_BM!$GW$6:$GW$73,CONCATENATE($C16,FU$3),Report_BM!$GR$6:$GR$73)</f>
        <v>0</v>
      </c>
      <c r="FS16" s="46">
        <f>SUMIF(Master_Data!$AK$152:$AK$864,CONCATENATE($C16,FU$3),Master_Data!$T$152:$T$864)</f>
        <v>0</v>
      </c>
      <c r="FT16" s="45">
        <f>SUMIF(Report_BM!GW$6:GW$73,CONCATENATE($C16,FU$3),Report_BM!GT$6:GT$73)</f>
        <v>0</v>
      </c>
      <c r="FU16" s="39" t="e">
        <f>SUMIF(Report_BM!GW$6:GW$73,CONCATENATE($C16,FU$3),Report_BM!GU$6:GU$73)</f>
        <v>#VALUE!</v>
      </c>
      <c r="FV16" s="103"/>
      <c r="FW16" s="104"/>
      <c r="FX16" s="104"/>
      <c r="FY16" s="104"/>
      <c r="FZ16" s="104"/>
      <c r="GA16" s="104"/>
    </row>
    <row r="17" spans="1:183" s="40" customFormat="1" ht="14.1" customHeight="1">
      <c r="A17" s="9">
        <v>11</v>
      </c>
      <c r="B17" s="328" t="s">
        <v>27</v>
      </c>
      <c r="C17" s="323" t="s">
        <v>49</v>
      </c>
      <c r="D17" s="45">
        <f>SUMIF(Report_BM!$B$6:$B$73,CONCATENATE($C17,L$3),Report_BM!$E$6:$E$73)+SUMIF(Report_BM!$B$6:$B$73,CONCATENATE($C17,L$3),Report_BM!$H$6:$H$73)</f>
        <v>0</v>
      </c>
      <c r="E17" s="276" t="e">
        <f>SUMIF(Report_BM!$B$6:$B$73,CONCATENATE($C17,L$3),Report_BM!$F$6:$F$73)+SUMIF(Report_BM!$B$6:$B$73,CONCATENATE($C17,L$3),Report_BM!$I$6:$I$73)</f>
        <v>#VALUE!</v>
      </c>
      <c r="F17" s="45">
        <f>SUMIF(Report_BM!$B$6:$B$73,CONCATENATE($C17,L$3),Report_BM!$K$6:$K$73)</f>
        <v>0</v>
      </c>
      <c r="G17" s="39">
        <f>SUMIF(Report_BM!$B$6:$B$73,CONCATENATE($C17,$L$3),Report_BM!$L$6:$L$73)</f>
        <v>0</v>
      </c>
      <c r="H17" s="39">
        <f>SUMIF(Report_BM!$B$6:$B$73,CONCATENATE($C17,$L$3),Report_BM!$M$6:$M$73)</f>
        <v>29777177</v>
      </c>
      <c r="I17" s="39">
        <f>SUMIF(Report_BM!$B$6:$B$73,CONCATENATE($C17,$L$3),Report_BM!$N$6:$N$73)</f>
        <v>0</v>
      </c>
      <c r="J17" s="46">
        <f>SUMIF(Report_BM!$B$6:$B$73,CONCATENATE($C17,$L$3),Report_BM!$O$6:$O$73)</f>
        <v>-551429.19999999995</v>
      </c>
      <c r="K17" s="45">
        <f>SUMIF(Report_BM!$B$6:$B$73,CONCATENATE($C17,$L$3),Report_BM!$P$6:$P$73)</f>
        <v>0</v>
      </c>
      <c r="L17" s="39" t="e">
        <f>SUMIF(Report_BM!$B$6:$B$73,CONCATENATE($C17,$L$3),Report_BM!$Q$6:$Q$73)</f>
        <v>#VALUE!</v>
      </c>
      <c r="M17" s="103"/>
      <c r="N17" s="104"/>
      <c r="O17" s="104"/>
      <c r="P17" s="104"/>
      <c r="Q17" s="104"/>
      <c r="R17" s="104"/>
      <c r="S17" s="45">
        <f>SUMIF(Report_BM!$AI$8:$AI$72,CONCATENATE($C17,AA$3),Report_BM!$U$8:$U$72)+SUMIF(Report_BM!$AI$8:$AI$72,CONCATENATE($C17,AA$3),Report_BM!$X$8:$X$72)</f>
        <v>0</v>
      </c>
      <c r="T17" s="276" t="e">
        <f>SUMIF(Report_BM!$AI$8:$AI$72,CONCATENATE($C17,AA$3),Report_BM!$V$8:$V$72)+SUMIF(Report_BM!$AI$8:$AI$72,CONCATENATE($C17,AA$3),Report_BM!$Y$8:$Y$72)</f>
        <v>#VALUE!</v>
      </c>
      <c r="U17" s="45">
        <f>SUMIF(Report_BM!$AI$8:$AI$72,CONCATENATE($C17,AA$3),Report_BM!$AA$8:$AB$72)</f>
        <v>0</v>
      </c>
      <c r="V17" s="39">
        <f>SUMIF(Report_BM!$AI$8:$AI$72,CONCATENATE($C17,$AA$3),Report_BM!$AB$8:$AB$72)</f>
        <v>0</v>
      </c>
      <c r="W17" s="39">
        <f>SUMIF(Report_BM!$AI$8:$AI$72,CONCATENATE($C17,$AA$3),Report_BM!$AC$8:$AC$72)</f>
        <v>29345274</v>
      </c>
      <c r="X17" s="39">
        <f ca="1">SUMIF(Report_BM!$AI$7:$AI$73,CONCATENATE($C17,$AA$3),Report_BM!$AD$7:$AD$73)</f>
        <v>0</v>
      </c>
      <c r="Y17" s="46">
        <f>SUMIF(Master_Data!$AK$152:$AK$864,CONCATENATE($C17,AA$3),Master_Data!$T$152:$T$864)</f>
        <v>-543431</v>
      </c>
      <c r="Z17" s="45">
        <f>SUMIF(Report_BM!$AI$8:$AI$72,CONCATENATE($C17,$AA$3),Report_BM!$AF$8:$AF$72)</f>
        <v>0</v>
      </c>
      <c r="AA17" s="39" t="e">
        <f ca="1">SUMIF(Report_BM!$AI$8:$AI$72,CONCATENATE($C17,$AA$3),Report_BM!$AG$8:$AG$72)</f>
        <v>#VALUE!</v>
      </c>
      <c r="AB17" s="103"/>
      <c r="AC17" s="104"/>
      <c r="AD17" s="104"/>
      <c r="AE17" s="104"/>
      <c r="AF17" s="104"/>
      <c r="AG17" s="104"/>
      <c r="AH17" s="45">
        <f>SUMIF(Report_BM!$AZ$5:$AZ$72,CONCATENATE($C17,AP$3),Report_BM!$AL$5:$AL$72)+SUMIF(Report_BM!$AZ$5:$AZ$72,CONCATENATE($C17,AP$3),Report_BM!$AO$5:$AO$72)</f>
        <v>0</v>
      </c>
      <c r="AI17" s="46" t="e">
        <f ca="1">SUMIF(Report_BM!$AZ$5:$AZ$72,CONCATENATE($C17,$AP$3),Report_BM!$AM$5:$AM$72)+SUMIF(Report_BM!$AZ$5:$AZ$72,CONCATENATE($C17,$AP$3),Report_BM!$AP$5:$AP$72)</f>
        <v>#VALUE!</v>
      </c>
      <c r="AJ17" s="45">
        <f>SUMIF(Report_BM!$AZ$5:$AZ$72,CONCATENATE($C17,$AP$3),Report_BM!$AR$5:$AR$72)</f>
        <v>0</v>
      </c>
      <c r="AK17" s="39">
        <f>SUMIF(Report_BM!$AZ$5:$AZ$72,CONCATENATE($C17,$AP$3),Report_BM!$AS$5:$AS$72)</f>
        <v>0</v>
      </c>
      <c r="AL17" s="39">
        <f>SUMIF(Report_BM!$AZ$5:$AZ$72,CONCATENATE($C17,$AP$3),Report_BM!$AT$5:$AT$72)</f>
        <v>32218748</v>
      </c>
      <c r="AM17" s="39">
        <f ca="1">SUMIF(Report_BM!$AZ$5:$AZ$72,CONCATENATE($C17,$AP$3),Report_BM!$AU$5:$AU$72)</f>
        <v>0</v>
      </c>
      <c r="AN17" s="46">
        <f>SUMIF(Master_Data!$AK$152:$AK$915,CONCATENATE($C17,AP$3),Master_Data!$T$152:$T$915)</f>
        <v>-541969.4</v>
      </c>
      <c r="AO17" s="45">
        <f>SUMIF(Report_BM!$AZ$5:$AZ$72,CONCATENATE($C17,$AP$3),Report_BM!$AW$5:$AW$72)</f>
        <v>0</v>
      </c>
      <c r="AP17" s="39" t="e">
        <f ca="1">SUMIF(Report_BM!$AZ$5:$AZ$72,CONCATENATE($C17,$AP$3),Report_BM!$AX$5:$AX$72)</f>
        <v>#VALUE!</v>
      </c>
      <c r="AQ17" s="103"/>
      <c r="AR17" s="104"/>
      <c r="AS17" s="104"/>
      <c r="AT17" s="104"/>
      <c r="AU17" s="104"/>
      <c r="AV17" s="104"/>
      <c r="AW17" s="45">
        <f>SUMIF(Report_BM!$BQ$6:$BQ$73,CONCATENATE($C17,BE$3),Report_BM!$BC$6:$BC$73)+SUMIF(Report_BM!$BQ$6:$BQ$73,CONCATENATE($C17,BE$3),Report_BM!$BF$6:$BF$73)</f>
        <v>0</v>
      </c>
      <c r="AX17" s="46" t="e">
        <f ca="1">SUMIF(Report_BM!$BQ$6:$BQ$73,CONCATENATE($C17,$BE$3),Report_BM!$BD$6:$BD$73)+SUMIF(Report_BM!$BQ$6:$BQ$73,CONCATENATE($C17,$BE$3),Report_BM!$BG$6:$BG$73)</f>
        <v>#VALUE!</v>
      </c>
      <c r="AY17" s="45">
        <f>SUMIF(Report_BM!$BQ$6:$BQ$73,CONCATENATE($C17,BE$3),Report_BM!$BI$6:$BI$73)</f>
        <v>0</v>
      </c>
      <c r="AZ17" s="39">
        <f>SUMIF(Report_BM!$BQ$6:$BQ$73,CONCATENATE($C17,BE$3),Report_BM!$BJ$6:$BJ$73)</f>
        <v>0</v>
      </c>
      <c r="BA17" s="39">
        <f>SUMIF(Report_BM!$BQ$6:$BQ$73,CONCATENATE($C17,BE$3),Report_BM!$BK$6:$BK$73)</f>
        <v>29292656</v>
      </c>
      <c r="BB17" s="39">
        <f>SUMIF(Report_BM!$BQ$6:$BQ$73,CONCATENATE($C17,BE$3),Report_BM!$BL$6:$BL$73)</f>
        <v>0</v>
      </c>
      <c r="BC17" s="46">
        <f>SUMIF(Master_Data!$AK$152:$AK$864,CONCATENATE($C17,BE$3),Master_Data!$T$152:$T$864)</f>
        <v>-542456.6</v>
      </c>
      <c r="BD17" s="45">
        <f>SUMIF(Report_BM!$BQ$6:$BQ$73,CONCATENATE($C17,BE$3),Report_BM!$BN$6:$BN$73)</f>
        <v>0</v>
      </c>
      <c r="BE17" s="39" t="e">
        <f ca="1">SUMIF(Report_BM!$BQ$6:$BQ$73,CONCATENATE($C17,BE$3),Report_BM!$BO$6:$BO$73)</f>
        <v>#VALUE!</v>
      </c>
      <c r="BF17" s="103"/>
      <c r="BG17" s="104"/>
      <c r="BH17" s="104"/>
      <c r="BI17" s="104"/>
      <c r="BJ17" s="104"/>
      <c r="BK17" s="104"/>
      <c r="BL17" s="45">
        <f>SUMIF(Report_BM!$CH$6:$CH$73,CONCATENATE($C17,BT$3),Report_BM!$BT$6:$BT$73)+SUMIF(Report_BM!$CH$6:$CH$73,CONCATENATE($C17,BT$3),Report_BM!$BW$6:$BW$73)</f>
        <v>0</v>
      </c>
      <c r="BM17" s="46" t="e">
        <f ca="1">SUMIF(Report_BM!$CH$6:$CH$73,CONCATENATE($C17,$BT$3),Report_BM!$BU$6:$BU$73)+SUMIF(Report_BM!$CH$6:$CH$73,CONCATENATE($C17,$BT$3),Report_BM!$BX$6:$BX$73)</f>
        <v>#VALUE!</v>
      </c>
      <c r="BN17" s="45">
        <f>SUMIF(Report_BM!$CH$6:$CH$73,CONCATENATE($C17,BT$3),Report_BM!$BZ$6:$BZ$73)</f>
        <v>0</v>
      </c>
      <c r="BO17" s="39">
        <f>SUMIF(Report_BM!$CH$6:$CH$73,CONCATENATE($C17,BT$3),Report_BM!$CA$6:$CA$73)</f>
        <v>0</v>
      </c>
      <c r="BP17" s="39">
        <f>SUMIF(Report_BM!$CH$6:$CH$73,CONCATENATE($C17,BT$3),Report_BM!$CB$6:$CB$73)</f>
        <v>29211538</v>
      </c>
      <c r="BQ17" s="39">
        <f>SUMIF(Report_BM!$CH$6:$CH$73,CONCATENATE($C17,BT$3),Report_BM!$CC$6:$CC$73)</f>
        <v>0</v>
      </c>
      <c r="BR17" s="46">
        <f>SUMIF(Master_Data!$AK$152:$AK$864,CONCATENATE($C17,BT$3),Master_Data!$T$152:$T$864)</f>
        <v>-540954.4</v>
      </c>
      <c r="BS17" s="45">
        <f>SUMIF(Report_BM!$CH$6:$CH$73,CONCATENATE($C17,BT$3),Report_BM!$CE$6:$CE$73)</f>
        <v>0</v>
      </c>
      <c r="BT17" s="39" t="e">
        <f ca="1">SUMIF(Report_BM!$CH$6:$CH$73,CONCATENATE($C17,BT$3),Report_BM!$CF$6:$CF$73)</f>
        <v>#VALUE!</v>
      </c>
      <c r="BU17" s="103"/>
      <c r="BV17" s="104"/>
      <c r="BW17" s="104"/>
      <c r="BX17" s="104"/>
      <c r="BY17" s="104"/>
      <c r="BZ17" s="104"/>
      <c r="CA17" s="45">
        <f>SUMIF(Report_BM!$CY$6:$CY$73,CONCATENATE($C17,CI$3),Report_BM!$CK$6:$CK$73)+SUMIF(Report_BM!$CY$6:$CY$73,CONCATENATE($C17,CI$3),Report_BM!$CN$6:$CN$73)</f>
        <v>0</v>
      </c>
      <c r="CB17" s="46" t="e">
        <f ca="1">SUMIF(Report_BM!$CY$6:$CY$73,CONCATENATE($C17,$CI$3),Report_BM!$CL$6:$CL$73)+SUMIF(Report_BM!$CY$6:$CY$73,CONCATENATE($C17,$CI$3),Report_BM!$CO$6:$CO$73)</f>
        <v>#VALUE!</v>
      </c>
      <c r="CC17" s="45">
        <f>SUMIF(Report_BM!$CY$6:$CY$73,CONCATENATE($C17,CI$3),Report_BM!$CQ$6:$CQ$73)</f>
        <v>0</v>
      </c>
      <c r="CD17" s="39">
        <f>SUMIF(Report_BM!$CY$6:$CY$73,CONCATENATE($C17,CI$3),Report_BM!$CR$6:$CR$73)</f>
        <v>0</v>
      </c>
      <c r="CE17" s="39">
        <f>SUMIF(Report_BM!$CY$6:$CY$73,CONCATENATE($C17,CI$3),Report_BM!$CS$6:$CS$73)</f>
        <v>29193998</v>
      </c>
      <c r="CF17" s="39">
        <f ca="1">SUMIF(Report_BM!$CY$6:$CY$73,CONCATENATE($C17,CI$3),Report_BM!$CT$6:$CT$73)</f>
        <v>0</v>
      </c>
      <c r="CG17" s="46">
        <f>SUMIF(Report_BM!$CY$6:$CY$73,CONCATENATE($C17,CI$3),Report_BM!$CU$6:$CU$73)</f>
        <v>-540629.6</v>
      </c>
      <c r="CH17" s="45">
        <f>SUMIF(Report_BM!$CY$6:$CY$73,CONCATENATE($C17,CI$3),Report_BM!$CV$6:$CV$73)</f>
        <v>0</v>
      </c>
      <c r="CI17" s="39" t="e">
        <f ca="1">SUMIF(Report_BM!$CY$6:$CY$73,CONCATENATE($C17,CI$3),Report_BM!$CW$6:$CW$73)</f>
        <v>#VALUE!</v>
      </c>
      <c r="CJ17" s="103"/>
      <c r="CK17" s="104"/>
      <c r="CL17" s="104"/>
      <c r="CM17" s="104"/>
      <c r="CN17" s="104"/>
      <c r="CO17" s="104"/>
      <c r="CP17" s="45">
        <f>SUMIF(Report_BM!$DP$6:$DP$73,CONCATENATE($C17,CX$3),Report_BM!$DB$6:$DB$73)+SUMIF(Report_BM!$DP$6:$DP$73,CONCATENATE($C17,CX$3),Report_BM!$DE$6:$DE$73)</f>
        <v>0</v>
      </c>
      <c r="CQ17" s="46" t="e">
        <f ca="1">SUMIF(Report_BM!$DP$6:$DP$73,CONCATENATE($C17,$CX$3),Report_BM!$DC$6:$DC$73)+SUMIF(Report_BM!$DP$6:$DP$73,CONCATENATE($C17,$CX$3),Report_BM!$DF$6:$DF$73)</f>
        <v>#VALUE!</v>
      </c>
      <c r="CR17" s="45">
        <f>SUMIF(Report_BM!$DP$6:$DP$73,CONCATENATE($C17,CX$3),Report_BM!$DH$6:$DH$73)</f>
        <v>0</v>
      </c>
      <c r="CS17" s="39">
        <f>SUMIF(Report_BM!$DP$6:$DP$73,CONCATENATE($C17,CX$3),Report_BM!$DI$6:$DI$73)</f>
        <v>0</v>
      </c>
      <c r="CT17" s="39">
        <f>SUMIF(Report_BM!$DP$6:$DP$73,CONCATENATE($C17,CX$3),Report_BM!$DJ$6:$DJ$73)</f>
        <v>29183036</v>
      </c>
      <c r="CU17" s="39">
        <f>SUMIF(Report_BM!$DP$6:$DP$73,CONCATENATE($C17,CX$3),Report_BM!$DK$6:$DK$73)</f>
        <v>0</v>
      </c>
      <c r="CV17" s="46">
        <f>SUMIF(Master_Data!$AK$152:$AK$864,CONCATENATE($C17,CX$3),Master_Data!$T$152:$T$864)</f>
        <v>-540426.6</v>
      </c>
      <c r="CW17" s="45">
        <f>SUMIF(Report_BM!$DP$6:$DP$73,CONCATENATE($C17,CX$3),Report_BM!$DM$6:$DM$73)</f>
        <v>0</v>
      </c>
      <c r="CX17" s="39" t="e">
        <f ca="1">SUMIF(Report_BM!$DP$6:$DP$73,CONCATENATE($C17,CX$3),Report_BM!$DN$6:$DN$73)</f>
        <v>#VALUE!</v>
      </c>
      <c r="CY17" s="103"/>
      <c r="CZ17" s="104"/>
      <c r="DA17" s="104"/>
      <c r="DB17" s="104"/>
      <c r="DC17" s="104"/>
      <c r="DD17" s="104"/>
      <c r="DE17" s="45">
        <f>SUMIF(Report_BM!$EG$6:$EG$73,CONCATENATE($C17,DM$3),Report_BM!$DS$6:$DS$73)+SUMIF(Report_BM!$EG$6:$EG$73,CONCATENATE($C17,DM$3),Report_BM!$DV$6:$DV$73)</f>
        <v>0</v>
      </c>
      <c r="DF17" s="46" t="e">
        <f ca="1">SUMIF(Report_BM!$EG$6:$EG$73,CONCATENATE($C17,$DM$3),Report_BM!$DT$6:$DT$73)+SUMIF(Report_BM!$EG$6:$EG$73,CONCATENATE($C17,$DM$3),Report_BM!$DW$6:$DW$73)</f>
        <v>#VALUE!</v>
      </c>
      <c r="DG17" s="45">
        <f>SUMIF(Report_BM!$EG$6:$EG$73,CONCATENATE($C17,DM$3),Report_BM!$DY$6:$DY$73)</f>
        <v>0</v>
      </c>
      <c r="DH17" s="39">
        <f>SUMIF(Report_BM!EG$6:EG$73,CONCATENATE($C17,DM$3),Report_BM!DZ$6:DZ$73)</f>
        <v>0</v>
      </c>
      <c r="DI17" s="39">
        <f>SUMIF(Report_BM!EG$6:EG$73,CONCATENATE($C17,DM$3),Report_BM!$EA$6:$EA$73)</f>
        <v>0</v>
      </c>
      <c r="DJ17" s="39">
        <f>SUMIF(Report_BM!EG$6:EG$73,CONCATENATE($C17,DM$3),Report_BM!$EB$6:$EB$73)</f>
        <v>0</v>
      </c>
      <c r="DK17" s="46">
        <f>SUMIF(Master_Data!$AK$152:$AK$864,CONCATENATE($C17,DM$3),Master_Data!$T$152:$T$864)</f>
        <v>0</v>
      </c>
      <c r="DL17" s="45">
        <f>SUMIF(Report_BM!EG$6:EG$73,CONCATENATE($C17,DM$3),Report_BM!ED$6:ED$73)</f>
        <v>0</v>
      </c>
      <c r="DM17" s="39" t="e">
        <f ca="1">SUMIF(Report_BM!EG$6:EG$73,CONCATENATE($C17,DM$3),Report_BM!EE$6:EE$73)</f>
        <v>#VALUE!</v>
      </c>
      <c r="DN17" s="103"/>
      <c r="DO17" s="104"/>
      <c r="DP17" s="104"/>
      <c r="DQ17" s="104"/>
      <c r="DR17" s="104"/>
      <c r="DS17" s="104"/>
      <c r="DT17" s="45">
        <f>SUMIF(Report_BM!$EX$6:$EX$73,CONCATENATE($C17,EB$3),Report_BM!$EJ$6:$EJ$73)+SUMIF(Report_BM!$EX$6:$EX$73,CONCATENATE($C17,EB$3),Report_BM!$EM$6:$EM$73)</f>
        <v>0</v>
      </c>
      <c r="DU17" s="46" t="e">
        <f ca="1">SUMIF(Report_BM!$EX$6:$EX$73,CONCATENATE($C17,$EB$3),Report_BM!$EK$6:$EK$73)+SUMIF(Report_BM!$EX$6:$EX$73,CONCATENATE($C17,$EB$3),Report_BM!$EN$6:$EN$73)</f>
        <v>#VALUE!</v>
      </c>
      <c r="DV17" s="45">
        <f>SUMIF(Report_BM!$EX$6:$EX$73,CONCATENATE($C17,EB$3),Report_BM!$EP$6:$EP$73)</f>
        <v>0</v>
      </c>
      <c r="DW17" s="39">
        <f>SUMIF(Report_BM!$EX$6:$EX$73,CONCATENATE($C17,EB$3),Report_BM!$EQ$6:$EQ$73)</f>
        <v>0</v>
      </c>
      <c r="DX17" s="39">
        <f>SUMIF(Report_BM!$EX$6:$EX$73,CONCATENATE($C17,EB$3),Report_BM!$ER$6:$ER$73)</f>
        <v>0</v>
      </c>
      <c r="DY17" s="39">
        <f>SUMIF(Report_BM!$EX$6:$EX$73,CONCATENATE($C17,EB$3),Report_BM!$ES$6:$ES$73)</f>
        <v>0</v>
      </c>
      <c r="DZ17" s="46">
        <f>SUMIF(Master_Data!$AK$152:$AK$864,CONCATENATE($C17,EB$3),Master_Data!$T$152:$T$864)</f>
        <v>0</v>
      </c>
      <c r="EA17" s="45">
        <f>SUMIF(Report_BM!EX$6:EX$73,CONCATENATE($C17,EB$3),Report_BM!EU$6:EU$73)</f>
        <v>0</v>
      </c>
      <c r="EB17" s="39">
        <f>SUMIF(Report_BM!EX$6:EX$73,CONCATENATE($C17,EB$3),Report_BM!EV$6:EV$73)</f>
        <v>0</v>
      </c>
      <c r="EC17" s="103"/>
      <c r="ED17" s="104"/>
      <c r="EE17" s="104"/>
      <c r="EF17" s="104"/>
      <c r="EG17" s="104"/>
      <c r="EH17" s="104"/>
      <c r="EI17" s="45">
        <f>SUMIF(Report_BM!$FO$6:$FO$73,CONCATENATE($C17,EQ$3),Report_BM!$FA$6:$FA$73)+SUMIF(Report_BM!$FO$6:$FO$73,CONCATENATE($C17,EQ$3),Report_BM!$FD$6:$FD$73)</f>
        <v>0</v>
      </c>
      <c r="EJ17" s="46">
        <f>SUMIF(Report_BM!$FO$6:$FO$73,CONCATENATE($C17,$EQ$3),Report_BM!$FB$6:$FB$73)+SUMIF(Report_BM!$FO$6:$FO$73,CONCATENATE($C17,$EQ$3),Report_BM!$FE$6:$FE$73)</f>
        <v>0</v>
      </c>
      <c r="EK17" s="45">
        <f>SUMIF(Report_BM!$FO$6:$FO$73,CONCATENATE($C17,EQ$3),Report_BM!$FG$6:$FG$73)</f>
        <v>0</v>
      </c>
      <c r="EL17" s="39">
        <f>SUMIF(Report_BM!$FO$6:$FO$73,CONCATENATE($C17,EQ$3),Report_BM!$FH$6:$FH$73)</f>
        <v>0</v>
      </c>
      <c r="EM17" s="39">
        <f>SUMIF(Report_BM!$FO$6:$FO$73,CONCATENATE($C17,EQ$3),Report_BM!$FI$6:$FI$73)</f>
        <v>0</v>
      </c>
      <c r="EN17" s="39">
        <f>SUMIF(Report_BM!$FO$6:$FO$73,CONCATENATE($C17,EQ$3),Report_BM!$FJ$6:$FJ$73)</f>
        <v>0</v>
      </c>
      <c r="EO17" s="46">
        <f>SUMIF(Master_Data!$AK$152:$AK$864,CONCATENATE($C17,EQ$3),Master_Data!$T$152:$T$864)</f>
        <v>0</v>
      </c>
      <c r="EP17" s="45">
        <f>SUMIF(Report_BM!FO$6:FO$73,CONCATENATE($C17,EQ$3),Report_BM!FL$6:FL$73)</f>
        <v>0</v>
      </c>
      <c r="EQ17" s="39">
        <f>SUMIF(Report_BM!FO$6:FO$73,CONCATENATE($C17,EQ$3),Report_BM!FM$6:FM$73)</f>
        <v>0</v>
      </c>
      <c r="ER17" s="103"/>
      <c r="ES17" s="104"/>
      <c r="ET17" s="104"/>
      <c r="EU17" s="104"/>
      <c r="EV17" s="104"/>
      <c r="EW17" s="104"/>
      <c r="EX17" s="45">
        <f>SUMIF(Report_BM!$GF$6:$GF$73,CONCATENATE($C17,FF$3),Report_BM!$FR$6:$FR$73)+SUMIF(Report_BM!$GF$6:$GF$73,CONCATENATE($C17,FF$3),Report_BM!$FU$6:$FU$73)</f>
        <v>0</v>
      </c>
      <c r="EY17" s="46">
        <f>SUMIF(Report_BM!$GF$6:$GF$73,CONCATENATE($C17,$FF$3),Report_BM!$FS$6:$FS$73)+SUMIF(Report_BM!$GF$6:$GF$73,CONCATENATE($C17,$FF$3),Report_BM!$FV$6:$FV$73)</f>
        <v>0</v>
      </c>
      <c r="EZ17" s="45">
        <f>SUMIF(Report_BM!$GF$6:$GF$73,CONCATENATE($C17,FF$3),Report_BM!$FX$6:$FX$73)</f>
        <v>0</v>
      </c>
      <c r="FA17" s="39">
        <f>SUMIF(Report_BM!$GF$6:$GF$73,CONCATENATE($C17,FF$3),Report_BM!$FY$6:$FY$73)</f>
        <v>0</v>
      </c>
      <c r="FB17" s="39">
        <f>SUMIF(Report_BM!$GF$6:$GF$73,CONCATENATE($C17,FF$3),Report_BM!$FZ$6:$FZ$73)</f>
        <v>0</v>
      </c>
      <c r="FC17" s="39">
        <f>SUMIF(Report_BM!$GF$6:$GF$73,CONCATENATE($C17,FF$3),Report_BM!$GA$6:$GA$73)</f>
        <v>0</v>
      </c>
      <c r="FD17" s="46">
        <f>SUMIF(Master_Data!$AK$152:$AK$864,CONCATENATE($C17,FF$3),Master_Data!$T$152:$T$864)</f>
        <v>0</v>
      </c>
      <c r="FE17" s="45">
        <f>SUMIF(Report_BM!GF$6:GF$73,CONCATENATE($C17,FF$3),Report_BM!GC$6:GC$73)</f>
        <v>0</v>
      </c>
      <c r="FF17" s="39">
        <f>SUMIF(Report_BM!GF$6:GF$73,CONCATENATE($C17,FF$3),Report_BM!GD$6:GD$73)</f>
        <v>0</v>
      </c>
      <c r="FG17" s="103"/>
      <c r="FH17" s="104"/>
      <c r="FI17" s="104"/>
      <c r="FJ17" s="104"/>
      <c r="FK17" s="104"/>
      <c r="FL17" s="104"/>
      <c r="FM17" s="45">
        <f>SUMIF(Report_BM!$GW$6:$GW$73,CONCATENATE($C17,FU$3),Report_BM!$GI$6:$GI$73)+SUMIF(Report_BM!$GW$6:$GW$73,CONCATENATE($C17,FU$3),Report_BM!$GL$6:$GL$73)</f>
        <v>0</v>
      </c>
      <c r="FN17" s="46">
        <f>SUMIF(Report_BM!$GW$6:$GW$73,CONCATENATE($C17,$FU$3),Report_BM!$GJ$6:$GJ$73)+SUMIF(Report_BM!$GW$6:$GW$73,CONCATENATE($C17,$FU$3),Report_BM!$GM$6:$GM$73)</f>
        <v>0</v>
      </c>
      <c r="FO17" s="45">
        <f>SUMIF(Report_BM!$GW$6:$GW$73,CONCATENATE($C17,FU$3),Report_BM!$GO$6:$GO$73)</f>
        <v>0</v>
      </c>
      <c r="FP17" s="39">
        <f>SUMIF(Report_BM!$GW$6:$GW$73,CONCATENATE($C17,FU$3),Report_BM!$GP$6:$GP$73)</f>
        <v>0</v>
      </c>
      <c r="FQ17" s="39">
        <f>SUMIF(Report_BM!$GW$6:$GW$73,CONCATENATE($C17,FU$3),Report_BM!$GQ$6:$GQ$73)</f>
        <v>0</v>
      </c>
      <c r="FR17" s="39">
        <f>SUMIF(Report_BM!$GW$6:$GW$73,CONCATENATE($C17,FU$3),Report_BM!$GR$6:$GR$73)</f>
        <v>0</v>
      </c>
      <c r="FS17" s="46">
        <f>SUMIF(Master_Data!$AK$152:$AK$864,CONCATENATE($C17,FU$3),Master_Data!$T$152:$T$864)</f>
        <v>0</v>
      </c>
      <c r="FT17" s="45">
        <f>SUMIF(Report_BM!GW$6:GW$73,CONCATENATE($C17,FU$3),Report_BM!GT$6:GT$73)</f>
        <v>0</v>
      </c>
      <c r="FU17" s="39">
        <f>SUMIF(Report_BM!GW$6:GW$73,CONCATENATE($C17,FU$3),Report_BM!GU$6:GU$73)</f>
        <v>0</v>
      </c>
      <c r="FV17" s="103"/>
      <c r="FW17" s="104"/>
      <c r="FX17" s="104"/>
      <c r="FY17" s="104"/>
      <c r="FZ17" s="104"/>
      <c r="GA17" s="104"/>
    </row>
    <row r="18" spans="1:183" s="40" customFormat="1" ht="14.1" customHeight="1">
      <c r="A18" s="9">
        <v>12</v>
      </c>
      <c r="B18" s="328" t="s">
        <v>29</v>
      </c>
      <c r="C18" s="613" t="s">
        <v>28</v>
      </c>
      <c r="D18" s="45">
        <f>SUMIF(Report_BM!$B$6:$B$73,CONCATENATE($C18,L$3),Report_BM!$E$6:$E$73)+SUMIF(Report_BM!$B$6:$B$73,CONCATENATE($C18,L$3),Report_BM!$H$6:$H$73)</f>
        <v>0</v>
      </c>
      <c r="E18" s="276" t="e">
        <f>SUMIF(Report_BM!$B$6:$B$73,CONCATENATE($C18,L$3),Report_BM!$F$6:$F$73)+SUMIF(Report_BM!$B$6:$B$73,CONCATENATE($C18,L$3),Report_BM!$I$6:$I$73)</f>
        <v>#VALUE!</v>
      </c>
      <c r="F18" s="45">
        <f>SUMIF(Report_BM!$B$6:$B$73,CONCATENATE($C18,L$3),Report_BM!$K$6:$K$73)</f>
        <v>0</v>
      </c>
      <c r="G18" s="39">
        <f>SUMIF(Report_BM!$B$6:$B$73,CONCATENATE($C18,$L$3),Report_BM!$L$6:$L$73)</f>
        <v>0</v>
      </c>
      <c r="H18" s="39">
        <f>SUMIF(Report_BM!$B$6:$B$73,CONCATENATE($C18,$L$3),Report_BM!$M$6:$M$73)</f>
        <v>103680000</v>
      </c>
      <c r="I18" s="39">
        <f>SUMIF(Report_BM!$B$6:$B$73,CONCATENATE($C18,$L$3),Report_BM!$N$6:$N$73)</f>
        <v>0</v>
      </c>
      <c r="J18" s="46">
        <f>SUMIF(Report_BM!$B$6:$B$73,CONCATENATE($C18,$L$3),Report_BM!$O$6:$O$73)</f>
        <v>-1920000</v>
      </c>
      <c r="K18" s="45">
        <f>SUMIF(Report_BM!$B$6:$B$73,CONCATENATE($C18,$L$3),Report_BM!$P$6:$P$73)</f>
        <v>0</v>
      </c>
      <c r="L18" s="39" t="e">
        <f>SUMIF(Report_BM!$B$6:$B$73,CONCATENATE($C18,$L$3),Report_BM!$Q$6:$Q$73)</f>
        <v>#VALUE!</v>
      </c>
      <c r="M18" s="103"/>
      <c r="N18" s="104"/>
      <c r="O18" s="104"/>
      <c r="P18" s="104"/>
      <c r="Q18" s="104"/>
      <c r="R18" s="104"/>
      <c r="S18" s="45">
        <f>SUMIF(Report_BM!$AI$8:$AI$72,CONCATENATE($C18,AA$3),Report_BM!$U$8:$U$72)+SUMIF(Report_BM!$AI$8:$AI$72,CONCATENATE($C18,AA$3),Report_BM!$X$8:$X$72)</f>
        <v>0</v>
      </c>
      <c r="T18" s="276" t="e">
        <f>SUMIF(Report_BM!$AI$8:$AI$72,CONCATENATE($C18,AA$3),Report_BM!$V$8:$V$72)+SUMIF(Report_BM!$AI$8:$AI$72,CONCATENATE($C18,AA$3),Report_BM!$Y$8:$Y$72)</f>
        <v>#VALUE!</v>
      </c>
      <c r="U18" s="45">
        <f>SUMIF(Report_BM!$AI$8:$AI$72,CONCATENATE($C18,AA$3),Report_BM!$AA$8:$AB$72)</f>
        <v>0</v>
      </c>
      <c r="V18" s="39">
        <f>SUMIF(Report_BM!$AI$8:$AI$72,CONCATENATE($C18,$AA$3),Report_BM!$AB$8:$AB$72)</f>
        <v>0</v>
      </c>
      <c r="W18" s="39">
        <f>SUMIF(Report_BM!$AI$8:$AI$72,CONCATENATE($C18,$AA$3),Report_BM!$AC$8:$AC$72)</f>
        <v>0</v>
      </c>
      <c r="X18" s="39">
        <f ca="1">SUMIF(Report_BM!$AI$7:$AI$73,CONCATENATE($C18,$AA$3),Report_BM!$AD$7:$AD$73)</f>
        <v>0</v>
      </c>
      <c r="Y18" s="46">
        <f>SUMIF(Master_Data!$AK$152:$AK$864,CONCATENATE($C18,AA$3),Master_Data!$T$152:$T$864)</f>
        <v>0</v>
      </c>
      <c r="Z18" s="45">
        <f>SUMIF(Report_BM!$AI$8:$AI$72,CONCATENATE($C18,$AA$3),Report_BM!$AF$8:$AF$72)</f>
        <v>0</v>
      </c>
      <c r="AA18" s="39" t="e">
        <f ca="1">SUMIF(Report_BM!$AI$8:$AI$72,CONCATENATE($C18,$AA$3),Report_BM!$AG$8:$AG$72)</f>
        <v>#VALUE!</v>
      </c>
      <c r="AB18" s="103"/>
      <c r="AC18" s="104"/>
      <c r="AD18" s="104"/>
      <c r="AE18" s="104"/>
      <c r="AF18" s="104"/>
      <c r="AG18" s="104"/>
      <c r="AH18" s="45">
        <f>SUMIF(Report_BM!$AZ$5:$AZ$72,CONCATENATE($C18,AP$3),Report_BM!$AL$5:$AL$72)+SUMIF(Report_BM!$AZ$5:$AZ$72,CONCATENATE($C18,AP$3),Report_BM!$AO$5:$AO$72)</f>
        <v>0</v>
      </c>
      <c r="AI18" s="46" t="e">
        <f ca="1">SUMIF(Report_BM!$AZ$5:$AZ$72,CONCATENATE($C18,$AP$3),Report_BM!$AM$5:$AM$72)+SUMIF(Report_BM!$AZ$5:$AZ$72,CONCATENATE($C18,$AP$3),Report_BM!$AP$5:$AP$72)</f>
        <v>#VALUE!</v>
      </c>
      <c r="AJ18" s="45">
        <f>SUMIF(Report_BM!$AZ$5:$AZ$72,CONCATENATE($C18,$AP$3),Report_BM!$AR$5:$AR$72)</f>
        <v>0</v>
      </c>
      <c r="AK18" s="39">
        <f>SUMIF(Report_BM!$AZ$5:$AZ$72,CONCATENATE($C18,$AP$3),Report_BM!$AS$5:$AS$72)</f>
        <v>0</v>
      </c>
      <c r="AL18" s="39">
        <f>SUMIF(Report_BM!$AZ$5:$AZ$72,CONCATENATE($C18,$AP$3),Report_BM!$AT$5:$AT$72)</f>
        <v>0</v>
      </c>
      <c r="AM18" s="39">
        <f ca="1">SUMIF(Report_BM!$AZ$5:$AZ$72,CONCATENATE($C18,$AP$3),Report_BM!$AU$5:$AU$72)</f>
        <v>0</v>
      </c>
      <c r="AN18" s="46">
        <f>SUMIF(Master_Data!$AK$152:$AK$915,CONCATENATE($C18,AP$3),Master_Data!$T$152:$T$915)</f>
        <v>0</v>
      </c>
      <c r="AO18" s="45">
        <f>SUMIF(Report_BM!$AZ$5:$AZ$72,CONCATENATE($C18,$AP$3),Report_BM!$AW$5:$AW$72)</f>
        <v>0</v>
      </c>
      <c r="AP18" s="39" t="e">
        <f ca="1">SUMIF(Report_BM!$AZ$5:$AZ$72,CONCATENATE($C18,$AP$3),Report_BM!$AX$5:$AX$72)</f>
        <v>#VALUE!</v>
      </c>
      <c r="AQ18" s="103"/>
      <c r="AR18" s="104"/>
      <c r="AS18" s="104"/>
      <c r="AT18" s="104"/>
      <c r="AU18" s="104"/>
      <c r="AV18" s="104"/>
      <c r="AW18" s="45">
        <f>SUMIF(Report_BM!$BQ$6:$BQ$73,CONCATENATE($C18,BE$3),Report_BM!$BC$6:$BC$73)+SUMIF(Report_BM!$BQ$6:$BQ$73,CONCATENATE($C18,BE$3),Report_BM!$BF$6:$BF$73)</f>
        <v>0</v>
      </c>
      <c r="AX18" s="46" t="e">
        <f ca="1">SUMIF(Report_BM!$BQ$6:$BQ$73,CONCATENATE($C18,$BE$3),Report_BM!$BD$6:$BD$73)+SUMIF(Report_BM!$BQ$6:$BQ$73,CONCATENATE($C18,$BE$3),Report_BM!$BG$6:$BG$73)</f>
        <v>#VALUE!</v>
      </c>
      <c r="AY18" s="45">
        <f>SUMIF(Report_BM!$BQ$6:$BQ$73,CONCATENATE($C18,BE$3),Report_BM!$BI$6:$BI$73)</f>
        <v>0</v>
      </c>
      <c r="AZ18" s="39">
        <f>SUMIF(Report_BM!$BQ$6:$BQ$73,CONCATENATE($C18,BE$3),Report_BM!$BJ$6:$BJ$73)</f>
        <v>0</v>
      </c>
      <c r="BA18" s="39">
        <f>SUMIF(Report_BM!$BQ$6:$BQ$73,CONCATENATE($C18,BE$3),Report_BM!$BK$6:$BK$73)</f>
        <v>0</v>
      </c>
      <c r="BB18" s="39">
        <f>SUMIF(Report_BM!$BQ$6:$BQ$73,CONCATENATE($C18,BE$3),Report_BM!$BL$6:$BL$73)</f>
        <v>0</v>
      </c>
      <c r="BC18" s="46">
        <f>SUMIF(Master_Data!$AK$152:$AK$864,CONCATENATE($C18,BE$3),Master_Data!$T$152:$T$864)</f>
        <v>0</v>
      </c>
      <c r="BD18" s="45">
        <f>SUMIF(Report_BM!$BQ$6:$BQ$73,CONCATENATE($C18,BE$3),Report_BM!$BN$6:$BN$73)</f>
        <v>0</v>
      </c>
      <c r="BE18" s="39" t="e">
        <f ca="1">SUMIF(Report_BM!$BQ$6:$BQ$73,CONCATENATE($C18,BE$3),Report_BM!$BO$6:$BO$73)</f>
        <v>#VALUE!</v>
      </c>
      <c r="BF18" s="103"/>
      <c r="BG18" s="104"/>
      <c r="BH18" s="104"/>
      <c r="BI18" s="104"/>
      <c r="BJ18" s="104"/>
      <c r="BK18" s="104"/>
      <c r="BL18" s="45">
        <f>SUMIF(Report_BM!$CH$6:$CH$73,CONCATENATE($C18,BT$3),Report_BM!$BT$6:$BT$73)+SUMIF(Report_BM!$CH$6:$CH$73,CONCATENATE($C18,BT$3),Report_BM!$BW$6:$BW$73)</f>
        <v>0</v>
      </c>
      <c r="BM18" s="46" t="e">
        <f ca="1">SUMIF(Report_BM!$CH$6:$CH$73,CONCATENATE($C18,$BT$3),Report_BM!$BU$6:$BU$73)+SUMIF(Report_BM!$CH$6:$CH$73,CONCATENATE($C18,$BT$3),Report_BM!$BX$6:$BX$73)</f>
        <v>#VALUE!</v>
      </c>
      <c r="BN18" s="45">
        <f>SUMIF(Report_BM!$CH$6:$CH$73,CONCATENATE($C18,BT$3),Report_BM!$BZ$6:$BZ$73)</f>
        <v>0</v>
      </c>
      <c r="BO18" s="39">
        <f>SUMIF(Report_BM!$CH$6:$CH$73,CONCATENATE($C18,BT$3),Report_BM!$CA$6:$CA$73)</f>
        <v>0</v>
      </c>
      <c r="BP18" s="39">
        <f>SUMIF(Report_BM!$CH$6:$CH$73,CONCATENATE($C18,BT$3),Report_BM!$CB$6:$CB$73)</f>
        <v>3300000</v>
      </c>
      <c r="BQ18" s="39">
        <f>SUMIF(Report_BM!$CH$6:$CH$73,CONCATENATE($C18,BT$3),Report_BM!$CC$6:$CC$73)</f>
        <v>0</v>
      </c>
      <c r="BR18" s="46">
        <f>SUMIF(Master_Data!$AK$152:$AK$864,CONCATENATE($C18,BT$3),Master_Data!$T$152:$T$864)</f>
        <v>0</v>
      </c>
      <c r="BS18" s="45">
        <f>SUMIF(Report_BM!$CH$6:$CH$73,CONCATENATE($C18,BT$3),Report_BM!$CE$6:$CE$73)</f>
        <v>0</v>
      </c>
      <c r="BT18" s="39" t="e">
        <f ca="1">SUMIF(Report_BM!$CH$6:$CH$73,CONCATENATE($C18,BT$3),Report_BM!$CF$6:$CF$73)</f>
        <v>#VALUE!</v>
      </c>
      <c r="BU18" s="103"/>
      <c r="BV18" s="104"/>
      <c r="BW18" s="104"/>
      <c r="BX18" s="104"/>
      <c r="BY18" s="104"/>
      <c r="BZ18" s="104"/>
      <c r="CA18" s="45">
        <f>SUMIF(Report_BM!$CY$6:$CY$73,CONCATENATE($C18,CI$3),Report_BM!$CK$6:$CK$73)+SUMIF(Report_BM!$CY$6:$CY$73,CONCATENATE($C18,CI$3),Report_BM!$CN$6:$CN$73)</f>
        <v>0</v>
      </c>
      <c r="CB18" s="46" t="e">
        <f ca="1">SUMIF(Report_BM!$CY$6:$CY$73,CONCATENATE($C18,$CI$3),Report_BM!$CL$6:$CL$73)+SUMIF(Report_BM!$CY$6:$CY$73,CONCATENATE($C18,$CI$3),Report_BM!$CO$6:$CO$73)</f>
        <v>#VALUE!</v>
      </c>
      <c r="CC18" s="45">
        <f>SUMIF(Report_BM!$CY$6:$CY$73,CONCATENATE($C18,CI$3),Report_BM!$CQ$6:$CQ$73)</f>
        <v>0</v>
      </c>
      <c r="CD18" s="39">
        <f>SUMIF(Report_BM!$CY$6:$CY$73,CONCATENATE($C18,CI$3),Report_BM!$CR$6:$CR$73)</f>
        <v>0</v>
      </c>
      <c r="CE18" s="39">
        <f>SUMIF(Report_BM!$CY$6:$CY$73,CONCATENATE($C18,CI$3),Report_BM!$CS$6:$CS$73)</f>
        <v>0</v>
      </c>
      <c r="CF18" s="39">
        <f ca="1">SUMIF(Report_BM!$CY$6:$CY$73,CONCATENATE($C18,CI$3),Report_BM!$CT$6:$CT$73)</f>
        <v>0</v>
      </c>
      <c r="CG18" s="46">
        <f>SUMIF(Report_BM!$CY$6:$CY$73,CONCATENATE($C18,CI$3),Report_BM!$CU$6:$CU$73)</f>
        <v>0</v>
      </c>
      <c r="CH18" s="45">
        <f>SUMIF(Report_BM!$CY$6:$CY$73,CONCATENATE($C18,CI$3),Report_BM!$CV$6:$CV$73)</f>
        <v>0</v>
      </c>
      <c r="CI18" s="39" t="e">
        <f ca="1">SUMIF(Report_BM!$CY$6:$CY$73,CONCATENATE($C18,CI$3),Report_BM!$CW$6:$CW$73)</f>
        <v>#VALUE!</v>
      </c>
      <c r="CJ18" s="103"/>
      <c r="CK18" s="104"/>
      <c r="CL18" s="104"/>
      <c r="CM18" s="104"/>
      <c r="CN18" s="104"/>
      <c r="CO18" s="104"/>
      <c r="CP18" s="45">
        <f>SUMIF(Report_BM!$DP$6:$DP$73,CONCATENATE($C18,CX$3),Report_BM!$DB$6:$DB$73)+SUMIF(Report_BM!$DP$6:$DP$73,CONCATENATE($C18,CX$3),Report_BM!$DE$6:$DE$73)</f>
        <v>0</v>
      </c>
      <c r="CQ18" s="46" t="e">
        <f ca="1">SUMIF(Report_BM!$DP$6:$DP$73,CONCATENATE($C18,$CX$3),Report_BM!$DC$6:$DC$73)+SUMIF(Report_BM!$DP$6:$DP$73,CONCATENATE($C18,$CX$3),Report_BM!$DF$6:$DF$73)</f>
        <v>#VALUE!</v>
      </c>
      <c r="CR18" s="45">
        <f>SUMIF(Report_BM!$DP$6:$DP$73,CONCATENATE($C18,CX$3),Report_BM!$DH$6:$DH$73)</f>
        <v>0</v>
      </c>
      <c r="CS18" s="39">
        <f>SUMIF(Report_BM!$DP$6:$DP$73,CONCATENATE($C18,CX$3),Report_BM!$DI$6:$DI$73)</f>
        <v>0</v>
      </c>
      <c r="CT18" s="39">
        <f>SUMIF(Report_BM!$DP$6:$DP$73,CONCATENATE($C18,CX$3),Report_BM!$DJ$6:$DJ$73)</f>
        <v>55296006</v>
      </c>
      <c r="CU18" s="39">
        <f>SUMIF(Report_BM!$DP$6:$DP$73,CONCATENATE($C18,CX$3),Report_BM!$DK$6:$DK$73)</f>
        <v>0</v>
      </c>
      <c r="CV18" s="46">
        <f>SUMIF(Master_Data!$AK$152:$AK$864,CONCATENATE($C18,CX$3),Master_Data!$T$152:$T$864)</f>
        <v>-1024000.12</v>
      </c>
      <c r="CW18" s="45">
        <f>SUMIF(Report_BM!$DP$6:$DP$73,CONCATENATE($C18,CX$3),Report_BM!$DM$6:$DM$73)</f>
        <v>0</v>
      </c>
      <c r="CX18" s="39" t="e">
        <f ca="1">SUMIF(Report_BM!$DP$6:$DP$73,CONCATENATE($C18,CX$3),Report_BM!$DN$6:$DN$73)</f>
        <v>#VALUE!</v>
      </c>
      <c r="CY18" s="103"/>
      <c r="CZ18" s="104"/>
      <c r="DA18" s="104"/>
      <c r="DB18" s="104"/>
      <c r="DC18" s="104"/>
      <c r="DD18" s="104"/>
      <c r="DE18" s="45">
        <f>SUMIF(Report_BM!$EG$6:$EG$73,CONCATENATE($C18,DM$3),Report_BM!$DS$6:$DS$73)+SUMIF(Report_BM!$EG$6:$EG$73,CONCATENATE($C18,DM$3),Report_BM!$DV$6:$DV$73)</f>
        <v>0</v>
      </c>
      <c r="DF18" s="46" t="e">
        <f ca="1">SUMIF(Report_BM!$EG$6:$EG$73,CONCATENATE($C18,$DM$3),Report_BM!$DT$6:$DT$73)+SUMIF(Report_BM!$EG$6:$EG$73,CONCATENATE($C18,$DM$3),Report_BM!$DW$6:$DW$73)</f>
        <v>#VALUE!</v>
      </c>
      <c r="DG18" s="45">
        <f>SUMIF(Report_BM!$EG$6:$EG$73,CONCATENATE($C18,DM$3),Report_BM!$DY$6:$DY$73)</f>
        <v>0</v>
      </c>
      <c r="DH18" s="39">
        <f>SUMIF(Report_BM!EG$6:EG$73,CONCATENATE($C18,DM$3),Report_BM!DZ$6:DZ$73)</f>
        <v>0</v>
      </c>
      <c r="DI18" s="39">
        <f>SUMIF(Report_BM!EG$6:EG$73,CONCATENATE($C18,DM$3),Report_BM!$EA$6:$EA$73)</f>
        <v>0</v>
      </c>
      <c r="DJ18" s="39">
        <f>SUMIF(Report_BM!EG$6:EG$73,CONCATENATE($C18,DM$3),Report_BM!$EB$6:$EB$73)</f>
        <v>0</v>
      </c>
      <c r="DK18" s="46">
        <f>SUMIF(Master_Data!$AK$152:$AK$864,CONCATENATE($C18,DM$3),Master_Data!$T$152:$T$864)</f>
        <v>0</v>
      </c>
      <c r="DL18" s="45">
        <f>SUMIF(Report_BM!EG$6:EG$73,CONCATENATE($C18,DM$3),Report_BM!ED$6:ED$73)</f>
        <v>0</v>
      </c>
      <c r="DM18" s="39" t="e">
        <f ca="1">SUMIF(Report_BM!EG$6:EG$73,CONCATENATE($C18,DM$3),Report_BM!EE$6:EE$73)</f>
        <v>#VALUE!</v>
      </c>
      <c r="DN18" s="103"/>
      <c r="DO18" s="104"/>
      <c r="DP18" s="104"/>
      <c r="DQ18" s="104"/>
      <c r="DR18" s="104"/>
      <c r="DS18" s="104"/>
      <c r="DT18" s="45">
        <f>SUMIF(Report_BM!$EX$6:$EX$73,CONCATENATE($C18,EB$3),Report_BM!$EJ$6:$EJ$73)+SUMIF(Report_BM!$EX$6:$EX$73,CONCATENATE($C18,EB$3),Report_BM!$EM$6:$EM$73)</f>
        <v>0</v>
      </c>
      <c r="DU18" s="46" t="e">
        <f ca="1">SUMIF(Report_BM!$EX$6:$EX$73,CONCATENATE($C18,$EB$3),Report_BM!$EK$6:$EK$73)+SUMIF(Report_BM!$EX$6:$EX$73,CONCATENATE($C18,$EB$3),Report_BM!$EN$6:$EN$73)</f>
        <v>#VALUE!</v>
      </c>
      <c r="DV18" s="45">
        <f>SUMIF(Report_BM!$EX$6:$EX$73,CONCATENATE($C18,EB$3),Report_BM!$EP$6:$EP$73)</f>
        <v>0</v>
      </c>
      <c r="DW18" s="39">
        <f>SUMIF(Report_BM!$EX$6:$EX$73,CONCATENATE($C18,EB$3),Report_BM!$EQ$6:$EQ$73)</f>
        <v>0</v>
      </c>
      <c r="DX18" s="39">
        <f>SUMIF(Report_BM!$EX$6:$EX$73,CONCATENATE($C18,EB$3),Report_BM!$ER$6:$ER$73)</f>
        <v>0</v>
      </c>
      <c r="DY18" s="39">
        <f>SUMIF(Report_BM!$EX$6:$EX$73,CONCATENATE($C18,EB$3),Report_BM!$ES$6:$ES$73)</f>
        <v>0</v>
      </c>
      <c r="DZ18" s="46">
        <f>SUMIF(Master_Data!$AK$152:$AK$864,CONCATENATE($C18,EB$3),Master_Data!$T$152:$T$864)</f>
        <v>0</v>
      </c>
      <c r="EA18" s="45">
        <f>SUMIF(Report_BM!EX$6:EX$73,CONCATENATE($C18,EB$3),Report_BM!EU$6:EU$73)</f>
        <v>0</v>
      </c>
      <c r="EB18" s="39">
        <f>SUMIF(Report_BM!EX$6:EX$73,CONCATENATE($C18,EB$3),Report_BM!EV$6:EV$73)</f>
        <v>0</v>
      </c>
      <c r="EC18" s="103"/>
      <c r="ED18" s="104"/>
      <c r="EE18" s="104"/>
      <c r="EF18" s="104"/>
      <c r="EG18" s="104"/>
      <c r="EH18" s="104"/>
      <c r="EI18" s="45">
        <f>SUMIF(Report_BM!$FO$6:$FO$73,CONCATENATE($C18,EQ$3),Report_BM!$FA$6:$FA$73)+SUMIF(Report_BM!$FO$6:$FO$73,CONCATENATE($C18,EQ$3),Report_BM!$FD$6:$FD$73)</f>
        <v>0</v>
      </c>
      <c r="EJ18" s="46" t="e">
        <f>SUMIF(Report_BM!$FO$6:$FO$73,CONCATENATE($C18,$EQ$3),Report_BM!$FB$6:$FB$73)+SUMIF(Report_BM!$FO$6:$FO$73,CONCATENATE($C18,$EQ$3),Report_BM!$FE$6:$FE$73)</f>
        <v>#VALUE!</v>
      </c>
      <c r="EK18" s="45">
        <f>SUMIF(Report_BM!$FO$6:$FO$73,CONCATENATE($C18,EQ$3),Report_BM!$FG$6:$FG$73)</f>
        <v>0</v>
      </c>
      <c r="EL18" s="39">
        <f>SUMIF(Report_BM!$FO$6:$FO$73,CONCATENATE($C18,EQ$3),Report_BM!$FH$6:$FH$73)</f>
        <v>0</v>
      </c>
      <c r="EM18" s="39">
        <f>SUMIF(Report_BM!$FO$6:$FO$73,CONCATENATE($C18,EQ$3),Report_BM!$FI$6:$FI$73)</f>
        <v>0</v>
      </c>
      <c r="EN18" s="39">
        <f>SUMIF(Report_BM!$FO$6:$FO$73,CONCATENATE($C18,EQ$3),Report_BM!$FJ$6:$FJ$73)</f>
        <v>0</v>
      </c>
      <c r="EO18" s="46">
        <f>SUMIF(Master_Data!$AK$152:$AK$864,CONCATENATE($C18,EQ$3),Master_Data!$T$152:$T$864)</f>
        <v>0</v>
      </c>
      <c r="EP18" s="45">
        <f>SUMIF(Report_BM!FO$6:FO$73,CONCATENATE($C18,EQ$3),Report_BM!FL$6:FL$73)</f>
        <v>0</v>
      </c>
      <c r="EQ18" s="39" t="e">
        <f>SUMIF(Report_BM!FO$6:FO$73,CONCATENATE($C18,EQ$3),Report_BM!FM$6:FM$73)</f>
        <v>#VALUE!</v>
      </c>
      <c r="ER18" s="103"/>
      <c r="ES18" s="104"/>
      <c r="ET18" s="104"/>
      <c r="EU18" s="104"/>
      <c r="EV18" s="104"/>
      <c r="EW18" s="104"/>
      <c r="EX18" s="45">
        <f>SUMIF(Report_BM!$GF$6:$GF$73,CONCATENATE($C18,FF$3),Report_BM!$FR$6:$FR$73)+SUMIF(Report_BM!$GF$6:$GF$73,CONCATENATE($C18,FF$3),Report_BM!$FU$6:$FU$73)</f>
        <v>0</v>
      </c>
      <c r="EY18" s="46" t="e">
        <f>SUMIF(Report_BM!$GF$6:$GF$73,CONCATENATE($C18,$FF$3),Report_BM!$FS$6:$FS$73)+SUMIF(Report_BM!$GF$6:$GF$73,CONCATENATE($C18,$FF$3),Report_BM!$FV$6:$FV$73)</f>
        <v>#VALUE!</v>
      </c>
      <c r="EZ18" s="45">
        <f>SUMIF(Report_BM!$GF$6:$GF$73,CONCATENATE($C18,FF$3),Report_BM!$FX$6:$FX$73)</f>
        <v>0</v>
      </c>
      <c r="FA18" s="39">
        <f>SUMIF(Report_BM!$GF$6:$GF$73,CONCATENATE($C18,FF$3),Report_BM!$FY$6:$FY$73)</f>
        <v>0</v>
      </c>
      <c r="FB18" s="39">
        <f>SUMIF(Report_BM!$GF$6:$GF$73,CONCATENATE($C18,FF$3),Report_BM!$FZ$6:$FZ$73)</f>
        <v>0</v>
      </c>
      <c r="FC18" s="39">
        <f>SUMIF(Report_BM!$GF$6:$GF$73,CONCATENATE($C18,FF$3),Report_BM!$GA$6:$GA$73)</f>
        <v>0</v>
      </c>
      <c r="FD18" s="46">
        <f>SUMIF(Master_Data!$AK$152:$AK$864,CONCATENATE($C18,FF$3),Master_Data!$T$152:$T$864)</f>
        <v>0</v>
      </c>
      <c r="FE18" s="45">
        <f>SUMIF(Report_BM!GF$6:GF$73,CONCATENATE($C18,FF$3),Report_BM!GC$6:GC$73)</f>
        <v>0</v>
      </c>
      <c r="FF18" s="39" t="e">
        <f>SUMIF(Report_BM!GF$6:GF$73,CONCATENATE($C18,FF$3),Report_BM!GD$6:GD$73)</f>
        <v>#VALUE!</v>
      </c>
      <c r="FG18" s="103"/>
      <c r="FH18" s="104"/>
      <c r="FI18" s="104"/>
      <c r="FJ18" s="104"/>
      <c r="FK18" s="104"/>
      <c r="FL18" s="104"/>
      <c r="FM18" s="45">
        <f>SUMIF(Report_BM!$GW$6:$GW$73,CONCATENATE($C18,FU$3),Report_BM!$GI$6:$GI$73)+SUMIF(Report_BM!$GW$6:$GW$73,CONCATENATE($C18,FU$3),Report_BM!$GL$6:$GL$73)</f>
        <v>0</v>
      </c>
      <c r="FN18" s="46" t="e">
        <f>SUMIF(Report_BM!$GW$6:$GW$73,CONCATENATE($C18,$FU$3),Report_BM!$GJ$6:$GJ$73)+SUMIF(Report_BM!$GW$6:$GW$73,CONCATENATE($C18,$FU$3),Report_BM!$GM$6:$GM$73)</f>
        <v>#VALUE!</v>
      </c>
      <c r="FO18" s="45">
        <f>SUMIF(Report_BM!$GW$6:$GW$73,CONCATENATE($C18,FU$3),Report_BM!$GO$6:$GO$73)</f>
        <v>0</v>
      </c>
      <c r="FP18" s="39">
        <f>SUMIF(Report_BM!$GW$6:$GW$73,CONCATENATE($C18,FU$3),Report_BM!$GP$6:$GP$73)</f>
        <v>0</v>
      </c>
      <c r="FQ18" s="39">
        <f>SUMIF(Report_BM!$GW$6:$GW$73,CONCATENATE($C18,FU$3),Report_BM!$GQ$6:$GQ$73)</f>
        <v>62640000</v>
      </c>
      <c r="FR18" s="39">
        <f>SUMIF(Report_BM!$GW$6:$GW$73,CONCATENATE($C18,FU$3),Report_BM!$GR$6:$GR$73)</f>
        <v>0</v>
      </c>
      <c r="FS18" s="46">
        <f>SUMIF(Master_Data!$AK$152:$AK$864,CONCATENATE($C18,FU$3),Master_Data!$T$152:$T$864)</f>
        <v>-1160000</v>
      </c>
      <c r="FT18" s="45">
        <f>SUMIF(Report_BM!GW$6:GW$73,CONCATENATE($C18,FU$3),Report_BM!GT$6:GT$73)</f>
        <v>0</v>
      </c>
      <c r="FU18" s="39" t="e">
        <f>SUMIF(Report_BM!GW$6:GW$73,CONCATENATE($C18,FU$3),Report_BM!GU$6:GU$73)</f>
        <v>#VALUE!</v>
      </c>
      <c r="FV18" s="103"/>
      <c r="FW18" s="104"/>
      <c r="FX18" s="104"/>
      <c r="FY18" s="104"/>
      <c r="FZ18" s="104"/>
      <c r="GA18" s="104"/>
    </row>
    <row r="19" spans="1:183" s="40" customFormat="1" ht="14.1" customHeight="1">
      <c r="A19" s="9">
        <v>13</v>
      </c>
      <c r="B19" s="328" t="s">
        <v>330</v>
      </c>
      <c r="C19" s="324" t="s">
        <v>205</v>
      </c>
      <c r="D19" s="45">
        <f>SUMIF(Report_BM!$B$6:$B$73,CONCATENATE($C19,L$3),Report_BM!$E$6:$E$73)+SUMIF(Report_BM!$B$6:$B$73,CONCATENATE($C19,L$3),Report_BM!$H$6:$H$73)</f>
        <v>0</v>
      </c>
      <c r="E19" s="276">
        <f>SUMIF(Report_BM!$B$6:$B$73,CONCATENATE($C19,L$3),Report_BM!$F$6:$F$73)+SUMIF(Report_BM!$B$6:$B$73,CONCATENATE($C19,L$3),Report_BM!$I$6:$I$73)</f>
        <v>19606100</v>
      </c>
      <c r="F19" s="45">
        <f>SUMIF(Report_BM!$B$6:$B$73,CONCATENATE($C19,L$3),Report_BM!$K$6:$K$73)</f>
        <v>0</v>
      </c>
      <c r="G19" s="39">
        <f>SUMIF(Report_BM!$B$6:$B$73,CONCATENATE($C19,$L$3),Report_BM!$L$6:$L$73)</f>
        <v>0</v>
      </c>
      <c r="H19" s="39">
        <f>SUMIF(Report_BM!$B$6:$B$73,CONCATENATE($C19,$L$3),Report_BM!$M$6:$M$73)</f>
        <v>0</v>
      </c>
      <c r="I19" s="39">
        <f>SUMIF(Report_BM!$B$6:$B$73,CONCATENATE($C19,$L$3),Report_BM!$N$6:$N$73)</f>
        <v>0</v>
      </c>
      <c r="J19" s="46">
        <f>SUMIF(Report_BM!$B$6:$B$73,CONCATENATE($C19,$L$3),Report_BM!$O$6:$O$73)</f>
        <v>0</v>
      </c>
      <c r="K19" s="45">
        <f>SUMIF(Report_BM!$B$6:$B$73,CONCATENATE($C19,$L$3),Report_BM!$P$6:$P$73)</f>
        <v>0</v>
      </c>
      <c r="L19" s="39">
        <f>SUMIF(Report_BM!$B$6:$B$73,CONCATENATE($C19,$L$3),Report_BM!$Q$6:$Q$73)</f>
        <v>19606100</v>
      </c>
      <c r="M19" s="103"/>
      <c r="N19" s="104"/>
      <c r="O19" s="104"/>
      <c r="P19" s="104"/>
      <c r="Q19" s="104"/>
      <c r="R19" s="104"/>
      <c r="S19" s="45">
        <f>SUMIF(Report_BM!$AI$8:$AI$72,CONCATENATE($C19,AA$3),Report_BM!$U$8:$U$72)+SUMIF(Report_BM!$AI$8:$AI$72,CONCATENATE($C19,AA$3),Report_BM!$X$8:$X$72)</f>
        <v>0</v>
      </c>
      <c r="T19" s="276">
        <f>SUMIF(Report_BM!$AI$8:$AI$72,CONCATENATE($C19,AA$3),Report_BM!$V$8:$V$72)+SUMIF(Report_BM!$AI$8:$AI$72,CONCATENATE($C19,AA$3),Report_BM!$Y$8:$Y$72)</f>
        <v>19606100</v>
      </c>
      <c r="U19" s="45">
        <f>SUMIF(Report_BM!$AI$8:$AI$72,CONCATENATE($C19,AA$3),Report_BM!$AA$8:$AB$72)</f>
        <v>0</v>
      </c>
      <c r="V19" s="39">
        <f>SUMIF(Report_BM!$AI$8:$AI$72,CONCATENATE($C19,$AA$3),Report_BM!$AB$8:$AB$72)</f>
        <v>0</v>
      </c>
      <c r="W19" s="39">
        <f>SUMIF(Report_BM!$AI$8:$AI$72,CONCATENATE($C19,$AA$3),Report_BM!$AC$8:$AC$72)</f>
        <v>0</v>
      </c>
      <c r="X19" s="39">
        <f ca="1">SUMIF(Report_BM!$AI$7:$AI$73,CONCATENATE($C19,$AA$3),Report_BM!$AD$7:$AD$73)</f>
        <v>0</v>
      </c>
      <c r="Y19" s="46">
        <f>SUMIF(Master_Data!$AK$152:$AK$864,CONCATENATE($C19,AA$3),Master_Data!$T$152:$T$864)</f>
        <v>0</v>
      </c>
      <c r="Z19" s="45">
        <f>SUMIF(Report_BM!$AI$8:$AI$72,CONCATENATE($C19,$AA$3),Report_BM!$AF$8:$AF$72)</f>
        <v>0</v>
      </c>
      <c r="AA19" s="39">
        <f ca="1">SUMIF(Report_BM!$AI$8:$AI$72,CONCATENATE($C19,$AA$3),Report_BM!$AG$8:$AG$72)</f>
        <v>19606100</v>
      </c>
      <c r="AB19" s="103"/>
      <c r="AC19" s="104"/>
      <c r="AD19" s="104"/>
      <c r="AE19" s="104"/>
      <c r="AF19" s="104"/>
      <c r="AG19" s="104"/>
      <c r="AH19" s="45">
        <f>SUMIF(Report_BM!$AZ$5:$AZ$72,CONCATENATE($C19,AP$3),Report_BM!$AL$5:$AL$72)+SUMIF(Report_BM!$AZ$5:$AZ$72,CONCATENATE($C19,AP$3),Report_BM!$AO$5:$AO$72)</f>
        <v>0</v>
      </c>
      <c r="AI19" s="46">
        <f ca="1">SUMIF(Report_BM!$AZ$5:$AZ$72,CONCATENATE($C19,$AP$3),Report_BM!$AM$5:$AM$72)+SUMIF(Report_BM!$AZ$5:$AZ$72,CONCATENATE($C19,$AP$3),Report_BM!$AP$5:$AP$72)</f>
        <v>19606100</v>
      </c>
      <c r="AJ19" s="45">
        <f>SUMIF(Report_BM!$AZ$5:$AZ$72,CONCATENATE($C19,$AP$3),Report_BM!$AR$5:$AR$72)</f>
        <v>0</v>
      </c>
      <c r="AK19" s="39">
        <f>SUMIF(Report_BM!$AZ$5:$AZ$72,CONCATENATE($C19,$AP$3),Report_BM!$AS$5:$AS$72)</f>
        <v>0</v>
      </c>
      <c r="AL19" s="39">
        <f>SUMIF(Report_BM!$AZ$5:$AZ$72,CONCATENATE($C19,$AP$3),Report_BM!$AT$5:$AT$72)</f>
        <v>0</v>
      </c>
      <c r="AM19" s="39">
        <f ca="1">SUMIF(Report_BM!$AZ$5:$AZ$72,CONCATENATE($C19,$AP$3),Report_BM!$AU$5:$AU$72)</f>
        <v>0</v>
      </c>
      <c r="AN19" s="46">
        <f>SUMIF(Master_Data!$AK$152:$AK$915,CONCATENATE($C19,AP$3),Master_Data!$T$152:$T$915)</f>
        <v>0</v>
      </c>
      <c r="AO19" s="45">
        <f>SUMIF(Report_BM!$AZ$5:$AZ$72,CONCATENATE($C19,$AP$3),Report_BM!$AW$5:$AW$72)</f>
        <v>0</v>
      </c>
      <c r="AP19" s="39">
        <f ca="1">SUMIF(Report_BM!$AZ$5:$AZ$72,CONCATENATE($C19,$AP$3),Report_BM!$AX$5:$AX$72)</f>
        <v>19606100</v>
      </c>
      <c r="AQ19" s="103"/>
      <c r="AR19" s="104"/>
      <c r="AS19" s="104"/>
      <c r="AT19" s="104"/>
      <c r="AU19" s="104"/>
      <c r="AV19" s="104"/>
      <c r="AW19" s="45">
        <f>SUMIF(Report_BM!$BQ$6:$BQ$73,CONCATENATE($C19,BE$3),Report_BM!$BC$6:$BC$73)+SUMIF(Report_BM!$BQ$6:$BQ$73,CONCATENATE($C19,BE$3),Report_BM!$BF$6:$BF$73)</f>
        <v>0</v>
      </c>
      <c r="AX19" s="46">
        <f ca="1">SUMIF(Report_BM!$BQ$6:$BQ$73,CONCATENATE($C19,$BE$3),Report_BM!$BD$6:$BD$73)+SUMIF(Report_BM!$BQ$6:$BQ$73,CONCATENATE($C19,$BE$3),Report_BM!$BG$6:$BG$73)</f>
        <v>19606100</v>
      </c>
      <c r="AY19" s="45">
        <f>SUMIF(Report_BM!$BQ$6:$BQ$73,CONCATENATE($C19,BE$3),Report_BM!$BI$6:$BI$73)</f>
        <v>0</v>
      </c>
      <c r="AZ19" s="39">
        <f>SUMIF(Report_BM!$BQ$6:$BQ$73,CONCATENATE($C19,BE$3),Report_BM!$BJ$6:$BJ$73)</f>
        <v>0</v>
      </c>
      <c r="BA19" s="39">
        <f>SUMIF(Report_BM!$BQ$6:$BQ$73,CONCATENATE($C19,BE$3),Report_BM!$BK$6:$BK$73)</f>
        <v>0</v>
      </c>
      <c r="BB19" s="39">
        <f>SUMIF(Report_BM!$BQ$6:$BQ$73,CONCATENATE($C19,BE$3),Report_BM!$BL$6:$BL$73)</f>
        <v>0</v>
      </c>
      <c r="BC19" s="46">
        <f>SUMIF(Master_Data!$AK$152:$AK$864,CONCATENATE($C19,BE$3),Master_Data!$T$152:$T$864)</f>
        <v>0</v>
      </c>
      <c r="BD19" s="45">
        <f>SUMIF(Report_BM!$BQ$6:$BQ$73,CONCATENATE($C19,BE$3),Report_BM!$BN$6:$BN$73)</f>
        <v>0</v>
      </c>
      <c r="BE19" s="39">
        <f ca="1">SUMIF(Report_BM!$BQ$6:$BQ$73,CONCATENATE($C19,BE$3),Report_BM!$BO$6:$BO$73)</f>
        <v>19606100</v>
      </c>
      <c r="BF19" s="103"/>
      <c r="BG19" s="104"/>
      <c r="BH19" s="104"/>
      <c r="BI19" s="104"/>
      <c r="BJ19" s="104"/>
      <c r="BK19" s="104"/>
      <c r="BL19" s="45">
        <f>SUMIF(Report_BM!$CH$6:$CH$73,CONCATENATE($C19,BT$3),Report_BM!$BT$6:$BT$73)+SUMIF(Report_BM!$CH$6:$CH$73,CONCATENATE($C19,BT$3),Report_BM!$BW$6:$BW$73)</f>
        <v>0</v>
      </c>
      <c r="BM19" s="46">
        <f ca="1">SUMIF(Report_BM!$CH$6:$CH$73,CONCATENATE($C19,$BT$3),Report_BM!$BU$6:$BU$73)+SUMIF(Report_BM!$CH$6:$CH$73,CONCATENATE($C19,$BT$3),Report_BM!$BX$6:$BX$73)</f>
        <v>19606100</v>
      </c>
      <c r="BN19" s="45">
        <f>SUMIF(Report_BM!$CH$6:$CH$73,CONCATENATE($C19,BT$3),Report_BM!$BZ$6:$BZ$73)</f>
        <v>0</v>
      </c>
      <c r="BO19" s="39">
        <f>SUMIF(Report_BM!$CH$6:$CH$73,CONCATENATE($C19,BT$3),Report_BM!$CA$6:$CA$73)</f>
        <v>0</v>
      </c>
      <c r="BP19" s="39">
        <f>SUMIF(Report_BM!$CH$6:$CH$73,CONCATENATE($C19,BT$3),Report_BM!$CB$6:$CB$73)</f>
        <v>0</v>
      </c>
      <c r="BQ19" s="39">
        <f>SUMIF(Report_BM!$CH$6:$CH$73,CONCATENATE($C19,BT$3),Report_BM!$CC$6:$CC$73)</f>
        <v>0</v>
      </c>
      <c r="BR19" s="46">
        <f>SUMIF(Master_Data!$AK$152:$AK$864,CONCATENATE($C19,BT$3),Master_Data!$T$152:$T$864)</f>
        <v>0</v>
      </c>
      <c r="BS19" s="45">
        <f>SUMIF(Report_BM!$CH$6:$CH$73,CONCATENATE($C19,BT$3),Report_BM!$CE$6:$CE$73)</f>
        <v>0</v>
      </c>
      <c r="BT19" s="39">
        <f ca="1">SUMIF(Report_BM!$CH$6:$CH$73,CONCATENATE($C19,BT$3),Report_BM!$CF$6:$CF$73)</f>
        <v>19606100</v>
      </c>
      <c r="BU19" s="103"/>
      <c r="BV19" s="104"/>
      <c r="BW19" s="104"/>
      <c r="BX19" s="104"/>
      <c r="BY19" s="104"/>
      <c r="BZ19" s="104"/>
      <c r="CA19" s="45">
        <f>SUMIF(Report_BM!$CY$6:$CY$73,CONCATENATE($C19,CI$3),Report_BM!$CK$6:$CK$73)+SUMIF(Report_BM!$CY$6:$CY$73,CONCATENATE($C19,CI$3),Report_BM!$CN$6:$CN$73)</f>
        <v>0</v>
      </c>
      <c r="CB19" s="46">
        <f ca="1">SUMIF(Report_BM!$CY$6:$CY$73,CONCATENATE($C19,$CI$3),Report_BM!$CL$6:$CL$73)+SUMIF(Report_BM!$CY$6:$CY$73,CONCATENATE($C19,$CI$3),Report_BM!$CO$6:$CO$73)</f>
        <v>19606100</v>
      </c>
      <c r="CC19" s="45">
        <f>SUMIF(Report_BM!$CY$6:$CY$73,CONCATENATE($C19,CI$3),Report_BM!$CQ$6:$CQ$73)</f>
        <v>0</v>
      </c>
      <c r="CD19" s="39">
        <f>SUMIF(Report_BM!$CY$6:$CY$73,CONCATENATE($C19,CI$3),Report_BM!$CR$6:$CR$73)</f>
        <v>0</v>
      </c>
      <c r="CE19" s="39">
        <f>SUMIF(Report_BM!$CY$6:$CY$73,CONCATENATE($C19,CI$3),Report_BM!$CS$6:$CS$73)</f>
        <v>0</v>
      </c>
      <c r="CF19" s="39">
        <f ca="1">SUMIF(Report_BM!$CY$6:$CY$73,CONCATENATE($C19,CI$3),Report_BM!$CT$6:$CT$73)</f>
        <v>0</v>
      </c>
      <c r="CG19" s="46">
        <f>SUMIF(Report_BM!$CY$6:$CY$73,CONCATENATE($C19,CI$3),Report_BM!$CU$6:$CU$73)</f>
        <v>0</v>
      </c>
      <c r="CH19" s="45">
        <f>SUMIF(Report_BM!$CY$6:$CY$73,CONCATENATE($C19,CI$3),Report_BM!$CV$6:$CV$73)</f>
        <v>0</v>
      </c>
      <c r="CI19" s="39">
        <f ca="1">SUMIF(Report_BM!$CY$6:$CY$73,CONCATENATE($C19,CI$3),Report_BM!$CW$6:$CW$73)</f>
        <v>19606100</v>
      </c>
      <c r="CJ19" s="103"/>
      <c r="CK19" s="104"/>
      <c r="CL19" s="104"/>
      <c r="CM19" s="104"/>
      <c r="CN19" s="104"/>
      <c r="CO19" s="104"/>
      <c r="CP19" s="45">
        <f>SUMIF(Report_BM!$DP$6:$DP$73,CONCATENATE($C19,CX$3),Report_BM!$DB$6:$DB$73)+SUMIF(Report_BM!$DP$6:$DP$73,CONCATENATE($C19,CX$3),Report_BM!$DE$6:$DE$73)</f>
        <v>0</v>
      </c>
      <c r="CQ19" s="46">
        <f ca="1">SUMIF(Report_BM!$DP$6:$DP$73,CONCATENATE($C19,$CX$3),Report_BM!$DC$6:$DC$73)+SUMIF(Report_BM!$DP$6:$DP$73,CONCATENATE($C19,$CX$3),Report_BM!$DF$6:$DF$73)</f>
        <v>19606100</v>
      </c>
      <c r="CR19" s="45">
        <f>SUMIF(Report_BM!$DP$6:$DP$73,CONCATENATE($C19,CX$3),Report_BM!$DH$6:$DH$73)</f>
        <v>0</v>
      </c>
      <c r="CS19" s="39">
        <f>SUMIF(Report_BM!$DP$6:$DP$73,CONCATENATE($C19,CX$3),Report_BM!$DI$6:$DI$73)</f>
        <v>0</v>
      </c>
      <c r="CT19" s="39">
        <f>SUMIF(Report_BM!$DP$6:$DP$73,CONCATENATE($C19,CX$3),Report_BM!$DJ$6:$DJ$73)</f>
        <v>0</v>
      </c>
      <c r="CU19" s="39">
        <f>SUMIF(Report_BM!$DP$6:$DP$73,CONCATENATE($C19,CX$3),Report_BM!$DK$6:$DK$73)</f>
        <v>0</v>
      </c>
      <c r="CV19" s="46">
        <f>SUMIF(Master_Data!$AK$152:$AK$864,CONCATENATE($C19,CX$3),Master_Data!$T$152:$T$864)</f>
        <v>0</v>
      </c>
      <c r="CW19" s="45">
        <f>SUMIF(Report_BM!$DP$6:$DP$73,CONCATENATE($C19,CX$3),Report_BM!$DM$6:$DM$73)</f>
        <v>0</v>
      </c>
      <c r="CX19" s="39">
        <f ca="1">SUMIF(Report_BM!$DP$6:$DP$73,CONCATENATE($C19,CX$3),Report_BM!$DN$6:$DN$73)</f>
        <v>19606100</v>
      </c>
      <c r="CY19" s="103"/>
      <c r="CZ19" s="104"/>
      <c r="DA19" s="104"/>
      <c r="DB19" s="104"/>
      <c r="DC19" s="104"/>
      <c r="DD19" s="104"/>
      <c r="DE19" s="45">
        <f>SUMIF(Report_BM!$EG$6:$EG$73,CONCATENATE($C19,DM$3),Report_BM!$DS$6:$DS$73)+SUMIF(Report_BM!$EG$6:$EG$73,CONCATENATE($C19,DM$3),Report_BM!$DV$6:$DV$73)</f>
        <v>0</v>
      </c>
      <c r="DF19" s="46">
        <f ca="1">SUMIF(Report_BM!$EG$6:$EG$73,CONCATENATE($C19,$DM$3),Report_BM!$DT$6:$DT$73)+SUMIF(Report_BM!$EG$6:$EG$73,CONCATENATE($C19,$DM$3),Report_BM!$DW$6:$DW$73)</f>
        <v>19606100</v>
      </c>
      <c r="DG19" s="45">
        <f>SUMIF(Report_BM!$EG$6:$EG$73,CONCATENATE($C19,DM$3),Report_BM!$DY$6:$DY$73)</f>
        <v>0</v>
      </c>
      <c r="DH19" s="39">
        <f>SUMIF(Report_BM!EG$6:EG$73,CONCATENATE($C19,DM$3),Report_BM!DZ$6:DZ$73)</f>
        <v>0</v>
      </c>
      <c r="DI19" s="39">
        <f>SUMIF(Report_BM!EG$6:EG$73,CONCATENATE($C19,DM$3),Report_BM!$EA$6:$EA$73)</f>
        <v>0</v>
      </c>
      <c r="DJ19" s="39">
        <f>SUMIF(Report_BM!EG$6:EG$73,CONCATENATE($C19,DM$3),Report_BM!$EB$6:$EB$73)</f>
        <v>0</v>
      </c>
      <c r="DK19" s="46">
        <f>SUMIF(Master_Data!$AK$152:$AK$864,CONCATENATE($C19,DM$3),Master_Data!$T$152:$T$864)</f>
        <v>0</v>
      </c>
      <c r="DL19" s="45">
        <f>SUMIF(Report_BM!EG$6:EG$73,CONCATENATE($C19,DM$3),Report_BM!ED$6:ED$73)</f>
        <v>0</v>
      </c>
      <c r="DM19" s="39">
        <f ca="1">SUMIF(Report_BM!EG$6:EG$73,CONCATENATE($C19,DM$3),Report_BM!EE$6:EE$73)</f>
        <v>19606100</v>
      </c>
      <c r="DN19" s="103"/>
      <c r="DO19" s="104"/>
      <c r="DP19" s="104"/>
      <c r="DQ19" s="104"/>
      <c r="DR19" s="104"/>
      <c r="DS19" s="104"/>
      <c r="DT19" s="45">
        <f>SUMIF(Report_BM!$EX$6:$EX$73,CONCATENATE($C19,EB$3),Report_BM!$EJ$6:$EJ$73)+SUMIF(Report_BM!$EX$6:$EX$73,CONCATENATE($C19,EB$3),Report_BM!$EM$6:$EM$73)</f>
        <v>0</v>
      </c>
      <c r="DU19" s="46">
        <f ca="1">SUMIF(Report_BM!$EX$6:$EX$73,CONCATENATE($C19,$EB$3),Report_BM!$EK$6:$EK$73)+SUMIF(Report_BM!$EX$6:$EX$73,CONCATENATE($C19,$EB$3),Report_BM!$EN$6:$EN$73)</f>
        <v>19606100</v>
      </c>
      <c r="DV19" s="45">
        <f>SUMIF(Report_BM!$EX$6:$EX$73,CONCATENATE($C19,EB$3),Report_BM!$EP$6:$EP$73)</f>
        <v>0</v>
      </c>
      <c r="DW19" s="39">
        <f>SUMIF(Report_BM!$EX$6:$EX$73,CONCATENATE($C19,EB$3),Report_BM!$EQ$6:$EQ$73)</f>
        <v>0</v>
      </c>
      <c r="DX19" s="39">
        <f>SUMIF(Report_BM!$EX$6:$EX$73,CONCATENATE($C19,EB$3),Report_BM!$ER$6:$ER$73)</f>
        <v>0</v>
      </c>
      <c r="DY19" s="39">
        <f>SUMIF(Report_BM!$EX$6:$EX$73,CONCATENATE($C19,EB$3),Report_BM!$ES$6:$ES$73)</f>
        <v>0</v>
      </c>
      <c r="DZ19" s="46">
        <f>SUMIF(Master_Data!$AK$152:$AK$864,CONCATENATE($C19,EB$3),Master_Data!$T$152:$T$864)</f>
        <v>0</v>
      </c>
      <c r="EA19" s="45">
        <f>SUMIF(Report_BM!EX$6:EX$73,CONCATENATE($C19,EB$3),Report_BM!EU$6:EU$73)</f>
        <v>0</v>
      </c>
      <c r="EB19" s="39">
        <f>SUMIF(Report_BM!EX$6:EX$73,CONCATENATE($C19,EB$3),Report_BM!EV$6:EV$73)</f>
        <v>0</v>
      </c>
      <c r="EC19" s="103"/>
      <c r="ED19" s="104"/>
      <c r="EE19" s="104"/>
      <c r="EF19" s="104"/>
      <c r="EG19" s="104"/>
      <c r="EH19" s="104"/>
      <c r="EI19" s="45">
        <f>SUMIF(Report_BM!$FO$6:$FO$73,CONCATENATE($C19,EQ$3),Report_BM!$FA$6:$FA$73)+SUMIF(Report_BM!$FO$6:$FO$73,CONCATENATE($C19,EQ$3),Report_BM!$FD$6:$FD$73)</f>
        <v>0</v>
      </c>
      <c r="EJ19" s="46">
        <f>SUMIF(Report_BM!$FO$6:$FO$73,CONCATENATE($C19,$EQ$3),Report_BM!$FB$6:$FB$73)+SUMIF(Report_BM!$FO$6:$FO$73,CONCATENATE($C19,$EQ$3),Report_BM!$FE$6:$FE$73)</f>
        <v>0</v>
      </c>
      <c r="EK19" s="45">
        <f>SUMIF(Report_BM!$FO$6:$FO$73,CONCATENATE($C19,EQ$3),Report_BM!$FG$6:$FG$73)</f>
        <v>0</v>
      </c>
      <c r="EL19" s="39">
        <f>SUMIF(Report_BM!$FO$6:$FO$73,CONCATENATE($C19,EQ$3),Report_BM!$FH$6:$FH$73)</f>
        <v>0</v>
      </c>
      <c r="EM19" s="39">
        <f>SUMIF(Report_BM!$FO$6:$FO$73,CONCATENATE($C19,EQ$3),Report_BM!$FI$6:$FI$73)</f>
        <v>0</v>
      </c>
      <c r="EN19" s="39">
        <f>SUMIF(Report_BM!$FO$6:$FO$73,CONCATENATE($C19,EQ$3),Report_BM!$FJ$6:$FJ$73)</f>
        <v>0</v>
      </c>
      <c r="EO19" s="46">
        <f>SUMIF(Master_Data!$AK$152:$AK$864,CONCATENATE($C19,EQ$3),Master_Data!$T$152:$T$864)</f>
        <v>0</v>
      </c>
      <c r="EP19" s="45">
        <f>SUMIF(Report_BM!FO$6:FO$73,CONCATENATE($C19,EQ$3),Report_BM!FL$6:FL$73)</f>
        <v>0</v>
      </c>
      <c r="EQ19" s="39">
        <f>SUMIF(Report_BM!FO$6:FO$73,CONCATENATE($C19,EQ$3),Report_BM!FM$6:FM$73)</f>
        <v>0</v>
      </c>
      <c r="ER19" s="103"/>
      <c r="ES19" s="104"/>
      <c r="ET19" s="104"/>
      <c r="EU19" s="104"/>
      <c r="EV19" s="104"/>
      <c r="EW19" s="104"/>
      <c r="EX19" s="45">
        <f>SUMIF(Report_BM!$GF$6:$GF$73,CONCATENATE($C19,FF$3),Report_BM!$FR$6:$FR$73)+SUMIF(Report_BM!$GF$6:$GF$73,CONCATENATE($C19,FF$3),Report_BM!$FU$6:$FU$73)</f>
        <v>0</v>
      </c>
      <c r="EY19" s="46">
        <f>SUMIF(Report_BM!$GF$6:$GF$73,CONCATENATE($C19,$FF$3),Report_BM!$FS$6:$FS$73)+SUMIF(Report_BM!$GF$6:$GF$73,CONCATENATE($C19,$FF$3),Report_BM!$FV$6:$FV$73)</f>
        <v>0</v>
      </c>
      <c r="EZ19" s="45">
        <f>SUMIF(Report_BM!$GF$6:$GF$73,CONCATENATE($C19,FF$3),Report_BM!$FX$6:$FX$73)</f>
        <v>0</v>
      </c>
      <c r="FA19" s="39">
        <f>SUMIF(Report_BM!$GF$6:$GF$73,CONCATENATE($C19,FF$3),Report_BM!$FY$6:$FY$73)</f>
        <v>0</v>
      </c>
      <c r="FB19" s="39">
        <f>SUMIF(Report_BM!$GF$6:$GF$73,CONCATENATE($C19,FF$3),Report_BM!$FZ$6:$FZ$73)</f>
        <v>0</v>
      </c>
      <c r="FC19" s="39">
        <f>SUMIF(Report_BM!$GF$6:$GF$73,CONCATENATE($C19,FF$3),Report_BM!$GA$6:$GA$73)</f>
        <v>0</v>
      </c>
      <c r="FD19" s="46">
        <f>SUMIF(Master_Data!$AK$152:$AK$864,CONCATENATE($C19,FF$3),Master_Data!$T$152:$T$864)</f>
        <v>0</v>
      </c>
      <c r="FE19" s="45">
        <f>SUMIF(Report_BM!GF$6:GF$73,CONCATENATE($C19,FF$3),Report_BM!GC$6:GC$73)</f>
        <v>0</v>
      </c>
      <c r="FF19" s="39">
        <f>SUMIF(Report_BM!GF$6:GF$73,CONCATENATE($C19,FF$3),Report_BM!GD$6:GD$73)</f>
        <v>0</v>
      </c>
      <c r="FG19" s="103"/>
      <c r="FH19" s="104"/>
      <c r="FI19" s="104"/>
      <c r="FJ19" s="104"/>
      <c r="FK19" s="104"/>
      <c r="FL19" s="104"/>
      <c r="FM19" s="45">
        <f>SUMIF(Report_BM!$GW$6:$GW$73,CONCATENATE($C19,FU$3),Report_BM!$GI$6:$GI$73)+SUMIF(Report_BM!$GW$6:$GW$73,CONCATENATE($C19,FU$3),Report_BM!$GL$6:$GL$73)</f>
        <v>0</v>
      </c>
      <c r="FN19" s="46">
        <f>SUMIF(Report_BM!$GW$6:$GW$73,CONCATENATE($C19,$FU$3),Report_BM!$GJ$6:$GJ$73)+SUMIF(Report_BM!$GW$6:$GW$73,CONCATENATE($C19,$FU$3),Report_BM!$GM$6:$GM$73)</f>
        <v>0</v>
      </c>
      <c r="FO19" s="45">
        <f>SUMIF(Report_BM!$GW$6:$GW$73,CONCATENATE($C19,FU$3),Report_BM!$GO$6:$GO$73)</f>
        <v>0</v>
      </c>
      <c r="FP19" s="39">
        <f>SUMIF(Report_BM!$GW$6:$GW$73,CONCATENATE($C19,FU$3),Report_BM!$GP$6:$GP$73)</f>
        <v>0</v>
      </c>
      <c r="FQ19" s="39">
        <f>SUMIF(Report_BM!$GW$6:$GW$73,CONCATENATE($C19,FU$3),Report_BM!$GQ$6:$GQ$73)</f>
        <v>0</v>
      </c>
      <c r="FR19" s="39">
        <f>SUMIF(Report_BM!$GW$6:$GW$73,CONCATENATE($C19,FU$3),Report_BM!$GR$6:$GR$73)</f>
        <v>0</v>
      </c>
      <c r="FS19" s="46">
        <f>SUMIF(Master_Data!$AK$152:$AK$864,CONCATENATE($C19,FU$3),Master_Data!$T$152:$T$864)</f>
        <v>0</v>
      </c>
      <c r="FT19" s="45">
        <f>SUMIF(Report_BM!GW$6:GW$73,CONCATENATE($C19,FU$3),Report_BM!GT$6:GT$73)</f>
        <v>0</v>
      </c>
      <c r="FU19" s="39">
        <f>SUMIF(Report_BM!GW$6:GW$73,CONCATENATE($C19,FU$3),Report_BM!GU$6:GU$73)</f>
        <v>0</v>
      </c>
      <c r="FV19" s="103"/>
      <c r="FW19" s="104"/>
      <c r="FX19" s="104"/>
      <c r="FY19" s="104"/>
      <c r="FZ19" s="104"/>
      <c r="GA19" s="104"/>
    </row>
    <row r="20" spans="1:183" s="40" customFormat="1" ht="13.5" customHeight="1">
      <c r="A20" s="9">
        <v>14</v>
      </c>
      <c r="B20" s="328" t="s">
        <v>30</v>
      </c>
      <c r="C20" s="613" t="s">
        <v>95</v>
      </c>
      <c r="D20" s="45">
        <f>SUMIF(Report_BM!$B$6:$B$73,CONCATENATE($C20,L$3),Report_BM!$E$6:$E$73)+SUMIF(Report_BM!$B$6:$B$73,CONCATENATE($C20,L$3),Report_BM!$H$6:$H$73)</f>
        <v>0</v>
      </c>
      <c r="E20" s="276" t="e">
        <f>SUMIF(Report_BM!$B$6:$B$73,CONCATENATE($C20,L$3),Report_BM!$F$6:$F$73)+SUMIF(Report_BM!$B$6:$B$73,CONCATENATE($C20,L$3),Report_BM!$I$6:$I$73)</f>
        <v>#VALUE!</v>
      </c>
      <c r="F20" s="45">
        <f>SUMIF(Report_BM!$B$6:$B$73,CONCATENATE($C20,L$3),Report_BM!$K$6:$K$73)</f>
        <v>0</v>
      </c>
      <c r="G20" s="39">
        <f>SUMIF(Report_BM!$B$6:$B$73,CONCATENATE($C20,$L$3),Report_BM!$L$6:$L$73)</f>
        <v>0</v>
      </c>
      <c r="H20" s="39">
        <f>SUMIF(Report_BM!$B$6:$B$73,CONCATENATE($C20,$L$3),Report_BM!$M$6:$M$73)</f>
        <v>122185864</v>
      </c>
      <c r="I20" s="39">
        <f>SUMIF(Report_BM!$B$6:$B$73,CONCATENATE($C20,$L$3),Report_BM!$N$6:$N$73)</f>
        <v>0</v>
      </c>
      <c r="J20" s="46">
        <f>SUMIF(Report_BM!$B$6:$B$73,CONCATENATE($C20,$L$3),Report_BM!$O$6:$O$73)</f>
        <v>-2223516</v>
      </c>
      <c r="K20" s="45">
        <f>SUMIF(Report_BM!$B$6:$B$73,CONCATENATE($C20,$L$3),Report_BM!$P$6:$P$73)</f>
        <v>0</v>
      </c>
      <c r="L20" s="39" t="e">
        <f>SUMIF(Report_BM!$B$6:$B$73,CONCATENATE($C20,$L$3),Report_BM!$Q$6:$Q$73)</f>
        <v>#VALUE!</v>
      </c>
      <c r="M20" s="103"/>
      <c r="N20" s="104"/>
      <c r="O20" s="104"/>
      <c r="P20" s="104"/>
      <c r="Q20" s="104"/>
      <c r="R20" s="104"/>
      <c r="S20" s="45">
        <f>SUMIF(Report_BM!$AI$8:$AI$72,CONCATENATE($C20,AA$3),Report_BM!$U$8:$U$72)+SUMIF(Report_BM!$AI$8:$AI$72,CONCATENATE($C20,AA$3),Report_BM!$X$8:$X$72)</f>
        <v>0</v>
      </c>
      <c r="T20" s="276" t="e">
        <f>SUMIF(Report_BM!$AI$8:$AI$72,CONCATENATE($C20,AA$3),Report_BM!$V$8:$V$72)+SUMIF(Report_BM!$AI$8:$AI$72,CONCATENATE($C20,AA$3),Report_BM!$Y$8:$Y$72)</f>
        <v>#VALUE!</v>
      </c>
      <c r="U20" s="45">
        <f>SUMIF(Report_BM!$AI$8:$AI$72,CONCATENATE($C20,AA$3),Report_BM!$AA$8:$AB$72)</f>
        <v>0</v>
      </c>
      <c r="V20" s="39">
        <f>SUMIF(Report_BM!$AI$8:$AI$72,CONCATENATE($C20,$AA$3),Report_BM!$AB$8:$AB$72)</f>
        <v>0</v>
      </c>
      <c r="W20" s="39">
        <f>SUMIF(Report_BM!$AI$8:$AI$72,CONCATENATE($C20,$AA$3),Report_BM!$AC$8:$AC$72)</f>
        <v>0</v>
      </c>
      <c r="X20" s="39">
        <f ca="1">SUMIF(Report_BM!$AI$7:$AI$73,CONCATENATE($C20,$AA$3),Report_BM!$AD$7:$AD$73)</f>
        <v>0</v>
      </c>
      <c r="Y20" s="46">
        <f>SUMIF(Master_Data!$AK$152:$AK$864,CONCATENATE($C20,AA$3),Master_Data!$T$152:$T$864)</f>
        <v>0</v>
      </c>
      <c r="Z20" s="45">
        <f>SUMIF(Report_BM!$AI$8:$AI$72,CONCATENATE($C20,$AA$3),Report_BM!$AF$8:$AF$72)</f>
        <v>0</v>
      </c>
      <c r="AA20" s="39" t="e">
        <f ca="1">SUMIF(Report_BM!$AI$8:$AI$72,CONCATENATE($C20,$AA$3),Report_BM!$AG$8:$AG$72)</f>
        <v>#VALUE!</v>
      </c>
      <c r="AB20" s="103"/>
      <c r="AC20" s="104"/>
      <c r="AD20" s="104"/>
      <c r="AE20" s="104"/>
      <c r="AF20" s="104"/>
      <c r="AG20" s="104"/>
      <c r="AH20" s="45">
        <f>SUMIF(Report_BM!$AZ$5:$AZ$72,CONCATENATE($C20,AP$3),Report_BM!$AL$5:$AL$72)+SUMIF(Report_BM!$AZ$5:$AZ$72,CONCATENATE($C20,AP$3),Report_BM!$AO$5:$AO$72)</f>
        <v>0</v>
      </c>
      <c r="AI20" s="46" t="e">
        <f ca="1">SUMIF(Report_BM!$AZ$5:$AZ$72,CONCATENATE($C20,$AP$3),Report_BM!$AM$5:$AM$72)+SUMIF(Report_BM!$AZ$5:$AZ$72,CONCATENATE($C20,$AP$3),Report_BM!$AP$5:$AP$72)</f>
        <v>#VALUE!</v>
      </c>
      <c r="AJ20" s="45">
        <f>SUMIF(Report_BM!$AZ$5:$AZ$72,CONCATENATE($C20,$AP$3),Report_BM!$AR$5:$AR$72)</f>
        <v>0</v>
      </c>
      <c r="AK20" s="39">
        <f>SUMIF(Report_BM!$AZ$5:$AZ$72,CONCATENATE($C20,$AP$3),Report_BM!$AS$5:$AS$72)</f>
        <v>0</v>
      </c>
      <c r="AL20" s="39">
        <f>SUMIF(Report_BM!$AZ$5:$AZ$72,CONCATENATE($C20,$AP$3),Report_BM!$AT$5:$AT$72)</f>
        <v>104254344</v>
      </c>
      <c r="AM20" s="39">
        <f ca="1">SUMIF(Report_BM!$AZ$5:$AZ$72,CONCATENATE($C20,$AP$3),Report_BM!$AU$5:$AU$72)</f>
        <v>0</v>
      </c>
      <c r="AN20" s="46">
        <f>SUMIF(Master_Data!$AK$152:$AK$915,CONCATENATE($C20,AP$3),Master_Data!$T$152:$T$915)</f>
        <v>-1930636</v>
      </c>
      <c r="AO20" s="45">
        <f>SUMIF(Report_BM!$AZ$5:$AZ$72,CONCATENATE($C20,$AP$3),Report_BM!$AW$5:$AW$72)</f>
        <v>0</v>
      </c>
      <c r="AP20" s="39" t="e">
        <f ca="1">SUMIF(Report_BM!$AZ$5:$AZ$72,CONCATENATE($C20,$AP$3),Report_BM!$AX$5:$AX$72)</f>
        <v>#VALUE!</v>
      </c>
      <c r="AQ20" s="103"/>
      <c r="AR20" s="104"/>
      <c r="AS20" s="104"/>
      <c r="AT20" s="104"/>
      <c r="AU20" s="104"/>
      <c r="AV20" s="104"/>
      <c r="AW20" s="45">
        <f>SUMIF(Report_BM!$BQ$6:$BQ$73,CONCATENATE($C20,BE$3),Report_BM!$BC$6:$BC$73)+SUMIF(Report_BM!$BQ$6:$BQ$73,CONCATENATE($C20,BE$3),Report_BM!$BF$6:$BF$73)</f>
        <v>0</v>
      </c>
      <c r="AX20" s="46" t="e">
        <f ca="1">SUMIF(Report_BM!$BQ$6:$BQ$73,CONCATENATE($C20,$BE$3),Report_BM!$BD$6:$BD$73)+SUMIF(Report_BM!$BQ$6:$BQ$73,CONCATENATE($C20,$BE$3),Report_BM!$BG$6:$BG$73)</f>
        <v>#VALUE!</v>
      </c>
      <c r="AY20" s="45">
        <f>SUMIF(Report_BM!$BQ$6:$BQ$73,CONCATENATE($C20,BE$3),Report_BM!$BI$6:$BI$73)</f>
        <v>0</v>
      </c>
      <c r="AZ20" s="39">
        <f>SUMIF(Report_BM!$BQ$6:$BQ$73,CONCATENATE($C20,BE$3),Report_BM!$BJ$6:$BJ$73)</f>
        <v>0</v>
      </c>
      <c r="BA20" s="39">
        <f>SUMIF(Report_BM!$BQ$6:$BQ$73,CONCATENATE($C20,BE$3),Report_BM!$BK$6:$BK$73)</f>
        <v>131414184</v>
      </c>
      <c r="BB20" s="39">
        <f>SUMIF(Report_BM!$BQ$6:$BQ$73,CONCATENATE($C20,BE$3),Report_BM!$BL$6:$BL$73)</f>
        <v>0</v>
      </c>
      <c r="BC20" s="46">
        <f>SUMIF(Master_Data!$AK$152:$AK$864,CONCATENATE($C20,BE$3),Master_Data!$T$152:$T$864)</f>
        <v>-2433596</v>
      </c>
      <c r="BD20" s="45">
        <f>SUMIF(Report_BM!$BQ$6:$BQ$73,CONCATENATE($C20,BE$3),Report_BM!$BN$6:$BN$73)</f>
        <v>0</v>
      </c>
      <c r="BE20" s="39" t="e">
        <f ca="1">SUMIF(Report_BM!$BQ$6:$BQ$73,CONCATENATE($C20,BE$3),Report_BM!$BO$6:$BO$73)</f>
        <v>#VALUE!</v>
      </c>
      <c r="BF20" s="103"/>
      <c r="BG20" s="104"/>
      <c r="BH20" s="104"/>
      <c r="BI20" s="104"/>
      <c r="BJ20" s="104"/>
      <c r="BK20" s="104"/>
      <c r="BL20" s="45">
        <f>SUMIF(Report_BM!$CH$6:$CH$73,CONCATENATE($C20,BT$3),Report_BM!$BT$6:$BT$73)+SUMIF(Report_BM!$CH$6:$CH$73,CONCATENATE($C20,BT$3),Report_BM!$BW$6:$BW$73)</f>
        <v>0</v>
      </c>
      <c r="BM20" s="46" t="e">
        <f ca="1">SUMIF(Report_BM!$CH$6:$CH$73,CONCATENATE($C20,$BT$3),Report_BM!$BU$6:$BU$73)+SUMIF(Report_BM!$CH$6:$CH$73,CONCATENATE($C20,$BT$3),Report_BM!$BX$6:$BX$73)</f>
        <v>#VALUE!</v>
      </c>
      <c r="BN20" s="45">
        <f>SUMIF(Report_BM!$CH$6:$CH$73,CONCATENATE($C20,BT$3),Report_BM!$BZ$6:$BZ$73)</f>
        <v>0</v>
      </c>
      <c r="BO20" s="39">
        <f>SUMIF(Report_BM!$CH$6:$CH$73,CONCATENATE($C20,BT$3),Report_BM!$CA$6:$CA$73)</f>
        <v>0</v>
      </c>
      <c r="BP20" s="39">
        <f>SUMIF(Report_BM!$CH$6:$CH$73,CONCATENATE($C20,BT$3),Report_BM!$CB$6:$CB$73)</f>
        <v>143449553</v>
      </c>
      <c r="BQ20" s="39">
        <f>SUMIF(Report_BM!$CH$6:$CH$73,CONCATENATE($C20,BT$3),Report_BM!$CC$6:$CC$73)</f>
        <v>0</v>
      </c>
      <c r="BR20" s="46">
        <f>SUMIF(Master_Data!$AK$152:$AK$864,CONCATENATE($C20,BT$3),Master_Data!$T$152:$T$864)</f>
        <v>-2656473.2000000002</v>
      </c>
      <c r="BS20" s="45">
        <f>SUMIF(Report_BM!$CH$6:$CH$73,CONCATENATE($C20,BT$3),Report_BM!$CE$6:$CE$73)</f>
        <v>0</v>
      </c>
      <c r="BT20" s="39" t="e">
        <f ca="1">SUMIF(Report_BM!$CH$6:$CH$73,CONCATENATE($C20,BT$3),Report_BM!$CF$6:$CF$73)</f>
        <v>#VALUE!</v>
      </c>
      <c r="BU20" s="103"/>
      <c r="BV20" s="104"/>
      <c r="BW20" s="104"/>
      <c r="BX20" s="104"/>
      <c r="BY20" s="104"/>
      <c r="BZ20" s="104"/>
      <c r="CA20" s="45">
        <f>SUMIF(Report_BM!$CY$6:$CY$73,CONCATENATE($C20,CI$3),Report_BM!$CK$6:$CK$73)+SUMIF(Report_BM!$CY$6:$CY$73,CONCATENATE($C20,CI$3),Report_BM!$CN$6:$CN$73)</f>
        <v>0</v>
      </c>
      <c r="CB20" s="46" t="e">
        <f ca="1">SUMIF(Report_BM!$CY$6:$CY$73,CONCATENATE($C20,$CI$3),Report_BM!$CL$6:$CL$73)+SUMIF(Report_BM!$CY$6:$CY$73,CONCATENATE($C20,$CI$3),Report_BM!$CO$6:$CO$73)</f>
        <v>#VALUE!</v>
      </c>
      <c r="CC20" s="45">
        <f>SUMIF(Report_BM!$CY$6:$CY$73,CONCATENATE($C20,CI$3),Report_BM!$CQ$6:$CQ$73)</f>
        <v>0</v>
      </c>
      <c r="CD20" s="39">
        <f>SUMIF(Report_BM!$CY$6:$CY$73,CONCATENATE($C20,CI$3),Report_BM!$CR$6:$CR$73)</f>
        <v>0</v>
      </c>
      <c r="CE20" s="39">
        <f>SUMIF(Report_BM!$CY$6:$CY$73,CONCATENATE($C20,CI$3),Report_BM!$CS$6:$CS$73)</f>
        <v>72462873</v>
      </c>
      <c r="CF20" s="39">
        <f ca="1">SUMIF(Report_BM!$CY$6:$CY$73,CONCATENATE($C20,CI$3),Report_BM!$CT$6:$CT$73)</f>
        <v>0</v>
      </c>
      <c r="CG20" s="46">
        <f>SUMIF(Report_BM!$CY$6:$CY$73,CONCATENATE($C20,CI$3),Report_BM!$CU$6:$CU$73)</f>
        <v>-1341905.0666</v>
      </c>
      <c r="CH20" s="45">
        <f>SUMIF(Report_BM!$CY$6:$CY$73,CONCATENATE($C20,CI$3),Report_BM!$CV$6:$CV$73)</f>
        <v>0</v>
      </c>
      <c r="CI20" s="39" t="e">
        <f ca="1">SUMIF(Report_BM!$CY$6:$CY$73,CONCATENATE($C20,CI$3),Report_BM!$CW$6:$CW$73)</f>
        <v>#VALUE!</v>
      </c>
      <c r="CJ20" s="103"/>
      <c r="CK20" s="104"/>
      <c r="CL20" s="104"/>
      <c r="CM20" s="104"/>
      <c r="CN20" s="104"/>
      <c r="CO20" s="104"/>
      <c r="CP20" s="45">
        <f>SUMIF(Report_BM!$DP$6:$DP$73,CONCATENATE($C20,CX$3),Report_BM!$DB$6:$DB$73)+SUMIF(Report_BM!$DP$6:$DP$73,CONCATENATE($C20,CX$3),Report_BM!$DE$6:$DE$73)</f>
        <v>0</v>
      </c>
      <c r="CQ20" s="46" t="e">
        <f ca="1">SUMIF(Report_BM!$DP$6:$DP$73,CONCATENATE($C20,$CX$3),Report_BM!$DC$6:$DC$73)+SUMIF(Report_BM!$DP$6:$DP$73,CONCATENATE($C20,$CX$3),Report_BM!$DF$6:$DF$73)</f>
        <v>#VALUE!</v>
      </c>
      <c r="CR20" s="45">
        <f>SUMIF(Report_BM!$DP$6:$DP$73,CONCATENATE($C20,CX$3),Report_BM!$DH$6:$DH$73)</f>
        <v>0</v>
      </c>
      <c r="CS20" s="39">
        <f>SUMIF(Report_BM!$DP$6:$DP$73,CONCATENATE($C20,CX$3),Report_BM!$DI$6:$DI$73)</f>
        <v>0</v>
      </c>
      <c r="CT20" s="39">
        <f>SUMIF(Report_BM!$DP$6:$DP$73,CONCATENATE($C20,CX$3),Report_BM!$DJ$6:$DJ$73)</f>
        <v>166972752</v>
      </c>
      <c r="CU20" s="39">
        <f>SUMIF(Report_BM!$DP$6:$DP$73,CONCATENATE($C20,CX$3),Report_BM!$DK$6:$DK$73)</f>
        <v>0</v>
      </c>
      <c r="CV20" s="46">
        <f>SUMIF(Master_Data!$AK$152:$AK$864,CONCATENATE($C20,CX$3),Master_Data!$T$152:$T$864)</f>
        <v>-3092088</v>
      </c>
      <c r="CW20" s="45">
        <f>SUMIF(Report_BM!$DP$6:$DP$73,CONCATENATE($C20,CX$3),Report_BM!$DM$6:$DM$73)</f>
        <v>0</v>
      </c>
      <c r="CX20" s="39" t="e">
        <f ca="1">SUMIF(Report_BM!$DP$6:$DP$73,CONCATENATE($C20,CX$3),Report_BM!$DN$6:$DN$73)</f>
        <v>#VALUE!</v>
      </c>
      <c r="CY20" s="103"/>
      <c r="CZ20" s="104"/>
      <c r="DA20" s="104"/>
      <c r="DB20" s="104"/>
      <c r="DC20" s="104"/>
      <c r="DD20" s="104"/>
      <c r="DE20" s="45">
        <f>SUMIF(Report_BM!$EG$6:$EG$73,CONCATENATE($C20,DM$3),Report_BM!$DS$6:$DS$73)+SUMIF(Report_BM!$EG$6:$EG$73,CONCATENATE($C20,DM$3),Report_BM!$DV$6:$DV$73)</f>
        <v>0</v>
      </c>
      <c r="DF20" s="46" t="e">
        <f ca="1">SUMIF(Report_BM!$EG$6:$EG$73,CONCATENATE($C20,$DM$3),Report_BM!$DT$6:$DT$73)+SUMIF(Report_BM!$EG$6:$EG$73,CONCATENATE($C20,$DM$3),Report_BM!$DW$6:$DW$73)</f>
        <v>#VALUE!</v>
      </c>
      <c r="DG20" s="45">
        <f>SUMIF(Report_BM!$EG$6:$EG$73,CONCATENATE($C20,DM$3),Report_BM!$DY$6:$DY$73)</f>
        <v>0</v>
      </c>
      <c r="DH20" s="39">
        <f>SUMIF(Report_BM!EG$6:EG$73,CONCATENATE($C20,DM$3),Report_BM!DZ$6:DZ$73)</f>
        <v>0</v>
      </c>
      <c r="DI20" s="39">
        <f>SUMIF(Report_BM!EG$6:EG$73,CONCATENATE($C20,DM$3),Report_BM!$EA$6:$EA$73)</f>
        <v>165113232</v>
      </c>
      <c r="DJ20" s="39">
        <f>SUMIF(Report_BM!EG$6:EG$73,CONCATENATE($C20,DM$3),Report_BM!$EB$6:$EB$73)</f>
        <v>0</v>
      </c>
      <c r="DK20" s="46">
        <f>SUMIF(Master_Data!$AK$152:$AK$864,CONCATENATE($C20,DM$3),Master_Data!$T$152:$T$864)</f>
        <v>-3053208</v>
      </c>
      <c r="DL20" s="45">
        <f>SUMIF(Report_BM!EG$6:EG$73,CONCATENATE($C20,DM$3),Report_BM!ED$6:ED$73)</f>
        <v>0</v>
      </c>
      <c r="DM20" s="39" t="e">
        <f ca="1">SUMIF(Report_BM!EG$6:EG$73,CONCATENATE($C20,DM$3),Report_BM!EE$6:EE$73)</f>
        <v>#VALUE!</v>
      </c>
      <c r="DN20" s="103"/>
      <c r="DO20" s="104"/>
      <c r="DP20" s="104"/>
      <c r="DQ20" s="104"/>
      <c r="DR20" s="104"/>
      <c r="DS20" s="104"/>
      <c r="DT20" s="45">
        <f>SUMIF(Report_BM!$EX$6:$EX$73,CONCATENATE($C20,EB$3),Report_BM!$EJ$6:$EJ$73)+SUMIF(Report_BM!$EX$6:$EX$73,CONCATENATE($C20,EB$3),Report_BM!$EM$6:$EM$73)</f>
        <v>0</v>
      </c>
      <c r="DU20" s="46" t="e">
        <f ca="1">SUMIF(Report_BM!$EX$6:$EX$73,CONCATENATE($C20,$EB$3),Report_BM!$EK$6:$EK$73)+SUMIF(Report_BM!$EX$6:$EX$73,CONCATENATE($C20,$EB$3),Report_BM!$EN$6:$EN$73)</f>
        <v>#VALUE!</v>
      </c>
      <c r="DV20" s="45">
        <f>SUMIF(Report_BM!$EX$6:$EX$73,CONCATENATE($C20,EB$3),Report_BM!$EP$6:$EP$73)</f>
        <v>0</v>
      </c>
      <c r="DW20" s="39">
        <f>SUMIF(Report_BM!$EX$6:$EX$73,CONCATENATE($C20,EB$3),Report_BM!$EQ$6:$EQ$73)</f>
        <v>0</v>
      </c>
      <c r="DX20" s="39">
        <f>SUMIF(Report_BM!$EX$6:$EX$73,CONCATENATE($C20,EB$3),Report_BM!$ER$6:$ER$73)</f>
        <v>41843648</v>
      </c>
      <c r="DY20" s="39">
        <f>SUMIF(Report_BM!$EX$6:$EX$73,CONCATENATE($C20,EB$3),Report_BM!$ES$6:$ES$73)</f>
        <v>0</v>
      </c>
      <c r="DZ20" s="46">
        <f>SUMIF(Master_Data!$AK$152:$AK$864,CONCATENATE($C20,EB$3),Master_Data!$T$152:$T$864)</f>
        <v>-747208</v>
      </c>
      <c r="EA20" s="45">
        <f>SUMIF(Report_BM!EX$6:EX$73,CONCATENATE($C20,EB$3),Report_BM!EU$6:EU$73)</f>
        <v>0</v>
      </c>
      <c r="EB20" s="39">
        <f>SUMIF(Report_BM!EX$6:EX$73,CONCATENATE($C20,EB$3),Report_BM!EV$6:EV$73)</f>
        <v>0</v>
      </c>
      <c r="EC20" s="103"/>
      <c r="ED20" s="104"/>
      <c r="EE20" s="104"/>
      <c r="EF20" s="104"/>
      <c r="EG20" s="104"/>
      <c r="EH20" s="104"/>
      <c r="EI20" s="45">
        <f>SUMIF(Report_BM!$FO$6:$FO$73,CONCATENATE($C20,EQ$3),Report_BM!$FA$6:$FA$73)+SUMIF(Report_BM!$FO$6:$FO$73,CONCATENATE($C20,EQ$3),Report_BM!$FD$6:$FD$73)</f>
        <v>0</v>
      </c>
      <c r="EJ20" s="46" t="e">
        <f>SUMIF(Report_BM!$FO$6:$FO$73,CONCATENATE($C20,$EQ$3),Report_BM!$FB$6:$FB$73)+SUMIF(Report_BM!$FO$6:$FO$73,CONCATENATE($C20,$EQ$3),Report_BM!$FE$6:$FE$73)</f>
        <v>#VALUE!</v>
      </c>
      <c r="EK20" s="45">
        <f>SUMIF(Report_BM!$FO$6:$FO$73,CONCATENATE($C20,EQ$3),Report_BM!$FG$6:$FG$73)</f>
        <v>0</v>
      </c>
      <c r="EL20" s="39">
        <f>SUMIF(Report_BM!$FO$6:$FO$73,CONCATENATE($C20,EQ$3),Report_BM!$FH$6:$FH$73)</f>
        <v>0</v>
      </c>
      <c r="EM20" s="39">
        <f>SUMIF(Report_BM!$FO$6:$FO$73,CONCATENATE($C20,EQ$3),Report_BM!$FI$6:$FI$73)</f>
        <v>0</v>
      </c>
      <c r="EN20" s="39">
        <f>SUMIF(Report_BM!$FO$6:$FO$73,CONCATENATE($C20,EQ$3),Report_BM!$FJ$6:$FJ$73)</f>
        <v>0</v>
      </c>
      <c r="EO20" s="46">
        <f>SUMIF(Master_Data!$AK$152:$AK$864,CONCATENATE($C20,EQ$3),Master_Data!$T$152:$T$864)</f>
        <v>0</v>
      </c>
      <c r="EP20" s="45">
        <f>SUMIF(Report_BM!FO$6:FO$73,CONCATENATE($C20,EQ$3),Report_BM!FL$6:FL$73)</f>
        <v>0</v>
      </c>
      <c r="EQ20" s="39" t="e">
        <f>SUMIF(Report_BM!FO$6:FO$73,CONCATENATE($C20,EQ$3),Report_BM!FM$6:FM$73)</f>
        <v>#VALUE!</v>
      </c>
      <c r="ER20" s="103"/>
      <c r="ES20" s="104"/>
      <c r="ET20" s="104"/>
      <c r="EU20" s="104"/>
      <c r="EV20" s="104"/>
      <c r="EW20" s="104"/>
      <c r="EX20" s="45">
        <f>SUMIF(Report_BM!$GF$6:$GF$73,CONCATENATE($C20,FF$3),Report_BM!$FR$6:$FR$73)+SUMIF(Report_BM!$GF$6:$GF$73,CONCATENATE($C20,FF$3),Report_BM!$FU$6:$FU$73)</f>
        <v>0</v>
      </c>
      <c r="EY20" s="46" t="e">
        <f>SUMIF(Report_BM!$GF$6:$GF$73,CONCATENATE($C20,$FF$3),Report_BM!$FS$6:$FS$73)+SUMIF(Report_BM!$GF$6:$GF$73,CONCATENATE($C20,$FF$3),Report_BM!$FV$6:$FV$73)</f>
        <v>#VALUE!</v>
      </c>
      <c r="EZ20" s="45">
        <f>SUMIF(Report_BM!$GF$6:$GF$73,CONCATENATE($C20,FF$3),Report_BM!$FX$6:$FX$73)</f>
        <v>0</v>
      </c>
      <c r="FA20" s="39">
        <f>SUMIF(Report_BM!$GF$6:$GF$73,CONCATENATE($C20,FF$3),Report_BM!$FY$6:$FY$73)</f>
        <v>0</v>
      </c>
      <c r="FB20" s="39">
        <f>SUMIF(Report_BM!$GF$6:$GF$73,CONCATENATE($C20,FF$3),Report_BM!$FZ$6:$FZ$73)</f>
        <v>0</v>
      </c>
      <c r="FC20" s="39">
        <f>SUMIF(Report_BM!$GF$6:$GF$73,CONCATENATE($C20,FF$3),Report_BM!$GA$6:$GA$73)</f>
        <v>0</v>
      </c>
      <c r="FD20" s="46">
        <f>SUMIF(Master_Data!$AK$152:$AK$864,CONCATENATE($C20,FF$3),Master_Data!$T$152:$T$864)</f>
        <v>0</v>
      </c>
      <c r="FE20" s="45">
        <f>SUMIF(Report_BM!GF$6:GF$73,CONCATENATE($C20,FF$3),Report_BM!GC$6:GC$73)</f>
        <v>0</v>
      </c>
      <c r="FF20" s="39" t="e">
        <f>SUMIF(Report_BM!GF$6:GF$73,CONCATENATE($C20,FF$3),Report_BM!GD$6:GD$73)</f>
        <v>#VALUE!</v>
      </c>
      <c r="FG20" s="103"/>
      <c r="FH20" s="104"/>
      <c r="FI20" s="104"/>
      <c r="FJ20" s="104"/>
      <c r="FK20" s="104"/>
      <c r="FL20" s="104"/>
      <c r="FM20" s="45">
        <f>SUMIF(Report_BM!$GW$6:$GW$73,CONCATENATE($C20,FU$3),Report_BM!$GI$6:$GI$73)+SUMIF(Report_BM!$GW$6:$GW$73,CONCATENATE($C20,FU$3),Report_BM!$GL$6:$GL$73)</f>
        <v>0</v>
      </c>
      <c r="FN20" s="46" t="e">
        <f>SUMIF(Report_BM!$GW$6:$GW$73,CONCATENATE($C20,$FU$3),Report_BM!$GJ$6:$GJ$73)+SUMIF(Report_BM!$GW$6:$GW$73,CONCATENATE($C20,$FU$3),Report_BM!$GM$6:$GM$73)</f>
        <v>#VALUE!</v>
      </c>
      <c r="FO20" s="45">
        <f>SUMIF(Report_BM!$GW$6:$GW$73,CONCATENATE($C20,FU$3),Report_BM!$GO$6:$GO$73)</f>
        <v>0</v>
      </c>
      <c r="FP20" s="39">
        <f>SUMIF(Report_BM!$GW$6:$GW$73,CONCATENATE($C20,FU$3),Report_BM!$GP$6:$GP$73)</f>
        <v>0</v>
      </c>
      <c r="FQ20" s="39">
        <f>SUMIF(Report_BM!$GW$6:$GW$73,CONCATENATE($C20,FU$3),Report_BM!$GQ$6:$GQ$73)</f>
        <v>0</v>
      </c>
      <c r="FR20" s="39">
        <f>SUMIF(Report_BM!$GW$6:$GW$73,CONCATENATE($C20,FU$3),Report_BM!$GR$6:$GR$73)</f>
        <v>0</v>
      </c>
      <c r="FS20" s="46">
        <f>SUMIF(Master_Data!$AK$152:$AK$864,CONCATENATE($C20,FU$3),Master_Data!$T$152:$T$864)</f>
        <v>0</v>
      </c>
      <c r="FT20" s="45">
        <f>SUMIF(Report_BM!GW$6:GW$73,CONCATENATE($C20,FU$3),Report_BM!GT$6:GT$73)</f>
        <v>0</v>
      </c>
      <c r="FU20" s="39" t="e">
        <f>SUMIF(Report_BM!GW$6:GW$73,CONCATENATE($C20,FU$3),Report_BM!GU$6:GU$73)</f>
        <v>#VALUE!</v>
      </c>
      <c r="FV20" s="103"/>
      <c r="FW20" s="104"/>
      <c r="FX20" s="104"/>
      <c r="FY20" s="104"/>
      <c r="FZ20" s="104"/>
      <c r="GA20" s="104"/>
    </row>
    <row r="21" spans="1:183" s="40" customFormat="1" ht="14.1" customHeight="1">
      <c r="A21" s="9">
        <v>15</v>
      </c>
      <c r="B21" s="328" t="s">
        <v>32</v>
      </c>
      <c r="C21" s="613" t="s">
        <v>96</v>
      </c>
      <c r="D21" s="45">
        <f>SUMIF(Report_BM!$B$6:$B$73,CONCATENATE($C21,L$3),Report_BM!$E$6:$E$73)+SUMIF(Report_BM!$B$6:$B$73,CONCATENATE($C21,L$3),Report_BM!$H$6:$H$73)</f>
        <v>0</v>
      </c>
      <c r="E21" s="276" t="e">
        <f>SUMIF(Report_BM!$B$6:$B$73,CONCATENATE($C21,L$3),Report_BM!$F$6:$F$73)+SUMIF(Report_BM!$B$6:$B$73,CONCATENATE($C21,L$3),Report_BM!$I$6:$I$73)</f>
        <v>#VALUE!</v>
      </c>
      <c r="F21" s="45">
        <f>SUMIF(Report_BM!$B$6:$B$73,CONCATENATE($C21,L$3),Report_BM!$K$6:$K$73)</f>
        <v>0</v>
      </c>
      <c r="G21" s="39">
        <f>SUMIF(Report_BM!$B$6:$B$73,CONCATENATE($C21,$L$3),Report_BM!$L$6:$L$73)</f>
        <v>0</v>
      </c>
      <c r="H21" s="39">
        <f>SUMIF(Report_BM!$B$6:$B$73,CONCATENATE($C21,$L$3),Report_BM!$M$6:$M$73)</f>
        <v>0</v>
      </c>
      <c r="I21" s="39">
        <f>SUMIF(Report_BM!$B$6:$B$73,CONCATENATE($C21,$L$3),Report_BM!$N$6:$N$73)</f>
        <v>0</v>
      </c>
      <c r="J21" s="46">
        <f>SUMIF(Report_BM!$B$6:$B$73,CONCATENATE($C21,$L$3),Report_BM!$O$6:$O$73)</f>
        <v>0</v>
      </c>
      <c r="K21" s="45">
        <f>SUMIF(Report_BM!$B$6:$B$73,CONCATENATE($C21,$L$3),Report_BM!$P$6:$P$73)</f>
        <v>0</v>
      </c>
      <c r="L21" s="39" t="e">
        <f>SUMIF(Report_BM!$B$6:$B$73,CONCATENATE($C21,$L$3),Report_BM!$Q$6:$Q$73)</f>
        <v>#VALUE!</v>
      </c>
      <c r="M21" s="103"/>
      <c r="N21" s="104"/>
      <c r="O21" s="104"/>
      <c r="P21" s="104"/>
      <c r="Q21" s="104"/>
      <c r="R21" s="104"/>
      <c r="S21" s="45">
        <f>SUMIF(Report_BM!$AI$8:$AI$72,CONCATENATE($C21,AA$3),Report_BM!$U$8:$U$72)+SUMIF(Report_BM!$AI$8:$AI$72,CONCATENATE($C21,AA$3),Report_BM!$X$8:$X$72)</f>
        <v>0</v>
      </c>
      <c r="T21" s="276" t="e">
        <f>SUMIF(Report_BM!$AI$8:$AI$72,CONCATENATE($C21,AA$3),Report_BM!$V$8:$V$72)+SUMIF(Report_BM!$AI$8:$AI$72,CONCATENATE($C21,AA$3),Report_BM!$Y$8:$Y$72)</f>
        <v>#VALUE!</v>
      </c>
      <c r="U21" s="45">
        <f>SUMIF(Report_BM!$AI$8:$AI$72,CONCATENATE($C21,AA$3),Report_BM!$AA$8:$AB$72)</f>
        <v>0</v>
      </c>
      <c r="V21" s="39">
        <f>SUMIF(Report_BM!$AI$8:$AI$72,CONCATENATE($C21,$AA$3),Report_BM!$AB$8:$AB$72)</f>
        <v>0</v>
      </c>
      <c r="W21" s="39">
        <f>SUMIF(Report_BM!$AI$8:$AI$72,CONCATENATE($C21,$AA$3),Report_BM!$AC$8:$AC$72)</f>
        <v>47952540</v>
      </c>
      <c r="X21" s="39">
        <f ca="1">SUMIF(Report_BM!$AI$7:$AI$73,CONCATENATE($C21,$AA$3),Report_BM!$AD$7:$AD$73)</f>
        <v>0</v>
      </c>
      <c r="Y21" s="46">
        <f>SUMIF(Master_Data!$AK$152:$AK$864,CONCATENATE($C21,AA$3),Master_Data!$T$152:$T$864)</f>
        <v>-888010</v>
      </c>
      <c r="Z21" s="45">
        <f>SUMIF(Report_BM!$AI$8:$AI$72,CONCATENATE($C21,$AA$3),Report_BM!$AF$8:$AF$72)</f>
        <v>0</v>
      </c>
      <c r="AA21" s="39" t="e">
        <f ca="1">SUMIF(Report_BM!$AI$8:$AI$72,CONCATENATE($C21,$AA$3),Report_BM!$AG$8:$AG$72)</f>
        <v>#VALUE!</v>
      </c>
      <c r="AB21" s="103"/>
      <c r="AC21" s="104"/>
      <c r="AD21" s="104"/>
      <c r="AE21" s="104"/>
      <c r="AF21" s="104"/>
      <c r="AG21" s="104"/>
      <c r="AH21" s="45">
        <f>SUMIF(Report_BM!$AZ$5:$AZ$72,CONCATENATE($C21,AP$3),Report_BM!$AL$5:$AL$72)+SUMIF(Report_BM!$AZ$5:$AZ$72,CONCATENATE($C21,AP$3),Report_BM!$AO$5:$AO$72)</f>
        <v>0</v>
      </c>
      <c r="AI21" s="46" t="e">
        <f ca="1">SUMIF(Report_BM!$AZ$5:$AZ$72,CONCATENATE($C21,$AP$3),Report_BM!$AM$5:$AM$72)+SUMIF(Report_BM!$AZ$5:$AZ$72,CONCATENATE($C21,$AP$3),Report_BM!$AP$5:$AP$72)</f>
        <v>#VALUE!</v>
      </c>
      <c r="AJ21" s="45">
        <f>SUMIF(Report_BM!$AZ$5:$AZ$72,CONCATENATE($C21,$AP$3),Report_BM!$AR$5:$AR$72)</f>
        <v>0</v>
      </c>
      <c r="AK21" s="39">
        <f>SUMIF(Report_BM!$AZ$5:$AZ$72,CONCATENATE($C21,$AP$3),Report_BM!$AS$5:$AS$72)</f>
        <v>0</v>
      </c>
      <c r="AL21" s="39">
        <f>SUMIF(Report_BM!$AZ$5:$AZ$72,CONCATENATE($C21,$AP$3),Report_BM!$AT$5:$AT$72)</f>
        <v>77061996</v>
      </c>
      <c r="AM21" s="39">
        <f ca="1">SUMIF(Report_BM!$AZ$5:$AZ$72,CONCATENATE($C21,$AP$3),Report_BM!$AU$5:$AU$72)</f>
        <v>0</v>
      </c>
      <c r="AN21" s="46">
        <f>SUMIF(Master_Data!$AK$152:$AK$915,CONCATENATE($C21,AP$3),Master_Data!$T$152:$T$915)</f>
        <v>-1427074</v>
      </c>
      <c r="AO21" s="45">
        <f>SUMIF(Report_BM!$AZ$5:$AZ$72,CONCATENATE($C21,$AP$3),Report_BM!$AW$5:$AW$72)</f>
        <v>0</v>
      </c>
      <c r="AP21" s="39" t="e">
        <f ca="1">SUMIF(Report_BM!$AZ$5:$AZ$72,CONCATENATE($C21,$AP$3),Report_BM!$AX$5:$AX$72)</f>
        <v>#VALUE!</v>
      </c>
      <c r="AQ21" s="103"/>
      <c r="AR21" s="104"/>
      <c r="AS21" s="104"/>
      <c r="AT21" s="104"/>
      <c r="AU21" s="104"/>
      <c r="AV21" s="104"/>
      <c r="AW21" s="45">
        <f>SUMIF(Report_BM!$BQ$6:$BQ$73,CONCATENATE($C21,BE$3),Report_BM!$BC$6:$BC$73)+SUMIF(Report_BM!$BQ$6:$BQ$73,CONCATENATE($C21,BE$3),Report_BM!$BF$6:$BF$73)</f>
        <v>0</v>
      </c>
      <c r="AX21" s="46" t="e">
        <f ca="1">SUMIF(Report_BM!$BQ$6:$BQ$73,CONCATENATE($C21,$BE$3),Report_BM!$BD$6:$BD$73)+SUMIF(Report_BM!$BQ$6:$BQ$73,CONCATENATE($C21,$BE$3),Report_BM!$BG$6:$BG$73)</f>
        <v>#VALUE!</v>
      </c>
      <c r="AY21" s="45">
        <f>SUMIF(Report_BM!$BQ$6:$BQ$73,CONCATENATE($C21,BE$3),Report_BM!$BI$6:$BI$73)</f>
        <v>0</v>
      </c>
      <c r="AZ21" s="39">
        <f>SUMIF(Report_BM!$BQ$6:$BQ$73,CONCATENATE($C21,BE$3),Report_BM!$BJ$6:$BJ$73)</f>
        <v>0</v>
      </c>
      <c r="BA21" s="39">
        <f>SUMIF(Report_BM!$BQ$6:$BQ$73,CONCATENATE($C21,BE$3),Report_BM!$BK$6:$BK$73)</f>
        <v>0</v>
      </c>
      <c r="BB21" s="39">
        <f>SUMIF(Report_BM!$BQ$6:$BQ$73,CONCATENATE($C21,BE$3),Report_BM!$BL$6:$BL$73)</f>
        <v>0</v>
      </c>
      <c r="BC21" s="46">
        <f>SUMIF(Master_Data!$AK$152:$AK$864,CONCATENATE($C21,BE$3),Master_Data!$T$152:$T$864)</f>
        <v>0</v>
      </c>
      <c r="BD21" s="45">
        <f>SUMIF(Report_BM!$BQ$6:$BQ$73,CONCATENATE($C21,BE$3),Report_BM!$BN$6:$BN$73)</f>
        <v>0</v>
      </c>
      <c r="BE21" s="39" t="e">
        <f ca="1">SUMIF(Report_BM!$BQ$6:$BQ$73,CONCATENATE($C21,BE$3),Report_BM!$BO$6:$BO$73)</f>
        <v>#VALUE!</v>
      </c>
      <c r="BF21" s="103"/>
      <c r="BG21" s="104"/>
      <c r="BH21" s="104"/>
      <c r="BI21" s="104"/>
      <c r="BJ21" s="104"/>
      <c r="BK21" s="104"/>
      <c r="BL21" s="45">
        <f>SUMIF(Report_BM!$CH$6:$CH$73,CONCATENATE($C21,BT$3),Report_BM!$BT$6:$BT$73)+SUMIF(Report_BM!$CH$6:$CH$73,CONCATENATE($C21,BT$3),Report_BM!$BW$6:$BW$73)</f>
        <v>0</v>
      </c>
      <c r="BM21" s="46" t="e">
        <f ca="1">SUMIF(Report_BM!$CH$6:$CH$73,CONCATENATE($C21,$BT$3),Report_BM!$BU$6:$BU$73)+SUMIF(Report_BM!$CH$6:$CH$73,CONCATENATE($C21,$BT$3),Report_BM!$BX$6:$BX$73)</f>
        <v>#VALUE!</v>
      </c>
      <c r="BN21" s="45">
        <f>SUMIF(Report_BM!$CH$6:$CH$73,CONCATENATE($C21,BT$3),Report_BM!$BZ$6:$BZ$73)</f>
        <v>0</v>
      </c>
      <c r="BO21" s="39">
        <f>SUMIF(Report_BM!$CH$6:$CH$73,CONCATENATE($C21,BT$3),Report_BM!$CA$6:$CA$73)</f>
        <v>0</v>
      </c>
      <c r="BP21" s="39">
        <f>SUMIF(Report_BM!$CH$6:$CH$73,CONCATENATE($C21,BT$3),Report_BM!$CB$6:$CB$73)</f>
        <v>71171687</v>
      </c>
      <c r="BQ21" s="39">
        <f>SUMIF(Report_BM!$CH$6:$CH$73,CONCATENATE($C21,BT$3),Report_BM!$CC$6:$CC$73)</f>
        <v>0</v>
      </c>
      <c r="BR21" s="46">
        <f>SUMIF(Master_Data!$AK$152:$AK$864,CONCATENATE($C21,BT$3),Master_Data!$T$152:$T$864)</f>
        <v>-1317994.2094000001</v>
      </c>
      <c r="BS21" s="45">
        <f>SUMIF(Report_BM!$CH$6:$CH$73,CONCATENATE($C21,BT$3),Report_BM!$CE$6:$CE$73)</f>
        <v>0</v>
      </c>
      <c r="BT21" s="39" t="e">
        <f ca="1">SUMIF(Report_BM!$CH$6:$CH$73,CONCATENATE($C21,BT$3),Report_BM!$CF$6:$CF$73)</f>
        <v>#VALUE!</v>
      </c>
      <c r="BU21" s="103"/>
      <c r="BV21" s="104"/>
      <c r="BW21" s="104"/>
      <c r="BX21" s="104"/>
      <c r="BY21" s="104"/>
      <c r="BZ21" s="104"/>
      <c r="CA21" s="45">
        <f>SUMIF(Report_BM!$CY$6:$CY$73,CONCATENATE($C21,CI$3),Report_BM!$CK$6:$CK$73)+SUMIF(Report_BM!$CY$6:$CY$73,CONCATENATE($C21,CI$3),Report_BM!$CN$6:$CN$73)</f>
        <v>0</v>
      </c>
      <c r="CB21" s="46" t="e">
        <f ca="1">SUMIF(Report_BM!$CY$6:$CY$73,CONCATENATE($C21,$CI$3),Report_BM!$CL$6:$CL$73)+SUMIF(Report_BM!$CY$6:$CY$73,CONCATENATE($C21,$CI$3),Report_BM!$CO$6:$CO$73)</f>
        <v>#VALUE!</v>
      </c>
      <c r="CC21" s="45">
        <f>SUMIF(Report_BM!$CY$6:$CY$73,CONCATENATE($C21,CI$3),Report_BM!$CQ$6:$CQ$73)</f>
        <v>0</v>
      </c>
      <c r="CD21" s="39">
        <f>SUMIF(Report_BM!$CY$6:$CY$73,CONCATENATE($C21,CI$3),Report_BM!$CR$6:$CR$73)</f>
        <v>0</v>
      </c>
      <c r="CE21" s="39">
        <f>SUMIF(Report_BM!$CY$6:$CY$73,CONCATENATE($C21,CI$3),Report_BM!$CS$6:$CS$73)</f>
        <v>38556000</v>
      </c>
      <c r="CF21" s="39">
        <f ca="1">SUMIF(Report_BM!$CY$6:$CY$73,CONCATENATE($C21,CI$3),Report_BM!$CT$6:$CT$73)</f>
        <v>0</v>
      </c>
      <c r="CG21" s="46">
        <f>SUMIF(Report_BM!$CY$6:$CY$73,CONCATENATE($C21,CI$3),Report_BM!$CU$6:$CU$73)</f>
        <v>-714000</v>
      </c>
      <c r="CH21" s="45">
        <f>SUMIF(Report_BM!$CY$6:$CY$73,CONCATENATE($C21,CI$3),Report_BM!$CV$6:$CV$73)</f>
        <v>0</v>
      </c>
      <c r="CI21" s="39" t="e">
        <f ca="1">SUMIF(Report_BM!$CY$6:$CY$73,CONCATENATE($C21,CI$3),Report_BM!$CW$6:$CW$73)</f>
        <v>#VALUE!</v>
      </c>
      <c r="CJ21" s="103"/>
      <c r="CK21" s="104"/>
      <c r="CL21" s="104"/>
      <c r="CM21" s="104"/>
      <c r="CN21" s="104"/>
      <c r="CO21" s="104"/>
      <c r="CP21" s="45">
        <f>SUMIF(Report_BM!$DP$6:$DP$73,CONCATENATE($C21,CX$3),Report_BM!$DB$6:$DB$73)+SUMIF(Report_BM!$DP$6:$DP$73,CONCATENATE($C21,CX$3),Report_BM!$DE$6:$DE$73)</f>
        <v>0</v>
      </c>
      <c r="CQ21" s="46" t="e">
        <f ca="1">SUMIF(Report_BM!$DP$6:$DP$73,CONCATENATE($C21,$CX$3),Report_BM!$DC$6:$DC$73)+SUMIF(Report_BM!$DP$6:$DP$73,CONCATENATE($C21,$CX$3),Report_BM!$DF$6:$DF$73)</f>
        <v>#VALUE!</v>
      </c>
      <c r="CR21" s="45">
        <f>SUMIF(Report_BM!$DP$6:$DP$73,CONCATENATE($C21,CX$3),Report_BM!$DH$6:$DH$73)</f>
        <v>0</v>
      </c>
      <c r="CS21" s="39">
        <f>SUMIF(Report_BM!$DP$6:$DP$73,CONCATENATE($C21,CX$3),Report_BM!$DI$6:$DI$73)</f>
        <v>0</v>
      </c>
      <c r="CT21" s="39">
        <f>SUMIF(Report_BM!$DP$6:$DP$73,CONCATENATE($C21,CX$3),Report_BM!$DJ$6:$DJ$73)</f>
        <v>137700000</v>
      </c>
      <c r="CU21" s="39">
        <f>SUMIF(Report_BM!$DP$6:$DP$73,CONCATENATE($C21,CX$3),Report_BM!$DK$6:$DK$73)</f>
        <v>0</v>
      </c>
      <c r="CV21" s="46">
        <f>SUMIF(Master_Data!$AK$152:$AK$864,CONCATENATE($C21,CX$3),Master_Data!$T$152:$T$864)</f>
        <v>-2550000</v>
      </c>
      <c r="CW21" s="45">
        <f>SUMIF(Report_BM!$DP$6:$DP$73,CONCATENATE($C21,CX$3),Report_BM!$DM$6:$DM$73)</f>
        <v>0</v>
      </c>
      <c r="CX21" s="39" t="e">
        <f ca="1">SUMIF(Report_BM!$DP$6:$DP$73,CONCATENATE($C21,CX$3),Report_BM!$DN$6:$DN$73)</f>
        <v>#VALUE!</v>
      </c>
      <c r="CY21" s="103"/>
      <c r="CZ21" s="104"/>
      <c r="DA21" s="104"/>
      <c r="DB21" s="104"/>
      <c r="DC21" s="104"/>
      <c r="DD21" s="104"/>
      <c r="DE21" s="45">
        <f>SUMIF(Report_BM!$EG$6:$EG$73,CONCATENATE($C21,DM$3),Report_BM!$DS$6:$DS$73)+SUMIF(Report_BM!$EG$6:$EG$73,CONCATENATE($C21,DM$3),Report_BM!$DV$6:$DV$73)</f>
        <v>0</v>
      </c>
      <c r="DF21" s="46" t="e">
        <f ca="1">SUMIF(Report_BM!$EG$6:$EG$73,CONCATENATE($C21,$DM$3),Report_BM!$DT$6:$DT$73)+SUMIF(Report_BM!$EG$6:$EG$73,CONCATENATE($C21,$DM$3),Report_BM!$DW$6:$DW$73)</f>
        <v>#VALUE!</v>
      </c>
      <c r="DG21" s="45">
        <f>SUMIF(Report_BM!$EG$6:$EG$73,CONCATENATE($C21,DM$3),Report_BM!$DY$6:$DY$73)</f>
        <v>0</v>
      </c>
      <c r="DH21" s="39">
        <f>SUMIF(Report_BM!EG$6:EG$73,CONCATENATE($C21,DM$3),Report_BM!DZ$6:DZ$73)</f>
        <v>0</v>
      </c>
      <c r="DI21" s="39">
        <f>SUMIF(Report_BM!EG$6:EG$73,CONCATENATE($C21,DM$3),Report_BM!$EA$6:$EA$73)</f>
        <v>0</v>
      </c>
      <c r="DJ21" s="39">
        <f>SUMIF(Report_BM!EG$6:EG$73,CONCATENATE($C21,DM$3),Report_BM!$EB$6:$EB$73)</f>
        <v>0</v>
      </c>
      <c r="DK21" s="46">
        <f>SUMIF(Master_Data!$AK$152:$AK$864,CONCATENATE($C21,DM$3),Master_Data!$T$152:$T$864)</f>
        <v>0</v>
      </c>
      <c r="DL21" s="45">
        <f>SUMIF(Report_BM!EG$6:EG$73,CONCATENATE($C21,DM$3),Report_BM!ED$6:ED$73)</f>
        <v>0</v>
      </c>
      <c r="DM21" s="39" t="e">
        <f ca="1">SUMIF(Report_BM!EG$6:EG$73,CONCATENATE($C21,DM$3),Report_BM!EE$6:EE$73)</f>
        <v>#VALUE!</v>
      </c>
      <c r="DN21" s="103"/>
      <c r="DO21" s="104"/>
      <c r="DP21" s="104"/>
      <c r="DQ21" s="104"/>
      <c r="DR21" s="104"/>
      <c r="DS21" s="104"/>
      <c r="DT21" s="45">
        <f>SUMIF(Report_BM!$EX$6:$EX$73,CONCATENATE($C21,EB$3),Report_BM!$EJ$6:$EJ$73)+SUMIF(Report_BM!$EX$6:$EX$73,CONCATENATE($C21,EB$3),Report_BM!$EM$6:$EM$73)</f>
        <v>0</v>
      </c>
      <c r="DU21" s="46" t="e">
        <f ca="1">SUMIF(Report_BM!$EX$6:$EX$73,CONCATENATE($C21,$EB$3),Report_BM!$EK$6:$EK$73)+SUMIF(Report_BM!$EX$6:$EX$73,CONCATENATE($C21,$EB$3),Report_BM!$EN$6:$EN$73)</f>
        <v>#VALUE!</v>
      </c>
      <c r="DV21" s="45">
        <f>SUMIF(Report_BM!$EX$6:$EX$73,CONCATENATE($C21,EB$3),Report_BM!$EP$6:$EP$73)</f>
        <v>0</v>
      </c>
      <c r="DW21" s="39">
        <f>SUMIF(Report_BM!$EX$6:$EX$73,CONCATENATE($C21,EB$3),Report_BM!$EQ$6:$EQ$73)</f>
        <v>0</v>
      </c>
      <c r="DX21" s="39">
        <f>SUMIF(Report_BM!$EX$6:$EX$73,CONCATENATE($C21,EB$3),Report_BM!$ER$6:$ER$73)</f>
        <v>22680000</v>
      </c>
      <c r="DY21" s="39">
        <f>SUMIF(Report_BM!$EX$6:$EX$73,CONCATENATE($C21,EB$3),Report_BM!$ES$6:$ES$73)</f>
        <v>0</v>
      </c>
      <c r="DZ21" s="46">
        <f>SUMIF(Master_Data!$AK$152:$AK$864,CONCATENATE($C21,EB$3),Master_Data!$T$152:$T$864)</f>
        <v>-420000</v>
      </c>
      <c r="EA21" s="45">
        <f>SUMIF(Report_BM!EX$6:EX$73,CONCATENATE($C21,EB$3),Report_BM!EU$6:EU$73)</f>
        <v>0</v>
      </c>
      <c r="EB21" s="39">
        <f>SUMIF(Report_BM!EX$6:EX$73,CONCATENATE($C21,EB$3),Report_BM!EV$6:EV$73)</f>
        <v>0</v>
      </c>
      <c r="EC21" s="103"/>
      <c r="ED21" s="104"/>
      <c r="EE21" s="104"/>
      <c r="EF21" s="104"/>
      <c r="EG21" s="104"/>
      <c r="EH21" s="104"/>
      <c r="EI21" s="45">
        <f>SUMIF(Report_BM!$FO$6:$FO$73,CONCATENATE($C21,EQ$3),Report_BM!$FA$6:$FA$73)+SUMIF(Report_BM!$FO$6:$FO$73,CONCATENATE($C21,EQ$3),Report_BM!$FD$6:$FD$73)</f>
        <v>0</v>
      </c>
      <c r="EJ21" s="46" t="e">
        <f>SUMIF(Report_BM!$FO$6:$FO$73,CONCATENATE($C21,$EQ$3),Report_BM!$FB$6:$FB$73)+SUMIF(Report_BM!$FO$6:$FO$73,CONCATENATE($C21,$EQ$3),Report_BM!$FE$6:$FE$73)</f>
        <v>#VALUE!</v>
      </c>
      <c r="EK21" s="45">
        <f>SUMIF(Report_BM!$FO$6:$FO$73,CONCATENATE($C21,EQ$3),Report_BM!$FG$6:$FG$73)</f>
        <v>0</v>
      </c>
      <c r="EL21" s="39">
        <f>SUMIF(Report_BM!$FO$6:$FO$73,CONCATENATE($C21,EQ$3),Report_BM!$FH$6:$FH$73)</f>
        <v>0</v>
      </c>
      <c r="EM21" s="39">
        <f>SUMIF(Report_BM!$FO$6:$FO$73,CONCATENATE($C21,EQ$3),Report_BM!$FI$6:$FI$73)</f>
        <v>0</v>
      </c>
      <c r="EN21" s="39">
        <f>SUMIF(Report_BM!$FO$6:$FO$73,CONCATENATE($C21,EQ$3),Report_BM!$FJ$6:$FJ$73)</f>
        <v>0</v>
      </c>
      <c r="EO21" s="46">
        <f>SUMIF(Master_Data!$AK$152:$AK$864,CONCATENATE($C21,EQ$3),Master_Data!$T$152:$T$864)</f>
        <v>0</v>
      </c>
      <c r="EP21" s="45">
        <f>SUMIF(Report_BM!FO$6:FO$73,CONCATENATE($C21,EQ$3),Report_BM!FL$6:FL$73)</f>
        <v>0</v>
      </c>
      <c r="EQ21" s="39" t="e">
        <f>SUMIF(Report_BM!FO$6:FO$73,CONCATENATE($C21,EQ$3),Report_BM!FM$6:FM$73)</f>
        <v>#VALUE!</v>
      </c>
      <c r="ER21" s="103"/>
      <c r="ES21" s="104"/>
      <c r="ET21" s="104"/>
      <c r="EU21" s="104"/>
      <c r="EV21" s="104"/>
      <c r="EW21" s="104"/>
      <c r="EX21" s="45">
        <f>SUMIF(Report_BM!$GF$6:$GF$73,CONCATENATE($C21,FF$3),Report_BM!$FR$6:$FR$73)+SUMIF(Report_BM!$GF$6:$GF$73,CONCATENATE($C21,FF$3),Report_BM!$FU$6:$FU$73)</f>
        <v>0</v>
      </c>
      <c r="EY21" s="46" t="e">
        <f>SUMIF(Report_BM!$GF$6:$GF$73,CONCATENATE($C21,$FF$3),Report_BM!$FS$6:$FS$73)+SUMIF(Report_BM!$GF$6:$GF$73,CONCATENATE($C21,$FF$3),Report_BM!$FV$6:$FV$73)</f>
        <v>#VALUE!</v>
      </c>
      <c r="EZ21" s="45">
        <f>SUMIF(Report_BM!$GF$6:$GF$73,CONCATENATE($C21,FF$3),Report_BM!$FX$6:$FX$73)</f>
        <v>0</v>
      </c>
      <c r="FA21" s="39">
        <f>SUMIF(Report_BM!$GF$6:$GF$73,CONCATENATE($C21,FF$3),Report_BM!$FY$6:$FY$73)</f>
        <v>0</v>
      </c>
      <c r="FB21" s="39">
        <f>SUMIF(Report_BM!$GF$6:$GF$73,CONCATENATE($C21,FF$3),Report_BM!$FZ$6:$FZ$73)</f>
        <v>0</v>
      </c>
      <c r="FC21" s="39">
        <f>SUMIF(Report_BM!$GF$6:$GF$73,CONCATENATE($C21,FF$3),Report_BM!$GA$6:$GA$73)</f>
        <v>0</v>
      </c>
      <c r="FD21" s="46">
        <f>SUMIF(Master_Data!$AK$152:$AK$864,CONCATENATE($C21,FF$3),Master_Data!$T$152:$T$864)</f>
        <v>0</v>
      </c>
      <c r="FE21" s="45">
        <f>SUMIF(Report_BM!GF$6:GF$73,CONCATENATE($C21,FF$3),Report_BM!GC$6:GC$73)</f>
        <v>0</v>
      </c>
      <c r="FF21" s="39" t="e">
        <f>SUMIF(Report_BM!GF$6:GF$73,CONCATENATE($C21,FF$3),Report_BM!GD$6:GD$73)</f>
        <v>#VALUE!</v>
      </c>
      <c r="FG21" s="103"/>
      <c r="FH21" s="104"/>
      <c r="FI21" s="104"/>
      <c r="FJ21" s="104"/>
      <c r="FK21" s="104"/>
      <c r="FL21" s="104"/>
      <c r="FM21" s="45">
        <f>SUMIF(Report_BM!$GW$6:$GW$73,CONCATENATE($C21,FU$3),Report_BM!$GI$6:$GI$73)+SUMIF(Report_BM!$GW$6:$GW$73,CONCATENATE($C21,FU$3),Report_BM!$GL$6:$GL$73)</f>
        <v>0</v>
      </c>
      <c r="FN21" s="46" t="e">
        <f>SUMIF(Report_BM!$GW$6:$GW$73,CONCATENATE($C21,$FU$3),Report_BM!$GJ$6:$GJ$73)+SUMIF(Report_BM!$GW$6:$GW$73,CONCATENATE($C21,$FU$3),Report_BM!$GM$6:$GM$73)</f>
        <v>#VALUE!</v>
      </c>
      <c r="FO21" s="45">
        <f>SUMIF(Report_BM!$GW$6:$GW$73,CONCATENATE($C21,FU$3),Report_BM!$GO$6:$GO$73)</f>
        <v>0</v>
      </c>
      <c r="FP21" s="39">
        <f>SUMIF(Report_BM!$GW$6:$GW$73,CONCATENATE($C21,FU$3),Report_BM!$GP$6:$GP$73)</f>
        <v>0</v>
      </c>
      <c r="FQ21" s="39">
        <f>SUMIF(Report_BM!$GW$6:$GW$73,CONCATENATE($C21,FU$3),Report_BM!$GQ$6:$GQ$73)</f>
        <v>0</v>
      </c>
      <c r="FR21" s="39">
        <f>SUMIF(Report_BM!$GW$6:$GW$73,CONCATENATE($C21,FU$3),Report_BM!$GR$6:$GR$73)</f>
        <v>0</v>
      </c>
      <c r="FS21" s="46">
        <f>SUMIF(Master_Data!$AK$152:$AK$864,CONCATENATE($C21,FU$3),Master_Data!$T$152:$T$864)</f>
        <v>0</v>
      </c>
      <c r="FT21" s="45">
        <f>SUMIF(Report_BM!GW$6:GW$73,CONCATENATE($C21,FU$3),Report_BM!GT$6:GT$73)</f>
        <v>0</v>
      </c>
      <c r="FU21" s="39" t="e">
        <f>SUMIF(Report_BM!GW$6:GW$73,CONCATENATE($C21,FU$3),Report_BM!GU$6:GU$73)</f>
        <v>#VALUE!</v>
      </c>
      <c r="FV21" s="103"/>
      <c r="FW21" s="104"/>
      <c r="FX21" s="104"/>
      <c r="FY21" s="104"/>
      <c r="FZ21" s="104"/>
      <c r="GA21" s="104"/>
    </row>
    <row r="22" spans="1:183" s="40" customFormat="1" ht="14.1" customHeight="1">
      <c r="A22" s="9">
        <v>16</v>
      </c>
      <c r="B22" s="328" t="s">
        <v>33</v>
      </c>
      <c r="C22" s="613" t="s">
        <v>206</v>
      </c>
      <c r="D22" s="45">
        <f>SUMIF(Report_BM!$B$6:$B$73,CONCATENATE($C22,L$3),Report_BM!$E$6:$E$73)+SUMIF(Report_BM!$B$6:$B$73,CONCATENATE($C22,L$3),Report_BM!$H$6:$H$73)</f>
        <v>0</v>
      </c>
      <c r="E22" s="276" t="e">
        <f>SUMIF(Report_BM!$B$6:$B$73,CONCATENATE($C22,L$3),Report_BM!$F$6:$F$73)+SUMIF(Report_BM!$B$6:$B$73,CONCATENATE($C22,L$3),Report_BM!$I$6:$I$73)</f>
        <v>#VALUE!</v>
      </c>
      <c r="F22" s="45">
        <f>SUMIF(Report_BM!$B$6:$B$73,CONCATENATE($C22,L$3),Report_BM!$K$6:$K$73)</f>
        <v>0</v>
      </c>
      <c r="G22" s="39">
        <f>SUMIF(Report_BM!$B$6:$B$73,CONCATENATE($C22,$L$3),Report_BM!$L$6:$L$73)</f>
        <v>0</v>
      </c>
      <c r="H22" s="39">
        <f>SUMIF(Report_BM!$B$6:$B$73,CONCATENATE($C22,$L$3),Report_BM!$M$6:$M$73)</f>
        <v>0</v>
      </c>
      <c r="I22" s="39">
        <f>SUMIF(Report_BM!$B$6:$B$73,CONCATENATE($C22,$L$3),Report_BM!$N$6:$N$73)</f>
        <v>0</v>
      </c>
      <c r="J22" s="46">
        <f>SUMIF(Report_BM!$B$6:$B$73,CONCATENATE($C22,$L$3),Report_BM!$O$6:$O$73)</f>
        <v>0</v>
      </c>
      <c r="K22" s="45">
        <f>SUMIF(Report_BM!$B$6:$B$73,CONCATENATE($C22,$L$3),Report_BM!$P$6:$P$73)</f>
        <v>0</v>
      </c>
      <c r="L22" s="39" t="e">
        <f>SUMIF(Report_BM!$B$6:$B$73,CONCATENATE($C22,$L$3),Report_BM!$Q$6:$Q$73)</f>
        <v>#VALUE!</v>
      </c>
      <c r="M22" s="103"/>
      <c r="N22" s="104"/>
      <c r="O22" s="104"/>
      <c r="P22" s="104"/>
      <c r="Q22" s="104"/>
      <c r="R22" s="104"/>
      <c r="S22" s="45">
        <f>SUMIF(Report_BM!$AI$8:$AI$72,CONCATENATE($C22,AA$3),Report_BM!$U$8:$U$72)+SUMIF(Report_BM!$AI$8:$AI$72,CONCATENATE($C22,AA$3),Report_BM!$X$8:$X$72)</f>
        <v>0</v>
      </c>
      <c r="T22" s="276" t="e">
        <f>SUMIF(Report_BM!$AI$8:$AI$72,CONCATENATE($C22,AA$3),Report_BM!$V$8:$V$72)+SUMIF(Report_BM!$AI$8:$AI$72,CONCATENATE($C22,AA$3),Report_BM!$Y$8:$Y$72)</f>
        <v>#VALUE!</v>
      </c>
      <c r="U22" s="45">
        <f>SUMIF(Report_BM!$AI$8:$AI$72,CONCATENATE($C22,AA$3),Report_BM!$AA$8:$AB$72)</f>
        <v>0</v>
      </c>
      <c r="V22" s="39">
        <f>SUMIF(Report_BM!$AI$8:$AI$72,CONCATENATE($C22,$AA$3),Report_BM!$AB$8:$AB$72)</f>
        <v>0</v>
      </c>
      <c r="W22" s="39">
        <f>SUMIF(Report_BM!$AI$8:$AI$72,CONCATENATE($C22,$AA$3),Report_BM!$AC$8:$AC$72)</f>
        <v>95040000</v>
      </c>
      <c r="X22" s="39">
        <f ca="1">SUMIF(Report_BM!$AI$7:$AI$73,CONCATENATE($C22,$AA$3),Report_BM!$AD$7:$AD$73)</f>
        <v>0</v>
      </c>
      <c r="Y22" s="46">
        <f>SUMIF(Master_Data!$AK$152:$AK$864,CONCATENATE($C22,AA$3),Master_Data!$T$152:$T$864)</f>
        <v>-1760000</v>
      </c>
      <c r="Z22" s="45">
        <f>SUMIF(Report_BM!$AI$8:$AI$72,CONCATENATE($C22,$AA$3),Report_BM!$AF$8:$AF$72)</f>
        <v>0</v>
      </c>
      <c r="AA22" s="39" t="e">
        <f ca="1">SUMIF(Report_BM!$AI$8:$AI$72,CONCATENATE($C22,$AA$3),Report_BM!$AG$8:$AG$72)</f>
        <v>#VALUE!</v>
      </c>
      <c r="AB22" s="103"/>
      <c r="AC22" s="104"/>
      <c r="AD22" s="104"/>
      <c r="AE22" s="104"/>
      <c r="AF22" s="104"/>
      <c r="AG22" s="104"/>
      <c r="AH22" s="45">
        <f>SUMIF(Report_BM!$AZ$5:$AZ$72,CONCATENATE($C22,AP$3),Report_BM!$AL$5:$AL$72)+SUMIF(Report_BM!$AZ$5:$AZ$72,CONCATENATE($C22,AP$3),Report_BM!$AO$5:$AO$72)</f>
        <v>0</v>
      </c>
      <c r="AI22" s="46" t="e">
        <f ca="1">SUMIF(Report_BM!$AZ$5:$AZ$72,CONCATENATE($C22,$AP$3),Report_BM!$AM$5:$AM$72)+SUMIF(Report_BM!$AZ$5:$AZ$72,CONCATENATE($C22,$AP$3),Report_BM!$AP$5:$AP$72)</f>
        <v>#VALUE!</v>
      </c>
      <c r="AJ22" s="45">
        <f>SUMIF(Report_BM!$AZ$5:$AZ$72,CONCATENATE($C22,$AP$3),Report_BM!$AR$5:$AR$72)</f>
        <v>0</v>
      </c>
      <c r="AK22" s="39">
        <f>SUMIF(Report_BM!$AZ$5:$AZ$72,CONCATENATE($C22,$AP$3),Report_BM!$AS$5:$AS$72)</f>
        <v>0</v>
      </c>
      <c r="AL22" s="39">
        <f>SUMIF(Report_BM!$AZ$5:$AZ$72,CONCATENATE($C22,$AP$3),Report_BM!$AT$5:$AT$72)</f>
        <v>190080000</v>
      </c>
      <c r="AM22" s="39">
        <f ca="1">SUMIF(Report_BM!$AZ$5:$AZ$72,CONCATENATE($C22,$AP$3),Report_BM!$AU$5:$AU$72)</f>
        <v>0</v>
      </c>
      <c r="AN22" s="46">
        <f>SUMIF(Master_Data!$AK$152:$AK$915,CONCATENATE($C22,AP$3),Master_Data!$T$152:$T$915)</f>
        <v>-3520000</v>
      </c>
      <c r="AO22" s="45">
        <f>SUMIF(Report_BM!$AZ$5:$AZ$72,CONCATENATE($C22,$AP$3),Report_BM!$AW$5:$AW$72)</f>
        <v>0</v>
      </c>
      <c r="AP22" s="39" t="e">
        <f ca="1">SUMIF(Report_BM!$AZ$5:$AZ$72,CONCATENATE($C22,$AP$3),Report_BM!$AX$5:$AX$72)</f>
        <v>#VALUE!</v>
      </c>
      <c r="AQ22" s="103"/>
      <c r="AR22" s="104"/>
      <c r="AS22" s="104"/>
      <c r="AT22" s="104"/>
      <c r="AU22" s="104"/>
      <c r="AV22" s="104"/>
      <c r="AW22" s="45">
        <f>SUMIF(Report_BM!$BQ$6:$BQ$73,CONCATENATE($C22,BE$3),Report_BM!$BC$6:$BC$73)+SUMIF(Report_BM!$BQ$6:$BQ$73,CONCATENATE($C22,BE$3),Report_BM!$BF$6:$BF$73)</f>
        <v>0</v>
      </c>
      <c r="AX22" s="46" t="e">
        <f ca="1">SUMIF(Report_BM!$BQ$6:$BQ$73,CONCATENATE($C22,$BE$3),Report_BM!$BD$6:$BD$73)+SUMIF(Report_BM!$BQ$6:$BQ$73,CONCATENATE($C22,$BE$3),Report_BM!$BG$6:$BG$73)</f>
        <v>#VALUE!</v>
      </c>
      <c r="AY22" s="45">
        <f>SUMIF(Report_BM!$BQ$6:$BQ$73,CONCATENATE($C22,BE$3),Report_BM!$BI$6:$BI$73)</f>
        <v>0</v>
      </c>
      <c r="AZ22" s="39">
        <f>SUMIF(Report_BM!$BQ$6:$BQ$73,CONCATENATE($C22,BE$3),Report_BM!$BJ$6:$BJ$73)</f>
        <v>0</v>
      </c>
      <c r="BA22" s="39">
        <f>SUMIF(Report_BM!$BQ$6:$BQ$73,CONCATENATE($C22,BE$3),Report_BM!$BK$6:$BK$73)</f>
        <v>0</v>
      </c>
      <c r="BB22" s="39">
        <f>SUMIF(Report_BM!$BQ$6:$BQ$73,CONCATENATE($C22,BE$3),Report_BM!$BL$6:$BL$73)</f>
        <v>0</v>
      </c>
      <c r="BC22" s="46">
        <f>SUMIF(Master_Data!$AK$152:$AK$864,CONCATENATE($C22,BE$3),Master_Data!$T$152:$T$864)</f>
        <v>0</v>
      </c>
      <c r="BD22" s="45">
        <f>SUMIF(Report_BM!$BQ$6:$BQ$73,CONCATENATE($C22,BE$3),Report_BM!$BN$6:$BN$73)</f>
        <v>0</v>
      </c>
      <c r="BE22" s="39" t="e">
        <f ca="1">SUMIF(Report_BM!$BQ$6:$BQ$73,CONCATENATE($C22,BE$3),Report_BM!$BO$6:$BO$73)</f>
        <v>#VALUE!</v>
      </c>
      <c r="BF22" s="103"/>
      <c r="BG22" s="104"/>
      <c r="BH22" s="104"/>
      <c r="BI22" s="104"/>
      <c r="BJ22" s="104"/>
      <c r="BK22" s="104"/>
      <c r="BL22" s="45">
        <f>SUMIF(Report_BM!$CH$6:$CH$73,CONCATENATE($C22,BT$3),Report_BM!$BT$6:$BT$73)+SUMIF(Report_BM!$CH$6:$CH$73,CONCATENATE($C22,BT$3),Report_BM!$BW$6:$BW$73)</f>
        <v>0</v>
      </c>
      <c r="BM22" s="46" t="e">
        <f ca="1">SUMIF(Report_BM!$CH$6:$CH$73,CONCATENATE($C22,$BT$3),Report_BM!$BU$6:$BU$73)+SUMIF(Report_BM!$CH$6:$CH$73,CONCATENATE($C22,$BT$3),Report_BM!$BX$6:$BX$73)</f>
        <v>#VALUE!</v>
      </c>
      <c r="BN22" s="45">
        <f>SUMIF(Report_BM!$CH$6:$CH$73,CONCATENATE($C22,BT$3),Report_BM!$BZ$6:$BZ$73)</f>
        <v>0</v>
      </c>
      <c r="BO22" s="39">
        <f>SUMIF(Report_BM!$CH$6:$CH$73,CONCATENATE($C22,BT$3),Report_BM!$CA$6:$CA$73)</f>
        <v>0</v>
      </c>
      <c r="BP22" s="39">
        <f>SUMIF(Report_BM!$CH$6:$CH$73,CONCATENATE($C22,BT$3),Report_BM!$CB$6:$CB$73)</f>
        <v>160776000</v>
      </c>
      <c r="BQ22" s="39">
        <f>SUMIF(Report_BM!$CH$6:$CH$73,CONCATENATE($C22,BT$3),Report_BM!$CC$6:$CC$73)</f>
        <v>0</v>
      </c>
      <c r="BR22" s="46">
        <f>SUMIF(Master_Data!$AK$152:$AK$864,CONCATENATE($C22,BT$3),Master_Data!$T$152:$T$864)</f>
        <v>-2977333.3333999999</v>
      </c>
      <c r="BS22" s="45">
        <f>SUMIF(Report_BM!$CH$6:$CH$73,CONCATENATE($C22,BT$3),Report_BM!$CE$6:$CE$73)</f>
        <v>0</v>
      </c>
      <c r="BT22" s="39" t="e">
        <f ca="1">SUMIF(Report_BM!$CH$6:$CH$73,CONCATENATE($C22,BT$3),Report_BM!$CF$6:$CF$73)</f>
        <v>#VALUE!</v>
      </c>
      <c r="BU22" s="103"/>
      <c r="BV22" s="104"/>
      <c r="BW22" s="104"/>
      <c r="BX22" s="104"/>
      <c r="BY22" s="104"/>
      <c r="BZ22" s="104"/>
      <c r="CA22" s="45">
        <f>SUMIF(Report_BM!$CY$6:$CY$73,CONCATENATE($C22,CI$3),Report_BM!$CK$6:$CK$73)+SUMIF(Report_BM!$CY$6:$CY$73,CONCATENATE($C22,CI$3),Report_BM!$CN$6:$CN$73)</f>
        <v>0</v>
      </c>
      <c r="CB22" s="46" t="e">
        <f ca="1">SUMIF(Report_BM!$CY$6:$CY$73,CONCATENATE($C22,$CI$3),Report_BM!$CL$6:$CL$73)+SUMIF(Report_BM!$CY$6:$CY$73,CONCATENATE($C22,$CI$3),Report_BM!$CO$6:$CO$73)</f>
        <v>#VALUE!</v>
      </c>
      <c r="CC22" s="45">
        <f>SUMIF(Report_BM!$CY$6:$CY$73,CONCATENATE($C22,CI$3),Report_BM!$CQ$6:$CQ$73)</f>
        <v>0</v>
      </c>
      <c r="CD22" s="39">
        <f>SUMIF(Report_BM!$CY$6:$CY$73,CONCATENATE($C22,CI$3),Report_BM!$CR$6:$CR$73)</f>
        <v>0</v>
      </c>
      <c r="CE22" s="39">
        <f>SUMIF(Report_BM!$CY$6:$CY$73,CONCATENATE($C22,CI$3),Report_BM!$CS$6:$CS$73)</f>
        <v>0</v>
      </c>
      <c r="CF22" s="39">
        <f ca="1">SUMIF(Report_BM!$CY$6:$CY$73,CONCATENATE($C22,CI$3),Report_BM!$CT$6:$CT$73)</f>
        <v>0</v>
      </c>
      <c r="CG22" s="46">
        <f>SUMIF(Report_BM!$CY$6:$CY$73,CONCATENATE($C22,CI$3),Report_BM!$CU$6:$CU$73)</f>
        <v>0</v>
      </c>
      <c r="CH22" s="45">
        <f>SUMIF(Report_BM!$CY$6:$CY$73,CONCATENATE($C22,CI$3),Report_BM!$CV$6:$CV$73)</f>
        <v>0</v>
      </c>
      <c r="CI22" s="39" t="e">
        <f ca="1">SUMIF(Report_BM!$CY$6:$CY$73,CONCATENATE($C22,CI$3),Report_BM!$CW$6:$CW$73)</f>
        <v>#VALUE!</v>
      </c>
      <c r="CJ22" s="103"/>
      <c r="CK22" s="104"/>
      <c r="CL22" s="104"/>
      <c r="CM22" s="104"/>
      <c r="CN22" s="104"/>
      <c r="CO22" s="104"/>
      <c r="CP22" s="45">
        <f>SUMIF(Report_BM!$DP$6:$DP$73,CONCATENATE($C22,CX$3),Report_BM!$DB$6:$DB$73)+SUMIF(Report_BM!$DP$6:$DP$73,CONCATENATE($C22,CX$3),Report_BM!$DE$6:$DE$73)</f>
        <v>0</v>
      </c>
      <c r="CQ22" s="46" t="e">
        <f ca="1">SUMIF(Report_BM!$DP$6:$DP$73,CONCATENATE($C22,$CX$3),Report_BM!$DC$6:$DC$73)+SUMIF(Report_BM!$DP$6:$DP$73,CONCATENATE($C22,$CX$3),Report_BM!$DF$6:$DF$73)</f>
        <v>#VALUE!</v>
      </c>
      <c r="CR22" s="45">
        <f>SUMIF(Report_BM!$DP$6:$DP$73,CONCATENATE($C22,CX$3),Report_BM!$DH$6:$DH$73)</f>
        <v>0</v>
      </c>
      <c r="CS22" s="39">
        <f>SUMIF(Report_BM!$DP$6:$DP$73,CONCATENATE($C22,CX$3),Report_BM!$DI$6:$DI$73)</f>
        <v>0</v>
      </c>
      <c r="CT22" s="39">
        <f>SUMIF(Report_BM!$DP$6:$DP$73,CONCATENATE($C22,CX$3),Report_BM!$DJ$6:$DJ$73)</f>
        <v>103579809</v>
      </c>
      <c r="CU22" s="39">
        <f>SUMIF(Report_BM!$DP$6:$DP$73,CONCATENATE($C22,CX$3),Report_BM!$DK$6:$DK$73)</f>
        <v>0</v>
      </c>
      <c r="CV22" s="46">
        <f>SUMIF(Master_Data!$AK$152:$AK$864,CONCATENATE($C22,CX$3),Master_Data!$T$152:$T$864)</f>
        <v>-1860000</v>
      </c>
      <c r="CW22" s="45">
        <f>SUMIF(Report_BM!$DP$6:$DP$73,CONCATENATE($C22,CX$3),Report_BM!$DM$6:$DM$73)</f>
        <v>0</v>
      </c>
      <c r="CX22" s="39" t="e">
        <f ca="1">SUMIF(Report_BM!$DP$6:$DP$73,CONCATENATE($C22,CX$3),Report_BM!$DN$6:$DN$73)</f>
        <v>#VALUE!</v>
      </c>
      <c r="CY22" s="103"/>
      <c r="CZ22" s="104"/>
      <c r="DA22" s="104"/>
      <c r="DB22" s="104"/>
      <c r="DC22" s="104"/>
      <c r="DD22" s="104"/>
      <c r="DE22" s="45">
        <f>SUMIF(Report_BM!$EG$6:$EG$73,CONCATENATE($C22,DM$3),Report_BM!$DS$6:$DS$73)+SUMIF(Report_BM!$EG$6:$EG$73,CONCATENATE($C22,DM$3),Report_BM!$DV$6:$DV$73)</f>
        <v>0</v>
      </c>
      <c r="DF22" s="46" t="e">
        <f ca="1">SUMIF(Report_BM!$EG$6:$EG$73,CONCATENATE($C22,$DM$3),Report_BM!$DT$6:$DT$73)+SUMIF(Report_BM!$EG$6:$EG$73,CONCATENATE($C22,$DM$3),Report_BM!$DW$6:$DW$73)</f>
        <v>#VALUE!</v>
      </c>
      <c r="DG22" s="45">
        <f>SUMIF(Report_BM!$EG$6:$EG$73,CONCATENATE($C22,DM$3),Report_BM!$DY$6:$DY$73)</f>
        <v>0</v>
      </c>
      <c r="DH22" s="39">
        <f>SUMIF(Report_BM!EG$6:EG$73,CONCATENATE($C22,DM$3),Report_BM!DZ$6:DZ$73)</f>
        <v>0</v>
      </c>
      <c r="DI22" s="39">
        <f>SUMIF(Report_BM!EG$6:EG$73,CONCATENATE($C22,DM$3),Report_BM!$EA$6:$EA$73)</f>
        <v>95040000</v>
      </c>
      <c r="DJ22" s="39">
        <f>SUMIF(Report_BM!EG$6:EG$73,CONCATENATE($C22,DM$3),Report_BM!$EB$6:$EB$73)</f>
        <v>0</v>
      </c>
      <c r="DK22" s="46">
        <f>SUMIF(Master_Data!$AK$152:$AK$864,CONCATENATE($C22,DM$3),Master_Data!$T$152:$T$864)</f>
        <v>-1760000</v>
      </c>
      <c r="DL22" s="45">
        <f>SUMIF(Report_BM!EG$6:EG$73,CONCATENATE($C22,DM$3),Report_BM!ED$6:ED$73)</f>
        <v>0</v>
      </c>
      <c r="DM22" s="39" t="e">
        <f ca="1">SUMIF(Report_BM!EG$6:EG$73,CONCATENATE($C22,DM$3),Report_BM!EE$6:EE$73)</f>
        <v>#VALUE!</v>
      </c>
      <c r="DN22" s="103"/>
      <c r="DO22" s="104"/>
      <c r="DP22" s="104"/>
      <c r="DQ22" s="104"/>
      <c r="DR22" s="104"/>
      <c r="DS22" s="104"/>
      <c r="DT22" s="45">
        <f>SUMIF(Report_BM!$EX$6:$EX$73,CONCATENATE($C22,EB$3),Report_BM!$EJ$6:$EJ$73)+SUMIF(Report_BM!$EX$6:$EX$73,CONCATENATE($C22,EB$3),Report_BM!$EM$6:$EM$73)</f>
        <v>0</v>
      </c>
      <c r="DU22" s="46" t="e">
        <f ca="1">SUMIF(Report_BM!$EX$6:$EX$73,CONCATENATE($C22,$EB$3),Report_BM!$EK$6:$EK$73)+SUMIF(Report_BM!$EX$6:$EX$73,CONCATENATE($C22,$EB$3),Report_BM!$EN$6:$EN$73)</f>
        <v>#VALUE!</v>
      </c>
      <c r="DV22" s="45">
        <f>SUMIF(Report_BM!$EX$6:$EX$73,CONCATENATE($C22,EB$3),Report_BM!$EP$6:$EP$73)</f>
        <v>0</v>
      </c>
      <c r="DW22" s="39">
        <f>SUMIF(Report_BM!$EX$6:$EX$73,CONCATENATE($C22,EB$3),Report_BM!$EQ$6:$EQ$73)</f>
        <v>0</v>
      </c>
      <c r="DX22" s="39">
        <f>SUMIF(Report_BM!$EX$6:$EX$73,CONCATENATE($C22,EB$3),Report_BM!$ER$6:$ER$73)</f>
        <v>0</v>
      </c>
      <c r="DY22" s="39">
        <f>SUMIF(Report_BM!$EX$6:$EX$73,CONCATENATE($C22,EB$3),Report_BM!$ES$6:$ES$73)</f>
        <v>0</v>
      </c>
      <c r="DZ22" s="46">
        <f>SUMIF(Master_Data!$AK$152:$AK$864,CONCATENATE($C22,EB$3),Master_Data!$T$152:$T$864)</f>
        <v>0</v>
      </c>
      <c r="EA22" s="45">
        <f>SUMIF(Report_BM!EX$6:EX$73,CONCATENATE($C22,EB$3),Report_BM!EU$6:EU$73)</f>
        <v>0</v>
      </c>
      <c r="EB22" s="39">
        <f>SUMIF(Report_BM!EX$6:EX$73,CONCATENATE($C22,EB$3),Report_BM!EV$6:EV$73)</f>
        <v>0</v>
      </c>
      <c r="EC22" s="103"/>
      <c r="ED22" s="104"/>
      <c r="EE22" s="104"/>
      <c r="EF22" s="104"/>
      <c r="EG22" s="104"/>
      <c r="EH22" s="104"/>
      <c r="EI22" s="45">
        <f>SUMIF(Report_BM!$FO$6:$FO$73,CONCATENATE($C22,EQ$3),Report_BM!$FA$6:$FA$73)+SUMIF(Report_BM!$FO$6:$FO$73,CONCATENATE($C22,EQ$3),Report_BM!$FD$6:$FD$73)</f>
        <v>0</v>
      </c>
      <c r="EJ22" s="46" t="e">
        <f>SUMIF(Report_BM!$FO$6:$FO$73,CONCATENATE($C22,$EQ$3),Report_BM!$FB$6:$FB$73)+SUMIF(Report_BM!$FO$6:$FO$73,CONCATENATE($C22,$EQ$3),Report_BM!$FE$6:$FE$73)</f>
        <v>#VALUE!</v>
      </c>
      <c r="EK22" s="45">
        <f>SUMIF(Report_BM!$FO$6:$FO$73,CONCATENATE($C22,EQ$3),Report_BM!$FG$6:$FG$73)</f>
        <v>0</v>
      </c>
      <c r="EL22" s="39">
        <f>SUMIF(Report_BM!$FO$6:$FO$73,CONCATENATE($C22,EQ$3),Report_BM!$FH$6:$FH$73)</f>
        <v>0</v>
      </c>
      <c r="EM22" s="39">
        <f>SUMIF(Report_BM!$FO$6:$FO$73,CONCATENATE($C22,EQ$3),Report_BM!$FI$6:$FI$73)</f>
        <v>0</v>
      </c>
      <c r="EN22" s="39">
        <f>SUMIF(Report_BM!$FO$6:$FO$73,CONCATENATE($C22,EQ$3),Report_BM!$FJ$6:$FJ$73)</f>
        <v>0</v>
      </c>
      <c r="EO22" s="46">
        <f>SUMIF(Master_Data!$AK$152:$AK$864,CONCATENATE($C22,EQ$3),Master_Data!$T$152:$T$864)</f>
        <v>0</v>
      </c>
      <c r="EP22" s="45">
        <f>SUMIF(Report_BM!FO$6:FO$73,CONCATENATE($C22,EQ$3),Report_BM!FL$6:FL$73)</f>
        <v>0</v>
      </c>
      <c r="EQ22" s="39" t="e">
        <f>SUMIF(Report_BM!FO$6:FO$73,CONCATENATE($C22,EQ$3),Report_BM!FM$6:FM$73)</f>
        <v>#VALUE!</v>
      </c>
      <c r="ER22" s="103"/>
      <c r="ES22" s="104"/>
      <c r="ET22" s="104"/>
      <c r="EU22" s="104"/>
      <c r="EV22" s="104"/>
      <c r="EW22" s="104"/>
      <c r="EX22" s="45">
        <f>SUMIF(Report_BM!$GF$6:$GF$73,CONCATENATE($C22,FF$3),Report_BM!$FR$6:$FR$73)+SUMIF(Report_BM!$GF$6:$GF$73,CONCATENATE($C22,FF$3),Report_BM!$FU$6:$FU$73)</f>
        <v>0</v>
      </c>
      <c r="EY22" s="46" t="e">
        <f>SUMIF(Report_BM!$GF$6:$GF$73,CONCATENATE($C22,$FF$3),Report_BM!$FS$6:$FS$73)+SUMIF(Report_BM!$GF$6:$GF$73,CONCATENATE($C22,$FF$3),Report_BM!$FV$6:$FV$73)</f>
        <v>#VALUE!</v>
      </c>
      <c r="EZ22" s="45">
        <f>SUMIF(Report_BM!$GF$6:$GF$73,CONCATENATE($C22,FF$3),Report_BM!$FX$6:$FX$73)</f>
        <v>0</v>
      </c>
      <c r="FA22" s="39">
        <f>SUMIF(Report_BM!$GF$6:$GF$73,CONCATENATE($C22,FF$3),Report_BM!$FY$6:$FY$73)</f>
        <v>0</v>
      </c>
      <c r="FB22" s="39">
        <f>SUMIF(Report_BM!$GF$6:$GF$73,CONCATENATE($C22,FF$3),Report_BM!$FZ$6:$FZ$73)</f>
        <v>0</v>
      </c>
      <c r="FC22" s="39">
        <f>SUMIF(Report_BM!$GF$6:$GF$73,CONCATENATE($C22,FF$3),Report_BM!$GA$6:$GA$73)</f>
        <v>0</v>
      </c>
      <c r="FD22" s="46">
        <f>SUMIF(Master_Data!$AK$152:$AK$864,CONCATENATE($C22,FF$3),Master_Data!$T$152:$T$864)</f>
        <v>0</v>
      </c>
      <c r="FE22" s="45">
        <f>SUMIF(Report_BM!GF$6:GF$73,CONCATENATE($C22,FF$3),Report_BM!GC$6:GC$73)</f>
        <v>0</v>
      </c>
      <c r="FF22" s="39" t="e">
        <f>SUMIF(Report_BM!GF$6:GF$73,CONCATENATE($C22,FF$3),Report_BM!GD$6:GD$73)</f>
        <v>#VALUE!</v>
      </c>
      <c r="FG22" s="103"/>
      <c r="FH22" s="104"/>
      <c r="FI22" s="104"/>
      <c r="FJ22" s="104"/>
      <c r="FK22" s="104"/>
      <c r="FL22" s="104"/>
      <c r="FM22" s="45">
        <f>SUMIF(Report_BM!$GW$6:$GW$73,CONCATENATE($C22,FU$3),Report_BM!$GI$6:$GI$73)+SUMIF(Report_BM!$GW$6:$GW$73,CONCATENATE($C22,FU$3),Report_BM!$GL$6:$GL$73)</f>
        <v>0</v>
      </c>
      <c r="FN22" s="46" t="e">
        <f>SUMIF(Report_BM!$GW$6:$GW$73,CONCATENATE($C22,$FU$3),Report_BM!$GJ$6:$GJ$73)+SUMIF(Report_BM!$GW$6:$GW$73,CONCATENATE($C22,$FU$3),Report_BM!$GM$6:$GM$73)</f>
        <v>#VALUE!</v>
      </c>
      <c r="FO22" s="45">
        <f>SUMIF(Report_BM!$GW$6:$GW$73,CONCATENATE($C22,FU$3),Report_BM!$GO$6:$GO$73)</f>
        <v>0</v>
      </c>
      <c r="FP22" s="39">
        <f>SUMIF(Report_BM!$GW$6:$GW$73,CONCATENATE($C22,FU$3),Report_BM!$GP$6:$GP$73)</f>
        <v>0</v>
      </c>
      <c r="FQ22" s="39">
        <f>SUMIF(Report_BM!$GW$6:$GW$73,CONCATENATE($C22,FU$3),Report_BM!$GQ$6:$GQ$73)</f>
        <v>0</v>
      </c>
      <c r="FR22" s="39">
        <f>SUMIF(Report_BM!$GW$6:$GW$73,CONCATENATE($C22,FU$3),Report_BM!$GR$6:$GR$73)</f>
        <v>0</v>
      </c>
      <c r="FS22" s="46">
        <f>SUMIF(Master_Data!$AK$152:$AK$864,CONCATENATE($C22,FU$3),Master_Data!$T$152:$T$864)</f>
        <v>0</v>
      </c>
      <c r="FT22" s="45">
        <f>SUMIF(Report_BM!GW$6:GW$73,CONCATENATE($C22,FU$3),Report_BM!GT$6:GT$73)</f>
        <v>0</v>
      </c>
      <c r="FU22" s="39" t="e">
        <f>SUMIF(Report_BM!GW$6:GW$73,CONCATENATE($C22,FU$3),Report_BM!GU$6:GU$73)</f>
        <v>#VALUE!</v>
      </c>
      <c r="FV22" s="103"/>
      <c r="FW22" s="104"/>
      <c r="FX22" s="104"/>
      <c r="FY22" s="104"/>
      <c r="FZ22" s="104"/>
      <c r="GA22" s="104"/>
    </row>
    <row r="23" spans="1:183" s="40" customFormat="1" ht="14.1" customHeight="1">
      <c r="A23" s="9">
        <v>17</v>
      </c>
      <c r="B23" s="328" t="s">
        <v>2514</v>
      </c>
      <c r="C23" s="613" t="s">
        <v>2405</v>
      </c>
      <c r="D23" s="45"/>
      <c r="E23" s="276"/>
      <c r="F23" s="45"/>
      <c r="G23" s="39"/>
      <c r="H23" s="39"/>
      <c r="I23" s="39"/>
      <c r="J23" s="46"/>
      <c r="K23" s="45"/>
      <c r="L23" s="39"/>
      <c r="M23" s="103"/>
      <c r="N23" s="104"/>
      <c r="O23" s="104"/>
      <c r="P23" s="104"/>
      <c r="Q23" s="104"/>
      <c r="R23" s="104"/>
      <c r="S23" s="45"/>
      <c r="T23" s="276"/>
      <c r="U23" s="45"/>
      <c r="V23" s="39"/>
      <c r="W23" s="39"/>
      <c r="X23" s="39"/>
      <c r="Y23" s="46"/>
      <c r="Z23" s="45"/>
      <c r="AA23" s="39"/>
      <c r="AB23" s="103"/>
      <c r="AC23" s="104"/>
      <c r="AD23" s="104"/>
      <c r="AE23" s="104"/>
      <c r="AF23" s="104"/>
      <c r="AG23" s="104"/>
      <c r="AH23" s="45"/>
      <c r="AI23" s="46"/>
      <c r="AJ23" s="45"/>
      <c r="AK23" s="39"/>
      <c r="AL23" s="39"/>
      <c r="AM23" s="39"/>
      <c r="AN23" s="46"/>
      <c r="AO23" s="45"/>
      <c r="AP23" s="39"/>
      <c r="AQ23" s="103"/>
      <c r="AR23" s="104"/>
      <c r="AS23" s="104"/>
      <c r="AT23" s="104"/>
      <c r="AU23" s="104"/>
      <c r="AV23" s="104"/>
      <c r="AW23" s="45">
        <f>SUMIF(Report_BM!$BQ$6:$BQ$73,CONCATENATE($C23,BE$3),Report_BM!$BC$6:$BC$73)+SUMIF(Report_BM!$BQ$6:$BQ$73,CONCATENATE($C23,BE$3),Report_BM!$BF$6:$BF$73)</f>
        <v>0</v>
      </c>
      <c r="AX23" s="46" t="e">
        <f ca="1">SUMIF(Report_BM!$BQ$6:$BQ$73,CONCATENATE($C23,$BE$3),Report_BM!$BD$6:$BD$73)+SUMIF(Report_BM!$BQ$6:$BQ$73,CONCATENATE($C23,$BE$3),Report_BM!$BG$6:$BG$73)</f>
        <v>#VALUE!</v>
      </c>
      <c r="AY23" s="45">
        <f>SUMIF(Report_BM!$BQ$6:$BQ$73,CONCATENATE($C23,BE$3),Report_BM!$BI$6:$BI$73)</f>
        <v>0</v>
      </c>
      <c r="AZ23" s="39">
        <f>SUMIF(Report_BM!$BQ$6:$BQ$73,CONCATENATE($C23,BE$3),Report_BM!$BJ$6:$BJ$73)</f>
        <v>0</v>
      </c>
      <c r="BA23" s="39">
        <f>SUMIF(Report_BM!$BQ$6:$BQ$73,CONCATENATE($C23,BE$3),Report_BM!$BK$6:$BK$73)</f>
        <v>0</v>
      </c>
      <c r="BB23" s="39">
        <f>SUMIF(Report_BM!$BQ$6:$BQ$73,CONCATENATE($C23,BE$3),Report_BM!$BL$6:$BL$73)</f>
        <v>0</v>
      </c>
      <c r="BC23" s="46">
        <f>SUMIF(Master_Data!$AK$152:$AK$864,CONCATENATE($C23,BE$3),Master_Data!$T$152:$T$864)</f>
        <v>0</v>
      </c>
      <c r="BD23" s="45">
        <f>SUMIF(Report_BM!$BQ$6:$BQ$73,CONCATENATE($C23,BE$3),Report_BM!$BN$6:$BN$73)</f>
        <v>0</v>
      </c>
      <c r="BE23" s="39" t="e">
        <f ca="1">SUMIF(Report_BM!$BQ$6:$BQ$73,CONCATENATE($C23,BE$3),Report_BM!$BO$6:$BO$73)</f>
        <v>#VALUE!</v>
      </c>
      <c r="BF23" s="103"/>
      <c r="BG23" s="104"/>
      <c r="BH23" s="104"/>
      <c r="BI23" s="104"/>
      <c r="BJ23" s="104"/>
      <c r="BK23" s="104"/>
      <c r="BL23" s="45">
        <f>SUMIF(Report_BM!$CH$6:$CH$73,CONCATENATE($C23,BT$3),Report_BM!$BT$6:$BT$73)+SUMIF(Report_BM!$CH$6:$CH$73,CONCATENATE($C23,BT$3),Report_BM!$BW$6:$BW$73)</f>
        <v>0</v>
      </c>
      <c r="BM23" s="46" t="e">
        <f ca="1">SUMIF(Report_BM!$CH$6:$CH$73,CONCATENATE($C23,$BT$3),Report_BM!$BU$6:$BU$73)+SUMIF(Report_BM!$CH$6:$CH$73,CONCATENATE($C23,$BT$3),Report_BM!$BX$6:$BX$73)</f>
        <v>#VALUE!</v>
      </c>
      <c r="BN23" s="45">
        <f>SUMIF(Report_BM!$CH$6:$CH$73,CONCATENATE($C23,BT$3),Report_BM!$BZ$6:$BZ$73)</f>
        <v>0</v>
      </c>
      <c r="BO23" s="39">
        <f>SUMIF(Report_BM!$CH$6:$CH$73,CONCATENATE($C23,BT$3),Report_BM!$CA$6:$CA$73)</f>
        <v>0</v>
      </c>
      <c r="BP23" s="39">
        <f>SUMIF(Report_BM!$CH$6:$CH$73,CONCATENATE($C23,BT$3),Report_BM!$CB$6:$CB$73)</f>
        <v>85601880</v>
      </c>
      <c r="BQ23" s="39">
        <f>SUMIF(Report_BM!$CH$6:$CH$73,CONCATENATE($C23,BT$3),Report_BM!$CC$6:$CC$73)</f>
        <v>0</v>
      </c>
      <c r="BR23" s="46">
        <f>SUMIF(Master_Data!$AK$152:$AK$864,CONCATENATE($C23,BT$3),Master_Data!$T$152:$T$864)</f>
        <v>-1585220</v>
      </c>
      <c r="BS23" s="45">
        <f>SUMIF(Report_BM!$CH$6:$CH$73,CONCATENATE($C23,BT$3),Report_BM!$CE$6:$CE$73)</f>
        <v>0</v>
      </c>
      <c r="BT23" s="39" t="e">
        <f ca="1">SUMIF(Report_BM!$CH$6:$CH$73,CONCATENATE($C23,BT$3),Report_BM!$CF$6:$CF$73)</f>
        <v>#VALUE!</v>
      </c>
      <c r="BU23" s="103"/>
      <c r="BV23" s="104"/>
      <c r="BW23" s="104"/>
      <c r="BX23" s="104"/>
      <c r="BY23" s="104"/>
      <c r="BZ23" s="104"/>
      <c r="CA23" s="45">
        <f>SUMIF(Report_BM!$CY$6:$CY$73,CONCATENATE($C23,CI$3),Report_BM!$CK$6:$CK$73)+SUMIF(Report_BM!$CY$6:$CY$73,CONCATENATE($C23,CI$3),Report_BM!$CN$6:$CN$73)</f>
        <v>0</v>
      </c>
      <c r="CB23" s="46" t="e">
        <f ca="1">SUMIF(Report_BM!$CY$6:$CY$73,CONCATENATE($C23,$CI$3),Report_BM!$CL$6:$CL$73)+SUMIF(Report_BM!$CY$6:$CY$73,CONCATENATE($C23,$CI$3),Report_BM!$CO$6:$CO$73)</f>
        <v>#VALUE!</v>
      </c>
      <c r="CC23" s="45">
        <f>SUMIF(Report_BM!$CY$6:$CY$73,CONCATENATE($C23,CI$3),Report_BM!$CQ$6:$CQ$73)</f>
        <v>0</v>
      </c>
      <c r="CD23" s="39">
        <f>SUMIF(Report_BM!$CY$6:$CY$73,CONCATENATE($C23,CI$3),Report_BM!$CR$6:$CR$73)</f>
        <v>0</v>
      </c>
      <c r="CE23" s="39">
        <f>SUMIF(Report_BM!$CY$6:$CY$73,CONCATENATE($C23,CI$3),Report_BM!$CS$6:$CS$73)</f>
        <v>0</v>
      </c>
      <c r="CF23" s="39">
        <f ca="1">SUMIF(Report_BM!$CY$6:$CY$73,CONCATENATE($C23,CI$3),Report_BM!$CT$6:$CT$73)</f>
        <v>0</v>
      </c>
      <c r="CG23" s="46">
        <f>SUMIF(Report_BM!$CY$6:$CY$73,CONCATENATE($C23,CI$3),Report_BM!$CU$6:$CU$73)</f>
        <v>0</v>
      </c>
      <c r="CH23" s="45">
        <f>SUMIF(Report_BM!$CY$6:$CY$73,CONCATENATE($C23,CI$3),Report_BM!$CV$6:$CV$73)</f>
        <v>0</v>
      </c>
      <c r="CI23" s="39" t="e">
        <f ca="1">SUMIF(Report_BM!$CY$6:$CY$73,CONCATENATE($C23,CI$3),Report_BM!$CW$6:$CW$73)</f>
        <v>#VALUE!</v>
      </c>
      <c r="CJ23" s="103"/>
      <c r="CK23" s="104"/>
      <c r="CL23" s="104"/>
      <c r="CM23" s="104"/>
      <c r="CN23" s="104"/>
      <c r="CO23" s="104"/>
      <c r="CP23" s="45">
        <f>SUMIF(Report_BM!$DP$6:$DP$73,CONCATENATE($C23,CX$3),Report_BM!$DB$6:$DB$73)+SUMIF(Report_BM!$DP$6:$DP$73,CONCATENATE($C23,CX$3),Report_BM!$DE$6:$DE$73)</f>
        <v>0</v>
      </c>
      <c r="CQ23" s="46" t="e">
        <f ca="1">SUMIF(Report_BM!$DP$6:$DP$73,CONCATENATE($C23,$CX$3),Report_BM!$DC$6:$DC$73)+SUMIF(Report_BM!$DP$6:$DP$73,CONCATENATE($C23,$CX$3),Report_BM!$DF$6:$DF$73)</f>
        <v>#VALUE!</v>
      </c>
      <c r="CR23" s="45">
        <f>SUMIF(Report_BM!$DP$6:$DP$73,CONCATENATE($C23,CX$3),Report_BM!$DH$6:$DH$73)</f>
        <v>0</v>
      </c>
      <c r="CS23" s="39">
        <f>SUMIF(Report_BM!$DP$6:$DP$73,CONCATENATE($C23,CX$3),Report_BM!$DI$6:$DI$73)</f>
        <v>0</v>
      </c>
      <c r="CT23" s="39">
        <f>SUMIF(Report_BM!$DP$6:$DP$73,CONCATENATE($C23,CX$3),Report_BM!$DJ$6:$DJ$73)</f>
        <v>0</v>
      </c>
      <c r="CU23" s="39">
        <f>SUMIF(Report_BM!$DP$6:$DP$73,CONCATENATE($C23,CX$3),Report_BM!$DK$6:$DK$73)</f>
        <v>0</v>
      </c>
      <c r="CV23" s="46">
        <f>SUMIF(Master_Data!$AK$152:$AK$864,CONCATENATE($C23,CX$3),Master_Data!$T$152:$T$864)</f>
        <v>0</v>
      </c>
      <c r="CW23" s="45">
        <f>SUMIF(Report_BM!$DP$6:$DP$73,CONCATENATE($C23,CX$3),Report_BM!$DM$6:$DM$73)</f>
        <v>0</v>
      </c>
      <c r="CX23" s="39" t="e">
        <f ca="1">SUMIF(Report_BM!$DP$6:$DP$73,CONCATENATE($C23,CX$3),Report_BM!$DN$6:$DN$73)</f>
        <v>#VALUE!</v>
      </c>
      <c r="CY23" s="103"/>
      <c r="CZ23" s="104"/>
      <c r="DA23" s="104"/>
      <c r="DB23" s="104"/>
      <c r="DC23" s="104"/>
      <c r="DD23" s="104"/>
      <c r="DE23" s="45"/>
      <c r="DF23" s="46"/>
      <c r="DG23" s="45"/>
      <c r="DH23" s="39"/>
      <c r="DI23" s="39"/>
      <c r="DJ23" s="39"/>
      <c r="DK23" s="46"/>
      <c r="DL23" s="45"/>
      <c r="DM23" s="39"/>
      <c r="DN23" s="103"/>
      <c r="DO23" s="104"/>
      <c r="DP23" s="104"/>
      <c r="DQ23" s="104"/>
      <c r="DR23" s="104"/>
      <c r="DS23" s="104"/>
      <c r="DT23" s="45"/>
      <c r="DU23" s="46"/>
      <c r="DV23" s="45"/>
      <c r="DW23" s="39"/>
      <c r="DX23" s="39"/>
      <c r="DY23" s="39"/>
      <c r="DZ23" s="46"/>
      <c r="EA23" s="45"/>
      <c r="EB23" s="39"/>
      <c r="EC23" s="103"/>
      <c r="ED23" s="104"/>
      <c r="EE23" s="104"/>
      <c r="EF23" s="104"/>
      <c r="EG23" s="104"/>
      <c r="EH23" s="104"/>
      <c r="EI23" s="45"/>
      <c r="EJ23" s="46"/>
      <c r="EK23" s="45"/>
      <c r="EL23" s="39"/>
      <c r="EM23" s="39"/>
      <c r="EN23" s="39"/>
      <c r="EO23" s="46"/>
      <c r="EP23" s="45"/>
      <c r="EQ23" s="39"/>
      <c r="ER23" s="103"/>
      <c r="ES23" s="104"/>
      <c r="ET23" s="104"/>
      <c r="EU23" s="104"/>
      <c r="EV23" s="104"/>
      <c r="EW23" s="104"/>
      <c r="EX23" s="45"/>
      <c r="EY23" s="46"/>
      <c r="EZ23" s="45"/>
      <c r="FA23" s="39"/>
      <c r="FB23" s="39"/>
      <c r="FC23" s="39"/>
      <c r="FD23" s="46"/>
      <c r="FE23" s="45"/>
      <c r="FF23" s="39"/>
      <c r="FG23" s="103"/>
      <c r="FH23" s="104"/>
      <c r="FI23" s="104"/>
      <c r="FJ23" s="104"/>
      <c r="FK23" s="104"/>
      <c r="FL23" s="104"/>
      <c r="FM23" s="45"/>
      <c r="FN23" s="46"/>
      <c r="FO23" s="45"/>
      <c r="FP23" s="39"/>
      <c r="FQ23" s="39"/>
      <c r="FR23" s="39"/>
      <c r="FS23" s="46"/>
      <c r="FT23" s="45"/>
      <c r="FU23" s="39"/>
      <c r="FV23" s="103"/>
      <c r="FW23" s="104"/>
      <c r="FX23" s="104"/>
      <c r="FY23" s="104"/>
      <c r="FZ23" s="104"/>
      <c r="GA23" s="104"/>
    </row>
    <row r="24" spans="1:183" s="40" customFormat="1" ht="14.1" customHeight="1">
      <c r="A24" s="9">
        <v>18</v>
      </c>
      <c r="B24" s="328" t="s">
        <v>36</v>
      </c>
      <c r="C24" s="323" t="s">
        <v>35</v>
      </c>
      <c r="D24" s="45">
        <f>SUMIF(Report_BM!$B$6:$B$73,CONCATENATE($C24,L$3),Report_BM!$E$6:$E$73)+SUMIF(Report_BM!$B$6:$B$73,CONCATENATE($C24,L$3),Report_BM!$H$6:$H$73)</f>
        <v>0</v>
      </c>
      <c r="E24" s="276">
        <f>SUMIF(Report_BM!$B$6:$B$73,CONCATENATE($C24,L$3),Report_BM!$F$6:$F$73)+SUMIF(Report_BM!$B$6:$B$73,CONCATENATE($C24,L$3),Report_BM!$I$6:$I$73)</f>
        <v>0</v>
      </c>
      <c r="F24" s="45">
        <f>SUMIF(Report_BM!$B$6:$B$73,CONCATENATE($C24,L$3),Report_BM!$K$6:$K$73)</f>
        <v>0</v>
      </c>
      <c r="G24" s="39">
        <f>SUMIF(Report_BM!$B$6:$B$73,CONCATENATE($C24,$L$3),Report_BM!$L$6:$L$73)</f>
        <v>0</v>
      </c>
      <c r="H24" s="39">
        <f>SUMIF(Report_BM!$B$6:$B$73,CONCATENATE($C24,$L$3),Report_BM!$M$6:$M$73)</f>
        <v>0</v>
      </c>
      <c r="I24" s="39">
        <f>SUMIF(Report_BM!$B$6:$B$73,CONCATENATE($C24,$L$3),Report_BM!$N$6:$N$73)</f>
        <v>0</v>
      </c>
      <c r="J24" s="46">
        <f>SUMIF(Report_BM!$B$6:$B$73,CONCATENATE($C24,$L$3),Report_BM!$O$6:$O$73)</f>
        <v>0</v>
      </c>
      <c r="K24" s="45">
        <f>SUMIF(Report_BM!$B$6:$B$73,CONCATENATE($C24,$L$3),Report_BM!$P$6:$P$73)</f>
        <v>0</v>
      </c>
      <c r="L24" s="39">
        <f>SUMIF(Report_BM!$B$6:$B$73,CONCATENATE($C24,$L$3),Report_BM!$Q$6:$Q$73)</f>
        <v>0</v>
      </c>
      <c r="M24" s="103"/>
      <c r="N24" s="104"/>
      <c r="O24" s="104"/>
      <c r="P24" s="104"/>
      <c r="Q24" s="104"/>
      <c r="R24" s="104"/>
      <c r="S24" s="45">
        <f>SUMIF(Report_BM!$AI$8:$AI$72,CONCATENATE($C24,AA$3),Report_BM!$U$8:$U$72)+SUMIF(Report_BM!$AI$8:$AI$72,CONCATENATE($C24,AA$3),Report_BM!$X$8:$X$72)</f>
        <v>0</v>
      </c>
      <c r="T24" s="276">
        <f>SUMIF(Report_BM!$AI$8:$AI$72,CONCATENATE($C24,AA$3),Report_BM!$V$8:$V$72)+SUMIF(Report_BM!$AI$8:$AI$72,CONCATENATE($C24,AA$3),Report_BM!$Y$8:$Y$72)</f>
        <v>0</v>
      </c>
      <c r="U24" s="45">
        <f>SUMIF(Report_BM!$AI$8:$AI$72,CONCATENATE($C24,AA$3),Report_BM!$AA$8:$AB$72)</f>
        <v>0</v>
      </c>
      <c r="V24" s="39">
        <f>SUMIF(Report_BM!$AI$8:$AI$72,CONCATENATE($C24,$AA$3),Report_BM!$AB$8:$AB$72)</f>
        <v>0</v>
      </c>
      <c r="W24" s="39">
        <f>SUMIF(Report_BM!$AI$8:$AI$72,CONCATENATE($C24,$AA$3),Report_BM!$AC$8:$AC$72)</f>
        <v>0</v>
      </c>
      <c r="X24" s="39">
        <f>SUMIF(Report_BM!$AI$7:$AI$73,CONCATENATE($C24,$AA$3),Report_BM!$AD$7:$AD$73)</f>
        <v>0</v>
      </c>
      <c r="Y24" s="46">
        <f>SUMIF(Master_Data!$AK$152:$AK$864,CONCATENATE($C24,AA$3),Master_Data!$T$152:$T$864)</f>
        <v>0</v>
      </c>
      <c r="Z24" s="45">
        <f>SUMIF(Report_BM!$AI$8:$AI$72,CONCATENATE($C24,$AA$3),Report_BM!$AF$8:$AF$72)</f>
        <v>0</v>
      </c>
      <c r="AA24" s="39">
        <f>SUMIF(Report_BM!$AI$8:$AI$72,CONCATENATE($C24,$AA$3),Report_BM!$AG$8:$AG$72)</f>
        <v>0</v>
      </c>
      <c r="AB24" s="103"/>
      <c r="AC24" s="104"/>
      <c r="AD24" s="104"/>
      <c r="AE24" s="104"/>
      <c r="AF24" s="104"/>
      <c r="AG24" s="104"/>
      <c r="AH24" s="45">
        <f>SUMIF(Report_BM!$AZ$5:$AZ$72,CONCATENATE($C24,AP$3),Report_BM!$AL$5:$AL$72)+SUMIF(Report_BM!$AZ$5:$AZ$72,CONCATENATE($C24,AP$3),Report_BM!$AO$5:$AO$72)</f>
        <v>0</v>
      </c>
      <c r="AI24" s="46">
        <f>SUMIF(Report_BM!$AZ$5:$AZ$72,CONCATENATE($C24,$AP$3),Report_BM!$AM$5:$AM$72)+SUMIF(Report_BM!$AZ$5:$AZ$72,CONCATENATE($C24,$AP$3),Report_BM!$AP$5:$AP$72)</f>
        <v>0</v>
      </c>
      <c r="AJ24" s="45">
        <f>SUMIF(Report_BM!$AZ$5:$AZ$72,CONCATENATE($C24,$AP$3),Report_BM!$AR$5:$AR$72)</f>
        <v>0</v>
      </c>
      <c r="AK24" s="39">
        <f>SUMIF(Report_BM!$AZ$5:$AZ$72,CONCATENATE($C24,$AP$3),Report_BM!$AS$5:$AS$72)</f>
        <v>0</v>
      </c>
      <c r="AL24" s="39">
        <f>SUMIF(Report_BM!$AZ$5:$AZ$72,CONCATENATE($C24,$AP$3),Report_BM!$AT$5:$AT$72)</f>
        <v>0</v>
      </c>
      <c r="AM24" s="39">
        <f>SUMIF(Report_BM!$AZ$5:$AZ$72,CONCATENATE($C24,$AP$3),Report_BM!$AU$5:$AU$72)</f>
        <v>0</v>
      </c>
      <c r="AN24" s="46">
        <f>SUMIF(Master_Data!$AK$152:$AK$915,CONCATENATE($C24,AP$3),Master_Data!$T$152:$T$915)</f>
        <v>0</v>
      </c>
      <c r="AO24" s="45">
        <f>SUMIF(Report_BM!$AZ$5:$AZ$72,CONCATENATE($C24,$AP$3),Report_BM!$AW$5:$AW$72)</f>
        <v>0</v>
      </c>
      <c r="AP24" s="39">
        <f>SUMIF(Report_BM!$AZ$5:$AZ$72,CONCATENATE($C24,$AP$3),Report_BM!$AX$5:$AX$72)</f>
        <v>0</v>
      </c>
      <c r="AQ24" s="103"/>
      <c r="AR24" s="104"/>
      <c r="AS24" s="104"/>
      <c r="AT24" s="104"/>
      <c r="AU24" s="104"/>
      <c r="AV24" s="104"/>
      <c r="AW24" s="45">
        <f>SUMIF(Report_BM!$BQ$6:$BQ$73,CONCATENATE($C24,BE$3),Report_BM!$BC$6:$BC$73)+SUMIF(Report_BM!$BQ$6:$BQ$73,CONCATENATE($C24,BE$3),Report_BM!$BF$6:$BF$73)</f>
        <v>0</v>
      </c>
      <c r="AX24" s="46">
        <f>SUMIF(Report_BM!$BQ$6:$BQ$73,CONCATENATE($C24,$BE$3),Report_BM!$BD$6:$BD$73)+SUMIF(Report_BM!$BQ$6:$BQ$73,CONCATENATE($C24,$BE$3),Report_BM!$BG$6:$BG$73)</f>
        <v>0</v>
      </c>
      <c r="AY24" s="45">
        <f>SUMIF(Report_BM!$BQ$6:$BQ$73,CONCATENATE($C24,BE$3),Report_BM!$BI$6:$BI$73)</f>
        <v>0</v>
      </c>
      <c r="AZ24" s="39">
        <f>SUMIF(Report_BM!$BQ$6:$BQ$73,CONCATENATE($C24,BE$3),Report_BM!$BJ$6:$BJ$73)</f>
        <v>0</v>
      </c>
      <c r="BA24" s="39">
        <f>SUMIF(Report_BM!$BQ$6:$BQ$73,CONCATENATE($C24,BE$3),Report_BM!$BK$6:$BK$73)</f>
        <v>0</v>
      </c>
      <c r="BB24" s="39">
        <f>SUMIF(Report_BM!$BQ$6:$BQ$73,CONCATENATE($C24,BE$3),Report_BM!$BL$6:$BL$73)</f>
        <v>0</v>
      </c>
      <c r="BC24" s="46">
        <f>SUMIF(Master_Data!$AK$152:$AK$864,CONCATENATE($C24,BE$3),Master_Data!$T$152:$T$864)</f>
        <v>0</v>
      </c>
      <c r="BD24" s="45">
        <f>SUMIF(Report_BM!$BQ$6:$BQ$73,CONCATENATE($C24,BE$3),Report_BM!$BN$6:$BN$73)</f>
        <v>0</v>
      </c>
      <c r="BE24" s="39">
        <f>SUMIF(Report_BM!$BQ$6:$BQ$73,CONCATENATE($C24,BE$3),Report_BM!$BO$6:$BO$73)</f>
        <v>0</v>
      </c>
      <c r="BF24" s="103"/>
      <c r="BG24" s="104"/>
      <c r="BH24" s="104"/>
      <c r="BI24" s="104"/>
      <c r="BJ24" s="104"/>
      <c r="BK24" s="104"/>
      <c r="BL24" s="45">
        <f>SUMIF(Report_BM!$CH$6:$CH$73,CONCATENATE($C24,BT$3),Report_BM!$BT$6:$BT$73)+SUMIF(Report_BM!$CH$6:$CH$73,CONCATENATE($C24,BT$3),Report_BM!$BW$6:$BW$73)</f>
        <v>0</v>
      </c>
      <c r="BM24" s="46">
        <f>SUMIF(Report_BM!$CH$6:$CH$73,CONCATENATE($C24,$BT$3),Report_BM!$BU$6:$BU$73)+SUMIF(Report_BM!$CH$6:$CH$73,CONCATENATE($C24,$BT$3),Report_BM!$BX$6:$BX$73)</f>
        <v>0</v>
      </c>
      <c r="BN24" s="45">
        <f>SUMIF(Report_BM!$CH$6:$CH$73,CONCATENATE($C24,BT$3),Report_BM!$BZ$6:$BZ$73)</f>
        <v>0</v>
      </c>
      <c r="BO24" s="39">
        <f>SUMIF(Report_BM!$CH$6:$CH$73,CONCATENATE($C24,BT$3),Report_BM!$CA$6:$CA$73)</f>
        <v>0</v>
      </c>
      <c r="BP24" s="39">
        <f>SUMIF(Report_BM!$CH$6:$CH$73,CONCATENATE($C24,BT$3),Report_BM!$CB$6:$CB$73)</f>
        <v>0</v>
      </c>
      <c r="BQ24" s="39">
        <f>SUMIF(Report_BM!$CH$6:$CH$73,CONCATENATE($C24,BT$3),Report_BM!$CC$6:$CC$73)</f>
        <v>0</v>
      </c>
      <c r="BR24" s="46">
        <f>SUMIF(Master_Data!$AK$152:$AK$864,CONCATENATE($C24,BT$3),Master_Data!$T$152:$T$864)</f>
        <v>0</v>
      </c>
      <c r="BS24" s="45">
        <f>SUMIF(Report_BM!$CH$6:$CH$73,CONCATENATE($C24,BT$3),Report_BM!$CE$6:$CE$73)</f>
        <v>0</v>
      </c>
      <c r="BT24" s="39">
        <f>SUMIF(Report_BM!$CH$6:$CH$73,CONCATENATE($C24,BT$3),Report_BM!$CF$6:$CF$73)</f>
        <v>0</v>
      </c>
      <c r="BU24" s="103"/>
      <c r="BV24" s="104"/>
      <c r="BW24" s="104"/>
      <c r="BX24" s="104"/>
      <c r="BY24" s="104"/>
      <c r="BZ24" s="104"/>
      <c r="CA24" s="45">
        <f>SUMIF(Report_BM!$CY$6:$CY$73,CONCATENATE($C24,CI$3),Report_BM!$CK$6:$CK$73)+SUMIF(Report_BM!$CY$6:$CY$73,CONCATENATE($C24,CI$3),Report_BM!$CN$6:$CN$73)</f>
        <v>0</v>
      </c>
      <c r="CB24" s="46">
        <f>SUMIF(Report_BM!$CY$6:$CY$73,CONCATENATE($C24,$CI$3),Report_BM!$CL$6:$CL$73)+SUMIF(Report_BM!$CY$6:$CY$73,CONCATENATE($C24,$CI$3),Report_BM!$CO$6:$CO$73)</f>
        <v>0</v>
      </c>
      <c r="CC24" s="45">
        <f>SUMIF(Report_BM!$CY$6:$CY$73,CONCATENATE($C24,CI$3),Report_BM!$CQ$6:$CQ$73)</f>
        <v>0</v>
      </c>
      <c r="CD24" s="39">
        <f>SUMIF(Report_BM!$CY$6:$CY$73,CONCATENATE($C24,CI$3),Report_BM!$CR$6:$CR$73)</f>
        <v>0</v>
      </c>
      <c r="CE24" s="39">
        <f>SUMIF(Report_BM!$CY$6:$CY$73,CONCATENATE($C24,CI$3),Report_BM!$CS$6:$CS$73)</f>
        <v>0</v>
      </c>
      <c r="CF24" s="39">
        <f>SUMIF(Report_BM!$CY$6:$CY$73,CONCATENATE($C24,CI$3),Report_BM!$CT$6:$CT$73)</f>
        <v>0</v>
      </c>
      <c r="CG24" s="46">
        <f>SUMIF(Report_BM!$CY$6:$CY$73,CONCATENATE($C24,CI$3),Report_BM!$CU$6:$CU$73)</f>
        <v>0</v>
      </c>
      <c r="CH24" s="45">
        <f>SUMIF(Report_BM!$CY$6:$CY$73,CONCATENATE($C24,CI$3),Report_BM!$CV$6:$CV$73)</f>
        <v>0</v>
      </c>
      <c r="CI24" s="39">
        <f>SUMIF(Report_BM!$CY$6:$CY$73,CONCATENATE($C24,CI$3),Report_BM!$CW$6:$CW$73)</f>
        <v>0</v>
      </c>
      <c r="CJ24" s="103"/>
      <c r="CK24" s="104"/>
      <c r="CL24" s="104"/>
      <c r="CM24" s="104"/>
      <c r="CN24" s="104"/>
      <c r="CO24" s="104"/>
      <c r="CP24" s="45">
        <f>SUMIF(Report_BM!$DP$6:$DP$73,CONCATENATE($C24,CX$3),Report_BM!$DB$6:$DB$73)+SUMIF(Report_BM!$DP$6:$DP$73,CONCATENATE($C24,CX$3),Report_BM!$DE$6:$DE$73)</f>
        <v>0</v>
      </c>
      <c r="CQ24" s="46">
        <f>SUMIF(Report_BM!$DP$6:$DP$73,CONCATENATE($C24,$CX$3),Report_BM!$DC$6:$DC$73)+SUMIF(Report_BM!$DP$6:$DP$73,CONCATENATE($C24,$CX$3),Report_BM!$DF$6:$DF$73)</f>
        <v>0</v>
      </c>
      <c r="CR24" s="45">
        <f>SUMIF(Report_BM!$DP$6:$DP$73,CONCATENATE($C24,CX$3),Report_BM!$DH$6:$DH$73)</f>
        <v>0</v>
      </c>
      <c r="CS24" s="39">
        <f>SUMIF(Report_BM!$DP$6:$DP$73,CONCATENATE($C24,CX$3),Report_BM!$DI$6:$DI$73)</f>
        <v>0</v>
      </c>
      <c r="CT24" s="39">
        <f>SUMIF(Report_BM!$DP$6:$DP$73,CONCATENATE($C24,CX$3),Report_BM!$DJ$6:$DJ$73)</f>
        <v>0</v>
      </c>
      <c r="CU24" s="39">
        <f>SUMIF(Report_BM!$DP$6:$DP$73,CONCATENATE($C24,CX$3),Report_BM!$DK$6:$DK$73)</f>
        <v>0</v>
      </c>
      <c r="CV24" s="46">
        <f>SUMIF(Master_Data!$AK$152:$AK$864,CONCATENATE($C24,CX$3),Master_Data!$T$152:$T$864)</f>
        <v>0</v>
      </c>
      <c r="CW24" s="45">
        <f>SUMIF(Report_BM!$DP$6:$DP$73,CONCATENATE($C24,CX$3),Report_BM!$DM$6:$DM$73)</f>
        <v>0</v>
      </c>
      <c r="CX24" s="39">
        <f>SUMIF(Report_BM!$DP$6:$DP$73,CONCATENATE($C24,CX$3),Report_BM!$DN$6:$DN$73)</f>
        <v>0</v>
      </c>
      <c r="CY24" s="103"/>
      <c r="CZ24" s="104"/>
      <c r="DA24" s="104"/>
      <c r="DB24" s="104"/>
      <c r="DC24" s="104"/>
      <c r="DD24" s="104"/>
      <c r="DE24" s="45">
        <f>SUMIF(Report_BM!$EG$6:$EG$73,CONCATENATE($C24,DM$3),Report_BM!$DS$6:$DS$73)+SUMIF(Report_BM!$EG$6:$EG$73,CONCATENATE($C24,DM$3),Report_BM!$DV$6:$DV$73)</f>
        <v>0</v>
      </c>
      <c r="DF24" s="46">
        <f>SUMIF(Report_BM!$EG$6:$EG$73,CONCATENATE($C24,$DM$3),Report_BM!$DT$6:$DT$73)+SUMIF(Report_BM!$EG$6:$EG$73,CONCATENATE($C24,$DM$3),Report_BM!$DW$6:$DW$73)</f>
        <v>0</v>
      </c>
      <c r="DG24" s="45">
        <f>SUMIF(Report_BM!$EG$6:$EG$73,CONCATENATE($C24,DM$3),Report_BM!$DY$6:$DY$73)</f>
        <v>0</v>
      </c>
      <c r="DH24" s="39">
        <f>SUMIF(Report_BM!EG$6:EG$73,CONCATENATE($C24,DM$3),Report_BM!DZ$6:DZ$73)</f>
        <v>0</v>
      </c>
      <c r="DI24" s="39">
        <f>SUMIF(Report_BM!EG$6:EG$73,CONCATENATE($C24,DM$3),Report_BM!$EA$6:$EA$73)</f>
        <v>0</v>
      </c>
      <c r="DJ24" s="39">
        <f>SUMIF(Report_BM!EG$6:EG$73,CONCATENATE($C24,DM$3),Report_BM!$EB$6:$EB$73)</f>
        <v>0</v>
      </c>
      <c r="DK24" s="46">
        <f>SUMIF(Master_Data!$AK$152:$AK$864,CONCATENATE($C24,DM$3),Master_Data!$T$152:$T$864)</f>
        <v>0</v>
      </c>
      <c r="DL24" s="45">
        <f>SUMIF(Report_BM!EG$6:EG$73,CONCATENATE($C24,DM$3),Report_BM!ED$6:ED$73)</f>
        <v>0</v>
      </c>
      <c r="DM24" s="39">
        <f>SUMIF(Report_BM!EG$6:EG$73,CONCATENATE($C24,DM$3),Report_BM!EE$6:EE$73)</f>
        <v>0</v>
      </c>
      <c r="DN24" s="103"/>
      <c r="DO24" s="104"/>
      <c r="DP24" s="104"/>
      <c r="DQ24" s="104"/>
      <c r="DR24" s="104"/>
      <c r="DS24" s="104"/>
      <c r="DT24" s="45">
        <f>SUMIF(Report_BM!$EX$6:$EX$73,CONCATENATE($C24,EB$3),Report_BM!$EJ$6:$EJ$73)+SUMIF(Report_BM!$EX$6:$EX$73,CONCATENATE($C24,EB$3),Report_BM!$EM$6:$EM$73)</f>
        <v>0</v>
      </c>
      <c r="DU24" s="46">
        <f>SUMIF(Report_BM!$EX$6:$EX$73,CONCATENATE($C24,$EB$3),Report_BM!$EK$6:$EK$73)+SUMIF(Report_BM!$EX$6:$EX$73,CONCATENATE($C24,$EB$3),Report_BM!$EN$6:$EN$73)</f>
        <v>0</v>
      </c>
      <c r="DV24" s="45">
        <f>SUMIF(Report_BM!$EX$6:$EX$73,CONCATENATE($C24,EB$3),Report_BM!$EP$6:$EP$73)</f>
        <v>0</v>
      </c>
      <c r="DW24" s="39">
        <f>SUMIF(Report_BM!$EX$6:$EX$73,CONCATENATE($C24,EB$3),Report_BM!$EQ$6:$EQ$73)</f>
        <v>0</v>
      </c>
      <c r="DX24" s="39">
        <f>SUMIF(Report_BM!$EX$6:$EX$73,CONCATENATE($C24,EB$3),Report_BM!$ER$6:$ER$73)</f>
        <v>0</v>
      </c>
      <c r="DY24" s="39">
        <f>SUMIF(Report_BM!$EX$6:$EX$73,CONCATENATE($C24,EB$3),Report_BM!$ES$6:$ES$73)</f>
        <v>0</v>
      </c>
      <c r="DZ24" s="46">
        <f>SUMIF(Master_Data!$AK$152:$AK$864,CONCATENATE($C24,EB$3),Master_Data!$T$152:$T$864)</f>
        <v>0</v>
      </c>
      <c r="EA24" s="45">
        <f>SUMIF(Report_BM!EX$6:EX$73,CONCATENATE($C24,EB$3),Report_BM!EU$6:EU$73)</f>
        <v>0</v>
      </c>
      <c r="EB24" s="39">
        <f>SUMIF(Report_BM!EX$6:EX$73,CONCATENATE($C24,EB$3),Report_BM!EV$6:EV$73)</f>
        <v>0</v>
      </c>
      <c r="EC24" s="103"/>
      <c r="ED24" s="104"/>
      <c r="EE24" s="104"/>
      <c r="EF24" s="104"/>
      <c r="EG24" s="104"/>
      <c r="EH24" s="104"/>
      <c r="EI24" s="45">
        <f>SUMIF(Report_BM!$FO$6:$FO$73,CONCATENATE($C24,EQ$3),Report_BM!$FA$6:$FA$73)+SUMIF(Report_BM!$FO$6:$FO$73,CONCATENATE($C24,EQ$3),Report_BM!$FD$6:$FD$73)</f>
        <v>0</v>
      </c>
      <c r="EJ24" s="46">
        <f>SUMIF(Report_BM!$FO$6:$FO$73,CONCATENATE($C24,$EQ$3),Report_BM!$FB$6:$FB$73)+SUMIF(Report_BM!$FO$6:$FO$73,CONCATENATE($C24,$EQ$3),Report_BM!$FE$6:$FE$73)</f>
        <v>0</v>
      </c>
      <c r="EK24" s="45">
        <f>SUMIF(Report_BM!$FO$6:$FO$73,CONCATENATE($C24,EQ$3),Report_BM!$FG$6:$FG$73)</f>
        <v>0</v>
      </c>
      <c r="EL24" s="39">
        <f>SUMIF(Report_BM!$FO$6:$FO$73,CONCATENATE($C24,EQ$3),Report_BM!$FH$6:$FH$73)</f>
        <v>0</v>
      </c>
      <c r="EM24" s="39">
        <f>SUMIF(Report_BM!$FO$6:$FO$73,CONCATENATE($C24,EQ$3),Report_BM!$FI$6:$FI$73)</f>
        <v>0</v>
      </c>
      <c r="EN24" s="39">
        <f>SUMIF(Report_BM!$FO$6:$FO$73,CONCATENATE($C24,EQ$3),Report_BM!$FJ$6:$FJ$73)</f>
        <v>0</v>
      </c>
      <c r="EO24" s="46">
        <f>SUMIF(Master_Data!$AK$152:$AK$864,CONCATENATE($C24,EQ$3),Master_Data!$T$152:$T$864)</f>
        <v>0</v>
      </c>
      <c r="EP24" s="45">
        <f>SUMIF(Report_BM!FO$6:FO$73,CONCATENATE($C24,EQ$3),Report_BM!FL$6:FL$73)</f>
        <v>0</v>
      </c>
      <c r="EQ24" s="39">
        <f>SUMIF(Report_BM!FO$6:FO$73,CONCATENATE($C24,EQ$3),Report_BM!FM$6:FM$73)</f>
        <v>0</v>
      </c>
      <c r="ER24" s="103"/>
      <c r="ES24" s="104"/>
      <c r="ET24" s="104"/>
      <c r="EU24" s="104"/>
      <c r="EV24" s="104"/>
      <c r="EW24" s="104"/>
      <c r="EX24" s="45">
        <f>SUMIF(Report_BM!$GF$6:$GF$73,CONCATENATE($C24,FF$3),Report_BM!$FR$6:$FR$73)+SUMIF(Report_BM!$GF$6:$GF$73,CONCATENATE($C24,FF$3),Report_BM!$FU$6:$FU$73)</f>
        <v>0</v>
      </c>
      <c r="EY24" s="46">
        <f>SUMIF(Report_BM!$GF$6:$GF$73,CONCATENATE($C24,$FF$3),Report_BM!$FS$6:$FS$73)+SUMIF(Report_BM!$GF$6:$GF$73,CONCATENATE($C24,$FF$3),Report_BM!$FV$6:$FV$73)</f>
        <v>0</v>
      </c>
      <c r="EZ24" s="45">
        <f>SUMIF(Report_BM!$GF$6:$GF$73,CONCATENATE($C24,FF$3),Report_BM!$FX$6:$FX$73)</f>
        <v>0</v>
      </c>
      <c r="FA24" s="39">
        <f>SUMIF(Report_BM!$GF$6:$GF$73,CONCATENATE($C24,FF$3),Report_BM!$FY$6:$FY$73)</f>
        <v>0</v>
      </c>
      <c r="FB24" s="39">
        <f>SUMIF(Report_BM!$GF$6:$GF$73,CONCATENATE($C24,FF$3),Report_BM!$FZ$6:$FZ$73)</f>
        <v>0</v>
      </c>
      <c r="FC24" s="39">
        <f>SUMIF(Report_BM!$GF$6:$GF$73,CONCATENATE($C24,FF$3),Report_BM!$GA$6:$GA$73)</f>
        <v>0</v>
      </c>
      <c r="FD24" s="46">
        <f>SUMIF(Master_Data!$AK$152:$AK$864,CONCATENATE($C24,FF$3),Master_Data!$T$152:$T$864)</f>
        <v>0</v>
      </c>
      <c r="FE24" s="45">
        <f>SUMIF(Report_BM!GF$6:GF$73,CONCATENATE($C24,FF$3),Report_BM!GC$6:GC$73)</f>
        <v>0</v>
      </c>
      <c r="FF24" s="39">
        <f>SUMIF(Report_BM!GF$6:GF$73,CONCATENATE($C24,FF$3),Report_BM!GD$6:GD$73)</f>
        <v>0</v>
      </c>
      <c r="FG24" s="103"/>
      <c r="FH24" s="104"/>
      <c r="FI24" s="104"/>
      <c r="FJ24" s="104"/>
      <c r="FK24" s="104"/>
      <c r="FL24" s="104"/>
      <c r="FM24" s="45">
        <f>SUMIF(Report_BM!$GW$6:$GW$73,CONCATENATE($C24,FU$3),Report_BM!$GI$6:$GI$73)+SUMIF(Report_BM!$GW$6:$GW$73,CONCATENATE($C24,FU$3),Report_BM!$GL$6:$GL$73)</f>
        <v>0</v>
      </c>
      <c r="FN24" s="46">
        <f>SUMIF(Report_BM!$GW$6:$GW$73,CONCATENATE($C24,$FU$3),Report_BM!$GJ$6:$GJ$73)+SUMIF(Report_BM!$GW$6:$GW$73,CONCATENATE($C24,$FU$3),Report_BM!$GM$6:$GM$73)</f>
        <v>0</v>
      </c>
      <c r="FO24" s="45">
        <f>SUMIF(Report_BM!$GW$6:$GW$73,CONCATENATE($C24,FU$3),Report_BM!$GO$6:$GO$73)</f>
        <v>0</v>
      </c>
      <c r="FP24" s="39">
        <f>SUMIF(Report_BM!$GW$6:$GW$73,CONCATENATE($C24,FU$3),Report_BM!$GP$6:$GP$73)</f>
        <v>0</v>
      </c>
      <c r="FQ24" s="39">
        <f>SUMIF(Report_BM!$GW$6:$GW$73,CONCATENATE($C24,FU$3),Report_BM!$GQ$6:$GQ$73)</f>
        <v>0</v>
      </c>
      <c r="FR24" s="39">
        <f>SUMIF(Report_BM!$GW$6:$GW$73,CONCATENATE($C24,FU$3),Report_BM!$GR$6:$GR$73)</f>
        <v>0</v>
      </c>
      <c r="FS24" s="46">
        <f>SUMIF(Master_Data!$AK$152:$AK$864,CONCATENATE($C24,FU$3),Master_Data!$T$152:$T$864)</f>
        <v>0</v>
      </c>
      <c r="FT24" s="45">
        <f>SUMIF(Report_BM!GW$6:GW$73,CONCATENATE($C24,FU$3),Report_BM!GT$6:GT$73)</f>
        <v>0</v>
      </c>
      <c r="FU24" s="39">
        <f>SUMIF(Report_BM!GW$6:GW$73,CONCATENATE($C24,FU$3),Report_BM!GU$6:GU$73)</f>
        <v>0</v>
      </c>
      <c r="FV24" s="103"/>
      <c r="FW24" s="104"/>
      <c r="FX24" s="104"/>
      <c r="FY24" s="104"/>
      <c r="FZ24" s="104"/>
      <c r="GA24" s="104"/>
    </row>
    <row r="25" spans="1:183" s="40" customFormat="1" ht="14.1" customHeight="1">
      <c r="A25" s="9">
        <v>19</v>
      </c>
      <c r="B25" s="328" t="s">
        <v>132</v>
      </c>
      <c r="C25" s="323" t="s">
        <v>131</v>
      </c>
      <c r="D25" s="45">
        <f>SUMIF(Report_BM!$B$6:$B$73,CONCATENATE($C25,L$3),Report_BM!$E$6:$E$73)+SUMIF(Report_BM!$B$6:$B$73,CONCATENATE($C25,L$3),Report_BM!$H$6:$H$73)</f>
        <v>0</v>
      </c>
      <c r="E25" s="276">
        <f>SUMIF(Report_BM!$B$6:$B$73,CONCATENATE($C25,L$3),Report_BM!$F$6:$F$73)+SUMIF(Report_BM!$B$6:$B$73,CONCATENATE($C25,L$3),Report_BM!$I$6:$I$73)</f>
        <v>1890240000</v>
      </c>
      <c r="F25" s="45">
        <f>SUMIF(Report_BM!$B$6:$B$73,CONCATENATE($C25,L$3),Report_BM!$K$6:$K$73)</f>
        <v>0</v>
      </c>
      <c r="G25" s="39">
        <f>SUMIF(Report_BM!$B$6:$B$73,CONCATENATE($C25,$L$3),Report_BM!$L$6:$L$73)</f>
        <v>0</v>
      </c>
      <c r="H25" s="39">
        <f>SUMIF(Report_BM!$B$6:$B$73,CONCATENATE($C25,$L$3),Report_BM!$M$6:$M$73)</f>
        <v>0</v>
      </c>
      <c r="I25" s="39">
        <f>SUMIF(Report_BM!$B$6:$B$73,CONCATENATE($C25,$L$3),Report_BM!$N$6:$N$73)</f>
        <v>0</v>
      </c>
      <c r="J25" s="46">
        <f>SUMIF(Report_BM!$B$6:$B$73,CONCATENATE($C25,$L$3),Report_BM!$O$6:$O$73)</f>
        <v>0</v>
      </c>
      <c r="K25" s="45">
        <f>SUMIF(Report_BM!$B$6:$B$73,CONCATENATE($C25,$L$3),Report_BM!$P$6:$P$73)</f>
        <v>0</v>
      </c>
      <c r="L25" s="39">
        <f>SUMIF(Report_BM!$B$6:$B$73,CONCATENATE($C25,$L$3),Report_BM!$Q$6:$Q$73)</f>
        <v>1890240000</v>
      </c>
      <c r="M25" s="103"/>
      <c r="N25" s="104"/>
      <c r="O25" s="104"/>
      <c r="P25" s="104"/>
      <c r="Q25" s="104"/>
      <c r="R25" s="104"/>
      <c r="S25" s="45">
        <f>SUMIF(Report_BM!$AI$8:$AI$72,CONCATENATE($C25,AA$3),Report_BM!$U$8:$U$72)+SUMIF(Report_BM!$AI$8:$AI$72,CONCATENATE($C25,AA$3),Report_BM!$X$8:$X$72)</f>
        <v>0</v>
      </c>
      <c r="T25" s="276">
        <f>SUMIF(Report_BM!$AI$8:$AI$72,CONCATENATE($C25,AA$3),Report_BM!$V$8:$V$72)+SUMIF(Report_BM!$AI$8:$AI$72,CONCATENATE($C25,AA$3),Report_BM!$Y$8:$Y$72)</f>
        <v>1890240000</v>
      </c>
      <c r="U25" s="45">
        <f>SUMIF(Report_BM!$AI$8:$AI$72,CONCATENATE($C25,AA$3),Report_BM!$AA$8:$AB$72)</f>
        <v>0</v>
      </c>
      <c r="V25" s="39">
        <f>SUMIF(Report_BM!$AI$8:$AI$72,CONCATENATE($C25,$AA$3),Report_BM!$AB$8:$AB$72)</f>
        <v>0</v>
      </c>
      <c r="W25" s="39">
        <f>SUMIF(Report_BM!$AI$8:$AI$72,CONCATENATE($C25,$AA$3),Report_BM!$AC$8:$AC$72)</f>
        <v>0</v>
      </c>
      <c r="X25" s="39">
        <f ca="1">SUMIF(Report_BM!$AI$7:$AI$73,CONCATENATE($C25,$AA$3),Report_BM!$AD$7:$AD$73)</f>
        <v>0</v>
      </c>
      <c r="Y25" s="46">
        <f>SUMIF(Master_Data!$AK$152:$AK$864,CONCATENATE($C25,AA$3),Master_Data!$T$152:$T$864)</f>
        <v>0</v>
      </c>
      <c r="Z25" s="45">
        <f>SUMIF(Report_BM!$AI$8:$AI$72,CONCATENATE($C25,$AA$3),Report_BM!$AF$8:$AF$72)</f>
        <v>0</v>
      </c>
      <c r="AA25" s="39">
        <f ca="1">SUMIF(Report_BM!$AI$8:$AI$72,CONCATENATE($C25,$AA$3),Report_BM!$AG$8:$AG$72)</f>
        <v>1890240000</v>
      </c>
      <c r="AB25" s="103"/>
      <c r="AC25" s="104"/>
      <c r="AD25" s="104"/>
      <c r="AE25" s="104"/>
      <c r="AF25" s="104"/>
      <c r="AG25" s="104"/>
      <c r="AH25" s="45">
        <f>SUMIF(Report_BM!$AZ$5:$AZ$72,CONCATENATE($C25,AP$3),Report_BM!$AL$5:$AL$72)+SUMIF(Report_BM!$AZ$5:$AZ$72,CONCATENATE($C25,AP$3),Report_BM!$AO$5:$AO$72)</f>
        <v>0</v>
      </c>
      <c r="AI25" s="46">
        <f ca="1">SUMIF(Report_BM!$AZ$5:$AZ$72,CONCATENATE($C25,$AP$3),Report_BM!$AM$5:$AM$72)+SUMIF(Report_BM!$AZ$5:$AZ$72,CONCATENATE($C25,$AP$3),Report_BM!$AP$5:$AP$72)</f>
        <v>1890240000</v>
      </c>
      <c r="AJ25" s="45">
        <f>SUMIF(Report_BM!$AZ$5:$AZ$72,CONCATENATE($C25,$AP$3),Report_BM!$AR$5:$AR$72)</f>
        <v>0</v>
      </c>
      <c r="AK25" s="39">
        <f>SUMIF(Report_BM!$AZ$5:$AZ$72,CONCATENATE($C25,$AP$3),Report_BM!$AS$5:$AS$72)</f>
        <v>0</v>
      </c>
      <c r="AL25" s="39">
        <f>SUMIF(Report_BM!$AZ$5:$AZ$72,CONCATENATE($C25,$AP$3),Report_BM!$AT$5:$AT$72)</f>
        <v>0</v>
      </c>
      <c r="AM25" s="39">
        <f ca="1">SUMIF(Report_BM!$AZ$5:$AZ$72,CONCATENATE($C25,$AP$3),Report_BM!$AU$5:$AU$72)</f>
        <v>0</v>
      </c>
      <c r="AN25" s="46">
        <f>SUMIF(Master_Data!$AK$152:$AK$915,CONCATENATE($C25,AP$3),Master_Data!$T$152:$T$915)</f>
        <v>0</v>
      </c>
      <c r="AO25" s="45">
        <f>SUMIF(Report_BM!$AZ$5:$AZ$72,CONCATENATE($C25,$AP$3),Report_BM!$AW$5:$AW$72)</f>
        <v>0</v>
      </c>
      <c r="AP25" s="39">
        <f ca="1">SUMIF(Report_BM!$AZ$5:$AZ$72,CONCATENATE($C25,$AP$3),Report_BM!$AX$5:$AX$72)</f>
        <v>1890240000</v>
      </c>
      <c r="AQ25" s="103"/>
      <c r="AR25" s="104"/>
      <c r="AS25" s="104"/>
      <c r="AT25" s="104"/>
      <c r="AU25" s="104"/>
      <c r="AV25" s="104"/>
      <c r="AW25" s="45">
        <f>SUMIF(Report_BM!$BQ$6:$BQ$73,CONCATENATE($C25,BE$3),Report_BM!$BC$6:$BC$73)+SUMIF(Report_BM!$BQ$6:$BQ$73,CONCATENATE($C25,BE$3),Report_BM!$BF$6:$BF$73)</f>
        <v>0</v>
      </c>
      <c r="AX25" s="46">
        <f ca="1">SUMIF(Report_BM!$BQ$6:$BQ$73,CONCATENATE($C25,$BE$3),Report_BM!$BD$6:$BD$73)+SUMIF(Report_BM!$BQ$6:$BQ$73,CONCATENATE($C25,$BE$3),Report_BM!$BG$6:$BG$73)</f>
        <v>1890240000</v>
      </c>
      <c r="AY25" s="45">
        <f>SUMIF(Report_BM!$BQ$6:$BQ$73,CONCATENATE($C25,BE$3),Report_BM!$BI$6:$BI$73)</f>
        <v>0</v>
      </c>
      <c r="AZ25" s="39">
        <f>SUMIF(Report_BM!$BQ$6:$BQ$73,CONCATENATE($C25,BE$3),Report_BM!$BJ$6:$BJ$73)</f>
        <v>0</v>
      </c>
      <c r="BA25" s="39">
        <f>SUMIF(Report_BM!$BQ$6:$BQ$73,CONCATENATE($C25,BE$3),Report_BM!$BK$6:$BK$73)</f>
        <v>0</v>
      </c>
      <c r="BB25" s="39">
        <f>SUMIF(Report_BM!$BQ$6:$BQ$73,CONCATENATE($C25,BE$3),Report_BM!$BL$6:$BL$73)</f>
        <v>0</v>
      </c>
      <c r="BC25" s="46">
        <f>SUMIF(Master_Data!$AK$152:$AK$864,CONCATENATE($C25,BE$3),Master_Data!$T$152:$T$864)</f>
        <v>0</v>
      </c>
      <c r="BD25" s="45">
        <f>SUMIF(Report_BM!$BQ$6:$BQ$73,CONCATENATE($C25,BE$3),Report_BM!$BN$6:$BN$73)</f>
        <v>0</v>
      </c>
      <c r="BE25" s="39">
        <f ca="1">SUMIF(Report_BM!$BQ$6:$BQ$73,CONCATENATE($C25,BE$3),Report_BM!$BO$6:$BO$73)</f>
        <v>1890240000</v>
      </c>
      <c r="BF25" s="103"/>
      <c r="BG25" s="104"/>
      <c r="BH25" s="104"/>
      <c r="BI25" s="104"/>
      <c r="BJ25" s="104"/>
      <c r="BK25" s="104"/>
      <c r="BL25" s="45">
        <f>SUMIF(Report_BM!$CH$6:$CH$73,CONCATENATE($C25,BT$3),Report_BM!$BT$6:$BT$73)+SUMIF(Report_BM!$CH$6:$CH$73,CONCATENATE($C25,BT$3),Report_BM!$BW$6:$BW$73)</f>
        <v>0</v>
      </c>
      <c r="BM25" s="46">
        <f ca="1">SUMIF(Report_BM!$CH$6:$CH$73,CONCATENATE($C25,$BT$3),Report_BM!$BU$6:$BU$73)+SUMIF(Report_BM!$CH$6:$CH$73,CONCATENATE($C25,$BT$3),Report_BM!$BX$6:$BX$73)</f>
        <v>1890240000</v>
      </c>
      <c r="BN25" s="45">
        <f>SUMIF(Report_BM!$CH$6:$CH$73,CONCATENATE($C25,BT$3),Report_BM!$BZ$6:$BZ$73)</f>
        <v>0</v>
      </c>
      <c r="BO25" s="39">
        <f>SUMIF(Report_BM!$CH$6:$CH$73,CONCATENATE($C25,BT$3),Report_BM!$CA$6:$CA$73)</f>
        <v>0</v>
      </c>
      <c r="BP25" s="39">
        <f>SUMIF(Report_BM!$CH$6:$CH$73,CONCATENATE($C25,BT$3),Report_BM!$CB$6:$CB$73)</f>
        <v>0</v>
      </c>
      <c r="BQ25" s="39">
        <f>SUMIF(Report_BM!$CH$6:$CH$73,CONCATENATE($C25,BT$3),Report_BM!$CC$6:$CC$73)</f>
        <v>0</v>
      </c>
      <c r="BR25" s="46">
        <f>SUMIF(Master_Data!$AK$152:$AK$864,CONCATENATE($C25,BT$3),Master_Data!$T$152:$T$864)</f>
        <v>0</v>
      </c>
      <c r="BS25" s="45">
        <f>SUMIF(Report_BM!$CH$6:$CH$73,CONCATENATE($C25,BT$3),Report_BM!$CE$6:$CE$73)</f>
        <v>0</v>
      </c>
      <c r="BT25" s="39">
        <f ca="1">SUMIF(Report_BM!$CH$6:$CH$73,CONCATENATE($C25,BT$3),Report_BM!$CF$6:$CF$73)</f>
        <v>1890240000</v>
      </c>
      <c r="BU25" s="103"/>
      <c r="BV25" s="104"/>
      <c r="BW25" s="104"/>
      <c r="BX25" s="104"/>
      <c r="BY25" s="104"/>
      <c r="BZ25" s="104"/>
      <c r="CA25" s="45">
        <f>SUMIF(Report_BM!$CY$6:$CY$73,CONCATENATE($C25,CI$3),Report_BM!$CK$6:$CK$73)+SUMIF(Report_BM!$CY$6:$CY$73,CONCATENATE($C25,CI$3),Report_BM!$CN$6:$CN$73)</f>
        <v>0</v>
      </c>
      <c r="CB25" s="46">
        <f ca="1">SUMIF(Report_BM!$CY$6:$CY$73,CONCATENATE($C25,$CI$3),Report_BM!$CL$6:$CL$73)+SUMIF(Report_BM!$CY$6:$CY$73,CONCATENATE($C25,$CI$3),Report_BM!$CO$6:$CO$73)</f>
        <v>1890240000</v>
      </c>
      <c r="CC25" s="45">
        <f>SUMIF(Report_BM!$CY$6:$CY$73,CONCATENATE($C25,CI$3),Report_BM!$CQ$6:$CQ$73)</f>
        <v>0</v>
      </c>
      <c r="CD25" s="39">
        <f>SUMIF(Report_BM!$CY$6:$CY$73,CONCATENATE($C25,CI$3),Report_BM!$CR$6:$CR$73)</f>
        <v>0</v>
      </c>
      <c r="CE25" s="39">
        <f>SUMIF(Report_BM!$CY$6:$CY$73,CONCATENATE($C25,CI$3),Report_BM!$CS$6:$CS$73)</f>
        <v>2574692390</v>
      </c>
      <c r="CF25" s="39">
        <f ca="1">SUMIF(Report_BM!$CY$6:$CY$73,CONCATENATE($C25,CI$3),Report_BM!$CT$6:$CT$73)</f>
        <v>0</v>
      </c>
      <c r="CG25" s="46">
        <f>SUMIF(Report_BM!$CY$6:$CY$73,CONCATENATE($C25,CI$3),Report_BM!$CU$6:$CU$73)</f>
        <v>-34368000</v>
      </c>
      <c r="CH25" s="45">
        <f>SUMIF(Report_BM!$CY$6:$CY$73,CONCATENATE($C25,CI$3),Report_BM!$CV$6:$CV$73)</f>
        <v>0</v>
      </c>
      <c r="CI25" s="39">
        <f ca="1">SUMIF(Report_BM!$CY$6:$CY$73,CONCATENATE($C25,CI$3),Report_BM!$CW$6:$CW$73)</f>
        <v>-718820390</v>
      </c>
      <c r="CJ25" s="103"/>
      <c r="CK25" s="104"/>
      <c r="CL25" s="104"/>
      <c r="CM25" s="104"/>
      <c r="CN25" s="104"/>
      <c r="CO25" s="104"/>
      <c r="CP25" s="45">
        <f>SUMIF(Report_BM!$DP$6:$DP$73,CONCATENATE($C25,CX$3),Report_BM!$DB$6:$DB$73)+SUMIF(Report_BM!$DP$6:$DP$73,CONCATENATE($C25,CX$3),Report_BM!$DE$6:$DE$73)</f>
        <v>0</v>
      </c>
      <c r="CQ25" s="46">
        <f ca="1">SUMIF(Report_BM!$DP$6:$DP$73,CONCATENATE($C25,$CX$3),Report_BM!$DC$6:$DC$73)+SUMIF(Report_BM!$DP$6:$DP$73,CONCATENATE($C25,$CX$3),Report_BM!$DF$6:$DF$73)</f>
        <v>-718820390</v>
      </c>
      <c r="CR25" s="45">
        <f>SUMIF(Report_BM!$DP$6:$DP$73,CONCATENATE($C25,CX$3),Report_BM!$DH$6:$DH$73)</f>
        <v>0</v>
      </c>
      <c r="CS25" s="39">
        <f>SUMIF(Report_BM!$DP$6:$DP$73,CONCATENATE($C25,CX$3),Report_BM!$DI$6:$DI$73)</f>
        <v>0</v>
      </c>
      <c r="CT25" s="39">
        <f>SUMIF(Report_BM!$DP$6:$DP$73,CONCATENATE($C25,CX$3),Report_BM!$DJ$6:$DJ$73)</f>
        <v>0</v>
      </c>
      <c r="CU25" s="39">
        <f>SUMIF(Report_BM!$DP$6:$DP$73,CONCATENATE($C25,CX$3),Report_BM!$DK$6:$DK$73)</f>
        <v>0</v>
      </c>
      <c r="CV25" s="46">
        <f>SUMIF(Master_Data!$AK$152:$AK$864,CONCATENATE($C25,CX$3),Master_Data!$T$152:$T$864)</f>
        <v>0</v>
      </c>
      <c r="CW25" s="45">
        <f>SUMIF(Report_BM!$DP$6:$DP$73,CONCATENATE($C25,CX$3),Report_BM!$DM$6:$DM$73)</f>
        <v>0</v>
      </c>
      <c r="CX25" s="39">
        <f ca="1">SUMIF(Report_BM!$DP$6:$DP$73,CONCATENATE($C25,CX$3),Report_BM!$DN$6:$DN$73)</f>
        <v>-718820390</v>
      </c>
      <c r="CY25" s="103"/>
      <c r="CZ25" s="104"/>
      <c r="DA25" s="104"/>
      <c r="DB25" s="104"/>
      <c r="DC25" s="104"/>
      <c r="DD25" s="104"/>
      <c r="DE25" s="45">
        <f>SUMIF(Report_BM!$EG$6:$EG$73,CONCATENATE($C25,DM$3),Report_BM!$DS$6:$DS$73)+SUMIF(Report_BM!$EG$6:$EG$73,CONCATENATE($C25,DM$3),Report_BM!$DV$6:$DV$73)</f>
        <v>0</v>
      </c>
      <c r="DF25" s="46" t="e">
        <f ca="1">SUMIF(Report_BM!$EG$6:$EG$73,CONCATENATE($C25,$DM$3),Report_BM!$DT$6:$DT$73)+SUMIF(Report_BM!$EG$6:$EG$73,CONCATENATE($C25,$DM$3),Report_BM!$DW$6:$DW$73)</f>
        <v>#VALUE!</v>
      </c>
      <c r="DG25" s="45">
        <f>SUMIF(Report_BM!$EG$6:$EG$73,CONCATENATE($C25,DM$3),Report_BM!$DY$6:$DY$73)</f>
        <v>0</v>
      </c>
      <c r="DH25" s="39">
        <f>SUMIF(Report_BM!EG$6:EG$73,CONCATENATE($C25,DM$3),Report_BM!DZ$6:DZ$73)</f>
        <v>0</v>
      </c>
      <c r="DI25" s="39">
        <f>SUMIF(Report_BM!EG$6:EG$73,CONCATENATE($C25,DM$3),Report_BM!$EA$6:$EA$73)</f>
        <v>0</v>
      </c>
      <c r="DJ25" s="39">
        <f>SUMIF(Report_BM!EG$6:EG$73,CONCATENATE($C25,DM$3),Report_BM!$EB$6:$EB$73)</f>
        <v>0</v>
      </c>
      <c r="DK25" s="46">
        <f>SUMIF(Master_Data!$AK$152:$AK$864,CONCATENATE($C25,DM$3),Master_Data!$T$152:$T$864)</f>
        <v>0</v>
      </c>
      <c r="DL25" s="45">
        <f>SUMIF(Report_BM!EG$6:EG$73,CONCATENATE($C25,DM$3),Report_BM!ED$6:ED$73)</f>
        <v>0</v>
      </c>
      <c r="DM25" s="39" t="e">
        <f ca="1">SUMIF(Report_BM!EG$6:EG$73,CONCATENATE($C25,DM$3),Report_BM!EE$6:EE$73)</f>
        <v>#VALUE!</v>
      </c>
      <c r="DN25" s="103"/>
      <c r="DO25" s="104"/>
      <c r="DP25" s="104"/>
      <c r="DQ25" s="104"/>
      <c r="DR25" s="104"/>
      <c r="DS25" s="104"/>
      <c r="DT25" s="45">
        <f>SUMIF(Report_BM!$EX$6:$EX$73,CONCATENATE($C25,EB$3),Report_BM!$EJ$6:$EJ$73)+SUMIF(Report_BM!$EX$6:$EX$73,CONCATENATE($C25,EB$3),Report_BM!$EM$6:$EM$73)</f>
        <v>0</v>
      </c>
      <c r="DU25" s="46" t="e">
        <f ca="1">SUMIF(Report_BM!$EX$6:$EX$73,CONCATENATE($C25,$EB$3),Report_BM!$EK$6:$EK$73)+SUMIF(Report_BM!$EX$6:$EX$73,CONCATENATE($C25,$EB$3),Report_BM!$EN$6:$EN$73)</f>
        <v>#VALUE!</v>
      </c>
      <c r="DV25" s="45">
        <f>SUMIF(Report_BM!$EX$6:$EX$73,CONCATENATE($C25,EB$3),Report_BM!$EP$6:$EP$73)</f>
        <v>0</v>
      </c>
      <c r="DW25" s="39">
        <f>SUMIF(Report_BM!$EX$6:$EX$73,CONCATENATE($C25,EB$3),Report_BM!$EQ$6:$EQ$73)</f>
        <v>0</v>
      </c>
      <c r="DX25" s="39">
        <f>SUMIF(Report_BM!$EX$6:$EX$73,CONCATENATE($C25,EB$3),Report_BM!$ER$6:$ER$73)</f>
        <v>0</v>
      </c>
      <c r="DY25" s="39">
        <f>SUMIF(Report_BM!$EX$6:$EX$73,CONCATENATE($C25,EB$3),Report_BM!$ES$6:$ES$73)</f>
        <v>0</v>
      </c>
      <c r="DZ25" s="46">
        <f>SUMIF(Master_Data!$AK$152:$AK$864,CONCATENATE($C25,EB$3),Master_Data!$T$152:$T$864)</f>
        <v>0</v>
      </c>
      <c r="EA25" s="45">
        <f>SUMIF(Report_BM!EX$6:EX$73,CONCATENATE($C25,EB$3),Report_BM!EU$6:EU$73)</f>
        <v>0</v>
      </c>
      <c r="EB25" s="39">
        <f>SUMIF(Report_BM!EX$6:EX$73,CONCATENATE($C25,EB$3),Report_BM!EV$6:EV$73)</f>
        <v>0</v>
      </c>
      <c r="EC25" s="103"/>
      <c r="ED25" s="104"/>
      <c r="EE25" s="104"/>
      <c r="EF25" s="104"/>
      <c r="EG25" s="104"/>
      <c r="EH25" s="104"/>
      <c r="EI25" s="45">
        <f>SUMIF(Report_BM!$FO$6:$FO$73,CONCATENATE($C25,EQ$3),Report_BM!$FA$6:$FA$73)+SUMIF(Report_BM!$FO$6:$FO$73,CONCATENATE($C25,EQ$3),Report_BM!$FD$6:$FD$73)</f>
        <v>0</v>
      </c>
      <c r="EJ25" s="46">
        <f>SUMIF(Report_BM!$FO$6:$FO$73,CONCATENATE($C25,$EQ$3),Report_BM!$FB$6:$FB$73)+SUMIF(Report_BM!$FO$6:$FO$73,CONCATENATE($C25,$EQ$3),Report_BM!$FE$6:$FE$73)</f>
        <v>0</v>
      </c>
      <c r="EK25" s="45">
        <f>SUMIF(Report_BM!$FO$6:$FO$73,CONCATENATE($C25,EQ$3),Report_BM!$FG$6:$FG$73)</f>
        <v>0</v>
      </c>
      <c r="EL25" s="39">
        <f>SUMIF(Report_BM!$FO$6:$FO$73,CONCATENATE($C25,EQ$3),Report_BM!$FH$6:$FH$73)</f>
        <v>0</v>
      </c>
      <c r="EM25" s="39">
        <f>SUMIF(Report_BM!$FO$6:$FO$73,CONCATENATE($C25,EQ$3),Report_BM!$FI$6:$FI$73)</f>
        <v>0</v>
      </c>
      <c r="EN25" s="39">
        <f>SUMIF(Report_BM!$FO$6:$FO$73,CONCATENATE($C25,EQ$3),Report_BM!$FJ$6:$FJ$73)</f>
        <v>0</v>
      </c>
      <c r="EO25" s="46">
        <f>SUMIF(Master_Data!$AK$152:$AK$864,CONCATENATE($C25,EQ$3),Master_Data!$T$152:$T$864)</f>
        <v>0</v>
      </c>
      <c r="EP25" s="45">
        <f>SUMIF(Report_BM!FO$6:FO$73,CONCATENATE($C25,EQ$3),Report_BM!FL$6:FL$73)</f>
        <v>0</v>
      </c>
      <c r="EQ25" s="39">
        <f>SUMIF(Report_BM!FO$6:FO$73,CONCATENATE($C25,EQ$3),Report_BM!FM$6:FM$73)</f>
        <v>0</v>
      </c>
      <c r="ER25" s="103"/>
      <c r="ES25" s="104"/>
      <c r="ET25" s="104"/>
      <c r="EU25" s="104"/>
      <c r="EV25" s="104"/>
      <c r="EW25" s="104"/>
      <c r="EX25" s="45">
        <f>SUMIF(Report_BM!$GF$6:$GF$73,CONCATENATE($C25,FF$3),Report_BM!$FR$6:$FR$73)+SUMIF(Report_BM!$GF$6:$GF$73,CONCATENATE($C25,FF$3),Report_BM!$FU$6:$FU$73)</f>
        <v>0</v>
      </c>
      <c r="EY25" s="46">
        <f>SUMIF(Report_BM!$GF$6:$GF$73,CONCATENATE($C25,$FF$3),Report_BM!$FS$6:$FS$73)+SUMIF(Report_BM!$GF$6:$GF$73,CONCATENATE($C25,$FF$3),Report_BM!$FV$6:$FV$73)</f>
        <v>0</v>
      </c>
      <c r="EZ25" s="45">
        <f>SUMIF(Report_BM!$GF$6:$GF$73,CONCATENATE($C25,FF$3),Report_BM!$FX$6:$FX$73)</f>
        <v>0</v>
      </c>
      <c r="FA25" s="39">
        <f>SUMIF(Report_BM!$GF$6:$GF$73,CONCATENATE($C25,FF$3),Report_BM!$FY$6:$FY$73)</f>
        <v>0</v>
      </c>
      <c r="FB25" s="39">
        <f>SUMIF(Report_BM!$GF$6:$GF$73,CONCATENATE($C25,FF$3),Report_BM!$FZ$6:$FZ$73)</f>
        <v>0</v>
      </c>
      <c r="FC25" s="39">
        <f>SUMIF(Report_BM!$GF$6:$GF$73,CONCATENATE($C25,FF$3),Report_BM!$GA$6:$GA$73)</f>
        <v>0</v>
      </c>
      <c r="FD25" s="46">
        <f>SUMIF(Master_Data!$AK$152:$AK$864,CONCATENATE($C25,FF$3),Master_Data!$T$152:$T$864)</f>
        <v>0</v>
      </c>
      <c r="FE25" s="45">
        <f>SUMIF(Report_BM!GF$6:GF$73,CONCATENATE($C25,FF$3),Report_BM!GC$6:GC$73)</f>
        <v>0</v>
      </c>
      <c r="FF25" s="39">
        <f>SUMIF(Report_BM!GF$6:GF$73,CONCATENATE($C25,FF$3),Report_BM!GD$6:GD$73)</f>
        <v>0</v>
      </c>
      <c r="FG25" s="103"/>
      <c r="FH25" s="104"/>
      <c r="FI25" s="104"/>
      <c r="FJ25" s="104"/>
      <c r="FK25" s="104"/>
      <c r="FL25" s="104"/>
      <c r="FM25" s="45">
        <f>SUMIF(Report_BM!$GW$6:$GW$73,CONCATENATE($C25,FU$3),Report_BM!$GI$6:$GI$73)+SUMIF(Report_BM!$GW$6:$GW$73,CONCATENATE($C25,FU$3),Report_BM!$GL$6:$GL$73)</f>
        <v>0</v>
      </c>
      <c r="FN25" s="46">
        <f>SUMIF(Report_BM!$GW$6:$GW$73,CONCATENATE($C25,$FU$3),Report_BM!$GJ$6:$GJ$73)+SUMIF(Report_BM!$GW$6:$GW$73,CONCATENATE($C25,$FU$3),Report_BM!$GM$6:$GM$73)</f>
        <v>0</v>
      </c>
      <c r="FO25" s="45">
        <f>SUMIF(Report_BM!$GW$6:$GW$73,CONCATENATE($C25,FU$3),Report_BM!$GO$6:$GO$73)</f>
        <v>0</v>
      </c>
      <c r="FP25" s="39">
        <f>SUMIF(Report_BM!$GW$6:$GW$73,CONCATENATE($C25,FU$3),Report_BM!$GP$6:$GP$73)</f>
        <v>0</v>
      </c>
      <c r="FQ25" s="39">
        <f>SUMIF(Report_BM!$GW$6:$GW$73,CONCATENATE($C25,FU$3),Report_BM!$GQ$6:$GQ$73)</f>
        <v>0</v>
      </c>
      <c r="FR25" s="39">
        <f>SUMIF(Report_BM!$GW$6:$GW$73,CONCATENATE($C25,FU$3),Report_BM!$GR$6:$GR$73)</f>
        <v>0</v>
      </c>
      <c r="FS25" s="46">
        <f>SUMIF(Master_Data!$AK$152:$AK$864,CONCATENATE($C25,FU$3),Master_Data!$T$152:$T$864)</f>
        <v>0</v>
      </c>
      <c r="FT25" s="45">
        <f>SUMIF(Report_BM!GW$6:GW$73,CONCATENATE($C25,FU$3),Report_BM!GT$6:GT$73)</f>
        <v>0</v>
      </c>
      <c r="FU25" s="39">
        <f>SUMIF(Report_BM!GW$6:GW$73,CONCATENATE($C25,FU$3),Report_BM!GU$6:GU$73)</f>
        <v>0</v>
      </c>
      <c r="FV25" s="103"/>
      <c r="FW25" s="104"/>
      <c r="FX25" s="104"/>
      <c r="FY25" s="104"/>
      <c r="FZ25" s="104"/>
      <c r="GA25" s="104"/>
    </row>
    <row r="26" spans="1:183" s="40" customFormat="1" ht="14.1" customHeight="1">
      <c r="A26" s="9">
        <v>20</v>
      </c>
      <c r="B26" s="328" t="s">
        <v>331</v>
      </c>
      <c r="C26" s="324" t="s">
        <v>112</v>
      </c>
      <c r="D26" s="45">
        <f>SUMIF(Report_BM!$B$6:$B$73,CONCATENATE($C26,L$3),Report_BM!$E$6:$E$73)+SUMIF(Report_BM!$B$6:$B$73,CONCATENATE($C26,L$3),Report_BM!$H$6:$H$73)</f>
        <v>330</v>
      </c>
      <c r="E26" s="276">
        <f>SUMIF(Report_BM!$B$6:$B$73,CONCATENATE($C26,L$3),Report_BM!$F$6:$F$73)+SUMIF(Report_BM!$B$6:$B$73,CONCATENATE($C26,L$3),Report_BM!$I$6:$I$73)</f>
        <v>0</v>
      </c>
      <c r="F26" s="45">
        <f>SUMIF(Report_BM!$B$6:$B$73,CONCATENATE($C26,L$3),Report_BM!$K$6:$K$73)</f>
        <v>0</v>
      </c>
      <c r="G26" s="39">
        <f>SUMIF(Report_BM!$B$6:$B$73,CONCATENATE($C26,$L$3),Report_BM!$L$6:$L$73)</f>
        <v>0</v>
      </c>
      <c r="H26" s="39">
        <f>SUMIF(Report_BM!$B$6:$B$73,CONCATENATE($C26,$L$3),Report_BM!$M$6:$M$73)</f>
        <v>0</v>
      </c>
      <c r="I26" s="39">
        <f>SUMIF(Report_BM!$B$6:$B$73,CONCATENATE($C26,$L$3),Report_BM!$N$6:$N$73)</f>
        <v>0</v>
      </c>
      <c r="J26" s="46">
        <f>SUMIF(Report_BM!$B$6:$B$73,CONCATENATE($C26,$L$3),Report_BM!$O$6:$O$73)</f>
        <v>0</v>
      </c>
      <c r="K26" s="45">
        <f>SUMIF(Report_BM!$B$6:$B$73,CONCATENATE($C26,$L$3),Report_BM!$P$6:$P$73)</f>
        <v>330</v>
      </c>
      <c r="L26" s="39">
        <f>SUMIF(Report_BM!$B$6:$B$73,CONCATENATE($C26,$L$3),Report_BM!$Q$6:$Q$73)</f>
        <v>0</v>
      </c>
      <c r="M26" s="103"/>
      <c r="N26" s="104"/>
      <c r="O26" s="104"/>
      <c r="P26" s="104"/>
      <c r="Q26" s="104"/>
      <c r="R26" s="104"/>
      <c r="S26" s="45">
        <f>SUMIF(Report_BM!$AI$8:$AI$72,CONCATENATE($C26,AA$3),Report_BM!$U$8:$U$72)+SUMIF(Report_BM!$AI$8:$AI$72,CONCATENATE($C26,AA$3),Report_BM!$X$8:$X$72)</f>
        <v>330</v>
      </c>
      <c r="T26" s="276">
        <f>SUMIF(Report_BM!$AI$8:$AI$72,CONCATENATE($C26,AA$3),Report_BM!$V$8:$V$72)+SUMIF(Report_BM!$AI$8:$AI$72,CONCATENATE($C26,AA$3),Report_BM!$Y$8:$Y$72)</f>
        <v>0</v>
      </c>
      <c r="U26" s="45">
        <f>SUMIF(Report_BM!$AI$8:$AI$72,CONCATENATE($C26,AA$3),Report_BM!$AA$8:$AB$72)</f>
        <v>0</v>
      </c>
      <c r="V26" s="39">
        <f>SUMIF(Report_BM!$AI$8:$AI$72,CONCATENATE($C26,$AA$3),Report_BM!$AB$8:$AB$72)</f>
        <v>0</v>
      </c>
      <c r="W26" s="39">
        <f>SUMIF(Report_BM!$AI$8:$AI$72,CONCATENATE($C26,$AA$3),Report_BM!$AC$8:$AC$72)</f>
        <v>0</v>
      </c>
      <c r="X26" s="39">
        <f ca="1">SUMIF(Report_BM!$AI$7:$AI$73,CONCATENATE($C26,$AA$3),Report_BM!$AD$7:$AD$73)</f>
        <v>0</v>
      </c>
      <c r="Y26" s="46">
        <f>SUMIF(Master_Data!$AK$152:$AK$864,CONCATENATE($C26,AA$3),Master_Data!$T$152:$T$864)</f>
        <v>0</v>
      </c>
      <c r="Z26" s="45">
        <f>SUMIF(Report_BM!$AI$8:$AI$72,CONCATENATE($C26,$AA$3),Report_BM!$AF$8:$AF$72)</f>
        <v>330</v>
      </c>
      <c r="AA26" s="39">
        <f ca="1">SUMIF(Report_BM!$AI$8:$AI$72,CONCATENATE($C26,$AA$3),Report_BM!$AG$8:$AG$72)</f>
        <v>0</v>
      </c>
      <c r="AB26" s="103"/>
      <c r="AC26" s="104"/>
      <c r="AD26" s="104"/>
      <c r="AE26" s="104"/>
      <c r="AF26" s="104"/>
      <c r="AG26" s="104"/>
      <c r="AH26" s="45">
        <f>SUMIF(Report_BM!$AZ$5:$AZ$72,CONCATENATE($C26,AP$3),Report_BM!$AL$5:$AL$72)+SUMIF(Report_BM!$AZ$5:$AZ$72,CONCATENATE($C26,AP$3),Report_BM!$AO$5:$AO$72)</f>
        <v>330</v>
      </c>
      <c r="AI26" s="46">
        <f ca="1">SUMIF(Report_BM!$AZ$5:$AZ$72,CONCATENATE($C26,$AP$3),Report_BM!$AM$5:$AM$72)+SUMIF(Report_BM!$AZ$5:$AZ$72,CONCATENATE($C26,$AP$3),Report_BM!$AP$5:$AP$72)</f>
        <v>0</v>
      </c>
      <c r="AJ26" s="45">
        <f>SUMIF(Report_BM!$AZ$5:$AZ$72,CONCATENATE($C26,$AP$3),Report_BM!$AR$5:$AR$72)</f>
        <v>0</v>
      </c>
      <c r="AK26" s="39">
        <f>SUMIF(Report_BM!$AZ$5:$AZ$72,CONCATENATE($C26,$AP$3),Report_BM!$AS$5:$AS$72)</f>
        <v>0</v>
      </c>
      <c r="AL26" s="39">
        <f>SUMIF(Report_BM!$AZ$5:$AZ$72,CONCATENATE($C26,$AP$3),Report_BM!$AT$5:$AT$72)</f>
        <v>0</v>
      </c>
      <c r="AM26" s="39">
        <f ca="1">SUMIF(Report_BM!$AZ$5:$AZ$72,CONCATENATE($C26,$AP$3),Report_BM!$AU$5:$AU$72)</f>
        <v>0</v>
      </c>
      <c r="AN26" s="46">
        <f>SUMIF(Master_Data!$AK$152:$AK$915,CONCATENATE($C26,AP$3),Master_Data!$T$152:$T$915)</f>
        <v>0</v>
      </c>
      <c r="AO26" s="45">
        <f>SUMIF(Report_BM!$AZ$5:$AZ$72,CONCATENATE($C26,$AP$3),Report_BM!$AW$5:$AW$72)</f>
        <v>330</v>
      </c>
      <c r="AP26" s="39">
        <f ca="1">SUMIF(Report_BM!$AZ$5:$AZ$72,CONCATENATE($C26,$AP$3),Report_BM!$AX$5:$AX$72)</f>
        <v>0</v>
      </c>
      <c r="AQ26" s="103"/>
      <c r="AR26" s="104"/>
      <c r="AS26" s="104"/>
      <c r="AT26" s="104"/>
      <c r="AU26" s="104"/>
      <c r="AV26" s="104"/>
      <c r="AW26" s="45">
        <f>SUMIF(Report_BM!$BQ$6:$BQ$73,CONCATENATE($C26,BE$3),Report_BM!$BC$6:$BC$73)+SUMIF(Report_BM!$BQ$6:$BQ$73,CONCATENATE($C26,BE$3),Report_BM!$BF$6:$BF$73)</f>
        <v>330</v>
      </c>
      <c r="AX26" s="46">
        <f ca="1">SUMIF(Report_BM!$BQ$6:$BQ$73,CONCATENATE($C26,$BE$3),Report_BM!$BD$6:$BD$73)+SUMIF(Report_BM!$BQ$6:$BQ$73,CONCATENATE($C26,$BE$3),Report_BM!$BG$6:$BG$73)</f>
        <v>0</v>
      </c>
      <c r="AY26" s="45">
        <f>SUMIF(Report_BM!$BQ$6:$BQ$73,CONCATENATE($C26,BE$3),Report_BM!$BI$6:$BI$73)</f>
        <v>0</v>
      </c>
      <c r="AZ26" s="39">
        <f>SUMIF(Report_BM!$BQ$6:$BQ$73,CONCATENATE($C26,BE$3),Report_BM!$BJ$6:$BJ$73)</f>
        <v>0</v>
      </c>
      <c r="BA26" s="39">
        <f>SUMIF(Report_BM!$BQ$6:$BQ$73,CONCATENATE($C26,BE$3),Report_BM!$BK$6:$BK$73)</f>
        <v>0</v>
      </c>
      <c r="BB26" s="39">
        <f>SUMIF(Report_BM!$BQ$6:$BQ$73,CONCATENATE($C26,BE$3),Report_BM!$BL$6:$BL$73)</f>
        <v>0</v>
      </c>
      <c r="BC26" s="46">
        <f>SUMIF(Master_Data!$AK$152:$AK$864,CONCATENATE($C26,BE$3),Master_Data!$T$152:$T$864)</f>
        <v>0</v>
      </c>
      <c r="BD26" s="45">
        <f>SUMIF(Report_BM!$BQ$6:$BQ$73,CONCATENATE($C26,BE$3),Report_BM!$BN$6:$BN$73)</f>
        <v>330</v>
      </c>
      <c r="BE26" s="39">
        <f ca="1">SUMIF(Report_BM!$BQ$6:$BQ$73,CONCATENATE($C26,BE$3),Report_BM!$BO$6:$BO$73)</f>
        <v>0</v>
      </c>
      <c r="BF26" s="103"/>
      <c r="BG26" s="104"/>
      <c r="BH26" s="104"/>
      <c r="BI26" s="104"/>
      <c r="BJ26" s="104"/>
      <c r="BK26" s="104"/>
      <c r="BL26" s="45">
        <f>SUMIF(Report_BM!$CH$6:$CH$73,CONCATENATE($C26,BT$3),Report_BM!$BT$6:$BT$73)+SUMIF(Report_BM!$CH$6:$CH$73,CONCATENATE($C26,BT$3),Report_BM!$BW$6:$BW$73)</f>
        <v>330</v>
      </c>
      <c r="BM26" s="46">
        <f ca="1">SUMIF(Report_BM!$CH$6:$CH$73,CONCATENATE($C26,$BT$3),Report_BM!$BU$6:$BU$73)+SUMIF(Report_BM!$CH$6:$CH$73,CONCATENATE($C26,$BT$3),Report_BM!$BX$6:$BX$73)</f>
        <v>0</v>
      </c>
      <c r="BN26" s="45">
        <f>SUMIF(Report_BM!$CH$6:$CH$73,CONCATENATE($C26,BT$3),Report_BM!$BZ$6:$BZ$73)</f>
        <v>0</v>
      </c>
      <c r="BO26" s="39">
        <f>SUMIF(Report_BM!$CH$6:$CH$73,CONCATENATE($C26,BT$3),Report_BM!$CA$6:$CA$73)</f>
        <v>0</v>
      </c>
      <c r="BP26" s="39">
        <f>SUMIF(Report_BM!$CH$6:$CH$73,CONCATENATE($C26,BT$3),Report_BM!$CB$6:$CB$73)</f>
        <v>0</v>
      </c>
      <c r="BQ26" s="39">
        <f>SUMIF(Report_BM!$CH$6:$CH$73,CONCATENATE($C26,BT$3),Report_BM!$CC$6:$CC$73)</f>
        <v>0</v>
      </c>
      <c r="BR26" s="46">
        <f>SUMIF(Master_Data!$AK$152:$AK$864,CONCATENATE($C26,BT$3),Master_Data!$T$152:$T$864)</f>
        <v>0</v>
      </c>
      <c r="BS26" s="45">
        <f>SUMIF(Report_BM!$CH$6:$CH$73,CONCATENATE($C26,BT$3),Report_BM!$CE$6:$CE$73)</f>
        <v>330</v>
      </c>
      <c r="BT26" s="39">
        <f ca="1">SUMIF(Report_BM!$CH$6:$CH$73,CONCATENATE($C26,BT$3),Report_BM!$CF$6:$CF$73)</f>
        <v>0</v>
      </c>
      <c r="BU26" s="103"/>
      <c r="BV26" s="104"/>
      <c r="BW26" s="104"/>
      <c r="BX26" s="104"/>
      <c r="BY26" s="104"/>
      <c r="BZ26" s="104"/>
      <c r="CA26" s="45">
        <f>SUMIF(Report_BM!$CY$6:$CY$73,CONCATENATE($C26,CI$3),Report_BM!$CK$6:$CK$73)+SUMIF(Report_BM!$CY$6:$CY$73,CONCATENATE($C26,CI$3),Report_BM!$CN$6:$CN$73)</f>
        <v>330</v>
      </c>
      <c r="CB26" s="46">
        <f ca="1">SUMIF(Report_BM!$CY$6:$CY$73,CONCATENATE($C26,$CI$3),Report_BM!$CL$6:$CL$73)+SUMIF(Report_BM!$CY$6:$CY$73,CONCATENATE($C26,$CI$3),Report_BM!$CO$6:$CO$73)</f>
        <v>0</v>
      </c>
      <c r="CC26" s="45">
        <f>SUMIF(Report_BM!$CY$6:$CY$73,CONCATENATE($C26,CI$3),Report_BM!$CQ$6:$CQ$73)</f>
        <v>0</v>
      </c>
      <c r="CD26" s="39">
        <f>SUMIF(Report_BM!$CY$6:$CY$73,CONCATENATE($C26,CI$3),Report_BM!$CR$6:$CR$73)</f>
        <v>0</v>
      </c>
      <c r="CE26" s="39">
        <f>SUMIF(Report_BM!$CY$6:$CY$73,CONCATENATE($C26,CI$3),Report_BM!$CS$6:$CS$73)</f>
        <v>0</v>
      </c>
      <c r="CF26" s="39">
        <f ca="1">SUMIF(Report_BM!$CY$6:$CY$73,CONCATENATE($C26,CI$3),Report_BM!$CT$6:$CT$73)</f>
        <v>0</v>
      </c>
      <c r="CG26" s="46">
        <f>SUMIF(Report_BM!$CY$6:$CY$73,CONCATENATE($C26,CI$3),Report_BM!$CU$6:$CU$73)</f>
        <v>0</v>
      </c>
      <c r="CH26" s="45">
        <f>SUMIF(Report_BM!$CY$6:$CY$73,CONCATENATE($C26,CI$3),Report_BM!$CV$6:$CV$73)</f>
        <v>330</v>
      </c>
      <c r="CI26" s="39">
        <f ca="1">SUMIF(Report_BM!$CY$6:$CY$73,CONCATENATE($C26,CI$3),Report_BM!$CW$6:$CW$73)</f>
        <v>0</v>
      </c>
      <c r="CJ26" s="103"/>
      <c r="CK26" s="104"/>
      <c r="CL26" s="104"/>
      <c r="CM26" s="104"/>
      <c r="CN26" s="104"/>
      <c r="CO26" s="104"/>
      <c r="CP26" s="45">
        <f>SUMIF(Report_BM!$DP$6:$DP$73,CONCATENATE($C26,CX$3),Report_BM!$DB$6:$DB$73)+SUMIF(Report_BM!$DP$6:$DP$73,CONCATENATE($C26,CX$3),Report_BM!$DE$6:$DE$73)</f>
        <v>330</v>
      </c>
      <c r="CQ26" s="46">
        <f ca="1">SUMIF(Report_BM!$DP$6:$DP$73,CONCATENATE($C26,$CX$3),Report_BM!$DC$6:$DC$73)+SUMIF(Report_BM!$DP$6:$DP$73,CONCATENATE($C26,$CX$3),Report_BM!$DF$6:$DF$73)</f>
        <v>0</v>
      </c>
      <c r="CR26" s="45">
        <f>SUMIF(Report_BM!$DP$6:$DP$73,CONCATENATE($C26,CX$3),Report_BM!$DH$6:$DH$73)</f>
        <v>0</v>
      </c>
      <c r="CS26" s="39">
        <f>SUMIF(Report_BM!$DP$6:$DP$73,CONCATENATE($C26,CX$3),Report_BM!$DI$6:$DI$73)</f>
        <v>0</v>
      </c>
      <c r="CT26" s="39">
        <f>SUMIF(Report_BM!$DP$6:$DP$73,CONCATENATE($C26,CX$3),Report_BM!$DJ$6:$DJ$73)</f>
        <v>0</v>
      </c>
      <c r="CU26" s="39">
        <f>SUMIF(Report_BM!$DP$6:$DP$73,CONCATENATE($C26,CX$3),Report_BM!$DK$6:$DK$73)</f>
        <v>0</v>
      </c>
      <c r="CV26" s="46">
        <f>SUMIF(Master_Data!$AK$152:$AK$864,CONCATENATE($C26,CX$3),Master_Data!$T$152:$T$864)</f>
        <v>0</v>
      </c>
      <c r="CW26" s="45">
        <f>SUMIF(Report_BM!$DP$6:$DP$73,CONCATENATE($C26,CX$3),Report_BM!$DM$6:$DM$73)</f>
        <v>330</v>
      </c>
      <c r="CX26" s="39">
        <f ca="1">SUMIF(Report_BM!$DP$6:$DP$73,CONCATENATE($C26,CX$3),Report_BM!$DN$6:$DN$73)</f>
        <v>0</v>
      </c>
      <c r="CY26" s="103"/>
      <c r="CZ26" s="104"/>
      <c r="DA26" s="104"/>
      <c r="DB26" s="104"/>
      <c r="DC26" s="104"/>
      <c r="DD26" s="104"/>
      <c r="DE26" s="45">
        <f>SUMIF(Report_BM!$EG$6:$EG$73,CONCATENATE($C26,DM$3),Report_BM!$DS$6:$DS$73)+SUMIF(Report_BM!$EG$6:$EG$73,CONCATENATE($C26,DM$3),Report_BM!$DV$6:$DV$73)</f>
        <v>330</v>
      </c>
      <c r="DF26" s="46">
        <f ca="1">SUMIF(Report_BM!$EG$6:$EG$73,CONCATENATE($C26,$DM$3),Report_BM!$DT$6:$DT$73)+SUMIF(Report_BM!$EG$6:$EG$73,CONCATENATE($C26,$DM$3),Report_BM!$DW$6:$DW$73)</f>
        <v>0</v>
      </c>
      <c r="DG26" s="45">
        <f>SUMIF(Report_BM!$EG$6:$EG$73,CONCATENATE($C26,DM$3),Report_BM!$DY$6:$DY$73)</f>
        <v>0</v>
      </c>
      <c r="DH26" s="39">
        <f>SUMIF(Report_BM!EG$6:EG$73,CONCATENATE($C26,DM$3),Report_BM!DZ$6:DZ$73)</f>
        <v>0</v>
      </c>
      <c r="DI26" s="39">
        <f>SUMIF(Report_BM!EG$6:EG$73,CONCATENATE($C26,DM$3),Report_BM!$EA$6:$EA$73)</f>
        <v>0</v>
      </c>
      <c r="DJ26" s="39">
        <f>SUMIF(Report_BM!EG$6:EG$73,CONCATENATE($C26,DM$3),Report_BM!$EB$6:$EB$73)</f>
        <v>0</v>
      </c>
      <c r="DK26" s="46">
        <f>SUMIF(Master_Data!$AK$152:$AK$864,CONCATENATE($C26,DM$3),Master_Data!$T$152:$T$864)</f>
        <v>0</v>
      </c>
      <c r="DL26" s="45">
        <f>SUMIF(Report_BM!EG$6:EG$73,CONCATENATE($C26,DM$3),Report_BM!ED$6:ED$73)</f>
        <v>330</v>
      </c>
      <c r="DM26" s="39">
        <f ca="1">SUMIF(Report_BM!EG$6:EG$73,CONCATENATE($C26,DM$3),Report_BM!EE$6:EE$73)</f>
        <v>0</v>
      </c>
      <c r="DN26" s="103"/>
      <c r="DO26" s="104"/>
      <c r="DP26" s="104"/>
      <c r="DQ26" s="104"/>
      <c r="DR26" s="104"/>
      <c r="DS26" s="104"/>
      <c r="DT26" s="45">
        <f>SUMIF(Report_BM!$EX$6:$EX$73,CONCATENATE($C26,EB$3),Report_BM!$EJ$6:$EJ$73)+SUMIF(Report_BM!$EX$6:$EX$73,CONCATENATE($C26,EB$3),Report_BM!$EM$6:$EM$73)</f>
        <v>330</v>
      </c>
      <c r="DU26" s="46">
        <f ca="1">SUMIF(Report_BM!$EX$6:$EX$73,CONCATENATE($C26,$EB$3),Report_BM!$EK$6:$EK$73)+SUMIF(Report_BM!$EX$6:$EX$73,CONCATENATE($C26,$EB$3),Report_BM!$EN$6:$EN$73)</f>
        <v>0</v>
      </c>
      <c r="DV26" s="45">
        <f>SUMIF(Report_BM!$EX$6:$EX$73,CONCATENATE($C26,EB$3),Report_BM!$EP$6:$EP$73)</f>
        <v>0</v>
      </c>
      <c r="DW26" s="39">
        <f>SUMIF(Report_BM!$EX$6:$EX$73,CONCATENATE($C26,EB$3),Report_BM!$EQ$6:$EQ$73)</f>
        <v>0</v>
      </c>
      <c r="DX26" s="39">
        <f>SUMIF(Report_BM!$EX$6:$EX$73,CONCATENATE($C26,EB$3),Report_BM!$ER$6:$ER$73)</f>
        <v>0</v>
      </c>
      <c r="DY26" s="39">
        <f>SUMIF(Report_BM!$EX$6:$EX$73,CONCATENATE($C26,EB$3),Report_BM!$ES$6:$ES$73)</f>
        <v>0</v>
      </c>
      <c r="DZ26" s="46">
        <f>SUMIF(Master_Data!$AK$152:$AK$864,CONCATENATE($C26,EB$3),Master_Data!$T$152:$T$864)</f>
        <v>0</v>
      </c>
      <c r="EA26" s="45">
        <f>SUMIF(Report_BM!EX$6:EX$73,CONCATENATE($C26,EB$3),Report_BM!EU$6:EU$73)</f>
        <v>330</v>
      </c>
      <c r="EB26" s="39">
        <f>SUMIF(Report_BM!EX$6:EX$73,CONCATENATE($C26,EB$3),Report_BM!EV$6:EV$73)</f>
        <v>0</v>
      </c>
      <c r="EC26" s="103"/>
      <c r="ED26" s="104"/>
      <c r="EE26" s="104"/>
      <c r="EF26" s="104"/>
      <c r="EG26" s="104"/>
      <c r="EH26" s="104"/>
      <c r="EI26" s="45">
        <f>SUMIF(Report_BM!$FO$6:$FO$73,CONCATENATE($C26,EQ$3),Report_BM!$FA$6:$FA$73)+SUMIF(Report_BM!$FO$6:$FO$73,CONCATENATE($C26,EQ$3),Report_BM!$FD$6:$FD$73)</f>
        <v>330</v>
      </c>
      <c r="EJ26" s="46">
        <f>SUMIF(Report_BM!$FO$6:$FO$73,CONCATENATE($C26,$EQ$3),Report_BM!$FB$6:$FB$73)+SUMIF(Report_BM!$FO$6:$FO$73,CONCATENATE($C26,$EQ$3),Report_BM!$FE$6:$FE$73)</f>
        <v>0</v>
      </c>
      <c r="EK26" s="45">
        <f>SUMIF(Report_BM!$FO$6:$FO$73,CONCATENATE($C26,EQ$3),Report_BM!$FG$6:$FG$73)</f>
        <v>0</v>
      </c>
      <c r="EL26" s="39">
        <f>SUMIF(Report_BM!$FO$6:$FO$73,CONCATENATE($C26,EQ$3),Report_BM!$FH$6:$FH$73)</f>
        <v>0</v>
      </c>
      <c r="EM26" s="39">
        <f>SUMIF(Report_BM!$FO$6:$FO$73,CONCATENATE($C26,EQ$3),Report_BM!$FI$6:$FI$73)</f>
        <v>0</v>
      </c>
      <c r="EN26" s="39">
        <f>SUMIF(Report_BM!$FO$6:$FO$73,CONCATENATE($C26,EQ$3),Report_BM!$FJ$6:$FJ$73)</f>
        <v>0</v>
      </c>
      <c r="EO26" s="46">
        <f>SUMIF(Master_Data!$AK$152:$AK$864,CONCATENATE($C26,EQ$3),Master_Data!$T$152:$T$864)</f>
        <v>0</v>
      </c>
      <c r="EP26" s="45">
        <f>SUMIF(Report_BM!FO$6:FO$73,CONCATENATE($C26,EQ$3),Report_BM!FL$6:FL$73)</f>
        <v>330</v>
      </c>
      <c r="EQ26" s="39">
        <f>SUMIF(Report_BM!FO$6:FO$73,CONCATENATE($C26,EQ$3),Report_BM!FM$6:FM$73)</f>
        <v>0</v>
      </c>
      <c r="ER26" s="103"/>
      <c r="ES26" s="104"/>
      <c r="ET26" s="104"/>
      <c r="EU26" s="104"/>
      <c r="EV26" s="104"/>
      <c r="EW26" s="104"/>
      <c r="EX26" s="45">
        <f>SUMIF(Report_BM!$GF$6:$GF$73,CONCATENATE($C26,FF$3),Report_BM!$FR$6:$FR$73)+SUMIF(Report_BM!$GF$6:$GF$73,CONCATENATE($C26,FF$3),Report_BM!$FU$6:$FU$73)</f>
        <v>330</v>
      </c>
      <c r="EY26" s="46">
        <f>SUMIF(Report_BM!$GF$6:$GF$73,CONCATENATE($C26,$FF$3),Report_BM!$FS$6:$FS$73)+SUMIF(Report_BM!$GF$6:$GF$73,CONCATENATE($C26,$FF$3),Report_BM!$FV$6:$FV$73)</f>
        <v>0</v>
      </c>
      <c r="EZ26" s="45">
        <f>SUMIF(Report_BM!$GF$6:$GF$73,CONCATENATE($C26,FF$3),Report_BM!$FX$6:$FX$73)</f>
        <v>0</v>
      </c>
      <c r="FA26" s="39">
        <f>SUMIF(Report_BM!$GF$6:$GF$73,CONCATENATE($C26,FF$3),Report_BM!$FY$6:$FY$73)</f>
        <v>0</v>
      </c>
      <c r="FB26" s="39">
        <f>SUMIF(Report_BM!$GF$6:$GF$73,CONCATENATE($C26,FF$3),Report_BM!$FZ$6:$FZ$73)</f>
        <v>0</v>
      </c>
      <c r="FC26" s="39">
        <f>SUMIF(Report_BM!$GF$6:$GF$73,CONCATENATE($C26,FF$3),Report_BM!$GA$6:$GA$73)</f>
        <v>0</v>
      </c>
      <c r="FD26" s="46">
        <f>SUMIF(Master_Data!$AK$152:$AK$864,CONCATENATE($C26,FF$3),Master_Data!$T$152:$T$864)</f>
        <v>0</v>
      </c>
      <c r="FE26" s="45">
        <f>SUMIF(Report_BM!GF$6:GF$73,CONCATENATE($C26,FF$3),Report_BM!GC$6:GC$73)</f>
        <v>330</v>
      </c>
      <c r="FF26" s="39">
        <f>SUMIF(Report_BM!GF$6:GF$73,CONCATENATE($C26,FF$3),Report_BM!GD$6:GD$73)</f>
        <v>0</v>
      </c>
      <c r="FG26" s="103"/>
      <c r="FH26" s="104"/>
      <c r="FI26" s="104"/>
      <c r="FJ26" s="104"/>
      <c r="FK26" s="104"/>
      <c r="FL26" s="104"/>
      <c r="FM26" s="45">
        <f>SUMIF(Report_BM!$GW$6:$GW$73,CONCATENATE($C26,FU$3),Report_BM!$GI$6:$GI$73)+SUMIF(Report_BM!$GW$6:$GW$73,CONCATENATE($C26,FU$3),Report_BM!$GL$6:$GL$73)</f>
        <v>330</v>
      </c>
      <c r="FN26" s="46">
        <f>SUMIF(Report_BM!$GW$6:$GW$73,CONCATENATE($C26,$FU$3),Report_BM!$GJ$6:$GJ$73)+SUMIF(Report_BM!$GW$6:$GW$73,CONCATENATE($C26,$FU$3),Report_BM!$GM$6:$GM$73)</f>
        <v>0</v>
      </c>
      <c r="FO26" s="45">
        <f>SUMIF(Report_BM!$GW$6:$GW$73,CONCATENATE($C26,FU$3),Report_BM!$GO$6:$GO$73)</f>
        <v>0</v>
      </c>
      <c r="FP26" s="39">
        <f>SUMIF(Report_BM!$GW$6:$GW$73,CONCATENATE($C26,FU$3),Report_BM!$GP$6:$GP$73)</f>
        <v>0</v>
      </c>
      <c r="FQ26" s="39">
        <f>SUMIF(Report_BM!$GW$6:$GW$73,CONCATENATE($C26,FU$3),Report_BM!$GQ$6:$GQ$73)</f>
        <v>0</v>
      </c>
      <c r="FR26" s="39">
        <f>SUMIF(Report_BM!$GW$6:$GW$73,CONCATENATE($C26,FU$3),Report_BM!$GR$6:$GR$73)</f>
        <v>0</v>
      </c>
      <c r="FS26" s="46">
        <f>SUMIF(Master_Data!$AK$152:$AK$864,CONCATENATE($C26,FU$3),Master_Data!$T$152:$T$864)</f>
        <v>0</v>
      </c>
      <c r="FT26" s="45">
        <f>SUMIF(Report_BM!GW$6:GW$73,CONCATENATE($C26,FU$3),Report_BM!GT$6:GT$73)</f>
        <v>330</v>
      </c>
      <c r="FU26" s="39">
        <f>SUMIF(Report_BM!GW$6:GW$73,CONCATENATE($C26,FU$3),Report_BM!GU$6:GU$73)</f>
        <v>0</v>
      </c>
      <c r="FV26" s="103"/>
      <c r="FW26" s="104"/>
      <c r="FX26" s="104"/>
      <c r="FY26" s="104"/>
      <c r="FZ26" s="104"/>
      <c r="GA26" s="104"/>
    </row>
    <row r="27" spans="1:183" s="40" customFormat="1" ht="14.1" customHeight="1">
      <c r="A27" s="9">
        <v>21</v>
      </c>
      <c r="B27" s="328" t="s">
        <v>402</v>
      </c>
      <c r="C27" s="323" t="s">
        <v>395</v>
      </c>
      <c r="D27" s="45">
        <f>SUMIF(Report_BM!$B$6:$B$73,CONCATENATE($C27,L$3),Report_BM!$E$6:$E$73)+SUMIF(Report_BM!$B$6:$B$73,CONCATENATE($C27,L$3),Report_BM!$H$6:$H$73)</f>
        <v>0</v>
      </c>
      <c r="E27" s="276">
        <f>SUMIF(Report_BM!$B$6:$B$73,CONCATENATE($C27,L$3),Report_BM!$F$6:$F$73)+SUMIF(Report_BM!$B$6:$B$73,CONCATENATE($C27,L$3),Report_BM!$I$6:$I$73)</f>
        <v>0</v>
      </c>
      <c r="F27" s="45">
        <f>SUMIF(Report_BM!$B$6:$B$73,CONCATENATE($C27,L$3),Report_BM!$K$6:$K$73)</f>
        <v>0</v>
      </c>
      <c r="G27" s="39">
        <f>SUMIF(Report_BM!$B$6:$B$73,CONCATENATE($C27,$L$3),Report_BM!$L$6:$L$73)</f>
        <v>0</v>
      </c>
      <c r="H27" s="39">
        <f>SUMIF(Report_BM!$B$6:$B$73,CONCATENATE($C27,$L$3),Report_BM!$M$6:$M$73)</f>
        <v>0</v>
      </c>
      <c r="I27" s="39">
        <f>SUMIF(Report_BM!$B$6:$B$73,CONCATENATE($C27,$L$3),Report_BM!$N$6:$N$73)</f>
        <v>0</v>
      </c>
      <c r="J27" s="46">
        <f>SUMIF(Report_BM!$B$6:$B$73,CONCATENATE($C27,$L$3),Report_BM!$O$6:$O$73)</f>
        <v>0</v>
      </c>
      <c r="K27" s="45">
        <f>SUMIF(Report_BM!$B$6:$B$73,CONCATENATE($C27,$L$3),Report_BM!$P$6:$P$73)</f>
        <v>0</v>
      </c>
      <c r="L27" s="39">
        <f>SUMIF(Report_BM!$B$6:$B$73,CONCATENATE($C27,$L$3),Report_BM!$Q$6:$Q$73)</f>
        <v>0</v>
      </c>
      <c r="M27" s="103"/>
      <c r="N27" s="104"/>
      <c r="O27" s="104"/>
      <c r="P27" s="104"/>
      <c r="Q27" s="104"/>
      <c r="R27" s="104"/>
      <c r="S27" s="45">
        <f>SUMIF(Report_BM!$AI$8:$AI$72,CONCATENATE($C27,AA$3),Report_BM!$U$8:$U$72)+SUMIF(Report_BM!$AI$8:$AI$72,CONCATENATE($C27,AA$3),Report_BM!$X$8:$X$72)</f>
        <v>0</v>
      </c>
      <c r="T27" s="276">
        <f>SUMIF(Report_BM!$AI$8:$AI$72,CONCATENATE($C27,AA$3),Report_BM!$V$8:$V$72)+SUMIF(Report_BM!$AI$8:$AI$72,CONCATENATE($C27,AA$3),Report_BM!$Y$8:$Y$72)</f>
        <v>0</v>
      </c>
      <c r="U27" s="45">
        <f>SUMIF(Report_BM!$AI$8:$AI$72,CONCATENATE($C27,AA$3),Report_BM!$AA$8:$AB$72)</f>
        <v>0</v>
      </c>
      <c r="V27" s="39">
        <f>SUMIF(Report_BM!$AI$8:$AI$72,CONCATENATE($C27,$AA$3),Report_BM!$AB$8:$AB$72)</f>
        <v>0</v>
      </c>
      <c r="W27" s="39">
        <f>SUMIF(Report_BM!$AI$8:$AI$72,CONCATENATE($C27,$AA$3),Report_BM!$AC$8:$AC$72)</f>
        <v>0</v>
      </c>
      <c r="X27" s="39">
        <f ca="1">SUMIF(Report_BM!$AI$7:$AI$73,CONCATENATE($C27,$AA$3),Report_BM!$AD$7:$AD$73)</f>
        <v>0</v>
      </c>
      <c r="Y27" s="46">
        <f>SUMIF(Master_Data!$AK$152:$AK$864,CONCATENATE($C27,AA$3),Master_Data!$T$152:$T$864)</f>
        <v>0</v>
      </c>
      <c r="Z27" s="45">
        <f>SUMIF(Report_BM!$AI$8:$AI$72,CONCATENATE($C27,$AA$3),Report_BM!$AF$8:$AF$72)</f>
        <v>0</v>
      </c>
      <c r="AA27" s="39">
        <f ca="1">SUMIF(Report_BM!$AI$8:$AI$72,CONCATENATE($C27,$AA$3),Report_BM!$AG$8:$AG$72)</f>
        <v>0</v>
      </c>
      <c r="AB27" s="103"/>
      <c r="AC27" s="104"/>
      <c r="AD27" s="104"/>
      <c r="AE27" s="104"/>
      <c r="AF27" s="104"/>
      <c r="AG27" s="104"/>
      <c r="AH27" s="45">
        <f>SUMIF(Report_BM!$AZ$5:$AZ$72,CONCATENATE($C27,AP$3),Report_BM!$AL$5:$AL$72)+SUMIF(Report_BM!$AZ$5:$AZ$72,CONCATENATE($C27,AP$3),Report_BM!$AO$5:$AO$72)</f>
        <v>0</v>
      </c>
      <c r="AI27" s="46">
        <f ca="1">SUMIF(Report_BM!$AZ$5:$AZ$72,CONCATENATE($C27,$AP$3),Report_BM!$AM$5:$AM$72)+SUMIF(Report_BM!$AZ$5:$AZ$72,CONCATENATE($C27,$AP$3),Report_BM!$AP$5:$AP$72)</f>
        <v>0</v>
      </c>
      <c r="AJ27" s="45">
        <f>SUMIF(Report_BM!$AZ$5:$AZ$72,CONCATENATE($C27,$AP$3),Report_BM!$AR$5:$AR$72)</f>
        <v>0</v>
      </c>
      <c r="AK27" s="39">
        <f>SUMIF(Report_BM!$AZ$5:$AZ$72,CONCATENATE($C27,$AP$3),Report_BM!$AS$5:$AS$72)</f>
        <v>0</v>
      </c>
      <c r="AL27" s="39">
        <f>SUMIF(Report_BM!$AZ$5:$AZ$72,CONCATENATE($C27,$AP$3),Report_BM!$AT$5:$AT$72)</f>
        <v>0</v>
      </c>
      <c r="AM27" s="39">
        <f ca="1">SUMIF(Report_BM!$AZ$5:$AZ$72,CONCATENATE($C27,$AP$3),Report_BM!$AU$5:$AU$72)</f>
        <v>0</v>
      </c>
      <c r="AN27" s="46">
        <f>SUMIF(Master_Data!$AK$152:$AK$915,CONCATENATE($C27,AP$3),Master_Data!$T$152:$T$915)</f>
        <v>0</v>
      </c>
      <c r="AO27" s="45">
        <f>SUMIF(Report_BM!$AZ$5:$AZ$72,CONCATENATE($C27,$AP$3),Report_BM!$AW$5:$AW$72)</f>
        <v>0</v>
      </c>
      <c r="AP27" s="39">
        <f ca="1">SUMIF(Report_BM!$AZ$5:$AZ$72,CONCATENATE($C27,$AP$3),Report_BM!$AX$5:$AX$72)</f>
        <v>0</v>
      </c>
      <c r="AQ27" s="103"/>
      <c r="AR27" s="104"/>
      <c r="AS27" s="104"/>
      <c r="AT27" s="104"/>
      <c r="AU27" s="104"/>
      <c r="AV27" s="104"/>
      <c r="AW27" s="45">
        <f>SUMIF(Report_BM!$BQ$6:$BQ$73,CONCATENATE($C27,BE$3),Report_BM!$BC$6:$BC$73)+SUMIF(Report_BM!$BQ$6:$BQ$73,CONCATENATE($C27,BE$3),Report_BM!$BF$6:$BF$73)</f>
        <v>0</v>
      </c>
      <c r="AX27" s="46">
        <f ca="1">SUMIF(Report_BM!$BQ$6:$BQ$73,CONCATENATE($C27,$BE$3),Report_BM!$BD$6:$BD$73)+SUMIF(Report_BM!$BQ$6:$BQ$73,CONCATENATE($C27,$BE$3),Report_BM!$BG$6:$BG$73)</f>
        <v>0</v>
      </c>
      <c r="AY27" s="45">
        <f>SUMIF(Report_BM!$BQ$6:$BQ$73,CONCATENATE($C27,BE$3),Report_BM!$BI$6:$BI$73)</f>
        <v>0</v>
      </c>
      <c r="AZ27" s="39">
        <f>SUMIF(Report_BM!$BQ$6:$BQ$73,CONCATENATE($C27,BE$3),Report_BM!$BJ$6:$BJ$73)</f>
        <v>0</v>
      </c>
      <c r="BA27" s="39">
        <f>SUMIF(Report_BM!$BQ$6:$BQ$73,CONCATENATE($C27,BE$3),Report_BM!$BK$6:$BK$73)</f>
        <v>0</v>
      </c>
      <c r="BB27" s="39">
        <f>SUMIF(Report_BM!$BQ$6:$BQ$73,CONCATENATE($C27,BE$3),Report_BM!$BL$6:$BL$73)</f>
        <v>0</v>
      </c>
      <c r="BC27" s="46">
        <f>SUMIF(Master_Data!$AK$152:$AK$864,CONCATENATE($C27,BE$3),Master_Data!$T$152:$T$864)</f>
        <v>0</v>
      </c>
      <c r="BD27" s="45">
        <f>SUMIF(Report_BM!$BQ$6:$BQ$73,CONCATENATE($C27,BE$3),Report_BM!$BN$6:$BN$73)</f>
        <v>0</v>
      </c>
      <c r="BE27" s="39">
        <f ca="1">SUMIF(Report_BM!$BQ$6:$BQ$73,CONCATENATE($C27,BE$3),Report_BM!$BO$6:$BO$73)</f>
        <v>0</v>
      </c>
      <c r="BF27" s="103"/>
      <c r="BG27" s="104"/>
      <c r="BH27" s="104"/>
      <c r="BI27" s="104"/>
      <c r="BJ27" s="104"/>
      <c r="BK27" s="104"/>
      <c r="BL27" s="45">
        <f>SUMIF(Report_BM!$CH$6:$CH$73,CONCATENATE($C27,BT$3),Report_BM!$BT$6:$BT$73)+SUMIF(Report_BM!$CH$6:$CH$73,CONCATENATE($C27,BT$3),Report_BM!$BW$6:$BW$73)</f>
        <v>0</v>
      </c>
      <c r="BM27" s="46">
        <f ca="1">SUMIF(Report_BM!$CH$6:$CH$73,CONCATENATE($C27,$BT$3),Report_BM!$BU$6:$BU$73)+SUMIF(Report_BM!$CH$6:$CH$73,CONCATENATE($C27,$BT$3),Report_BM!$BX$6:$BX$73)</f>
        <v>0</v>
      </c>
      <c r="BN27" s="45">
        <f>SUMIF(Report_BM!$CH$6:$CH$73,CONCATENATE($C27,BT$3),Report_BM!$BZ$6:$BZ$73)</f>
        <v>0</v>
      </c>
      <c r="BO27" s="39">
        <f>SUMIF(Report_BM!$CH$6:$CH$73,CONCATENATE($C27,BT$3),Report_BM!$CA$6:$CA$73)</f>
        <v>0</v>
      </c>
      <c r="BP27" s="39">
        <f>SUMIF(Report_BM!$CH$6:$CH$73,CONCATENATE($C27,BT$3),Report_BM!$CB$6:$CB$73)</f>
        <v>0</v>
      </c>
      <c r="BQ27" s="39">
        <f>SUMIF(Report_BM!$CH$6:$CH$73,CONCATENATE($C27,BT$3),Report_BM!$CC$6:$CC$73)</f>
        <v>0</v>
      </c>
      <c r="BR27" s="46">
        <f>SUMIF(Master_Data!$AK$152:$AK$864,CONCATENATE($C27,BT$3),Master_Data!$T$152:$T$864)</f>
        <v>0</v>
      </c>
      <c r="BS27" s="45">
        <f>SUMIF(Report_BM!$CH$6:$CH$73,CONCATENATE($C27,BT$3),Report_BM!$CE$6:$CE$73)</f>
        <v>0</v>
      </c>
      <c r="BT27" s="39">
        <f ca="1">SUMIF(Report_BM!$CH$6:$CH$73,CONCATENATE($C27,BT$3),Report_BM!$CF$6:$CF$73)</f>
        <v>0</v>
      </c>
      <c r="BU27" s="103"/>
      <c r="BV27" s="104"/>
      <c r="BW27" s="104"/>
      <c r="BX27" s="104"/>
      <c r="BY27" s="104"/>
      <c r="BZ27" s="104"/>
      <c r="CA27" s="45">
        <f>SUMIF(Report_BM!$CY$6:$CY$73,CONCATENATE($C27,CI$3),Report_BM!$CK$6:$CK$73)+SUMIF(Report_BM!$CY$6:$CY$73,CONCATENATE($C27,CI$3),Report_BM!$CN$6:$CN$73)</f>
        <v>0</v>
      </c>
      <c r="CB27" s="46">
        <f ca="1">SUMIF(Report_BM!$CY$6:$CY$73,CONCATENATE($C27,$CI$3),Report_BM!$CL$6:$CL$73)+SUMIF(Report_BM!$CY$6:$CY$73,CONCATENATE($C27,$CI$3),Report_BM!$CO$6:$CO$73)</f>
        <v>0</v>
      </c>
      <c r="CC27" s="45">
        <f>SUMIF(Report_BM!$CY$6:$CY$73,CONCATENATE($C27,CI$3),Report_BM!$CQ$6:$CQ$73)</f>
        <v>0</v>
      </c>
      <c r="CD27" s="39">
        <f>SUMIF(Report_BM!$CY$6:$CY$73,CONCATENATE($C27,CI$3),Report_BM!$CR$6:$CR$73)</f>
        <v>0</v>
      </c>
      <c r="CE27" s="39">
        <f>SUMIF(Report_BM!$CY$6:$CY$73,CONCATENATE($C27,CI$3),Report_BM!$CS$6:$CS$73)</f>
        <v>0</v>
      </c>
      <c r="CF27" s="39">
        <f ca="1">SUMIF(Report_BM!$CY$6:$CY$73,CONCATENATE($C27,CI$3),Report_BM!$CT$6:$CT$73)</f>
        <v>0</v>
      </c>
      <c r="CG27" s="46">
        <f>SUMIF(Report_BM!$CY$6:$CY$73,CONCATENATE($C27,CI$3),Report_BM!$CU$6:$CU$73)</f>
        <v>0</v>
      </c>
      <c r="CH27" s="45">
        <f>SUMIF(Report_BM!$CY$6:$CY$73,CONCATENATE($C27,CI$3),Report_BM!$CV$6:$CV$73)</f>
        <v>0</v>
      </c>
      <c r="CI27" s="39">
        <f ca="1">SUMIF(Report_BM!$CY$6:$CY$73,CONCATENATE($C27,CI$3),Report_BM!$CW$6:$CW$73)</f>
        <v>0</v>
      </c>
      <c r="CJ27" s="103"/>
      <c r="CK27" s="104"/>
      <c r="CL27" s="104"/>
      <c r="CM27" s="104"/>
      <c r="CN27" s="104"/>
      <c r="CO27" s="104"/>
      <c r="CP27" s="45">
        <f>SUMIF(Report_BM!$DP$6:$DP$73,CONCATENATE($C27,CX$3),Report_BM!$DB$6:$DB$73)+SUMIF(Report_BM!$DP$6:$DP$73,CONCATENATE($C27,CX$3),Report_BM!$DE$6:$DE$73)</f>
        <v>0</v>
      </c>
      <c r="CQ27" s="46">
        <f ca="1">SUMIF(Report_BM!$DP$6:$DP$73,CONCATENATE($C27,$CX$3),Report_BM!$DC$6:$DC$73)+SUMIF(Report_BM!$DP$6:$DP$73,CONCATENATE($C27,$CX$3),Report_BM!$DF$6:$DF$73)</f>
        <v>0</v>
      </c>
      <c r="CR27" s="45">
        <f>SUMIF(Report_BM!$DP$6:$DP$73,CONCATENATE($C27,CX$3),Report_BM!$DH$6:$DH$73)</f>
        <v>0</v>
      </c>
      <c r="CS27" s="39">
        <f>SUMIF(Report_BM!$DP$6:$DP$73,CONCATENATE($C27,CX$3),Report_BM!$DI$6:$DI$73)</f>
        <v>0</v>
      </c>
      <c r="CT27" s="39">
        <f>SUMIF(Report_BM!$DP$6:$DP$73,CONCATENATE($C27,CX$3),Report_BM!$DJ$6:$DJ$73)</f>
        <v>0</v>
      </c>
      <c r="CU27" s="39">
        <f>SUMIF(Report_BM!$DP$6:$DP$73,CONCATENATE($C27,CX$3),Report_BM!$DK$6:$DK$73)</f>
        <v>0</v>
      </c>
      <c r="CV27" s="46">
        <f>SUMIF(Master_Data!$AK$152:$AK$864,CONCATENATE($C27,CX$3),Master_Data!$T$152:$T$864)</f>
        <v>0</v>
      </c>
      <c r="CW27" s="45">
        <f>SUMIF(Report_BM!$DP$6:$DP$73,CONCATENATE($C27,CX$3),Report_BM!$DM$6:$DM$73)</f>
        <v>0</v>
      </c>
      <c r="CX27" s="39">
        <f ca="1">SUMIF(Report_BM!$DP$6:$DP$73,CONCATENATE($C27,CX$3),Report_BM!$DN$6:$DN$73)</f>
        <v>0</v>
      </c>
      <c r="CY27" s="103"/>
      <c r="CZ27" s="104"/>
      <c r="DA27" s="104"/>
      <c r="DB27" s="104"/>
      <c r="DC27" s="104"/>
      <c r="DD27" s="104"/>
      <c r="DE27" s="45">
        <f>SUMIF(Report_BM!$EG$6:$EG$73,CONCATENATE($C27,DM$3),Report_BM!$DS$6:$DS$73)+SUMIF(Report_BM!$EG$6:$EG$73,CONCATENATE($C27,DM$3),Report_BM!$DV$6:$DV$73)</f>
        <v>0</v>
      </c>
      <c r="DF27" s="46">
        <f ca="1">SUMIF(Report_BM!$EG$6:$EG$73,CONCATENATE($C27,$DM$3),Report_BM!$DT$6:$DT$73)+SUMIF(Report_BM!$EG$6:$EG$73,CONCATENATE($C27,$DM$3),Report_BM!$DW$6:$DW$73)</f>
        <v>0</v>
      </c>
      <c r="DG27" s="45">
        <f>SUMIF(Report_BM!$EG$6:$EG$73,CONCATENATE($C27,DM$3),Report_BM!$DY$6:$DY$73)</f>
        <v>0</v>
      </c>
      <c r="DH27" s="39">
        <f>SUMIF(Report_BM!EG$6:EG$73,CONCATENATE($C27,DM$3),Report_BM!DZ$6:DZ$73)</f>
        <v>0</v>
      </c>
      <c r="DI27" s="39">
        <f>SUMIF(Report_BM!EG$6:EG$73,CONCATENATE($C27,DM$3),Report_BM!$EA$6:$EA$73)</f>
        <v>0</v>
      </c>
      <c r="DJ27" s="39">
        <f>SUMIF(Report_BM!EG$6:EG$73,CONCATENATE($C27,DM$3),Report_BM!$EB$6:$EB$73)</f>
        <v>0</v>
      </c>
      <c r="DK27" s="46">
        <f>SUMIF(Master_Data!$AK$152:$AK$864,CONCATENATE($C27,DM$3),Master_Data!$T$152:$T$864)</f>
        <v>0</v>
      </c>
      <c r="DL27" s="45">
        <f>SUMIF(Report_BM!EG$6:EG$73,CONCATENATE($C27,DM$3),Report_BM!ED$6:ED$73)</f>
        <v>0</v>
      </c>
      <c r="DM27" s="39">
        <f ca="1">SUMIF(Report_BM!EG$6:EG$73,CONCATENATE($C27,DM$3),Report_BM!EE$6:EE$73)</f>
        <v>0</v>
      </c>
      <c r="DN27" s="103"/>
      <c r="DO27" s="104"/>
      <c r="DP27" s="104"/>
      <c r="DQ27" s="104"/>
      <c r="DR27" s="104"/>
      <c r="DS27" s="104"/>
      <c r="DT27" s="45">
        <f>SUMIF(Report_BM!$EX$6:$EX$73,CONCATENATE($C27,EB$3),Report_BM!$EJ$6:$EJ$73)+SUMIF(Report_BM!$EX$6:$EX$73,CONCATENATE($C27,EB$3),Report_BM!$EM$6:$EM$73)</f>
        <v>0</v>
      </c>
      <c r="DU27" s="46">
        <f ca="1">SUMIF(Report_BM!$EX$6:$EX$73,CONCATENATE($C27,$EB$3),Report_BM!$EK$6:$EK$73)+SUMIF(Report_BM!$EX$6:$EX$73,CONCATENATE($C27,$EB$3),Report_BM!$EN$6:$EN$73)</f>
        <v>0</v>
      </c>
      <c r="DV27" s="45">
        <f>SUMIF(Report_BM!$EX$6:$EX$73,CONCATENATE($C27,EB$3),Report_BM!$EP$6:$EP$73)</f>
        <v>0</v>
      </c>
      <c r="DW27" s="39">
        <f>SUMIF(Report_BM!$EX$6:$EX$73,CONCATENATE($C27,EB$3),Report_BM!$EQ$6:$EQ$73)</f>
        <v>0</v>
      </c>
      <c r="DX27" s="39">
        <f>SUMIF(Report_BM!$EX$6:$EX$73,CONCATENATE($C27,EB$3),Report_BM!$ER$6:$ER$73)</f>
        <v>0</v>
      </c>
      <c r="DY27" s="39">
        <f>SUMIF(Report_BM!$EX$6:$EX$73,CONCATENATE($C27,EB$3),Report_BM!$ES$6:$ES$73)</f>
        <v>0</v>
      </c>
      <c r="DZ27" s="46">
        <f>SUMIF(Master_Data!$AK$152:$AK$864,CONCATENATE($C27,EB$3),Master_Data!$T$152:$T$864)</f>
        <v>0</v>
      </c>
      <c r="EA27" s="45">
        <f>SUMIF(Report_BM!EX$6:EX$73,CONCATENATE($C27,EB$3),Report_BM!EU$6:EU$73)</f>
        <v>0</v>
      </c>
      <c r="EB27" s="39">
        <f>SUMIF(Report_BM!EX$6:EX$73,CONCATENATE($C27,EB$3),Report_BM!EV$6:EV$73)</f>
        <v>0</v>
      </c>
      <c r="EC27" s="103"/>
      <c r="ED27" s="104"/>
      <c r="EE27" s="104"/>
      <c r="EF27" s="104"/>
      <c r="EG27" s="104"/>
      <c r="EH27" s="104"/>
      <c r="EI27" s="45">
        <f>SUMIF(Report_BM!$FO$6:$FO$73,CONCATENATE($C27,EQ$3),Report_BM!$FA$6:$FA$73)+SUMIF(Report_BM!$FO$6:$FO$73,CONCATENATE($C27,EQ$3),Report_BM!$FD$6:$FD$73)</f>
        <v>0</v>
      </c>
      <c r="EJ27" s="46">
        <f>SUMIF(Report_BM!$FO$6:$FO$73,CONCATENATE($C27,$EQ$3),Report_BM!$FB$6:$FB$73)+SUMIF(Report_BM!$FO$6:$FO$73,CONCATENATE($C27,$EQ$3),Report_BM!$FE$6:$FE$73)</f>
        <v>0</v>
      </c>
      <c r="EK27" s="45">
        <f>SUMIF(Report_BM!$FO$6:$FO$73,CONCATENATE($C27,EQ$3),Report_BM!$FG$6:$FG$73)</f>
        <v>0</v>
      </c>
      <c r="EL27" s="39">
        <f>SUMIF(Report_BM!$FO$6:$FO$73,CONCATENATE($C27,EQ$3),Report_BM!$FH$6:$FH$73)</f>
        <v>0</v>
      </c>
      <c r="EM27" s="39">
        <f>SUMIF(Report_BM!$FO$6:$FO$73,CONCATENATE($C27,EQ$3),Report_BM!$FI$6:$FI$73)</f>
        <v>0</v>
      </c>
      <c r="EN27" s="39">
        <f>SUMIF(Report_BM!$FO$6:$FO$73,CONCATENATE($C27,EQ$3),Report_BM!$FJ$6:$FJ$73)</f>
        <v>0</v>
      </c>
      <c r="EO27" s="46">
        <f>SUMIF(Master_Data!$AK$152:$AK$864,CONCATENATE($C27,EQ$3),Master_Data!$T$152:$T$864)</f>
        <v>0</v>
      </c>
      <c r="EP27" s="45">
        <f>SUMIF(Report_BM!FO$6:FO$73,CONCATENATE($C27,EQ$3),Report_BM!FL$6:FL$73)</f>
        <v>0</v>
      </c>
      <c r="EQ27" s="39">
        <f>SUMIF(Report_BM!FO$6:FO$73,CONCATENATE($C27,EQ$3),Report_BM!FM$6:FM$73)</f>
        <v>0</v>
      </c>
      <c r="ER27" s="103"/>
      <c r="ES27" s="104"/>
      <c r="ET27" s="104"/>
      <c r="EU27" s="104"/>
      <c r="EV27" s="104"/>
      <c r="EW27" s="104"/>
      <c r="EX27" s="45">
        <f>SUMIF(Report_BM!$GF$6:$GF$73,CONCATENATE($C27,FF$3),Report_BM!$FR$6:$FR$73)+SUMIF(Report_BM!$GF$6:$GF$73,CONCATENATE($C27,FF$3),Report_BM!$FU$6:$FU$73)</f>
        <v>0</v>
      </c>
      <c r="EY27" s="46">
        <f>SUMIF(Report_BM!$GF$6:$GF$73,CONCATENATE($C27,$FF$3),Report_BM!$FS$6:$FS$73)+SUMIF(Report_BM!$GF$6:$GF$73,CONCATENATE($C27,$FF$3),Report_BM!$FV$6:$FV$73)</f>
        <v>0</v>
      </c>
      <c r="EZ27" s="45">
        <f>SUMIF(Report_BM!$GF$6:$GF$73,CONCATENATE($C27,FF$3),Report_BM!$FX$6:$FX$73)</f>
        <v>0</v>
      </c>
      <c r="FA27" s="39">
        <f>SUMIF(Report_BM!$GF$6:$GF$73,CONCATENATE($C27,FF$3),Report_BM!$FY$6:$FY$73)</f>
        <v>0</v>
      </c>
      <c r="FB27" s="39">
        <f>SUMIF(Report_BM!$GF$6:$GF$73,CONCATENATE($C27,FF$3),Report_BM!$FZ$6:$FZ$73)</f>
        <v>0</v>
      </c>
      <c r="FC27" s="39">
        <f>SUMIF(Report_BM!$GF$6:$GF$73,CONCATENATE($C27,FF$3),Report_BM!$GA$6:$GA$73)</f>
        <v>0</v>
      </c>
      <c r="FD27" s="46">
        <f>SUMIF(Master_Data!$AK$152:$AK$864,CONCATENATE($C27,FF$3),Master_Data!$T$152:$T$864)</f>
        <v>0</v>
      </c>
      <c r="FE27" s="45">
        <f>SUMIF(Report_BM!GF$6:GF$73,CONCATENATE($C27,FF$3),Report_BM!GC$6:GC$73)</f>
        <v>0</v>
      </c>
      <c r="FF27" s="39">
        <f>SUMIF(Report_BM!GF$6:GF$73,CONCATENATE($C27,FF$3),Report_BM!GD$6:GD$73)</f>
        <v>0</v>
      </c>
      <c r="FG27" s="103"/>
      <c r="FH27" s="104"/>
      <c r="FI27" s="104"/>
      <c r="FJ27" s="104"/>
      <c r="FK27" s="104"/>
      <c r="FL27" s="104"/>
      <c r="FM27" s="45">
        <f>SUMIF(Report_BM!$GW$6:$GW$73,CONCATENATE($C27,FU$3),Report_BM!$GI$6:$GI$73)+SUMIF(Report_BM!$GW$6:$GW$73,CONCATENATE($C27,FU$3),Report_BM!$GL$6:$GL$73)</f>
        <v>0</v>
      </c>
      <c r="FN27" s="46">
        <f>SUMIF(Report_BM!$GW$6:$GW$73,CONCATENATE($C27,$FU$3),Report_BM!$GJ$6:$GJ$73)+SUMIF(Report_BM!$GW$6:$GW$73,CONCATENATE($C27,$FU$3),Report_BM!$GM$6:$GM$73)</f>
        <v>0</v>
      </c>
      <c r="FO27" s="45">
        <f>SUMIF(Report_BM!$GW$6:$GW$73,CONCATENATE($C27,FU$3),Report_BM!$GO$6:$GO$73)</f>
        <v>0</v>
      </c>
      <c r="FP27" s="39">
        <f>SUMIF(Report_BM!$GW$6:$GW$73,CONCATENATE($C27,FU$3),Report_BM!$GP$6:$GP$73)</f>
        <v>0</v>
      </c>
      <c r="FQ27" s="39">
        <f>SUMIF(Report_BM!$GW$6:$GW$73,CONCATENATE($C27,FU$3),Report_BM!$GQ$6:$GQ$73)</f>
        <v>0</v>
      </c>
      <c r="FR27" s="39">
        <f>SUMIF(Report_BM!$GW$6:$GW$73,CONCATENATE($C27,FU$3),Report_BM!$GR$6:$GR$73)</f>
        <v>0</v>
      </c>
      <c r="FS27" s="46">
        <f>SUMIF(Master_Data!$AK$152:$AK$864,CONCATENATE($C27,FU$3),Master_Data!$T$152:$T$864)</f>
        <v>0</v>
      </c>
      <c r="FT27" s="45">
        <f>SUMIF(Report_BM!GW$6:GW$73,CONCATENATE($C27,FU$3),Report_BM!GT$6:GT$73)</f>
        <v>0</v>
      </c>
      <c r="FU27" s="39">
        <f>SUMIF(Report_BM!GW$6:GW$73,CONCATENATE($C27,FU$3),Report_BM!GU$6:GU$73)</f>
        <v>0</v>
      </c>
      <c r="FV27" s="103"/>
      <c r="FW27" s="104"/>
      <c r="FX27" s="104"/>
      <c r="FY27" s="104"/>
      <c r="FZ27" s="104"/>
      <c r="GA27" s="104"/>
    </row>
    <row r="28" spans="1:183" s="40" customFormat="1" ht="14.1" customHeight="1">
      <c r="A28" s="9">
        <v>22</v>
      </c>
      <c r="B28" s="328" t="s">
        <v>120</v>
      </c>
      <c r="C28" s="323" t="s">
        <v>121</v>
      </c>
      <c r="D28" s="45">
        <f>SUMIF(Report_BM!$B$6:$B$73,CONCATENATE($C28,L$3),Report_BM!$E$6:$E$73)+SUMIF(Report_BM!$B$6:$B$73,CONCATENATE($C28,L$3),Report_BM!$H$6:$H$73)</f>
        <v>0</v>
      </c>
      <c r="E28" s="276" t="e">
        <f>SUMIF(Report_BM!$B$6:$B$73,CONCATENATE($C28,L$3),Report_BM!$F$6:$F$73)+SUMIF(Report_BM!$B$6:$B$73,CONCATENATE($C28,L$3),Report_BM!$I$6:$I$73)</f>
        <v>#VALUE!</v>
      </c>
      <c r="F28" s="45">
        <f>SUMIF(Report_BM!$B$6:$B$73,CONCATENATE($C28,L$3),Report_BM!$K$6:$K$73)</f>
        <v>0</v>
      </c>
      <c r="G28" s="39">
        <f>SUMIF(Report_BM!$B$6:$B$73,CONCATENATE($C28,$L$3),Report_BM!$L$6:$L$73)</f>
        <v>0</v>
      </c>
      <c r="H28" s="39">
        <f>SUMIF(Report_BM!$B$6:$B$73,CONCATENATE($C28,$L$3),Report_BM!$M$6:$M$73)</f>
        <v>119340000</v>
      </c>
      <c r="I28" s="39">
        <f>SUMIF(Report_BM!$B$6:$B$73,CONCATENATE($C28,$L$3),Report_BM!$N$6:$N$73)</f>
        <v>0</v>
      </c>
      <c r="J28" s="46">
        <f>SUMIF(Report_BM!$B$6:$B$73,CONCATENATE($C28,$L$3),Report_BM!$O$6:$O$73)</f>
        <v>-2210000</v>
      </c>
      <c r="K28" s="45">
        <f>SUMIF(Report_BM!$B$6:$B$73,CONCATENATE($C28,$L$3),Report_BM!$P$6:$P$73)</f>
        <v>0</v>
      </c>
      <c r="L28" s="39" t="e">
        <f>SUMIF(Report_BM!$B$6:$B$73,CONCATENATE($C28,$L$3),Report_BM!$Q$6:$Q$73)</f>
        <v>#VALUE!</v>
      </c>
      <c r="M28" s="103"/>
      <c r="N28" s="104"/>
      <c r="O28" s="104"/>
      <c r="P28" s="104"/>
      <c r="Q28" s="104"/>
      <c r="R28" s="104"/>
      <c r="S28" s="45">
        <f>SUMIF(Report_BM!$AI$8:$AI$72,CONCATENATE($C28,AA$3),Report_BM!$U$8:$U$72)+SUMIF(Report_BM!$AI$8:$AI$72,CONCATENATE($C28,AA$3),Report_BM!$X$8:$X$72)</f>
        <v>0</v>
      </c>
      <c r="T28" s="276" t="e">
        <f>SUMIF(Report_BM!$AI$8:$AI$72,CONCATENATE($C28,AA$3),Report_BM!$V$8:$V$72)+SUMIF(Report_BM!$AI$8:$AI$72,CONCATENATE($C28,AA$3),Report_BM!$Y$8:$Y$72)</f>
        <v>#VALUE!</v>
      </c>
      <c r="U28" s="45">
        <f>SUMIF(Report_BM!$AI$8:$AI$72,CONCATENATE($C28,AA$3),Report_BM!$AA$8:$AB$72)</f>
        <v>0</v>
      </c>
      <c r="V28" s="39">
        <f>SUMIF(Report_BM!$AI$8:$AI$72,CONCATENATE($C28,$AA$3),Report_BM!$AB$8:$AB$72)</f>
        <v>0</v>
      </c>
      <c r="W28" s="39">
        <f>SUMIF(Report_BM!$AI$8:$AI$72,CONCATENATE($C28,$AA$3),Report_BM!$AC$8:$AC$72)</f>
        <v>0</v>
      </c>
      <c r="X28" s="39">
        <f ca="1">SUMIF(Report_BM!$AI$7:$AI$73,CONCATENATE($C28,$AA$3),Report_BM!$AD$7:$AD$73)</f>
        <v>0</v>
      </c>
      <c r="Y28" s="46">
        <f>SUMIF(Master_Data!$AK$152:$AK$864,CONCATENATE($C28,AA$3),Master_Data!$T$152:$T$864)</f>
        <v>0</v>
      </c>
      <c r="Z28" s="45">
        <f>SUMIF(Report_BM!$AI$8:$AI$72,CONCATENATE($C28,$AA$3),Report_BM!$AF$8:$AF$72)</f>
        <v>0</v>
      </c>
      <c r="AA28" s="39" t="e">
        <f ca="1">SUMIF(Report_BM!$AI$8:$AI$72,CONCATENATE($C28,$AA$3),Report_BM!$AG$8:$AG$72)</f>
        <v>#VALUE!</v>
      </c>
      <c r="AB28" s="103"/>
      <c r="AC28" s="104"/>
      <c r="AD28" s="104"/>
      <c r="AE28" s="104"/>
      <c r="AF28" s="104"/>
      <c r="AG28" s="104"/>
      <c r="AH28" s="45">
        <f>SUMIF(Report_BM!$AZ$5:$AZ$72,CONCATENATE($C28,AP$3),Report_BM!$AL$5:$AL$72)+SUMIF(Report_BM!$AZ$5:$AZ$72,CONCATENATE($C28,AP$3),Report_BM!$AO$5:$AO$72)</f>
        <v>0</v>
      </c>
      <c r="AI28" s="46" t="e">
        <f ca="1">SUMIF(Report_BM!$AZ$5:$AZ$72,CONCATENATE($C28,$AP$3),Report_BM!$AM$5:$AM$72)+SUMIF(Report_BM!$AZ$5:$AZ$72,CONCATENATE($C28,$AP$3),Report_BM!$AP$5:$AP$72)</f>
        <v>#VALUE!</v>
      </c>
      <c r="AJ28" s="45">
        <f>SUMIF(Report_BM!$AZ$5:$AZ$72,CONCATENATE($C28,$AP$3),Report_BM!$AR$5:$AR$72)</f>
        <v>0</v>
      </c>
      <c r="AK28" s="39">
        <f>SUMIF(Report_BM!$AZ$5:$AZ$72,CONCATENATE($C28,$AP$3),Report_BM!$AS$5:$AS$72)</f>
        <v>0</v>
      </c>
      <c r="AL28" s="39">
        <f>SUMIF(Report_BM!$AZ$5:$AZ$72,CONCATENATE($C28,$AP$3),Report_BM!$AT$5:$AT$72)</f>
        <v>56160000</v>
      </c>
      <c r="AM28" s="39">
        <f ca="1">SUMIF(Report_BM!$AZ$5:$AZ$72,CONCATENATE($C28,$AP$3),Report_BM!$AU$5:$AU$72)</f>
        <v>0</v>
      </c>
      <c r="AN28" s="46">
        <f>SUMIF(Master_Data!$AK$152:$AK$915,CONCATENATE($C28,AP$3),Master_Data!$T$152:$T$915)</f>
        <v>-1040000</v>
      </c>
      <c r="AO28" s="45">
        <f>SUMIF(Report_BM!$AZ$5:$AZ$72,CONCATENATE($C28,$AP$3),Report_BM!$AW$5:$AW$72)</f>
        <v>0</v>
      </c>
      <c r="AP28" s="39" t="e">
        <f ca="1">SUMIF(Report_BM!$AZ$5:$AZ$72,CONCATENATE($C28,$AP$3),Report_BM!$AX$5:$AX$72)</f>
        <v>#VALUE!</v>
      </c>
      <c r="AQ28" s="103"/>
      <c r="AR28" s="104"/>
      <c r="AS28" s="104"/>
      <c r="AT28" s="104"/>
      <c r="AU28" s="104"/>
      <c r="AV28" s="104"/>
      <c r="AW28" s="45">
        <f>SUMIF(Report_BM!$BQ$6:$BQ$73,CONCATENATE($C28,BE$3),Report_BM!$BC$6:$BC$73)+SUMIF(Report_BM!$BQ$6:$BQ$73,CONCATENATE($C28,BE$3),Report_BM!$BF$6:$BF$73)</f>
        <v>0</v>
      </c>
      <c r="AX28" s="46" t="e">
        <f ca="1">SUMIF(Report_BM!$BQ$6:$BQ$73,CONCATENATE($C28,$BE$3),Report_BM!$BD$6:$BD$73)+SUMIF(Report_BM!$BQ$6:$BQ$73,CONCATENATE($C28,$BE$3),Report_BM!$BG$6:$BG$73)</f>
        <v>#VALUE!</v>
      </c>
      <c r="AY28" s="45">
        <f>SUMIF(Report_BM!$BQ$6:$BQ$73,CONCATENATE($C28,BE$3),Report_BM!$BI$6:$BI$73)</f>
        <v>0</v>
      </c>
      <c r="AZ28" s="39">
        <f>SUMIF(Report_BM!$BQ$6:$BQ$73,CONCATENATE($C28,BE$3),Report_BM!$BJ$6:$BJ$73)</f>
        <v>0</v>
      </c>
      <c r="BA28" s="39">
        <f>SUMIF(Report_BM!$BQ$6:$BQ$73,CONCATENATE($C28,BE$3),Report_BM!$BK$6:$BK$73)</f>
        <v>68040000</v>
      </c>
      <c r="BB28" s="39">
        <f>SUMIF(Report_BM!$BQ$6:$BQ$73,CONCATENATE($C28,BE$3),Report_BM!$BL$6:$BL$73)</f>
        <v>0</v>
      </c>
      <c r="BC28" s="46">
        <f>SUMIF(Master_Data!$AK$152:$AK$864,CONCATENATE($C28,BE$3),Master_Data!$T$152:$T$864)</f>
        <v>-1260000</v>
      </c>
      <c r="BD28" s="45">
        <f>SUMIF(Report_BM!$BQ$6:$BQ$73,CONCATENATE($C28,BE$3),Report_BM!$BN$6:$BN$73)</f>
        <v>0</v>
      </c>
      <c r="BE28" s="39" t="e">
        <f ca="1">SUMIF(Report_BM!$BQ$6:$BQ$73,CONCATENATE($C28,BE$3),Report_BM!$BO$6:$BO$73)</f>
        <v>#VALUE!</v>
      </c>
      <c r="BF28" s="103"/>
      <c r="BG28" s="104"/>
      <c r="BH28" s="104"/>
      <c r="BI28" s="104"/>
      <c r="BJ28" s="104"/>
      <c r="BK28" s="104"/>
      <c r="BL28" s="45">
        <f>SUMIF(Report_BM!$CH$6:$CH$73,CONCATENATE($C28,BT$3),Report_BM!$BT$6:$BT$73)+SUMIF(Report_BM!$CH$6:$CH$73,CONCATENATE($C28,BT$3),Report_BM!$BW$6:$BW$73)</f>
        <v>0</v>
      </c>
      <c r="BM28" s="46" t="e">
        <f ca="1">SUMIF(Report_BM!$CH$6:$CH$73,CONCATENATE($C28,$BT$3),Report_BM!$BU$6:$BU$73)+SUMIF(Report_BM!$CH$6:$CH$73,CONCATENATE($C28,$BT$3),Report_BM!$BX$6:$BX$73)</f>
        <v>#VALUE!</v>
      </c>
      <c r="BN28" s="45">
        <f>SUMIF(Report_BM!$CH$6:$CH$73,CONCATENATE($C28,BT$3),Report_BM!$BZ$6:$BZ$73)</f>
        <v>0</v>
      </c>
      <c r="BO28" s="39">
        <f>SUMIF(Report_BM!$CH$6:$CH$73,CONCATENATE($C28,BT$3),Report_BM!$CA$6:$CA$73)</f>
        <v>0</v>
      </c>
      <c r="BP28" s="39">
        <f>SUMIF(Report_BM!$CH$6:$CH$73,CONCATENATE($C28,BT$3),Report_BM!$CB$6:$CB$73)</f>
        <v>89640000</v>
      </c>
      <c r="BQ28" s="39">
        <f>SUMIF(Report_BM!$CH$6:$CH$73,CONCATENATE($C28,BT$3),Report_BM!$CC$6:$CC$73)</f>
        <v>0</v>
      </c>
      <c r="BR28" s="46">
        <f>SUMIF(Master_Data!$AK$152:$AK$864,CONCATENATE($C28,BT$3),Master_Data!$T$152:$T$864)</f>
        <v>-1660000</v>
      </c>
      <c r="BS28" s="45">
        <f>SUMIF(Report_BM!$CH$6:$CH$73,CONCATENATE($C28,BT$3),Report_BM!$CE$6:$CE$73)</f>
        <v>0</v>
      </c>
      <c r="BT28" s="39" t="e">
        <f ca="1">SUMIF(Report_BM!$CH$6:$CH$73,CONCATENATE($C28,BT$3),Report_BM!$CF$6:$CF$73)</f>
        <v>#VALUE!</v>
      </c>
      <c r="BU28" s="103"/>
      <c r="BV28" s="104"/>
      <c r="BW28" s="104"/>
      <c r="BX28" s="104"/>
      <c r="BY28" s="104"/>
      <c r="BZ28" s="104"/>
      <c r="CA28" s="45">
        <f>SUMIF(Report_BM!$CY$6:$CY$73,CONCATENATE($C28,CI$3),Report_BM!$CK$6:$CK$73)+SUMIF(Report_BM!$CY$6:$CY$73,CONCATENATE($C28,CI$3),Report_BM!$CN$6:$CN$73)</f>
        <v>0</v>
      </c>
      <c r="CB28" s="46" t="e">
        <f ca="1">SUMIF(Report_BM!$CY$6:$CY$73,CONCATENATE($C28,$CI$3),Report_BM!$CL$6:$CL$73)+SUMIF(Report_BM!$CY$6:$CY$73,CONCATENATE($C28,$CI$3),Report_BM!$CO$6:$CO$73)</f>
        <v>#VALUE!</v>
      </c>
      <c r="CC28" s="45">
        <f>SUMIF(Report_BM!$CY$6:$CY$73,CONCATENATE($C28,CI$3),Report_BM!$CQ$6:$CQ$73)</f>
        <v>0</v>
      </c>
      <c r="CD28" s="39">
        <f>SUMIF(Report_BM!$CY$6:$CY$73,CONCATENATE($C28,CI$3),Report_BM!$CR$6:$CR$73)</f>
        <v>0</v>
      </c>
      <c r="CE28" s="39">
        <f>SUMIF(Report_BM!$CY$6:$CY$73,CONCATENATE($C28,CI$3),Report_BM!$CS$6:$CS$73)</f>
        <v>58050000</v>
      </c>
      <c r="CF28" s="39">
        <f ca="1">SUMIF(Report_BM!$CY$6:$CY$73,CONCATENATE($C28,CI$3),Report_BM!$CT$6:$CT$73)</f>
        <v>0</v>
      </c>
      <c r="CG28" s="46">
        <f>SUMIF(Report_BM!$CY$6:$CY$73,CONCATENATE($C28,CI$3),Report_BM!$CU$6:$CU$73)</f>
        <v>-1075000</v>
      </c>
      <c r="CH28" s="45">
        <f>SUMIF(Report_BM!$CY$6:$CY$73,CONCATENATE($C28,CI$3),Report_BM!$CV$6:$CV$73)</f>
        <v>0</v>
      </c>
      <c r="CI28" s="39" t="e">
        <f ca="1">SUMIF(Report_BM!$CY$6:$CY$73,CONCATENATE($C28,CI$3),Report_BM!$CW$6:$CW$73)</f>
        <v>#VALUE!</v>
      </c>
      <c r="CJ28" s="103"/>
      <c r="CK28" s="104"/>
      <c r="CL28" s="104"/>
      <c r="CM28" s="104"/>
      <c r="CN28" s="104"/>
      <c r="CO28" s="104"/>
      <c r="CP28" s="45">
        <f>SUMIF(Report_BM!$DP$6:$DP$73,CONCATENATE($C28,CX$3),Report_BM!$DB$6:$DB$73)+SUMIF(Report_BM!$DP$6:$DP$73,CONCATENATE($C28,CX$3),Report_BM!$DE$6:$DE$73)</f>
        <v>0</v>
      </c>
      <c r="CQ28" s="46" t="e">
        <f ca="1">SUMIF(Report_BM!$DP$6:$DP$73,CONCATENATE($C28,$CX$3),Report_BM!$DC$6:$DC$73)+SUMIF(Report_BM!$DP$6:$DP$73,CONCATENATE($C28,$CX$3),Report_BM!$DF$6:$DF$73)</f>
        <v>#VALUE!</v>
      </c>
      <c r="CR28" s="45">
        <f>SUMIF(Report_BM!$DP$6:$DP$73,CONCATENATE($C28,CX$3),Report_BM!$DH$6:$DH$73)</f>
        <v>0</v>
      </c>
      <c r="CS28" s="39">
        <f>SUMIF(Report_BM!$DP$6:$DP$73,CONCATENATE($C28,CX$3),Report_BM!$DI$6:$DI$73)</f>
        <v>0</v>
      </c>
      <c r="CT28" s="39">
        <f>SUMIF(Report_BM!$DP$6:$DP$73,CONCATENATE($C28,CX$3),Report_BM!$DJ$6:$DJ$73)</f>
        <v>94635000</v>
      </c>
      <c r="CU28" s="39">
        <f>SUMIF(Report_BM!$DP$6:$DP$73,CONCATENATE($C28,CX$3),Report_BM!$DK$6:$DK$73)</f>
        <v>0</v>
      </c>
      <c r="CV28" s="46">
        <f>SUMIF(Master_Data!$AK$152:$AK$864,CONCATENATE($C28,CX$3),Master_Data!$T$152:$T$864)</f>
        <v>-1752500</v>
      </c>
      <c r="CW28" s="45">
        <f>SUMIF(Report_BM!$DP$6:$DP$73,CONCATENATE($C28,CX$3),Report_BM!$DM$6:$DM$73)</f>
        <v>0</v>
      </c>
      <c r="CX28" s="39" t="e">
        <f ca="1">SUMIF(Report_BM!$DP$6:$DP$73,CONCATENATE($C28,CX$3),Report_BM!$DN$6:$DN$73)</f>
        <v>#VALUE!</v>
      </c>
      <c r="CY28" s="103"/>
      <c r="CZ28" s="104"/>
      <c r="DA28" s="104"/>
      <c r="DB28" s="104"/>
      <c r="DC28" s="104"/>
      <c r="DD28" s="104"/>
      <c r="DE28" s="45">
        <f>SUMIF(Report_BM!$EG$6:$EG$73,CONCATENATE($C28,DM$3),Report_BM!$DS$6:$DS$73)+SUMIF(Report_BM!$EG$6:$EG$73,CONCATENATE($C28,DM$3),Report_BM!$DV$6:$DV$73)</f>
        <v>0</v>
      </c>
      <c r="DF28" s="46" t="e">
        <f ca="1">SUMIF(Report_BM!$EG$6:$EG$73,CONCATENATE($C28,$DM$3),Report_BM!$DT$6:$DT$73)+SUMIF(Report_BM!$EG$6:$EG$73,CONCATENATE($C28,$DM$3),Report_BM!$DW$6:$DW$73)</f>
        <v>#VALUE!</v>
      </c>
      <c r="DG28" s="45">
        <f>SUMIF(Report_BM!$EG$6:$EG$73,CONCATENATE($C28,DM$3),Report_BM!$DY$6:$DY$73)</f>
        <v>0</v>
      </c>
      <c r="DH28" s="39">
        <f>SUMIF(Report_BM!EG$6:EG$73,CONCATENATE($C28,DM$3),Report_BM!DZ$6:DZ$73)</f>
        <v>0</v>
      </c>
      <c r="DI28" s="39">
        <f>SUMIF(Report_BM!EG$6:EG$73,CONCATENATE($C28,DM$3),Report_BM!$EA$6:$EA$73)</f>
        <v>0</v>
      </c>
      <c r="DJ28" s="39">
        <f>SUMIF(Report_BM!EG$6:EG$73,CONCATENATE($C28,DM$3),Report_BM!$EB$6:$EB$73)</f>
        <v>0</v>
      </c>
      <c r="DK28" s="46">
        <f>SUMIF(Master_Data!$AK$152:$AK$864,CONCATENATE($C28,DM$3),Master_Data!$T$152:$T$864)</f>
        <v>0</v>
      </c>
      <c r="DL28" s="45">
        <f>SUMIF(Report_BM!EG$6:EG$73,CONCATENATE($C28,DM$3),Report_BM!ED$6:ED$73)</f>
        <v>0</v>
      </c>
      <c r="DM28" s="39" t="e">
        <f ca="1">SUMIF(Report_BM!EG$6:EG$73,CONCATENATE($C28,DM$3),Report_BM!EE$6:EE$73)</f>
        <v>#VALUE!</v>
      </c>
      <c r="DN28" s="103"/>
      <c r="DO28" s="104"/>
      <c r="DP28" s="104"/>
      <c r="DQ28" s="104"/>
      <c r="DR28" s="104"/>
      <c r="DS28" s="104"/>
      <c r="DT28" s="45">
        <f>SUMIF(Report_BM!$EX$6:$EX$73,CONCATENATE($C28,EB$3),Report_BM!$EJ$6:$EJ$73)+SUMIF(Report_BM!$EX$6:$EX$73,CONCATENATE($C28,EB$3),Report_BM!$EM$6:$EM$73)</f>
        <v>0</v>
      </c>
      <c r="DU28" s="46" t="e">
        <f ca="1">SUMIF(Report_BM!$EX$6:$EX$73,CONCATENATE($C28,$EB$3),Report_BM!$EK$6:$EK$73)+SUMIF(Report_BM!$EX$6:$EX$73,CONCATENATE($C28,$EB$3),Report_BM!$EN$6:$EN$73)</f>
        <v>#VALUE!</v>
      </c>
      <c r="DV28" s="45">
        <f>SUMIF(Report_BM!$EX$6:$EX$73,CONCATENATE($C28,EB$3),Report_BM!$EP$6:$EP$73)</f>
        <v>0</v>
      </c>
      <c r="DW28" s="39">
        <f>SUMIF(Report_BM!$EX$6:$EX$73,CONCATENATE($C28,EB$3),Report_BM!$EQ$6:$EQ$73)</f>
        <v>0</v>
      </c>
      <c r="DX28" s="39">
        <f>SUMIF(Report_BM!$EX$6:$EX$73,CONCATENATE($C28,EB$3),Report_BM!$ER$6:$ER$73)</f>
        <v>104220000</v>
      </c>
      <c r="DY28" s="39">
        <f>SUMIF(Report_BM!$EX$6:$EX$73,CONCATENATE($C28,EB$3),Report_BM!$ES$6:$ES$73)</f>
        <v>0</v>
      </c>
      <c r="DZ28" s="46">
        <f>SUMIF(Master_Data!$AK$152:$AK$864,CONCATENATE($C28,EB$3),Master_Data!$T$152:$T$864)</f>
        <v>-1930000</v>
      </c>
      <c r="EA28" s="45">
        <f>SUMIF(Report_BM!EX$6:EX$73,CONCATENATE($C28,EB$3),Report_BM!EU$6:EU$73)</f>
        <v>0</v>
      </c>
      <c r="EB28" s="39">
        <f>SUMIF(Report_BM!EX$6:EX$73,CONCATENATE($C28,EB$3),Report_BM!EV$6:EV$73)</f>
        <v>0</v>
      </c>
      <c r="EC28" s="103"/>
      <c r="ED28" s="104"/>
      <c r="EE28" s="104"/>
      <c r="EF28" s="104"/>
      <c r="EG28" s="104"/>
      <c r="EH28" s="104"/>
      <c r="EI28" s="45">
        <f>SUMIF(Report_BM!$FO$6:$FO$73,CONCATENATE($C28,EQ$3),Report_BM!$FA$6:$FA$73)+SUMIF(Report_BM!$FO$6:$FO$73,CONCATENATE($C28,EQ$3),Report_BM!$FD$6:$FD$73)</f>
        <v>0</v>
      </c>
      <c r="EJ28" s="46" t="e">
        <f>SUMIF(Report_BM!$FO$6:$FO$73,CONCATENATE($C28,$EQ$3),Report_BM!$FB$6:$FB$73)+SUMIF(Report_BM!$FO$6:$FO$73,CONCATENATE($C28,$EQ$3),Report_BM!$FE$6:$FE$73)</f>
        <v>#VALUE!</v>
      </c>
      <c r="EK28" s="45">
        <f>SUMIF(Report_BM!$FO$6:$FO$73,CONCATENATE($C28,EQ$3),Report_BM!$FG$6:$FG$73)</f>
        <v>0</v>
      </c>
      <c r="EL28" s="39">
        <f>SUMIF(Report_BM!$FO$6:$FO$73,CONCATENATE($C28,EQ$3),Report_BM!$FH$6:$FH$73)</f>
        <v>0</v>
      </c>
      <c r="EM28" s="39">
        <f>SUMIF(Report_BM!$FO$6:$FO$73,CONCATENATE($C28,EQ$3),Report_BM!$FI$6:$FI$73)</f>
        <v>0</v>
      </c>
      <c r="EN28" s="39">
        <f>SUMIF(Report_BM!$FO$6:$FO$73,CONCATENATE($C28,EQ$3),Report_BM!$FJ$6:$FJ$73)</f>
        <v>0</v>
      </c>
      <c r="EO28" s="46">
        <f>SUMIF(Master_Data!$AK$152:$AK$864,CONCATENATE($C28,EQ$3),Master_Data!$T$152:$T$864)</f>
        <v>0</v>
      </c>
      <c r="EP28" s="45">
        <f>SUMIF(Report_BM!FO$6:FO$73,CONCATENATE($C28,EQ$3),Report_BM!FL$6:FL$73)</f>
        <v>0</v>
      </c>
      <c r="EQ28" s="39" t="e">
        <f>SUMIF(Report_BM!FO$6:FO$73,CONCATENATE($C28,EQ$3),Report_BM!FM$6:FM$73)</f>
        <v>#VALUE!</v>
      </c>
      <c r="ER28" s="103"/>
      <c r="ES28" s="104"/>
      <c r="ET28" s="104"/>
      <c r="EU28" s="104"/>
      <c r="EV28" s="104"/>
      <c r="EW28" s="104"/>
      <c r="EX28" s="45">
        <f>SUMIF(Report_BM!$GF$6:$GF$73,CONCATENATE($C28,FF$3),Report_BM!$FR$6:$FR$73)+SUMIF(Report_BM!$GF$6:$GF$73,CONCATENATE($C28,FF$3),Report_BM!$FU$6:$FU$73)</f>
        <v>0</v>
      </c>
      <c r="EY28" s="46" t="e">
        <f>SUMIF(Report_BM!$GF$6:$GF$73,CONCATENATE($C28,$FF$3),Report_BM!$FS$6:$FS$73)+SUMIF(Report_BM!$GF$6:$GF$73,CONCATENATE($C28,$FF$3),Report_BM!$FV$6:$FV$73)</f>
        <v>#VALUE!</v>
      </c>
      <c r="EZ28" s="45">
        <f>SUMIF(Report_BM!$GF$6:$GF$73,CONCATENATE($C28,FF$3),Report_BM!$FX$6:$FX$73)</f>
        <v>0</v>
      </c>
      <c r="FA28" s="39">
        <f>SUMIF(Report_BM!$GF$6:$GF$73,CONCATENATE($C28,FF$3),Report_BM!$FY$6:$FY$73)</f>
        <v>0</v>
      </c>
      <c r="FB28" s="39">
        <f>SUMIF(Report_BM!$GF$6:$GF$73,CONCATENATE($C28,FF$3),Report_BM!$FZ$6:$FZ$73)</f>
        <v>19440000</v>
      </c>
      <c r="FC28" s="39">
        <f>SUMIF(Report_BM!$GF$6:$GF$73,CONCATENATE($C28,FF$3),Report_BM!$GA$6:$GA$73)</f>
        <v>0</v>
      </c>
      <c r="FD28" s="46">
        <f>SUMIF(Master_Data!$AK$152:$AK$864,CONCATENATE($C28,FF$3),Master_Data!$T$152:$T$864)</f>
        <v>-360000</v>
      </c>
      <c r="FE28" s="45">
        <f>SUMIF(Report_BM!GF$6:GF$73,CONCATENATE($C28,FF$3),Report_BM!GC$6:GC$73)</f>
        <v>0</v>
      </c>
      <c r="FF28" s="39" t="e">
        <f>SUMIF(Report_BM!GF$6:GF$73,CONCATENATE($C28,FF$3),Report_BM!GD$6:GD$73)</f>
        <v>#VALUE!</v>
      </c>
      <c r="FG28" s="103"/>
      <c r="FH28" s="104"/>
      <c r="FI28" s="104"/>
      <c r="FJ28" s="104"/>
      <c r="FK28" s="104"/>
      <c r="FL28" s="104"/>
      <c r="FM28" s="45">
        <f>SUMIF(Report_BM!$GW$6:$GW$73,CONCATENATE($C28,FU$3),Report_BM!$GI$6:$GI$73)+SUMIF(Report_BM!$GW$6:$GW$73,CONCATENATE($C28,FU$3),Report_BM!$GL$6:$GL$73)</f>
        <v>0</v>
      </c>
      <c r="FN28" s="46" t="e">
        <f>SUMIF(Report_BM!$GW$6:$GW$73,CONCATENATE($C28,$FU$3),Report_BM!$GJ$6:$GJ$73)+SUMIF(Report_BM!$GW$6:$GW$73,CONCATENATE($C28,$FU$3),Report_BM!$GM$6:$GM$73)</f>
        <v>#VALUE!</v>
      </c>
      <c r="FO28" s="45">
        <f>SUMIF(Report_BM!$GW$6:$GW$73,CONCATENATE($C28,FU$3),Report_BM!$GO$6:$GO$73)</f>
        <v>0</v>
      </c>
      <c r="FP28" s="39">
        <f>SUMIF(Report_BM!$GW$6:$GW$73,CONCATENATE($C28,FU$3),Report_BM!$GP$6:$GP$73)</f>
        <v>0</v>
      </c>
      <c r="FQ28" s="39">
        <f>SUMIF(Report_BM!$GW$6:$GW$73,CONCATENATE($C28,FU$3),Report_BM!$GQ$6:$GQ$73)</f>
        <v>0</v>
      </c>
      <c r="FR28" s="39">
        <f>SUMIF(Report_BM!$GW$6:$GW$73,CONCATENATE($C28,FU$3),Report_BM!$GR$6:$GR$73)</f>
        <v>0</v>
      </c>
      <c r="FS28" s="46">
        <f>SUMIF(Master_Data!$AK$152:$AK$864,CONCATENATE($C28,FU$3),Master_Data!$T$152:$T$864)</f>
        <v>0</v>
      </c>
      <c r="FT28" s="45">
        <f>SUMIF(Report_BM!GW$6:GW$73,CONCATENATE($C28,FU$3),Report_BM!GT$6:GT$73)</f>
        <v>0</v>
      </c>
      <c r="FU28" s="39" t="e">
        <f>SUMIF(Report_BM!GW$6:GW$73,CONCATENATE($C28,FU$3),Report_BM!GU$6:GU$73)</f>
        <v>#VALUE!</v>
      </c>
      <c r="FV28" s="103"/>
      <c r="FW28" s="104"/>
      <c r="FX28" s="104"/>
      <c r="FY28" s="104"/>
      <c r="FZ28" s="104"/>
      <c r="GA28" s="104"/>
    </row>
    <row r="29" spans="1:183" s="40" customFormat="1" ht="14.1" customHeight="1">
      <c r="A29" s="9">
        <v>23</v>
      </c>
      <c r="B29" s="21" t="s">
        <v>2191</v>
      </c>
      <c r="C29" s="8" t="s">
        <v>1655</v>
      </c>
      <c r="D29" s="45">
        <f>SUMIF(Report_BM!$B$6:$B$73,CONCATENATE($C29,L$3),Report_BM!$E$6:$E$73)+SUMIF(Report_BM!$B$6:$B$73,CONCATENATE($C29,L$3),Report_BM!$H$6:$H$73)</f>
        <v>0</v>
      </c>
      <c r="E29" s="276">
        <f>SUMIF(Report_BM!$B$6:$B$73,CONCATENATE($C29,L$3),Report_BM!$F$6:$F$73)+SUMIF(Report_BM!$B$6:$B$73,CONCATENATE($C29,L$3),Report_BM!$I$6:$I$73)</f>
        <v>18000000</v>
      </c>
      <c r="F29" s="45">
        <f>SUMIF(Report_BM!$B$6:$B$73,CONCATENATE($C29,L$3),Report_BM!$K$6:$K$73)</f>
        <v>0</v>
      </c>
      <c r="G29" s="39">
        <f>SUMIF(Report_BM!$B$6:$B$73,CONCATENATE($C29,$L$3),Report_BM!$L$6:$L$73)</f>
        <v>0</v>
      </c>
      <c r="H29" s="39">
        <f>SUMIF(Report_BM!$B$6:$B$73,CONCATENATE($C29,$L$3),Report_BM!$M$6:$M$73)</f>
        <v>15930000</v>
      </c>
      <c r="I29" s="39">
        <f>SUMIF(Report_BM!$B$6:$B$73,CONCATENATE($C29,$L$3),Report_BM!$N$6:$N$73)</f>
        <v>-1800000</v>
      </c>
      <c r="J29" s="46">
        <f>SUMIF(Report_BM!$B$6:$B$73,CONCATENATE($C29,$L$3),Report_BM!$O$6:$O$73)</f>
        <v>-270000</v>
      </c>
      <c r="K29" s="45">
        <f>SUMIF(Report_BM!$B$6:$B$73,CONCATENATE($C29,$L$3),Report_BM!$P$6:$P$73)</f>
        <v>0</v>
      </c>
      <c r="L29" s="39">
        <f>SUMIF(Report_BM!$B$6:$B$73,CONCATENATE($C29,$L$3),Report_BM!$Q$6:$Q$73)</f>
        <v>0</v>
      </c>
      <c r="M29" s="103"/>
      <c r="N29" s="104"/>
      <c r="O29" s="104"/>
      <c r="P29" s="104"/>
      <c r="Q29" s="104"/>
      <c r="R29" s="104"/>
      <c r="S29" s="45">
        <f>SUMIF(Report_BM!$AI$8:$AI$72,CONCATENATE($C29,AA$3),Report_BM!$U$8:$U$72)+SUMIF(Report_BM!$AI$8:$AI$72,CONCATENATE($C29,AA$3),Report_BM!$X$8:$X$72)</f>
        <v>0</v>
      </c>
      <c r="T29" s="276">
        <f>SUMIF(Report_BM!$AI$8:$AI$72,CONCATENATE($C29,AA$3),Report_BM!$V$8:$V$72)+SUMIF(Report_BM!$AI$8:$AI$72,CONCATENATE($C29,AA$3),Report_BM!$Y$8:$Y$72)</f>
        <v>0</v>
      </c>
      <c r="U29" s="45">
        <f>SUMIF(Report_BM!$AI$8:$AI$72,CONCATENATE($C29,AA$3),Report_BM!$AA$8:$AB$72)</f>
        <v>0</v>
      </c>
      <c r="V29" s="39">
        <f>SUMIF(Report_BM!$AI$8:$AI$72,CONCATENATE($C29,$AA$3),Report_BM!$AB$8:$AB$72)</f>
        <v>0</v>
      </c>
      <c r="W29" s="39">
        <f>SUMIF(Report_BM!$AI$8:$AI$72,CONCATENATE($C29,$AA$3),Report_BM!$AC$8:$AC$72)</f>
        <v>0</v>
      </c>
      <c r="X29" s="39">
        <f ca="1">SUMIF(Report_BM!$AI$7:$AI$73,CONCATENATE($C29,$AA$3),Report_BM!$AD$7:$AD$73)</f>
        <v>0</v>
      </c>
      <c r="Y29" s="46">
        <f>SUMIF(Master_Data!$AK$152:$AK$864,CONCATENATE($C29,AA$3),Master_Data!$T$152:$T$864)</f>
        <v>0</v>
      </c>
      <c r="Z29" s="45">
        <f>SUMIF(Report_BM!$AI$8:$AI$72,CONCATENATE($C29,$AA$3),Report_BM!$AF$8:$AF$72)</f>
        <v>0</v>
      </c>
      <c r="AA29" s="39">
        <f ca="1">SUMIF(Report_BM!$AI$8:$AI$72,CONCATENATE($C29,$AA$3),Report_BM!$AG$8:$AG$72)</f>
        <v>0</v>
      </c>
      <c r="AB29" s="103"/>
      <c r="AC29" s="104"/>
      <c r="AD29" s="104"/>
      <c r="AE29" s="104"/>
      <c r="AF29" s="104"/>
      <c r="AG29" s="104"/>
      <c r="AH29" s="45">
        <f>SUMIF(Report_BM!$AZ$5:$AZ$72,CONCATENATE($C29,AP$3),Report_BM!$AL$5:$AL$72)+SUMIF(Report_BM!$AZ$5:$AZ$72,CONCATENATE($C29,AP$3),Report_BM!$AO$5:$AO$72)</f>
        <v>0</v>
      </c>
      <c r="AI29" s="46">
        <f ca="1">SUMIF(Report_BM!$AZ$5:$AZ$72,CONCATENATE($C29,$AP$3),Report_BM!$AM$5:$AM$72)+SUMIF(Report_BM!$AZ$5:$AZ$72,CONCATENATE($C29,$AP$3),Report_BM!$AP$5:$AP$72)</f>
        <v>0</v>
      </c>
      <c r="AJ29" s="45">
        <f>SUMIF(Report_BM!$AZ$5:$AZ$72,CONCATENATE($C29,$AP$3),Report_BM!$AR$5:$AR$72)</f>
        <v>0</v>
      </c>
      <c r="AK29" s="39">
        <f>SUMIF(Report_BM!$AZ$5:$AZ$72,CONCATENATE($C29,$AP$3),Report_BM!$AS$5:$AS$72)</f>
        <v>0</v>
      </c>
      <c r="AL29" s="39">
        <f>SUMIF(Report_BM!$AZ$5:$AZ$72,CONCATENATE($C29,$AP$3),Report_BM!$AT$5:$AT$72)</f>
        <v>0</v>
      </c>
      <c r="AM29" s="39">
        <f ca="1">SUMIF(Report_BM!$AZ$5:$AZ$72,CONCATENATE($C29,$AP$3),Report_BM!$AU$5:$AU$72)</f>
        <v>0</v>
      </c>
      <c r="AN29" s="46">
        <f>SUMIF(Master_Data!$AK$152:$AK$915,CONCATENATE($C29,AP$3),Master_Data!$T$152:$T$915)</f>
        <v>0</v>
      </c>
      <c r="AO29" s="45">
        <f>SUMIF(Report_BM!$AZ$5:$AZ$72,CONCATENATE($C29,$AP$3),Report_BM!$AW$5:$AW$72)</f>
        <v>0</v>
      </c>
      <c r="AP29" s="39">
        <f ca="1">SUMIF(Report_BM!$AZ$5:$AZ$72,CONCATENATE($C29,$AP$3),Report_BM!$AX$5:$AX$72)</f>
        <v>0</v>
      </c>
      <c r="AQ29" s="103"/>
      <c r="AR29" s="104"/>
      <c r="AS29" s="104"/>
      <c r="AT29" s="104"/>
      <c r="AU29" s="104"/>
      <c r="AV29" s="104"/>
      <c r="AW29" s="45">
        <f>SUMIF(Report_BM!$BQ$6:$BQ$73,CONCATENATE($C29,BE$3),Report_BM!$BC$6:$BC$73)+SUMIF(Report_BM!$BQ$6:$BQ$73,CONCATENATE($C29,BE$3),Report_BM!$BF$6:$BF$73)</f>
        <v>0</v>
      </c>
      <c r="AX29" s="46">
        <f ca="1">SUMIF(Report_BM!$BQ$6:$BQ$73,CONCATENATE($C29,$BE$3),Report_BM!$BD$6:$BD$73)+SUMIF(Report_BM!$BQ$6:$BQ$73,CONCATENATE($C29,$BE$3),Report_BM!$BG$6:$BG$73)</f>
        <v>0</v>
      </c>
      <c r="AY29" s="45">
        <f>SUMIF(Report_BM!$BQ$6:$BQ$73,CONCATENATE($C29,BE$3),Report_BM!$BI$6:$BI$73)</f>
        <v>0</v>
      </c>
      <c r="AZ29" s="39">
        <f>SUMIF(Report_BM!$BQ$6:$BQ$73,CONCATENATE($C29,BE$3),Report_BM!$BJ$6:$BJ$73)</f>
        <v>0</v>
      </c>
      <c r="BA29" s="39">
        <f>SUMIF(Report_BM!$BQ$6:$BQ$73,CONCATENATE($C29,BE$3),Report_BM!$BK$6:$BK$73)</f>
        <v>0</v>
      </c>
      <c r="BB29" s="39">
        <f>SUMIF(Report_BM!$BQ$6:$BQ$73,CONCATENATE($C29,BE$3),Report_BM!$BL$6:$BL$73)</f>
        <v>0</v>
      </c>
      <c r="BC29" s="46">
        <f>SUMIF(Master_Data!$AK$152:$AK$864,CONCATENATE($C29,BE$3),Master_Data!$T$152:$T$864)</f>
        <v>0</v>
      </c>
      <c r="BD29" s="45">
        <f>SUMIF(Report_BM!$BQ$6:$BQ$73,CONCATENATE($C29,BE$3),Report_BM!$BN$6:$BN$73)</f>
        <v>0</v>
      </c>
      <c r="BE29" s="39">
        <f ca="1">SUMIF(Report_BM!$BQ$6:$BQ$73,CONCATENATE($C29,BE$3),Report_BM!$BO$6:$BO$73)</f>
        <v>0</v>
      </c>
      <c r="BF29" s="103"/>
      <c r="BG29" s="104"/>
      <c r="BH29" s="104"/>
      <c r="BI29" s="104"/>
      <c r="BJ29" s="104"/>
      <c r="BK29" s="104"/>
      <c r="BL29" s="45">
        <f>SUMIF(Report_BM!$CH$6:$CH$73,CONCATENATE($C29,BT$3),Report_BM!$BT$6:$BT$73)+SUMIF(Report_BM!$CH$6:$CH$73,CONCATENATE($C29,BT$3),Report_BM!$BW$6:$BW$73)</f>
        <v>0</v>
      </c>
      <c r="BM29" s="46">
        <f ca="1">SUMIF(Report_BM!$CH$6:$CH$73,CONCATENATE($C29,$BT$3),Report_BM!$BU$6:$BU$73)+SUMIF(Report_BM!$CH$6:$CH$73,CONCATENATE($C29,$BT$3),Report_BM!$BX$6:$BX$73)</f>
        <v>0</v>
      </c>
      <c r="BN29" s="45">
        <f>SUMIF(Report_BM!$CH$6:$CH$73,CONCATENATE($C29,BT$3),Report_BM!$BZ$6:$BZ$73)</f>
        <v>0</v>
      </c>
      <c r="BO29" s="39">
        <f>SUMIF(Report_BM!$CH$6:$CH$73,CONCATENATE($C29,BT$3),Report_BM!$CA$6:$CA$73)</f>
        <v>0</v>
      </c>
      <c r="BP29" s="39">
        <f>SUMIF(Report_BM!$CH$6:$CH$73,CONCATENATE($C29,BT$3),Report_BM!$CB$6:$CB$73)</f>
        <v>0</v>
      </c>
      <c r="BQ29" s="39">
        <f>SUMIF(Report_BM!$CH$6:$CH$73,CONCATENATE($C29,BT$3),Report_BM!$CC$6:$CC$73)</f>
        <v>0</v>
      </c>
      <c r="BR29" s="46">
        <f>SUMIF(Master_Data!$AK$152:$AK$864,CONCATENATE($C29,BT$3),Master_Data!$T$152:$T$864)</f>
        <v>0</v>
      </c>
      <c r="BS29" s="45">
        <f>SUMIF(Report_BM!$CH$6:$CH$73,CONCATENATE($C29,BT$3),Report_BM!$CE$6:$CE$73)</f>
        <v>0</v>
      </c>
      <c r="BT29" s="39">
        <f ca="1">SUMIF(Report_BM!$CH$6:$CH$73,CONCATENATE($C29,BT$3),Report_BM!$CF$6:$CF$73)</f>
        <v>0</v>
      </c>
      <c r="BU29" s="103"/>
      <c r="BV29" s="104"/>
      <c r="BW29" s="104"/>
      <c r="BX29" s="104"/>
      <c r="BY29" s="104"/>
      <c r="BZ29" s="104"/>
      <c r="CA29" s="45">
        <f>SUMIF(Report_BM!$CY$6:$CY$73,CONCATENATE($C29,CI$3),Report_BM!$CK$6:$CK$73)+SUMIF(Report_BM!$CY$6:$CY$73,CONCATENATE($C29,CI$3),Report_BM!$CN$6:$CN$73)</f>
        <v>0</v>
      </c>
      <c r="CB29" s="46">
        <f ca="1">SUMIF(Report_BM!$CY$6:$CY$73,CONCATENATE($C29,$CI$3),Report_BM!$CL$6:$CL$73)+SUMIF(Report_BM!$CY$6:$CY$73,CONCATENATE($C29,$CI$3),Report_BM!$CO$6:$CO$73)</f>
        <v>0</v>
      </c>
      <c r="CC29" s="45">
        <f>SUMIF(Report_BM!$CY$6:$CY$73,CONCATENATE($C29,CI$3),Report_BM!$CQ$6:$CQ$73)</f>
        <v>0</v>
      </c>
      <c r="CD29" s="39">
        <f>SUMIF(Report_BM!$CY$6:$CY$73,CONCATENATE($C29,CI$3),Report_BM!$CR$6:$CR$73)</f>
        <v>0</v>
      </c>
      <c r="CE29" s="39">
        <f>SUMIF(Report_BM!$CY$6:$CY$73,CONCATENATE($C29,CI$3),Report_BM!$CS$6:$CS$73)</f>
        <v>0</v>
      </c>
      <c r="CF29" s="39">
        <f ca="1">SUMIF(Report_BM!$CY$6:$CY$73,CONCATENATE($C29,CI$3),Report_BM!$CT$6:$CT$73)</f>
        <v>0</v>
      </c>
      <c r="CG29" s="46">
        <f>SUMIF(Report_BM!$CY$6:$CY$73,CONCATENATE($C29,CI$3),Report_BM!$CU$6:$CU$73)</f>
        <v>0</v>
      </c>
      <c r="CH29" s="45">
        <f>SUMIF(Report_BM!$CY$6:$CY$73,CONCATENATE($C29,CI$3),Report_BM!$CV$6:$CV$73)</f>
        <v>0</v>
      </c>
      <c r="CI29" s="39">
        <f ca="1">SUMIF(Report_BM!$CY$6:$CY$73,CONCATENATE($C29,CI$3),Report_BM!$CW$6:$CW$73)</f>
        <v>0</v>
      </c>
      <c r="CJ29" s="103"/>
      <c r="CK29" s="104"/>
      <c r="CL29" s="104"/>
      <c r="CM29" s="104"/>
      <c r="CN29" s="104"/>
      <c r="CO29" s="104"/>
      <c r="CP29" s="45">
        <f>SUMIF(Report_BM!$DP$6:$DP$73,CONCATENATE($C29,CX$3),Report_BM!$DB$6:$DB$73)+SUMIF(Report_BM!$DP$6:$DP$73,CONCATENATE($C29,CX$3),Report_BM!$DE$6:$DE$73)</f>
        <v>0</v>
      </c>
      <c r="CQ29" s="46">
        <f ca="1">SUMIF(Report_BM!$DP$6:$DP$73,CONCATENATE($C29,$CX$3),Report_BM!$DC$6:$DC$73)+SUMIF(Report_BM!$DP$6:$DP$73,CONCATENATE($C29,$CX$3),Report_BM!$DF$6:$DF$73)</f>
        <v>0</v>
      </c>
      <c r="CR29" s="45">
        <f>SUMIF(Report_BM!$DP$6:$DP$73,CONCATENATE($C29,CX$3),Report_BM!$DH$6:$DH$73)</f>
        <v>0</v>
      </c>
      <c r="CS29" s="39">
        <f>SUMIF(Report_BM!$DP$6:$DP$73,CONCATENATE($C29,CX$3),Report_BM!$DI$6:$DI$73)</f>
        <v>0</v>
      </c>
      <c r="CT29" s="39">
        <f>SUMIF(Report_BM!$DP$6:$DP$73,CONCATENATE($C29,CX$3),Report_BM!$DJ$6:$DJ$73)</f>
        <v>0</v>
      </c>
      <c r="CU29" s="39">
        <f>SUMIF(Report_BM!$DP$6:$DP$73,CONCATENATE($C29,CX$3),Report_BM!$DK$6:$DK$73)</f>
        <v>0</v>
      </c>
      <c r="CV29" s="46">
        <f>SUMIF(Master_Data!$AK$152:$AK$864,CONCATENATE($C29,CX$3),Master_Data!$T$152:$T$864)</f>
        <v>0</v>
      </c>
      <c r="CW29" s="45">
        <f>SUMIF(Report_BM!$DP$6:$DP$73,CONCATENATE($C29,CX$3),Report_BM!$DM$6:$DM$73)</f>
        <v>0</v>
      </c>
      <c r="CX29" s="39">
        <f ca="1">SUMIF(Report_BM!$DP$6:$DP$73,CONCATENATE($C29,CX$3),Report_BM!$DN$6:$DN$73)</f>
        <v>0</v>
      </c>
      <c r="CY29" s="103"/>
      <c r="CZ29" s="104"/>
      <c r="DA29" s="104"/>
      <c r="DB29" s="104"/>
      <c r="DC29" s="104"/>
      <c r="DD29" s="104"/>
      <c r="DE29" s="45"/>
      <c r="DF29" s="46"/>
      <c r="DG29" s="45"/>
      <c r="DH29" s="39"/>
      <c r="DI29" s="39"/>
      <c r="DJ29" s="39">
        <f>SUMIF(Report_BM!EG$6:EG$73,CONCATENATE($C29,DM$3),Report_BM!$EB$6:$EB$73)</f>
        <v>0</v>
      </c>
      <c r="DK29" s="46">
        <f>SUMIF(Master_Data!$AK$152:$AK$864,CONCATENATE($C29,DM$3),Master_Data!$T$152:$T$864)</f>
        <v>0</v>
      </c>
      <c r="DL29" s="45"/>
      <c r="DM29" s="39"/>
      <c r="DN29" s="103"/>
      <c r="DO29" s="104"/>
      <c r="DP29" s="104"/>
      <c r="DQ29" s="104"/>
      <c r="DR29" s="104"/>
      <c r="DS29" s="104"/>
      <c r="DT29" s="45"/>
      <c r="DU29" s="46"/>
      <c r="DV29" s="45"/>
      <c r="DW29" s="39"/>
      <c r="DX29" s="39"/>
      <c r="DY29" s="39">
        <f>SUMIF(Report_BM!$EX$6:$EX$73,CONCATENATE($C29,EB$3),Report_BM!$ES$6:$ES$73)</f>
        <v>0</v>
      </c>
      <c r="DZ29" s="46">
        <f>SUMIF(Master_Data!$AK$152:$AK$864,CONCATENATE($C29,EB$3),Master_Data!$T$152:$T$864)</f>
        <v>0</v>
      </c>
      <c r="EA29" s="45"/>
      <c r="EB29" s="39"/>
      <c r="EC29" s="103"/>
      <c r="ED29" s="104"/>
      <c r="EE29" s="104"/>
      <c r="EF29" s="104"/>
      <c r="EG29" s="104"/>
      <c r="EH29" s="104"/>
      <c r="EI29" s="45"/>
      <c r="EJ29" s="46"/>
      <c r="EK29" s="45"/>
      <c r="EL29" s="39"/>
      <c r="EM29" s="39"/>
      <c r="EN29" s="39">
        <f>SUMIF(Report_BM!$FO$6:$FO$73,CONCATENATE($C29,EQ$3),Report_BM!$FJ$6:$FJ$73)</f>
        <v>0</v>
      </c>
      <c r="EO29" s="46">
        <f>SUMIF(Master_Data!$AK$152:$AK$864,CONCATENATE($C29,EQ$3),Master_Data!$T$152:$T$864)</f>
        <v>0</v>
      </c>
      <c r="EP29" s="45"/>
      <c r="EQ29" s="39"/>
      <c r="ER29" s="103"/>
      <c r="ES29" s="104"/>
      <c r="ET29" s="104"/>
      <c r="EU29" s="104"/>
      <c r="EV29" s="104"/>
      <c r="EW29" s="104"/>
      <c r="EX29" s="45">
        <f>SUMIF(Report_BM!$GF$6:$GF$73,CONCATENATE($C29,FF$3),Report_BM!$FR$6:$FR$73)+SUMIF(Report_BM!$GF$6:$GF$73,CONCATENATE($C29,FF$3),Report_BM!$FU$6:$FU$73)</f>
        <v>0</v>
      </c>
      <c r="EY29" s="46">
        <f>SUMIF(Report_BM!$GF$6:$GF$73,CONCATENATE($C29,$FF$3),Report_BM!$FS$6:$FS$73)+SUMIF(Report_BM!$GF$6:$GF$73,CONCATENATE($C29,$FF$3),Report_BM!$FV$6:$FV$73)</f>
        <v>0</v>
      </c>
      <c r="EZ29" s="45">
        <f>SUMIF(Report_BM!$GF$6:$GF$73,CONCATENATE($C29,FF$3),Report_BM!$FX$6:$FX$73)</f>
        <v>0</v>
      </c>
      <c r="FA29" s="39">
        <f>SUMIF(Report_BM!$GF$6:$GF$73,CONCATENATE($C29,FF$3),Report_BM!$FY$6:$FY$73)</f>
        <v>0</v>
      </c>
      <c r="FB29" s="39">
        <f>SUMIF(Report_BM!$GF$6:$GF$73,CONCATENATE($C29,FF$3),Report_BM!$FZ$6:$FZ$73)</f>
        <v>0</v>
      </c>
      <c r="FC29" s="39">
        <f>SUMIF(Report_BM!$GF$6:$GF$73,CONCATENATE($C29,FF$3),Report_BM!$GA$6:$GA$73)</f>
        <v>0</v>
      </c>
      <c r="FD29" s="46">
        <f>SUMIF(Master_Data!$AK$152:$AK$864,CONCATENATE($C29,FF$3),Master_Data!$T$152:$T$864)</f>
        <v>0</v>
      </c>
      <c r="FE29" s="45">
        <f>SUMIF(Report_BM!GF$6:GF$73,CONCATENATE($C29,FF$3),Report_BM!GC$6:GC$73)</f>
        <v>0</v>
      </c>
      <c r="FF29" s="39">
        <f>SUMIF(Report_BM!GF$6:GF$73,CONCATENATE($C29,FF$3),Report_BM!GD$6:GD$73)</f>
        <v>0</v>
      </c>
      <c r="FG29" s="103"/>
      <c r="FH29" s="104"/>
      <c r="FI29" s="104"/>
      <c r="FJ29" s="104"/>
      <c r="FK29" s="104"/>
      <c r="FL29" s="104"/>
      <c r="FM29" s="45">
        <f>SUMIF(Report_BM!$GW$6:$GW$73,CONCATENATE($C29,FU$3),Report_BM!$GI$6:$GI$73)+SUMIF(Report_BM!$GW$6:$GW$73,CONCATENATE($C29,FU$3),Report_BM!$GL$6:$GL$73)</f>
        <v>0</v>
      </c>
      <c r="FN29" s="46">
        <f>SUMIF(Report_BM!$GW$6:$GW$73,CONCATENATE($C29,$FU$3),Report_BM!$GJ$6:$GJ$73)+SUMIF(Report_BM!$GW$6:$GW$73,CONCATENATE($C29,$FU$3),Report_BM!$GM$6:$GM$73)</f>
        <v>0</v>
      </c>
      <c r="FO29" s="45">
        <f>SUMIF(Report_BM!$GW$6:$GW$73,CONCATENATE($C29,FU$3),Report_BM!$GO$6:$GO$73)</f>
        <v>0</v>
      </c>
      <c r="FP29" s="39">
        <f>SUMIF(Report_BM!$GW$6:$GW$73,CONCATENATE($C29,FU$3),Report_BM!$GP$6:$GP$73)</f>
        <v>0</v>
      </c>
      <c r="FQ29" s="39">
        <f>SUMIF(Report_BM!$GW$6:$GW$73,CONCATENATE($C29,FU$3),Report_BM!$GQ$6:$GQ$73)</f>
        <v>0</v>
      </c>
      <c r="FR29" s="39">
        <f>SUMIF(Report_BM!$GW$6:$GW$73,CONCATENATE($C29,FU$3),Report_BM!$GR$6:$GR$73)</f>
        <v>0</v>
      </c>
      <c r="FS29" s="46">
        <f>SUMIF(Master_Data!$AK$152:$AK$864,CONCATENATE($C29,FU$3),Master_Data!$T$152:$T$864)</f>
        <v>0</v>
      </c>
      <c r="FT29" s="45">
        <f>SUMIF(Report_BM!GW$6:GW$73,CONCATENATE($C29,FU$3),Report_BM!GT$6:GT$73)</f>
        <v>0</v>
      </c>
      <c r="FU29" s="39">
        <f>SUMIF(Report_BM!GW$6:GW$73,CONCATENATE($C29,FU$3),Report_BM!GU$6:GU$73)</f>
        <v>0</v>
      </c>
      <c r="FV29" s="103"/>
      <c r="FW29" s="104"/>
      <c r="FX29" s="104"/>
      <c r="FY29" s="104"/>
      <c r="FZ29" s="104"/>
      <c r="GA29" s="104"/>
    </row>
    <row r="30" spans="1:183" s="40" customFormat="1" ht="14.1" customHeight="1">
      <c r="A30" s="9">
        <v>24</v>
      </c>
      <c r="B30" s="328" t="s">
        <v>332</v>
      </c>
      <c r="C30" s="324" t="s">
        <v>207</v>
      </c>
      <c r="D30" s="45">
        <f>SUMIF(Report_BM!$B$6:$B$73,CONCATENATE($C30,L$3),Report_BM!$E$6:$E$73)+SUMIF(Report_BM!$B$6:$B$73,CONCATENATE($C30,L$3),Report_BM!$H$6:$H$73)</f>
        <v>0</v>
      </c>
      <c r="E30" s="276">
        <f>SUMIF(Report_BM!$B$6:$B$73,CONCATENATE($C30,L$3),Report_BM!$F$6:$F$73)+SUMIF(Report_BM!$B$6:$B$73,CONCATENATE($C30,L$3),Report_BM!$I$6:$I$73)</f>
        <v>13640000</v>
      </c>
      <c r="F30" s="45">
        <f>SUMIF(Report_BM!$B$6:$B$73,CONCATENATE($C30,L$3),Report_BM!$K$6:$K$73)</f>
        <v>0</v>
      </c>
      <c r="G30" s="39">
        <f>SUMIF(Report_BM!$B$6:$B$73,CONCATENATE($C30,$L$3),Report_BM!$L$6:$L$73)</f>
        <v>0</v>
      </c>
      <c r="H30" s="39">
        <f>SUMIF(Report_BM!$B$6:$B$73,CONCATENATE($C30,$L$3),Report_BM!$M$6:$M$73)</f>
        <v>0</v>
      </c>
      <c r="I30" s="39">
        <f>SUMIF(Report_BM!$B$6:$B$73,CONCATENATE($C30,$L$3),Report_BM!$N$6:$N$73)</f>
        <v>0</v>
      </c>
      <c r="J30" s="46">
        <f>SUMIF(Report_BM!$B$6:$B$73,CONCATENATE($C30,$L$3),Report_BM!$O$6:$O$73)</f>
        <v>0</v>
      </c>
      <c r="K30" s="45">
        <f>SUMIF(Report_BM!$B$6:$B$73,CONCATENATE($C30,$L$3),Report_BM!$P$6:$P$73)</f>
        <v>0</v>
      </c>
      <c r="L30" s="39">
        <f>SUMIF(Report_BM!$B$6:$B$73,CONCATENATE($C30,$L$3),Report_BM!$Q$6:$Q$73)</f>
        <v>13640000</v>
      </c>
      <c r="M30" s="103"/>
      <c r="N30" s="104"/>
      <c r="O30" s="104"/>
      <c r="P30" s="104"/>
      <c r="Q30" s="104"/>
      <c r="R30" s="104"/>
      <c r="S30" s="45">
        <f>SUMIF(Report_BM!$AI$8:$AI$72,CONCATENATE($C30,AA$3),Report_BM!$U$8:$U$72)+SUMIF(Report_BM!$AI$8:$AI$72,CONCATENATE($C30,AA$3),Report_BM!$X$8:$X$72)</f>
        <v>0</v>
      </c>
      <c r="T30" s="276">
        <f>SUMIF(Report_BM!$AI$8:$AI$72,CONCATENATE($C30,AA$3),Report_BM!$V$8:$V$72)+SUMIF(Report_BM!$AI$8:$AI$72,CONCATENATE($C30,AA$3),Report_BM!$Y$8:$Y$72)</f>
        <v>13640000</v>
      </c>
      <c r="U30" s="45">
        <f>SUMIF(Report_BM!$AI$8:$AI$72,CONCATENATE($C30,AA$3),Report_BM!$AA$8:$AB$72)</f>
        <v>0</v>
      </c>
      <c r="V30" s="39">
        <f>SUMIF(Report_BM!$AI$8:$AI$72,CONCATENATE($C30,$AA$3),Report_BM!$AB$8:$AB$72)</f>
        <v>0</v>
      </c>
      <c r="W30" s="39">
        <f>SUMIF(Report_BM!$AI$8:$AI$72,CONCATENATE($C30,$AA$3),Report_BM!$AC$8:$AC$72)</f>
        <v>0</v>
      </c>
      <c r="X30" s="39">
        <f ca="1">SUMIF(Report_BM!$AI$7:$AI$73,CONCATENATE($C30,$AA$3),Report_BM!$AD$7:$AD$73)</f>
        <v>0</v>
      </c>
      <c r="Y30" s="46">
        <f>SUMIF(Master_Data!$AK$152:$AK$864,CONCATENATE($C30,AA$3),Master_Data!$T$152:$T$864)</f>
        <v>0</v>
      </c>
      <c r="Z30" s="45">
        <f>SUMIF(Report_BM!$AI$8:$AI$72,CONCATENATE($C30,$AA$3),Report_BM!$AF$8:$AF$72)</f>
        <v>0</v>
      </c>
      <c r="AA30" s="39">
        <f ca="1">SUMIF(Report_BM!$AI$8:$AI$72,CONCATENATE($C30,$AA$3),Report_BM!$AG$8:$AG$72)</f>
        <v>13640000</v>
      </c>
      <c r="AB30" s="103"/>
      <c r="AC30" s="104"/>
      <c r="AD30" s="104"/>
      <c r="AE30" s="104"/>
      <c r="AF30" s="104"/>
      <c r="AG30" s="104"/>
      <c r="AH30" s="45">
        <f>SUMIF(Report_BM!$AZ$5:$AZ$72,CONCATENATE($C30,AP$3),Report_BM!$AL$5:$AL$72)+SUMIF(Report_BM!$AZ$5:$AZ$72,CONCATENATE($C30,AP$3),Report_BM!$AO$5:$AO$72)</f>
        <v>0</v>
      </c>
      <c r="AI30" s="46">
        <f ca="1">SUMIF(Report_BM!$AZ$5:$AZ$72,CONCATENATE($C30,$AP$3),Report_BM!$AM$5:$AM$72)+SUMIF(Report_BM!$AZ$5:$AZ$72,CONCATENATE($C30,$AP$3),Report_BM!$AP$5:$AP$72)</f>
        <v>13640000</v>
      </c>
      <c r="AJ30" s="45">
        <f>SUMIF(Report_BM!$AZ$5:$AZ$72,CONCATENATE($C30,$AP$3),Report_BM!$AR$5:$AR$72)</f>
        <v>0</v>
      </c>
      <c r="AK30" s="39">
        <f>SUMIF(Report_BM!$AZ$5:$AZ$72,CONCATENATE($C30,$AP$3),Report_BM!$AS$5:$AS$72)</f>
        <v>0</v>
      </c>
      <c r="AL30" s="39">
        <f>SUMIF(Report_BM!$AZ$5:$AZ$72,CONCATENATE($C30,$AP$3),Report_BM!$AT$5:$AT$72)</f>
        <v>0</v>
      </c>
      <c r="AM30" s="39">
        <f ca="1">SUMIF(Report_BM!$AZ$5:$AZ$72,CONCATENATE($C30,$AP$3),Report_BM!$AU$5:$AU$72)</f>
        <v>0</v>
      </c>
      <c r="AN30" s="46">
        <f>SUMIF(Master_Data!$AK$152:$AK$915,CONCATENATE($C30,AP$3),Master_Data!$T$152:$T$915)</f>
        <v>0</v>
      </c>
      <c r="AO30" s="45">
        <f>SUMIF(Report_BM!$AZ$5:$AZ$72,CONCATENATE($C30,$AP$3),Report_BM!$AW$5:$AW$72)</f>
        <v>0</v>
      </c>
      <c r="AP30" s="39">
        <f ca="1">SUMIF(Report_BM!$AZ$5:$AZ$72,CONCATENATE($C30,$AP$3),Report_BM!$AX$5:$AX$72)</f>
        <v>13640000</v>
      </c>
      <c r="AQ30" s="103"/>
      <c r="AR30" s="104"/>
      <c r="AS30" s="104"/>
      <c r="AT30" s="104"/>
      <c r="AU30" s="104"/>
      <c r="AV30" s="104"/>
      <c r="AW30" s="45">
        <f>SUMIF(Report_BM!$BQ$6:$BQ$73,CONCATENATE($C30,BE$3),Report_BM!$BC$6:$BC$73)+SUMIF(Report_BM!$BQ$6:$BQ$73,CONCATENATE($C30,BE$3),Report_BM!$BF$6:$BF$73)</f>
        <v>0</v>
      </c>
      <c r="AX30" s="46">
        <f ca="1">SUMIF(Report_BM!$BQ$6:$BQ$73,CONCATENATE($C30,$BE$3),Report_BM!$BD$6:$BD$73)+SUMIF(Report_BM!$BQ$6:$BQ$73,CONCATENATE($C30,$BE$3),Report_BM!$BG$6:$BG$73)</f>
        <v>13640000</v>
      </c>
      <c r="AY30" s="45">
        <f>SUMIF(Report_BM!$BQ$6:$BQ$73,CONCATENATE($C30,BE$3),Report_BM!$BI$6:$BI$73)</f>
        <v>0</v>
      </c>
      <c r="AZ30" s="39">
        <f>SUMIF(Report_BM!$BQ$6:$BQ$73,CONCATENATE($C30,BE$3),Report_BM!$BJ$6:$BJ$73)</f>
        <v>0</v>
      </c>
      <c r="BA30" s="39">
        <f>SUMIF(Report_BM!$BQ$6:$BQ$73,CONCATENATE($C30,BE$3),Report_BM!$BK$6:$BK$73)</f>
        <v>0</v>
      </c>
      <c r="BB30" s="39">
        <f>SUMIF(Report_BM!$BQ$6:$BQ$73,CONCATENATE($C30,BE$3),Report_BM!$BL$6:$BL$73)</f>
        <v>0</v>
      </c>
      <c r="BC30" s="46">
        <f>SUMIF(Master_Data!$AK$152:$AK$864,CONCATENATE($C30,BE$3),Master_Data!$T$152:$T$864)</f>
        <v>0</v>
      </c>
      <c r="BD30" s="45">
        <f>SUMIF(Report_BM!$BQ$6:$BQ$73,CONCATENATE($C30,BE$3),Report_BM!$BN$6:$BN$73)</f>
        <v>0</v>
      </c>
      <c r="BE30" s="39">
        <f ca="1">SUMIF(Report_BM!$BQ$6:$BQ$73,CONCATENATE($C30,BE$3),Report_BM!$BO$6:$BO$73)</f>
        <v>13640000</v>
      </c>
      <c r="BF30" s="103"/>
      <c r="BG30" s="104"/>
      <c r="BH30" s="104"/>
      <c r="BI30" s="104"/>
      <c r="BJ30" s="104"/>
      <c r="BK30" s="104"/>
      <c r="BL30" s="45">
        <f>SUMIF(Report_BM!$CH$6:$CH$73,CONCATENATE($C30,BT$3),Report_BM!$BT$6:$BT$73)+SUMIF(Report_BM!$CH$6:$CH$73,CONCATENATE($C30,BT$3),Report_BM!$BW$6:$BW$73)</f>
        <v>0</v>
      </c>
      <c r="BM30" s="46">
        <f ca="1">SUMIF(Report_BM!$CH$6:$CH$73,CONCATENATE($C30,$BT$3),Report_BM!$BU$6:$BU$73)+SUMIF(Report_BM!$CH$6:$CH$73,CONCATENATE($C30,$BT$3),Report_BM!$BX$6:$BX$73)</f>
        <v>13640000</v>
      </c>
      <c r="BN30" s="45">
        <f>SUMIF(Report_BM!$CH$6:$CH$73,CONCATENATE($C30,BT$3),Report_BM!$BZ$6:$BZ$73)</f>
        <v>0</v>
      </c>
      <c r="BO30" s="39">
        <f>SUMIF(Report_BM!$CH$6:$CH$73,CONCATENATE($C30,BT$3),Report_BM!$CA$6:$CA$73)</f>
        <v>0</v>
      </c>
      <c r="BP30" s="39">
        <f>SUMIF(Report_BM!$CH$6:$CH$73,CONCATENATE($C30,BT$3),Report_BM!$CB$6:$CB$73)</f>
        <v>0</v>
      </c>
      <c r="BQ30" s="39">
        <f>SUMIF(Report_BM!$CH$6:$CH$73,CONCATENATE($C30,BT$3),Report_BM!$CC$6:$CC$73)</f>
        <v>0</v>
      </c>
      <c r="BR30" s="46">
        <f>SUMIF(Master_Data!$AK$152:$AK$864,CONCATENATE($C30,BT$3),Master_Data!$T$152:$T$864)</f>
        <v>0</v>
      </c>
      <c r="BS30" s="45">
        <f>SUMIF(Report_BM!$CH$6:$CH$73,CONCATENATE($C30,BT$3),Report_BM!$CE$6:$CE$73)</f>
        <v>0</v>
      </c>
      <c r="BT30" s="39">
        <f ca="1">SUMIF(Report_BM!$CH$6:$CH$73,CONCATENATE($C30,BT$3),Report_BM!$CF$6:$CF$73)</f>
        <v>13640000</v>
      </c>
      <c r="BU30" s="103"/>
      <c r="BV30" s="104"/>
      <c r="BW30" s="104"/>
      <c r="BX30" s="104"/>
      <c r="BY30" s="104"/>
      <c r="BZ30" s="104"/>
      <c r="CA30" s="45">
        <f>SUMIF(Report_BM!$CY$6:$CY$73,CONCATENATE($C30,CI$3),Report_BM!$CK$6:$CK$73)+SUMIF(Report_BM!$CY$6:$CY$73,CONCATENATE($C30,CI$3),Report_BM!$CN$6:$CN$73)</f>
        <v>0</v>
      </c>
      <c r="CB30" s="46">
        <f ca="1">SUMIF(Report_BM!$CY$6:$CY$73,CONCATENATE($C30,$CI$3),Report_BM!$CL$6:$CL$73)+SUMIF(Report_BM!$CY$6:$CY$73,CONCATENATE($C30,$CI$3),Report_BM!$CO$6:$CO$73)</f>
        <v>13640000</v>
      </c>
      <c r="CC30" s="45">
        <f>SUMIF(Report_BM!$CY$6:$CY$73,CONCATENATE($C30,CI$3),Report_BM!$CQ$6:$CQ$73)</f>
        <v>0</v>
      </c>
      <c r="CD30" s="39">
        <f>SUMIF(Report_BM!$CY$6:$CY$73,CONCATENATE($C30,CI$3),Report_BM!$CR$6:$CR$73)</f>
        <v>0</v>
      </c>
      <c r="CE30" s="39">
        <f>SUMIF(Report_BM!$CY$6:$CY$73,CONCATENATE($C30,CI$3),Report_BM!$CS$6:$CS$73)</f>
        <v>0</v>
      </c>
      <c r="CF30" s="39">
        <f ca="1">SUMIF(Report_BM!$CY$6:$CY$73,CONCATENATE($C30,CI$3),Report_BM!$CT$6:$CT$73)</f>
        <v>0</v>
      </c>
      <c r="CG30" s="46">
        <f>SUMIF(Report_BM!$CY$6:$CY$73,CONCATENATE($C30,CI$3),Report_BM!$CU$6:$CU$73)</f>
        <v>0</v>
      </c>
      <c r="CH30" s="45">
        <f>SUMIF(Report_BM!$CY$6:$CY$73,CONCATENATE($C30,CI$3),Report_BM!$CV$6:$CV$73)</f>
        <v>0</v>
      </c>
      <c r="CI30" s="39">
        <f ca="1">SUMIF(Report_BM!$CY$6:$CY$73,CONCATENATE($C30,CI$3),Report_BM!$CW$6:$CW$73)</f>
        <v>13640000</v>
      </c>
      <c r="CJ30" s="103"/>
      <c r="CK30" s="104"/>
      <c r="CL30" s="104"/>
      <c r="CM30" s="104"/>
      <c r="CN30" s="104"/>
      <c r="CO30" s="104"/>
      <c r="CP30" s="45">
        <f>SUMIF(Report_BM!$DP$6:$DP$73,CONCATENATE($C30,CX$3),Report_BM!$DB$6:$DB$73)+SUMIF(Report_BM!$DP$6:$DP$73,CONCATENATE($C30,CX$3),Report_BM!$DE$6:$DE$73)</f>
        <v>0</v>
      </c>
      <c r="CQ30" s="46">
        <f ca="1">SUMIF(Report_BM!$DP$6:$DP$73,CONCATENATE($C30,$CX$3),Report_BM!$DC$6:$DC$73)+SUMIF(Report_BM!$DP$6:$DP$73,CONCATENATE($C30,$CX$3),Report_BM!$DF$6:$DF$73)</f>
        <v>13640000</v>
      </c>
      <c r="CR30" s="45">
        <f>SUMIF(Report_BM!$DP$6:$DP$73,CONCATENATE($C30,CX$3),Report_BM!$DH$6:$DH$73)</f>
        <v>0</v>
      </c>
      <c r="CS30" s="39">
        <f>SUMIF(Report_BM!$DP$6:$DP$73,CONCATENATE($C30,CX$3),Report_BM!$DI$6:$DI$73)</f>
        <v>0</v>
      </c>
      <c r="CT30" s="39">
        <f>SUMIF(Report_BM!$DP$6:$DP$73,CONCATENATE($C30,CX$3),Report_BM!$DJ$6:$DJ$73)</f>
        <v>0</v>
      </c>
      <c r="CU30" s="39">
        <f>SUMIF(Report_BM!$DP$6:$DP$73,CONCATENATE($C30,CX$3),Report_BM!$DK$6:$DK$73)</f>
        <v>0</v>
      </c>
      <c r="CV30" s="46">
        <f>SUMIF(Master_Data!$AK$152:$AK$864,CONCATENATE($C30,CX$3),Master_Data!$T$152:$T$864)</f>
        <v>0</v>
      </c>
      <c r="CW30" s="45">
        <f>SUMIF(Report_BM!$DP$6:$DP$73,CONCATENATE($C30,CX$3),Report_BM!$DM$6:$DM$73)</f>
        <v>0</v>
      </c>
      <c r="CX30" s="39">
        <f ca="1">SUMIF(Report_BM!$DP$6:$DP$73,CONCATENATE($C30,CX$3),Report_BM!$DN$6:$DN$73)</f>
        <v>13640000</v>
      </c>
      <c r="CY30" s="103"/>
      <c r="CZ30" s="104"/>
      <c r="DA30" s="104"/>
      <c r="DB30" s="104"/>
      <c r="DC30" s="104"/>
      <c r="DD30" s="104"/>
      <c r="DE30" s="45">
        <f>SUMIF(Report_BM!$EG$6:$EG$73,CONCATENATE($C30,DM$3),Report_BM!$DS$6:$DS$73)+SUMIF(Report_BM!$EG$6:$EG$73,CONCATENATE($C30,DM$3),Report_BM!$DV$6:$DV$73)</f>
        <v>0</v>
      </c>
      <c r="DF30" s="46">
        <f ca="1">SUMIF(Report_BM!$EG$6:$EG$73,CONCATENATE($C30,$DM$3),Report_BM!$DT$6:$DT$73)+SUMIF(Report_BM!$EG$6:$EG$73,CONCATENATE($C30,$DM$3),Report_BM!$DW$6:$DW$73)</f>
        <v>13640000</v>
      </c>
      <c r="DG30" s="45">
        <f>SUMIF(Report_BM!$EG$6:$EG$73,CONCATENATE($C30,DM$3),Report_BM!$DY$6:$DY$73)</f>
        <v>0</v>
      </c>
      <c r="DH30" s="39">
        <f>SUMIF(Report_BM!EG$6:EG$73,CONCATENATE($C30,DM$3),Report_BM!DZ$6:DZ$73)</f>
        <v>0</v>
      </c>
      <c r="DI30" s="39">
        <f>SUMIF(Report_BM!EG$6:EG$73,CONCATENATE($C30,DM$3),Report_BM!$EA$6:$EA$73)</f>
        <v>0</v>
      </c>
      <c r="DJ30" s="39">
        <f>SUMIF(Report_BM!EG$6:EG$73,CONCATENATE($C30,DM$3),Report_BM!$EB$6:$EB$73)</f>
        <v>0</v>
      </c>
      <c r="DK30" s="46">
        <f>SUMIF(Master_Data!$AK$152:$AK$864,CONCATENATE($C30,DM$3),Master_Data!$T$152:$T$864)</f>
        <v>0</v>
      </c>
      <c r="DL30" s="45">
        <f>SUMIF(Report_BM!EG$6:EG$73,CONCATENATE($C30,DM$3),Report_BM!ED$6:ED$73)</f>
        <v>0</v>
      </c>
      <c r="DM30" s="39">
        <f ca="1">SUMIF(Report_BM!EG$6:EG$73,CONCATENATE($C30,DM$3),Report_BM!EE$6:EE$73)</f>
        <v>13640000</v>
      </c>
      <c r="DN30" s="103"/>
      <c r="DO30" s="104"/>
      <c r="DP30" s="104"/>
      <c r="DQ30" s="104"/>
      <c r="DR30" s="104"/>
      <c r="DS30" s="104"/>
      <c r="DT30" s="45">
        <f>SUMIF(Report_BM!$EX$6:$EX$73,CONCATENATE($C30,EB$3),Report_BM!$EJ$6:$EJ$73)+SUMIF(Report_BM!$EX$6:$EX$73,CONCATENATE($C30,EB$3),Report_BM!$EM$6:$EM$73)</f>
        <v>0</v>
      </c>
      <c r="DU30" s="46">
        <f ca="1">SUMIF(Report_BM!$EX$6:$EX$73,CONCATENATE($C30,$EB$3),Report_BM!$EK$6:$EK$73)+SUMIF(Report_BM!$EX$6:$EX$73,CONCATENATE($C30,$EB$3),Report_BM!$EN$6:$EN$73)</f>
        <v>13640000</v>
      </c>
      <c r="DV30" s="45">
        <f>SUMIF(Report_BM!$EX$6:$EX$73,CONCATENATE($C30,EB$3),Report_BM!$EP$6:$EP$73)</f>
        <v>0</v>
      </c>
      <c r="DW30" s="39">
        <f>SUMIF(Report_BM!$EX$6:$EX$73,CONCATENATE($C30,EB$3),Report_BM!$EQ$6:$EQ$73)</f>
        <v>0</v>
      </c>
      <c r="DX30" s="39">
        <f>SUMIF(Report_BM!$EX$6:$EX$73,CONCATENATE($C30,EB$3),Report_BM!$ER$6:$ER$73)</f>
        <v>0</v>
      </c>
      <c r="DY30" s="39">
        <f>SUMIF(Report_BM!$EX$6:$EX$73,CONCATENATE($C30,EB$3),Report_BM!$ES$6:$ES$73)</f>
        <v>0</v>
      </c>
      <c r="DZ30" s="46">
        <f>SUMIF(Master_Data!$AK$152:$AK$864,CONCATENATE($C30,EB$3),Master_Data!$T$152:$T$864)</f>
        <v>0</v>
      </c>
      <c r="EA30" s="45">
        <f>SUMIF(Report_BM!EX$6:EX$73,CONCATENATE($C30,EB$3),Report_BM!EU$6:EU$73)</f>
        <v>0</v>
      </c>
      <c r="EB30" s="39">
        <f>SUMIF(Report_BM!EX$6:EX$73,CONCATENATE($C30,EB$3),Report_BM!EV$6:EV$73)</f>
        <v>0</v>
      </c>
      <c r="EC30" s="103"/>
      <c r="ED30" s="104"/>
      <c r="EE30" s="104"/>
      <c r="EF30" s="104"/>
      <c r="EG30" s="104"/>
      <c r="EH30" s="104"/>
      <c r="EI30" s="45">
        <f>SUMIF(Report_BM!$FO$6:$FO$73,CONCATENATE($C30,EQ$3),Report_BM!$FA$6:$FA$73)+SUMIF(Report_BM!$FO$6:$FO$73,CONCATENATE($C30,EQ$3),Report_BM!$FD$6:$FD$73)</f>
        <v>0</v>
      </c>
      <c r="EJ30" s="46">
        <f>SUMIF(Report_BM!$FO$6:$FO$73,CONCATENATE($C30,$EQ$3),Report_BM!$FB$6:$FB$73)+SUMIF(Report_BM!$FO$6:$FO$73,CONCATENATE($C30,$EQ$3),Report_BM!$FE$6:$FE$73)</f>
        <v>0</v>
      </c>
      <c r="EK30" s="45">
        <f>SUMIF(Report_BM!$FO$6:$FO$73,CONCATENATE($C30,EQ$3),Report_BM!$FG$6:$FG$73)</f>
        <v>0</v>
      </c>
      <c r="EL30" s="39">
        <f>SUMIF(Report_BM!$FO$6:$FO$73,CONCATENATE($C30,EQ$3),Report_BM!$FH$6:$FH$73)</f>
        <v>0</v>
      </c>
      <c r="EM30" s="39">
        <f>SUMIF(Report_BM!$FO$6:$FO$73,CONCATENATE($C30,EQ$3),Report_BM!$FI$6:$FI$73)</f>
        <v>0</v>
      </c>
      <c r="EN30" s="39">
        <f>SUMIF(Report_BM!$FO$6:$FO$73,CONCATENATE($C30,EQ$3),Report_BM!$FJ$6:$FJ$73)</f>
        <v>0</v>
      </c>
      <c r="EO30" s="46">
        <f>SUMIF(Master_Data!$AK$152:$AK$864,CONCATENATE($C30,EQ$3),Master_Data!$T$152:$T$864)</f>
        <v>0</v>
      </c>
      <c r="EP30" s="45">
        <f>SUMIF(Report_BM!FO$6:FO$73,CONCATENATE($C30,EQ$3),Report_BM!FL$6:FL$73)</f>
        <v>0</v>
      </c>
      <c r="EQ30" s="39">
        <f>SUMIF(Report_BM!FO$6:FO$73,CONCATENATE($C30,EQ$3),Report_BM!FM$6:FM$73)</f>
        <v>0</v>
      </c>
      <c r="ER30" s="103"/>
      <c r="ES30" s="104"/>
      <c r="ET30" s="104"/>
      <c r="EU30" s="104"/>
      <c r="EV30" s="104"/>
      <c r="EW30" s="104"/>
      <c r="EX30" s="45">
        <f>SUMIF(Report_BM!$GF$6:$GF$73,CONCATENATE($C30,FF$3),Report_BM!$FR$6:$FR$73)+SUMIF(Report_BM!$GF$6:$GF$73,CONCATENATE($C30,FF$3),Report_BM!$FU$6:$FU$73)</f>
        <v>0</v>
      </c>
      <c r="EY30" s="46">
        <f>SUMIF(Report_BM!$GF$6:$GF$73,CONCATENATE($C30,$FF$3),Report_BM!$FS$6:$FS$73)+SUMIF(Report_BM!$GF$6:$GF$73,CONCATENATE($C30,$FF$3),Report_BM!$FV$6:$FV$73)</f>
        <v>0</v>
      </c>
      <c r="EZ30" s="45">
        <f>SUMIF(Report_BM!$GF$6:$GF$73,CONCATENATE($C30,FF$3),Report_BM!$FX$6:$FX$73)</f>
        <v>0</v>
      </c>
      <c r="FA30" s="39">
        <f>SUMIF(Report_BM!$GF$6:$GF$73,CONCATENATE($C30,FF$3),Report_BM!$FY$6:$FY$73)</f>
        <v>0</v>
      </c>
      <c r="FB30" s="39">
        <f>SUMIF(Report_BM!$GF$6:$GF$73,CONCATENATE($C30,FF$3),Report_BM!$FZ$6:$FZ$73)</f>
        <v>0</v>
      </c>
      <c r="FC30" s="39">
        <f>SUMIF(Report_BM!$GF$6:$GF$73,CONCATENATE($C30,FF$3),Report_BM!$GA$6:$GA$73)</f>
        <v>0</v>
      </c>
      <c r="FD30" s="46">
        <f>SUMIF(Master_Data!$AK$152:$AK$864,CONCATENATE($C30,FF$3),Master_Data!$T$152:$T$864)</f>
        <v>0</v>
      </c>
      <c r="FE30" s="45">
        <f>SUMIF(Report_BM!GF$6:GF$73,CONCATENATE($C30,FF$3),Report_BM!GC$6:GC$73)</f>
        <v>0</v>
      </c>
      <c r="FF30" s="39">
        <f>SUMIF(Report_BM!GF$6:GF$73,CONCATENATE($C30,FF$3),Report_BM!GD$6:GD$73)</f>
        <v>0</v>
      </c>
      <c r="FG30" s="103"/>
      <c r="FH30" s="104"/>
      <c r="FI30" s="104"/>
      <c r="FJ30" s="104"/>
      <c r="FK30" s="104"/>
      <c r="FL30" s="104"/>
      <c r="FM30" s="45">
        <f>SUMIF(Report_BM!$GW$6:$GW$73,CONCATENATE($C30,FU$3),Report_BM!$GI$6:$GI$73)+SUMIF(Report_BM!$GW$6:$GW$73,CONCATENATE($C30,FU$3),Report_BM!$GL$6:$GL$73)</f>
        <v>0</v>
      </c>
      <c r="FN30" s="46">
        <f>SUMIF(Report_BM!$GW$6:$GW$73,CONCATENATE($C30,$FU$3),Report_BM!$GJ$6:$GJ$73)+SUMIF(Report_BM!$GW$6:$GW$73,CONCATENATE($C30,$FU$3),Report_BM!$GM$6:$GM$73)</f>
        <v>0</v>
      </c>
      <c r="FO30" s="45">
        <f>SUMIF(Report_BM!$GW$6:$GW$73,CONCATENATE($C30,FU$3),Report_BM!$GO$6:$GO$73)</f>
        <v>0</v>
      </c>
      <c r="FP30" s="39">
        <f>SUMIF(Report_BM!$GW$6:$GW$73,CONCATENATE($C30,FU$3),Report_BM!$GP$6:$GP$73)</f>
        <v>0</v>
      </c>
      <c r="FQ30" s="39">
        <f>SUMIF(Report_BM!$GW$6:$GW$73,CONCATENATE($C30,FU$3),Report_BM!$GQ$6:$GQ$73)</f>
        <v>0</v>
      </c>
      <c r="FR30" s="39">
        <f>SUMIF(Report_BM!$GW$6:$GW$73,CONCATENATE($C30,FU$3),Report_BM!$GR$6:$GR$73)</f>
        <v>0</v>
      </c>
      <c r="FS30" s="46">
        <f>SUMIF(Master_Data!$AK$152:$AK$864,CONCATENATE($C30,FU$3),Master_Data!$T$152:$T$864)</f>
        <v>0</v>
      </c>
      <c r="FT30" s="45">
        <f>SUMIF(Report_BM!GW$6:GW$73,CONCATENATE($C30,FU$3),Report_BM!GT$6:GT$73)</f>
        <v>0</v>
      </c>
      <c r="FU30" s="39">
        <f>SUMIF(Report_BM!GW$6:GW$73,CONCATENATE($C30,FU$3),Report_BM!GU$6:GU$73)</f>
        <v>0</v>
      </c>
      <c r="FV30" s="103"/>
      <c r="FW30" s="104"/>
      <c r="FX30" s="104"/>
      <c r="FY30" s="104"/>
      <c r="FZ30" s="104"/>
      <c r="GA30" s="104"/>
    </row>
    <row r="31" spans="1:183" s="40" customFormat="1" ht="14.1" customHeight="1">
      <c r="A31" s="9">
        <v>25</v>
      </c>
      <c r="B31" s="328" t="s">
        <v>201</v>
      </c>
      <c r="C31" s="323" t="s">
        <v>151</v>
      </c>
      <c r="D31" s="45">
        <f>SUMIF(Report_BM!$B$6:$B$73,CONCATENATE($C31,L$3),Report_BM!$E$6:$E$73)+SUMIF(Report_BM!$B$6:$B$73,CONCATENATE($C31,L$3),Report_BM!$H$6:$H$73)</f>
        <v>0</v>
      </c>
      <c r="E31" s="276" t="e">
        <f>SUMIF(Report_BM!$B$6:$B$73,CONCATENATE($C31,L$3),Report_BM!$F$6:$F$73)+SUMIF(Report_BM!$B$6:$B$73,CONCATENATE($C31,L$3),Report_BM!$I$6:$I$73)</f>
        <v>#VALUE!</v>
      </c>
      <c r="F31" s="45">
        <f>SUMIF(Report_BM!$B$6:$B$73,CONCATENATE($C31,L$3),Report_BM!$K$6:$K$73)</f>
        <v>0</v>
      </c>
      <c r="G31" s="39">
        <f>SUMIF(Report_BM!$B$6:$B$73,CONCATENATE($C31,$L$3),Report_BM!$L$6:$L$73)</f>
        <v>0</v>
      </c>
      <c r="H31" s="39">
        <f>SUMIF(Report_BM!$B$6:$B$73,CONCATENATE($C31,$L$3),Report_BM!$M$6:$M$73)</f>
        <v>23760000</v>
      </c>
      <c r="I31" s="39">
        <f>SUMIF(Report_BM!$B$6:$B$73,CONCATENATE($C31,$L$3),Report_BM!$N$6:$N$73)</f>
        <v>0</v>
      </c>
      <c r="J31" s="46">
        <f>SUMIF(Report_BM!$B$6:$B$73,CONCATENATE($C31,$L$3),Report_BM!$O$6:$O$73)</f>
        <v>-440000</v>
      </c>
      <c r="K31" s="45">
        <f>SUMIF(Report_BM!$B$6:$B$73,CONCATENATE($C31,$L$3),Report_BM!$P$6:$P$73)</f>
        <v>0</v>
      </c>
      <c r="L31" s="39" t="e">
        <f>SUMIF(Report_BM!$B$6:$B$73,CONCATENATE($C31,$L$3),Report_BM!$Q$6:$Q$73)</f>
        <v>#VALUE!</v>
      </c>
      <c r="M31" s="103"/>
      <c r="N31" s="104"/>
      <c r="O31" s="104"/>
      <c r="P31" s="104"/>
      <c r="Q31" s="104"/>
      <c r="R31" s="104"/>
      <c r="S31" s="45">
        <f>SUMIF(Report_BM!$AI$8:$AI$72,CONCATENATE($C31,AA$3),Report_BM!$U$8:$U$72)+SUMIF(Report_BM!$AI$8:$AI$72,CONCATENATE($C31,AA$3),Report_BM!$X$8:$X$72)</f>
        <v>0</v>
      </c>
      <c r="T31" s="276" t="e">
        <f>SUMIF(Report_BM!$AI$8:$AI$72,CONCATENATE($C31,AA$3),Report_BM!$V$8:$V$72)+SUMIF(Report_BM!$AI$8:$AI$72,CONCATENATE($C31,AA$3),Report_BM!$Y$8:$Y$72)</f>
        <v>#VALUE!</v>
      </c>
      <c r="U31" s="45">
        <f>SUMIF(Report_BM!$AI$8:$AI$72,CONCATENATE($C31,AA$3),Report_BM!$AA$8:$AB$72)</f>
        <v>0</v>
      </c>
      <c r="V31" s="39">
        <f>SUMIF(Report_BM!$AI$8:$AI$72,CONCATENATE($C31,$AA$3),Report_BM!$AB$8:$AB$72)</f>
        <v>0</v>
      </c>
      <c r="W31" s="39">
        <f>SUMIF(Report_BM!$AI$8:$AI$72,CONCATENATE($C31,$AA$3),Report_BM!$AC$8:$AC$72)</f>
        <v>23760000</v>
      </c>
      <c r="X31" s="39">
        <f ca="1">SUMIF(Report_BM!$AI$7:$AI$73,CONCATENATE($C31,$AA$3),Report_BM!$AD$7:$AD$73)</f>
        <v>0</v>
      </c>
      <c r="Y31" s="46">
        <f>SUMIF(Master_Data!$AK$152:$AK$864,CONCATENATE($C31,AA$3),Master_Data!$T$152:$T$864)</f>
        <v>-440000</v>
      </c>
      <c r="Z31" s="45">
        <f>SUMIF(Report_BM!$AI$8:$AI$72,CONCATENATE($C31,$AA$3),Report_BM!$AF$8:$AF$72)</f>
        <v>0</v>
      </c>
      <c r="AA31" s="39" t="e">
        <f ca="1">SUMIF(Report_BM!$AI$8:$AI$72,CONCATENATE($C31,$AA$3),Report_BM!$AG$8:$AG$72)</f>
        <v>#VALUE!</v>
      </c>
      <c r="AB31" s="103"/>
      <c r="AC31" s="104"/>
      <c r="AD31" s="104"/>
      <c r="AE31" s="104"/>
      <c r="AF31" s="104"/>
      <c r="AG31" s="104"/>
      <c r="AH31" s="45">
        <f>SUMIF(Report_BM!$AZ$5:$AZ$72,CONCATENATE($C31,AP$3),Report_BM!$AL$5:$AL$72)+SUMIF(Report_BM!$AZ$5:$AZ$72,CONCATENATE($C31,AP$3),Report_BM!$AO$5:$AO$72)</f>
        <v>0</v>
      </c>
      <c r="AI31" s="46" t="e">
        <f ca="1">SUMIF(Report_BM!$AZ$5:$AZ$72,CONCATENATE($C31,$AP$3),Report_BM!$AM$5:$AM$72)+SUMIF(Report_BM!$AZ$5:$AZ$72,CONCATENATE($C31,$AP$3),Report_BM!$AP$5:$AP$72)</f>
        <v>#VALUE!</v>
      </c>
      <c r="AJ31" s="45">
        <f>SUMIF(Report_BM!$AZ$5:$AZ$72,CONCATENATE($C31,$AP$3),Report_BM!$AR$5:$AR$72)</f>
        <v>0</v>
      </c>
      <c r="AK31" s="39">
        <f>SUMIF(Report_BM!$AZ$5:$AZ$72,CONCATENATE($C31,$AP$3),Report_BM!$AS$5:$AS$72)</f>
        <v>0</v>
      </c>
      <c r="AL31" s="39">
        <f>SUMIF(Report_BM!$AZ$5:$AZ$72,CONCATENATE($C31,$AP$3),Report_BM!$AT$5:$AT$72)</f>
        <v>23760000</v>
      </c>
      <c r="AM31" s="39">
        <f ca="1">SUMIF(Report_BM!$AZ$5:$AZ$72,CONCATENATE($C31,$AP$3),Report_BM!$AU$5:$AU$72)</f>
        <v>0</v>
      </c>
      <c r="AN31" s="46">
        <f>SUMIF(Master_Data!$AK$152:$AK$915,CONCATENATE($C31,AP$3),Master_Data!$T$152:$T$915)</f>
        <v>-440000</v>
      </c>
      <c r="AO31" s="45">
        <f>SUMIF(Report_BM!$AZ$5:$AZ$72,CONCATENATE($C31,$AP$3),Report_BM!$AW$5:$AW$72)</f>
        <v>0</v>
      </c>
      <c r="AP31" s="39" t="e">
        <f ca="1">SUMIF(Report_BM!$AZ$5:$AZ$72,CONCATENATE($C31,$AP$3),Report_BM!$AX$5:$AX$72)</f>
        <v>#VALUE!</v>
      </c>
      <c r="AQ31" s="103"/>
      <c r="AR31" s="104"/>
      <c r="AS31" s="104"/>
      <c r="AT31" s="104"/>
      <c r="AU31" s="104"/>
      <c r="AV31" s="104"/>
      <c r="AW31" s="45">
        <f>SUMIF(Report_BM!$BQ$6:$BQ$73,CONCATENATE($C31,BE$3),Report_BM!$BC$6:$BC$73)+SUMIF(Report_BM!$BQ$6:$BQ$73,CONCATENATE($C31,BE$3),Report_BM!$BF$6:$BF$73)</f>
        <v>0</v>
      </c>
      <c r="AX31" s="46" t="e">
        <f ca="1">SUMIF(Report_BM!$BQ$6:$BQ$73,CONCATENATE($C31,$BE$3),Report_BM!$BD$6:$BD$73)+SUMIF(Report_BM!$BQ$6:$BQ$73,CONCATENATE($C31,$BE$3),Report_BM!$BG$6:$BG$73)</f>
        <v>#VALUE!</v>
      </c>
      <c r="AY31" s="45">
        <f>SUMIF(Report_BM!$BQ$6:$BQ$73,CONCATENATE($C31,BE$3),Report_BM!$BI$6:$BI$73)</f>
        <v>0</v>
      </c>
      <c r="AZ31" s="39">
        <f>SUMIF(Report_BM!$BQ$6:$BQ$73,CONCATENATE($C31,BE$3),Report_BM!$BJ$6:$BJ$73)</f>
        <v>0</v>
      </c>
      <c r="BA31" s="39">
        <f>SUMIF(Report_BM!$BQ$6:$BQ$73,CONCATENATE($C31,BE$3),Report_BM!$BK$6:$BK$73)</f>
        <v>47520000</v>
      </c>
      <c r="BB31" s="39">
        <f>SUMIF(Report_BM!$BQ$6:$BQ$73,CONCATENATE($C31,BE$3),Report_BM!$BL$6:$BL$73)</f>
        <v>0</v>
      </c>
      <c r="BC31" s="46">
        <f>SUMIF(Master_Data!$AK$152:$AK$864,CONCATENATE($C31,BE$3),Master_Data!$T$152:$T$864)</f>
        <v>-880000</v>
      </c>
      <c r="BD31" s="45">
        <f>SUMIF(Report_BM!$BQ$6:$BQ$73,CONCATENATE($C31,BE$3),Report_BM!$BN$6:$BN$73)</f>
        <v>0</v>
      </c>
      <c r="BE31" s="39" t="e">
        <f ca="1">SUMIF(Report_BM!$BQ$6:$BQ$73,CONCATENATE($C31,BE$3),Report_BM!$BO$6:$BO$73)</f>
        <v>#VALUE!</v>
      </c>
      <c r="BF31" s="103"/>
      <c r="BG31" s="104"/>
      <c r="BH31" s="104"/>
      <c r="BI31" s="104"/>
      <c r="BJ31" s="104"/>
      <c r="BK31" s="104"/>
      <c r="BL31" s="45">
        <f>SUMIF(Report_BM!$CH$6:$CH$73,CONCATENATE($C31,BT$3),Report_BM!$BT$6:$BT$73)+SUMIF(Report_BM!$CH$6:$CH$73,CONCATENATE($C31,BT$3),Report_BM!$BW$6:$BW$73)</f>
        <v>0</v>
      </c>
      <c r="BM31" s="46" t="e">
        <f ca="1">SUMIF(Report_BM!$CH$6:$CH$73,CONCATENATE($C31,$BT$3),Report_BM!$BU$6:$BU$73)+SUMIF(Report_BM!$CH$6:$CH$73,CONCATENATE($C31,$BT$3),Report_BM!$BX$6:$BX$73)</f>
        <v>#VALUE!</v>
      </c>
      <c r="BN31" s="45">
        <f>SUMIF(Report_BM!$CH$6:$CH$73,CONCATENATE($C31,BT$3),Report_BM!$BZ$6:$BZ$73)</f>
        <v>0</v>
      </c>
      <c r="BO31" s="39">
        <f>SUMIF(Report_BM!$CH$6:$CH$73,CONCATENATE($C31,BT$3),Report_BM!$CA$6:$CA$73)</f>
        <v>0</v>
      </c>
      <c r="BP31" s="39">
        <f>SUMIF(Report_BM!$CH$6:$CH$73,CONCATENATE($C31,BT$3),Report_BM!$CB$6:$CB$73)</f>
        <v>0</v>
      </c>
      <c r="BQ31" s="39">
        <f>SUMIF(Report_BM!$CH$6:$CH$73,CONCATENATE($C31,BT$3),Report_BM!$CC$6:$CC$73)</f>
        <v>0</v>
      </c>
      <c r="BR31" s="46">
        <f>SUMIF(Master_Data!$AK$152:$AK$864,CONCATENATE($C31,BT$3),Master_Data!$T$152:$T$864)</f>
        <v>0</v>
      </c>
      <c r="BS31" s="45">
        <f>SUMIF(Report_BM!$CH$6:$CH$73,CONCATENATE($C31,BT$3),Report_BM!$CE$6:$CE$73)</f>
        <v>0</v>
      </c>
      <c r="BT31" s="39" t="e">
        <f ca="1">SUMIF(Report_BM!$CH$6:$CH$73,CONCATENATE($C31,BT$3),Report_BM!$CF$6:$CF$73)</f>
        <v>#VALUE!</v>
      </c>
      <c r="BU31" s="103"/>
      <c r="BV31" s="104"/>
      <c r="BW31" s="104"/>
      <c r="BX31" s="104"/>
      <c r="BY31" s="104"/>
      <c r="BZ31" s="104"/>
      <c r="CA31" s="45">
        <f>SUMIF(Report_BM!$CY$6:$CY$73,CONCATENATE($C31,CI$3),Report_BM!$CK$6:$CK$73)+SUMIF(Report_BM!$CY$6:$CY$73,CONCATENATE($C31,CI$3),Report_BM!$CN$6:$CN$73)</f>
        <v>0</v>
      </c>
      <c r="CB31" s="46" t="e">
        <f ca="1">SUMIF(Report_BM!$CY$6:$CY$73,CONCATENATE($C31,$CI$3),Report_BM!$CL$6:$CL$73)+SUMIF(Report_BM!$CY$6:$CY$73,CONCATENATE($C31,$CI$3),Report_BM!$CO$6:$CO$73)</f>
        <v>#VALUE!</v>
      </c>
      <c r="CC31" s="45">
        <f>SUMIF(Report_BM!$CY$6:$CY$73,CONCATENATE($C31,CI$3),Report_BM!$CQ$6:$CQ$73)</f>
        <v>0</v>
      </c>
      <c r="CD31" s="39">
        <f>SUMIF(Report_BM!$CY$6:$CY$73,CONCATENATE($C31,CI$3),Report_BM!$CR$6:$CR$73)</f>
        <v>0</v>
      </c>
      <c r="CE31" s="39">
        <f>SUMIF(Report_BM!$CY$6:$CY$73,CONCATENATE($C31,CI$3),Report_BM!$CS$6:$CS$73)</f>
        <v>30096000</v>
      </c>
      <c r="CF31" s="39">
        <f ca="1">SUMIF(Report_BM!$CY$6:$CY$73,CONCATENATE($C31,CI$3),Report_BM!$CT$6:$CT$73)</f>
        <v>0</v>
      </c>
      <c r="CG31" s="46">
        <f>SUMIF(Report_BM!$CY$6:$CY$73,CONCATENATE($C31,CI$3),Report_BM!$CU$6:$CU$73)</f>
        <v>-557333.3334</v>
      </c>
      <c r="CH31" s="45">
        <f>SUMIF(Report_BM!$CY$6:$CY$73,CONCATENATE($C31,CI$3),Report_BM!$CV$6:$CV$73)</f>
        <v>0</v>
      </c>
      <c r="CI31" s="39" t="e">
        <f ca="1">SUMIF(Report_BM!$CY$6:$CY$73,CONCATENATE($C31,CI$3),Report_BM!$CW$6:$CW$73)</f>
        <v>#VALUE!</v>
      </c>
      <c r="CJ31" s="103"/>
      <c r="CK31" s="104"/>
      <c r="CL31" s="104"/>
      <c r="CM31" s="104"/>
      <c r="CN31" s="104"/>
      <c r="CO31" s="104"/>
      <c r="CP31" s="45">
        <f>SUMIF(Report_BM!$DP$6:$DP$73,CONCATENATE($C31,CX$3),Report_BM!$DB$6:$DB$73)+SUMIF(Report_BM!$DP$6:$DP$73,CONCATENATE($C31,CX$3),Report_BM!$DE$6:$DE$73)</f>
        <v>0</v>
      </c>
      <c r="CQ31" s="46" t="e">
        <f ca="1">SUMIF(Report_BM!$DP$6:$DP$73,CONCATENATE($C31,$CX$3),Report_BM!$DC$6:$DC$73)+SUMIF(Report_BM!$DP$6:$DP$73,CONCATENATE($C31,$CX$3),Report_BM!$DF$6:$DF$73)</f>
        <v>#VALUE!</v>
      </c>
      <c r="CR31" s="45">
        <f>SUMIF(Report_BM!$DP$6:$DP$73,CONCATENATE($C31,CX$3),Report_BM!$DH$6:$DH$73)</f>
        <v>0</v>
      </c>
      <c r="CS31" s="39">
        <f>SUMIF(Report_BM!$DP$6:$DP$73,CONCATENATE($C31,CX$3),Report_BM!$DI$6:$DI$73)</f>
        <v>0</v>
      </c>
      <c r="CT31" s="39">
        <f>SUMIF(Report_BM!$DP$6:$DP$73,CONCATENATE($C31,CX$3),Report_BM!$DJ$6:$DJ$73)</f>
        <v>23760000</v>
      </c>
      <c r="CU31" s="39">
        <f>SUMIF(Report_BM!$DP$6:$DP$73,CONCATENATE($C31,CX$3),Report_BM!$DK$6:$DK$73)</f>
        <v>0</v>
      </c>
      <c r="CV31" s="46">
        <f>SUMIF(Master_Data!$AK$152:$AK$864,CONCATENATE($C31,CX$3),Master_Data!$T$152:$T$864)</f>
        <v>-440000</v>
      </c>
      <c r="CW31" s="45">
        <f>SUMIF(Report_BM!$DP$6:$DP$73,CONCATENATE($C31,CX$3),Report_BM!$DM$6:$DM$73)</f>
        <v>0</v>
      </c>
      <c r="CX31" s="39" t="e">
        <f ca="1">SUMIF(Report_BM!$DP$6:$DP$73,CONCATENATE($C31,CX$3),Report_BM!$DN$6:$DN$73)</f>
        <v>#VALUE!</v>
      </c>
      <c r="CY31" s="103"/>
      <c r="CZ31" s="104"/>
      <c r="DA31" s="104"/>
      <c r="DB31" s="104"/>
      <c r="DC31" s="104"/>
      <c r="DD31" s="104"/>
      <c r="DE31" s="45">
        <f>SUMIF(Report_BM!$EG$6:$EG$73,CONCATENATE($C31,DM$3),Report_BM!$DS$6:$DS$73)+SUMIF(Report_BM!$EG$6:$EG$73,CONCATENATE($C31,DM$3),Report_BM!$DV$6:$DV$73)</f>
        <v>0</v>
      </c>
      <c r="DF31" s="46" t="e">
        <f ca="1">SUMIF(Report_BM!$EG$6:$EG$73,CONCATENATE($C31,$DM$3),Report_BM!$DT$6:$DT$73)+SUMIF(Report_BM!$EG$6:$EG$73,CONCATENATE($C31,$DM$3),Report_BM!$DW$6:$DW$73)</f>
        <v>#VALUE!</v>
      </c>
      <c r="DG31" s="45">
        <f>SUMIF(Report_BM!$EG$6:$EG$73,CONCATENATE($C31,DM$3),Report_BM!$DY$6:$DY$73)</f>
        <v>0</v>
      </c>
      <c r="DH31" s="39">
        <f>SUMIF(Report_BM!EG$6:EG$73,CONCATENATE($C31,DM$3),Report_BM!DZ$6:DZ$73)</f>
        <v>0</v>
      </c>
      <c r="DI31" s="39">
        <f>SUMIF(Report_BM!EG$6:EG$73,CONCATENATE($C31,DM$3),Report_BM!$EA$6:$EA$73)</f>
        <v>23760000</v>
      </c>
      <c r="DJ31" s="39">
        <f>SUMIF(Report_BM!EG$6:EG$73,CONCATENATE($C31,DM$3),Report_BM!$EB$6:$EB$73)</f>
        <v>0</v>
      </c>
      <c r="DK31" s="46">
        <f>SUMIF(Master_Data!$AK$152:$AK$864,CONCATENATE($C31,DM$3),Master_Data!$T$152:$T$864)</f>
        <v>-440000</v>
      </c>
      <c r="DL31" s="45">
        <f>SUMIF(Report_BM!EG$6:EG$73,CONCATENATE($C31,DM$3),Report_BM!ED$6:ED$73)</f>
        <v>0</v>
      </c>
      <c r="DM31" s="39" t="e">
        <f ca="1">SUMIF(Report_BM!EG$6:EG$73,CONCATENATE($C31,DM$3),Report_BM!EE$6:EE$73)</f>
        <v>#VALUE!</v>
      </c>
      <c r="DN31" s="103"/>
      <c r="DO31" s="104"/>
      <c r="DP31" s="104"/>
      <c r="DQ31" s="104"/>
      <c r="DR31" s="104"/>
      <c r="DS31" s="104"/>
      <c r="DT31" s="45">
        <f>SUMIF(Report_BM!$EX$6:$EX$73,CONCATENATE($C31,EB$3),Report_BM!$EJ$6:$EJ$73)+SUMIF(Report_BM!$EX$6:$EX$73,CONCATENATE($C31,EB$3),Report_BM!$EM$6:$EM$73)</f>
        <v>0</v>
      </c>
      <c r="DU31" s="46" t="e">
        <f ca="1">SUMIF(Report_BM!$EX$6:$EX$73,CONCATENATE($C31,$EB$3),Report_BM!$EK$6:$EK$73)+SUMIF(Report_BM!$EX$6:$EX$73,CONCATENATE($C31,$EB$3),Report_BM!$EN$6:$EN$73)</f>
        <v>#VALUE!</v>
      </c>
      <c r="DV31" s="45">
        <f>SUMIF(Report_BM!$EX$6:$EX$73,CONCATENATE($C31,EB$3),Report_BM!$EP$6:$EP$73)</f>
        <v>0</v>
      </c>
      <c r="DW31" s="39">
        <f>SUMIF(Report_BM!$EX$6:$EX$73,CONCATENATE($C31,EB$3),Report_BM!$EQ$6:$EQ$73)</f>
        <v>0</v>
      </c>
      <c r="DX31" s="39">
        <f>SUMIF(Report_BM!$EX$6:$EX$73,CONCATENATE($C31,EB$3),Report_BM!$ER$6:$ER$73)</f>
        <v>23760000</v>
      </c>
      <c r="DY31" s="39">
        <f>SUMIF(Report_BM!$EX$6:$EX$73,CONCATENATE($C31,EB$3),Report_BM!$ES$6:$ES$73)</f>
        <v>0</v>
      </c>
      <c r="DZ31" s="46">
        <f>SUMIF(Master_Data!$AK$152:$AK$864,CONCATENATE($C31,EB$3),Master_Data!$T$152:$T$864)</f>
        <v>-440000</v>
      </c>
      <c r="EA31" s="45">
        <f>SUMIF(Report_BM!EX$6:EX$73,CONCATENATE($C31,EB$3),Report_BM!EU$6:EU$73)</f>
        <v>0</v>
      </c>
      <c r="EB31" s="39">
        <f>SUMIF(Report_BM!EX$6:EX$73,CONCATENATE($C31,EB$3),Report_BM!EV$6:EV$73)</f>
        <v>0</v>
      </c>
      <c r="EC31" s="103"/>
      <c r="ED31" s="104"/>
      <c r="EE31" s="104"/>
      <c r="EF31" s="104"/>
      <c r="EG31" s="104"/>
      <c r="EH31" s="104"/>
      <c r="EI31" s="45">
        <f>SUMIF(Report_BM!$FO$6:$FO$73,CONCATENATE($C31,EQ$3),Report_BM!$FA$6:$FA$73)+SUMIF(Report_BM!$FO$6:$FO$73,CONCATENATE($C31,EQ$3),Report_BM!$FD$6:$FD$73)</f>
        <v>0</v>
      </c>
      <c r="EJ31" s="46" t="e">
        <f>SUMIF(Report_BM!$FO$6:$FO$73,CONCATENATE($C31,$EQ$3),Report_BM!$FB$6:$FB$73)+SUMIF(Report_BM!$FO$6:$FO$73,CONCATENATE($C31,$EQ$3),Report_BM!$FE$6:$FE$73)</f>
        <v>#VALUE!</v>
      </c>
      <c r="EK31" s="45">
        <f>SUMIF(Report_BM!$FO$6:$FO$73,CONCATENATE($C31,EQ$3),Report_BM!$FG$6:$FG$73)</f>
        <v>0</v>
      </c>
      <c r="EL31" s="39">
        <f>SUMIF(Report_BM!$FO$6:$FO$73,CONCATENATE($C31,EQ$3),Report_BM!$FH$6:$FH$73)</f>
        <v>0</v>
      </c>
      <c r="EM31" s="39">
        <f>SUMIF(Report_BM!$FO$6:$FO$73,CONCATENATE($C31,EQ$3),Report_BM!$FI$6:$FI$73)</f>
        <v>23760000</v>
      </c>
      <c r="EN31" s="39">
        <f>SUMIF(Report_BM!$FO$6:$FO$73,CONCATENATE($C31,EQ$3),Report_BM!$FJ$6:$FJ$73)</f>
        <v>0</v>
      </c>
      <c r="EO31" s="46">
        <f>SUMIF(Master_Data!$AK$152:$AK$864,CONCATENATE($C31,EQ$3),Master_Data!$T$152:$T$864)</f>
        <v>-440000</v>
      </c>
      <c r="EP31" s="45">
        <f>SUMIF(Report_BM!FO$6:FO$73,CONCATENATE($C31,EQ$3),Report_BM!FL$6:FL$73)</f>
        <v>0</v>
      </c>
      <c r="EQ31" s="39" t="e">
        <f>SUMIF(Report_BM!FO$6:FO$73,CONCATENATE($C31,EQ$3),Report_BM!FM$6:FM$73)</f>
        <v>#VALUE!</v>
      </c>
      <c r="ER31" s="103"/>
      <c r="ES31" s="104"/>
      <c r="ET31" s="104"/>
      <c r="EU31" s="104"/>
      <c r="EV31" s="104"/>
      <c r="EW31" s="104"/>
      <c r="EX31" s="45">
        <f>SUMIF(Report_BM!$GF$6:$GF$73,CONCATENATE($C31,FF$3),Report_BM!$FR$6:$FR$73)+SUMIF(Report_BM!$GF$6:$GF$73,CONCATENATE($C31,FF$3),Report_BM!$FU$6:$FU$73)</f>
        <v>0</v>
      </c>
      <c r="EY31" s="46" t="e">
        <f>SUMIF(Report_BM!$GF$6:$GF$73,CONCATENATE($C31,$FF$3),Report_BM!$FS$6:$FS$73)+SUMIF(Report_BM!$GF$6:$GF$73,CONCATENATE($C31,$FF$3),Report_BM!$FV$6:$FV$73)</f>
        <v>#VALUE!</v>
      </c>
      <c r="EZ31" s="45">
        <f>SUMIF(Report_BM!$GF$6:$GF$73,CONCATENATE($C31,FF$3),Report_BM!$FX$6:$FX$73)</f>
        <v>0</v>
      </c>
      <c r="FA31" s="39">
        <f>SUMIF(Report_BM!$GF$6:$GF$73,CONCATENATE($C31,FF$3),Report_BM!$FY$6:$FY$73)</f>
        <v>0</v>
      </c>
      <c r="FB31" s="39">
        <f>SUMIF(Report_BM!$GF$6:$GF$73,CONCATENATE($C31,FF$3),Report_BM!$FZ$6:$FZ$73)</f>
        <v>23760000</v>
      </c>
      <c r="FC31" s="39">
        <f>SUMIF(Report_BM!$GF$6:$GF$73,CONCATENATE($C31,FF$3),Report_BM!$GA$6:$GA$73)</f>
        <v>0</v>
      </c>
      <c r="FD31" s="46">
        <f>SUMIF(Master_Data!$AK$152:$AK$864,CONCATENATE($C31,FF$3),Master_Data!$T$152:$T$864)</f>
        <v>-440000</v>
      </c>
      <c r="FE31" s="45">
        <f>SUMIF(Report_BM!GF$6:GF$73,CONCATENATE($C31,FF$3),Report_BM!GC$6:GC$73)</f>
        <v>0</v>
      </c>
      <c r="FF31" s="39" t="e">
        <f>SUMIF(Report_BM!GF$6:GF$73,CONCATENATE($C31,FF$3),Report_BM!GD$6:GD$73)</f>
        <v>#VALUE!</v>
      </c>
      <c r="FG31" s="103"/>
      <c r="FH31" s="104"/>
      <c r="FI31" s="104"/>
      <c r="FJ31" s="104"/>
      <c r="FK31" s="104"/>
      <c r="FL31" s="104"/>
      <c r="FM31" s="45">
        <f>SUMIF(Report_BM!$GW$6:$GW$73,CONCATENATE($C31,FU$3),Report_BM!$GI$6:$GI$73)+SUMIF(Report_BM!$GW$6:$GW$73,CONCATENATE($C31,FU$3),Report_BM!$GL$6:$GL$73)</f>
        <v>0</v>
      </c>
      <c r="FN31" s="46" t="e">
        <f>SUMIF(Report_BM!$GW$6:$GW$73,CONCATENATE($C31,$FU$3),Report_BM!$GJ$6:$GJ$73)+SUMIF(Report_BM!$GW$6:$GW$73,CONCATENATE($C31,$FU$3),Report_BM!$GM$6:$GM$73)</f>
        <v>#VALUE!</v>
      </c>
      <c r="FO31" s="45">
        <f>SUMIF(Report_BM!$GW$6:$GW$73,CONCATENATE($C31,FU$3),Report_BM!$GO$6:$GO$73)</f>
        <v>0</v>
      </c>
      <c r="FP31" s="39">
        <f>SUMIF(Report_BM!$GW$6:$GW$73,CONCATENATE($C31,FU$3),Report_BM!$GP$6:$GP$73)</f>
        <v>0</v>
      </c>
      <c r="FQ31" s="39">
        <f>SUMIF(Report_BM!$GW$6:$GW$73,CONCATENATE($C31,FU$3),Report_BM!$GQ$6:$GQ$73)</f>
        <v>23760000</v>
      </c>
      <c r="FR31" s="39">
        <f>SUMIF(Report_BM!$GW$6:$GW$73,CONCATENATE($C31,FU$3),Report_BM!$GR$6:$GR$73)</f>
        <v>0</v>
      </c>
      <c r="FS31" s="46">
        <f>SUMIF(Master_Data!$AK$152:$AK$864,CONCATENATE($C31,FU$3),Master_Data!$T$152:$T$864)</f>
        <v>-440000</v>
      </c>
      <c r="FT31" s="45">
        <f>SUMIF(Report_BM!GW$6:GW$73,CONCATENATE($C31,FU$3),Report_BM!GT$6:GT$73)</f>
        <v>0</v>
      </c>
      <c r="FU31" s="39" t="e">
        <f>SUMIF(Report_BM!GW$6:GW$73,CONCATENATE($C31,FU$3),Report_BM!GU$6:GU$73)</f>
        <v>#VALUE!</v>
      </c>
      <c r="FV31" s="103"/>
      <c r="FW31" s="104"/>
      <c r="FX31" s="104"/>
      <c r="FY31" s="104"/>
      <c r="FZ31" s="104"/>
      <c r="GA31" s="104"/>
    </row>
    <row r="32" spans="1:183" s="40" customFormat="1" ht="14.1" customHeight="1">
      <c r="A32" s="9">
        <v>26</v>
      </c>
      <c r="B32" s="328" t="s">
        <v>119</v>
      </c>
      <c r="C32" s="323" t="s">
        <v>117</v>
      </c>
      <c r="D32" s="45">
        <f>SUMIF(Report_BM!$B$6:$B$73,CONCATENATE($C32,L$3),Report_BM!$E$6:$E$73)+SUMIF(Report_BM!$B$6:$B$73,CONCATENATE($C32,L$3),Report_BM!$H$6:$H$73)</f>
        <v>0</v>
      </c>
      <c r="E32" s="276" t="e">
        <f>SUMIF(Report_BM!$B$6:$B$73,CONCATENATE($C32,L$3),Report_BM!$F$6:$F$73)+SUMIF(Report_BM!$B$6:$B$73,CONCATENATE($C32,L$3),Report_BM!$I$6:$I$73)</f>
        <v>#VALUE!</v>
      </c>
      <c r="F32" s="45">
        <f>SUMIF(Report_BM!$B$6:$B$73,CONCATENATE($C32,L$3),Report_BM!$K$6:$K$73)</f>
        <v>0</v>
      </c>
      <c r="G32" s="39">
        <f>SUMIF(Report_BM!$B$6:$B$73,CONCATENATE($C32,$L$3),Report_BM!$L$6:$L$73)</f>
        <v>0</v>
      </c>
      <c r="H32" s="39">
        <f>SUMIF(Report_BM!$B$6:$B$73,CONCATENATE($C32,$L$3),Report_BM!$M$6:$M$73)</f>
        <v>0</v>
      </c>
      <c r="I32" s="39">
        <f>SUMIF(Report_BM!$B$6:$B$73,CONCATENATE($C32,$L$3),Report_BM!$N$6:$N$73)</f>
        <v>0</v>
      </c>
      <c r="J32" s="46">
        <f>SUMIF(Report_BM!$B$6:$B$73,CONCATENATE($C32,$L$3),Report_BM!$O$6:$O$73)</f>
        <v>0</v>
      </c>
      <c r="K32" s="45">
        <f>SUMIF(Report_BM!$B$6:$B$73,CONCATENATE($C32,$L$3),Report_BM!$P$6:$P$73)</f>
        <v>0</v>
      </c>
      <c r="L32" s="39" t="e">
        <f>SUMIF(Report_BM!$B$6:$B$73,CONCATENATE($C32,$L$3),Report_BM!$Q$6:$Q$73)</f>
        <v>#VALUE!</v>
      </c>
      <c r="M32" s="103"/>
      <c r="N32" s="104"/>
      <c r="O32" s="104"/>
      <c r="P32" s="104"/>
      <c r="Q32" s="104"/>
      <c r="R32" s="104"/>
      <c r="S32" s="45">
        <f>SUMIF(Report_BM!$AI$8:$AI$72,CONCATENATE($C32,AA$3),Report_BM!$U$8:$U$72)+SUMIF(Report_BM!$AI$8:$AI$72,CONCATENATE($C32,AA$3),Report_BM!$X$8:$X$72)</f>
        <v>0</v>
      </c>
      <c r="T32" s="276" t="e">
        <f>SUMIF(Report_BM!$AI$8:$AI$72,CONCATENATE($C32,AA$3),Report_BM!$V$8:$V$72)+SUMIF(Report_BM!$AI$8:$AI$72,CONCATENATE($C32,AA$3),Report_BM!$Y$8:$Y$72)</f>
        <v>#VALUE!</v>
      </c>
      <c r="U32" s="45">
        <f>SUMIF(Report_BM!$AI$8:$AI$72,CONCATENATE($C32,AA$3),Report_BM!$AA$8:$AB$72)</f>
        <v>0</v>
      </c>
      <c r="V32" s="39">
        <f>SUMIF(Report_BM!$AI$8:$AI$72,CONCATENATE($C32,$AA$3),Report_BM!$AB$8:$AB$72)</f>
        <v>0</v>
      </c>
      <c r="W32" s="39">
        <f>SUMIF(Report_BM!$AI$8:$AI$72,CONCATENATE($C32,$AA$3),Report_BM!$AC$8:$AC$72)</f>
        <v>47520000</v>
      </c>
      <c r="X32" s="39">
        <f ca="1">SUMIF(Report_BM!$AI$7:$AI$73,CONCATENATE($C32,$AA$3),Report_BM!$AD$7:$AD$73)</f>
        <v>0</v>
      </c>
      <c r="Y32" s="46">
        <f>SUMIF(Master_Data!$AK$152:$AK$864,CONCATENATE($C32,AA$3),Master_Data!$T$152:$T$864)</f>
        <v>-880000</v>
      </c>
      <c r="Z32" s="45">
        <f>SUMIF(Report_BM!$AI$8:$AI$72,CONCATENATE($C32,$AA$3),Report_BM!$AF$8:$AF$72)</f>
        <v>0</v>
      </c>
      <c r="AA32" s="39" t="e">
        <f ca="1">SUMIF(Report_BM!$AI$8:$AI$72,CONCATENATE($C32,$AA$3),Report_BM!$AG$8:$AG$72)</f>
        <v>#VALUE!</v>
      </c>
      <c r="AB32" s="103"/>
      <c r="AC32" s="104"/>
      <c r="AD32" s="104"/>
      <c r="AE32" s="104"/>
      <c r="AF32" s="104"/>
      <c r="AG32" s="104"/>
      <c r="AH32" s="45">
        <f>SUMIF(Report_BM!$AZ$5:$AZ$72,CONCATENATE($C32,AP$3),Report_BM!$AL$5:$AL$72)+SUMIF(Report_BM!$AZ$5:$AZ$72,CONCATENATE($C32,AP$3),Report_BM!$AO$5:$AO$72)</f>
        <v>0</v>
      </c>
      <c r="AI32" s="46" t="e">
        <f ca="1">SUMIF(Report_BM!$AZ$5:$AZ$72,CONCATENATE($C32,$AP$3),Report_BM!$AM$5:$AM$72)+SUMIF(Report_BM!$AZ$5:$AZ$72,CONCATENATE($C32,$AP$3),Report_BM!$AP$5:$AP$72)</f>
        <v>#VALUE!</v>
      </c>
      <c r="AJ32" s="45">
        <f>SUMIF(Report_BM!$AZ$5:$AZ$72,CONCATENATE($C32,$AP$3),Report_BM!$AR$5:$AR$72)</f>
        <v>0</v>
      </c>
      <c r="AK32" s="39">
        <f>SUMIF(Report_BM!$AZ$5:$AZ$72,CONCATENATE($C32,$AP$3),Report_BM!$AS$5:$AS$72)</f>
        <v>0</v>
      </c>
      <c r="AL32" s="39">
        <f>SUMIF(Report_BM!$AZ$5:$AZ$72,CONCATENATE($C32,$AP$3),Report_BM!$AT$5:$AT$72)</f>
        <v>47520000</v>
      </c>
      <c r="AM32" s="39">
        <f ca="1">SUMIF(Report_BM!$AZ$5:$AZ$72,CONCATENATE($C32,$AP$3),Report_BM!$AU$5:$AU$72)</f>
        <v>0</v>
      </c>
      <c r="AN32" s="46">
        <f>SUMIF(Master_Data!$AK$152:$AK$915,CONCATENATE($C32,AP$3),Master_Data!$T$152:$T$915)</f>
        <v>-880000</v>
      </c>
      <c r="AO32" s="45">
        <f>SUMIF(Report_BM!$AZ$5:$AZ$72,CONCATENATE($C32,$AP$3),Report_BM!$AW$5:$AW$72)</f>
        <v>0</v>
      </c>
      <c r="AP32" s="39" t="e">
        <f ca="1">SUMIF(Report_BM!$AZ$5:$AZ$72,CONCATENATE($C32,$AP$3),Report_BM!$AX$5:$AX$72)</f>
        <v>#VALUE!</v>
      </c>
      <c r="AQ32" s="103"/>
      <c r="AR32" s="104"/>
      <c r="AS32" s="104"/>
      <c r="AT32" s="104"/>
      <c r="AU32" s="104"/>
      <c r="AV32" s="104"/>
      <c r="AW32" s="45">
        <f>SUMIF(Report_BM!$BQ$6:$BQ$73,CONCATENATE($C32,BE$3),Report_BM!$BC$6:$BC$73)+SUMIF(Report_BM!$BQ$6:$BQ$73,CONCATENATE($C32,BE$3),Report_BM!$BF$6:$BF$73)</f>
        <v>0</v>
      </c>
      <c r="AX32" s="46" t="e">
        <f ca="1">SUMIF(Report_BM!$BQ$6:$BQ$73,CONCATENATE($C32,$BE$3),Report_BM!$BD$6:$BD$73)+SUMIF(Report_BM!$BQ$6:$BQ$73,CONCATENATE($C32,$BE$3),Report_BM!$BG$6:$BG$73)</f>
        <v>#VALUE!</v>
      </c>
      <c r="AY32" s="45">
        <f>SUMIF(Report_BM!$BQ$6:$BQ$73,CONCATENATE($C32,BE$3),Report_BM!$BI$6:$BI$73)</f>
        <v>0</v>
      </c>
      <c r="AZ32" s="39">
        <f>SUMIF(Report_BM!$BQ$6:$BQ$73,CONCATENATE($C32,BE$3),Report_BM!$BJ$6:$BJ$73)</f>
        <v>0</v>
      </c>
      <c r="BA32" s="39">
        <f>SUMIF(Report_BM!$BQ$6:$BQ$73,CONCATENATE($C32,BE$3),Report_BM!$BK$6:$BK$73)</f>
        <v>47520000</v>
      </c>
      <c r="BB32" s="39">
        <f>SUMIF(Report_BM!$BQ$6:$BQ$73,CONCATENATE($C32,BE$3),Report_BM!$BL$6:$BL$73)</f>
        <v>0</v>
      </c>
      <c r="BC32" s="46">
        <f>SUMIF(Master_Data!$AK$152:$AK$864,CONCATENATE($C32,BE$3),Master_Data!$T$152:$T$864)</f>
        <v>-880000</v>
      </c>
      <c r="BD32" s="45">
        <f>SUMIF(Report_BM!$BQ$6:$BQ$73,CONCATENATE($C32,BE$3),Report_BM!$BN$6:$BN$73)</f>
        <v>0</v>
      </c>
      <c r="BE32" s="39" t="e">
        <f ca="1">SUMIF(Report_BM!$BQ$6:$BQ$73,CONCATENATE($C32,BE$3),Report_BM!$BO$6:$BO$73)</f>
        <v>#VALUE!</v>
      </c>
      <c r="BF32" s="103"/>
      <c r="BG32" s="104"/>
      <c r="BH32" s="104"/>
      <c r="BI32" s="104"/>
      <c r="BJ32" s="104"/>
      <c r="BK32" s="104"/>
      <c r="BL32" s="45">
        <f>SUMIF(Report_BM!$CH$6:$CH$73,CONCATENATE($C32,BT$3),Report_BM!$BT$6:$BT$73)+SUMIF(Report_BM!$CH$6:$CH$73,CONCATENATE($C32,BT$3),Report_BM!$BW$6:$BW$73)</f>
        <v>0</v>
      </c>
      <c r="BM32" s="46" t="e">
        <f ca="1">SUMIF(Report_BM!$CH$6:$CH$73,CONCATENATE($C32,$BT$3),Report_BM!$BU$6:$BU$73)+SUMIF(Report_BM!$CH$6:$CH$73,CONCATENATE($C32,$BT$3),Report_BM!$BX$6:$BX$73)</f>
        <v>#VALUE!</v>
      </c>
      <c r="BN32" s="45">
        <f>SUMIF(Report_BM!$CH$6:$CH$73,CONCATENATE($C32,BT$3),Report_BM!$BZ$6:$BZ$73)</f>
        <v>0</v>
      </c>
      <c r="BO32" s="39">
        <f>SUMIF(Report_BM!$CH$6:$CH$73,CONCATENATE($C32,BT$3),Report_BM!$CA$6:$CA$73)</f>
        <v>0</v>
      </c>
      <c r="BP32" s="39">
        <f>SUMIF(Report_BM!$CH$6:$CH$73,CONCATENATE($C32,BT$3),Report_BM!$CB$6:$CB$73)</f>
        <v>47520000</v>
      </c>
      <c r="BQ32" s="39">
        <f>SUMIF(Report_BM!$CH$6:$CH$73,CONCATENATE($C32,BT$3),Report_BM!$CC$6:$CC$73)</f>
        <v>0</v>
      </c>
      <c r="BR32" s="46">
        <f>SUMIF(Master_Data!$AK$152:$AK$864,CONCATENATE($C32,BT$3),Master_Data!$T$152:$T$864)</f>
        <v>-880000</v>
      </c>
      <c r="BS32" s="45">
        <f>SUMIF(Report_BM!$CH$6:$CH$73,CONCATENATE($C32,BT$3),Report_BM!$CE$6:$CE$73)</f>
        <v>0</v>
      </c>
      <c r="BT32" s="39" t="e">
        <f ca="1">SUMIF(Report_BM!$CH$6:$CH$73,CONCATENATE($C32,BT$3),Report_BM!$CF$6:$CF$73)</f>
        <v>#VALUE!</v>
      </c>
      <c r="BU32" s="103"/>
      <c r="BV32" s="104"/>
      <c r="BW32" s="104"/>
      <c r="BX32" s="104"/>
      <c r="BY32" s="104"/>
      <c r="BZ32" s="104"/>
      <c r="CA32" s="45">
        <f>SUMIF(Report_BM!$CY$6:$CY$73,CONCATENATE($C32,CI$3),Report_BM!$CK$6:$CK$73)+SUMIF(Report_BM!$CY$6:$CY$73,CONCATENATE($C32,CI$3),Report_BM!$CN$6:$CN$73)</f>
        <v>0</v>
      </c>
      <c r="CB32" s="46" t="e">
        <f ca="1">SUMIF(Report_BM!$CY$6:$CY$73,CONCATENATE($C32,$CI$3),Report_BM!$CL$6:$CL$73)+SUMIF(Report_BM!$CY$6:$CY$73,CONCATENATE($C32,$CI$3),Report_BM!$CO$6:$CO$73)</f>
        <v>#VALUE!</v>
      </c>
      <c r="CC32" s="45">
        <f>SUMIF(Report_BM!$CY$6:$CY$73,CONCATENATE($C32,CI$3),Report_BM!$CQ$6:$CQ$73)</f>
        <v>0</v>
      </c>
      <c r="CD32" s="39">
        <f>SUMIF(Report_BM!$CY$6:$CY$73,CONCATENATE($C32,CI$3),Report_BM!$CR$6:$CR$73)</f>
        <v>0</v>
      </c>
      <c r="CE32" s="39">
        <f>SUMIF(Report_BM!$CY$6:$CY$73,CONCATENATE($C32,CI$3),Report_BM!$CS$6:$CS$73)</f>
        <v>11880000</v>
      </c>
      <c r="CF32" s="39">
        <f ca="1">SUMIF(Report_BM!$CY$6:$CY$73,CONCATENATE($C32,CI$3),Report_BM!$CT$6:$CT$73)</f>
        <v>0</v>
      </c>
      <c r="CG32" s="46">
        <f>SUMIF(Report_BM!$CY$6:$CY$73,CONCATENATE($C32,CI$3),Report_BM!$CU$6:$CU$73)</f>
        <v>-220000</v>
      </c>
      <c r="CH32" s="45">
        <f>SUMIF(Report_BM!$CY$6:$CY$73,CONCATENATE($C32,CI$3),Report_BM!$CV$6:$CV$73)</f>
        <v>0</v>
      </c>
      <c r="CI32" s="39" t="e">
        <f ca="1">SUMIF(Report_BM!$CY$6:$CY$73,CONCATENATE($C32,CI$3),Report_BM!$CW$6:$CW$73)</f>
        <v>#VALUE!</v>
      </c>
      <c r="CJ32" s="103"/>
      <c r="CK32" s="104"/>
      <c r="CL32" s="104"/>
      <c r="CM32" s="104"/>
      <c r="CN32" s="104"/>
      <c r="CO32" s="104"/>
      <c r="CP32" s="45">
        <f>SUMIF(Report_BM!$DP$6:$DP$73,CONCATENATE($C32,CX$3),Report_BM!$DB$6:$DB$73)+SUMIF(Report_BM!$DP$6:$DP$73,CONCATENATE($C32,CX$3),Report_BM!$DE$6:$DE$73)</f>
        <v>0</v>
      </c>
      <c r="CQ32" s="46" t="e">
        <f ca="1">SUMIF(Report_BM!$DP$6:$DP$73,CONCATENATE($C32,$CX$3),Report_BM!$DC$6:$DC$73)+SUMIF(Report_BM!$DP$6:$DP$73,CONCATENATE($C32,$CX$3),Report_BM!$DF$6:$DF$73)</f>
        <v>#VALUE!</v>
      </c>
      <c r="CR32" s="45">
        <f>SUMIF(Report_BM!$DP$6:$DP$73,CONCATENATE($C32,CX$3),Report_BM!$DH$6:$DH$73)</f>
        <v>0</v>
      </c>
      <c r="CS32" s="39">
        <f>SUMIF(Report_BM!$DP$6:$DP$73,CONCATENATE($C32,CX$3),Report_BM!$DI$6:$DI$73)</f>
        <v>0</v>
      </c>
      <c r="CT32" s="39">
        <f>SUMIF(Report_BM!$DP$6:$DP$73,CONCATENATE($C32,CX$3),Report_BM!$DJ$6:$DJ$73)</f>
        <v>47520000</v>
      </c>
      <c r="CU32" s="39">
        <f>SUMIF(Report_BM!$DP$6:$DP$73,CONCATENATE($C32,CX$3),Report_BM!$DK$6:$DK$73)</f>
        <v>0</v>
      </c>
      <c r="CV32" s="46">
        <f>SUMIF(Master_Data!$AK$152:$AK$864,CONCATENATE($C32,CX$3),Master_Data!$T$152:$T$864)</f>
        <v>-880000</v>
      </c>
      <c r="CW32" s="45">
        <f>SUMIF(Report_BM!$DP$6:$DP$73,CONCATENATE($C32,CX$3),Report_BM!$DM$6:$DM$73)</f>
        <v>0</v>
      </c>
      <c r="CX32" s="39" t="e">
        <f ca="1">SUMIF(Report_BM!$DP$6:$DP$73,CONCATENATE($C32,CX$3),Report_BM!$DN$6:$DN$73)</f>
        <v>#VALUE!</v>
      </c>
      <c r="CY32" s="103"/>
      <c r="CZ32" s="104"/>
      <c r="DA32" s="104"/>
      <c r="DB32" s="104"/>
      <c r="DC32" s="104"/>
      <c r="DD32" s="104"/>
      <c r="DE32" s="45">
        <f>SUMIF(Report_BM!$EG$6:$EG$73,CONCATENATE($C32,DM$3),Report_BM!$DS$6:$DS$73)+SUMIF(Report_BM!$EG$6:$EG$73,CONCATENATE($C32,DM$3),Report_BM!$DV$6:$DV$73)</f>
        <v>0</v>
      </c>
      <c r="DF32" s="46" t="e">
        <f ca="1">SUMIF(Report_BM!$EG$6:$EG$73,CONCATENATE($C32,$DM$3),Report_BM!$DT$6:$DT$73)+SUMIF(Report_BM!$EG$6:$EG$73,CONCATENATE($C32,$DM$3),Report_BM!$DW$6:$DW$73)</f>
        <v>#VALUE!</v>
      </c>
      <c r="DG32" s="45">
        <f>SUMIF(Report_BM!$EG$6:$EG$73,CONCATENATE($C32,DM$3),Report_BM!$DY$6:$DY$73)</f>
        <v>0</v>
      </c>
      <c r="DH32" s="39">
        <f>SUMIF(Report_BM!EG$6:EG$73,CONCATENATE($C32,DM$3),Report_BM!DZ$6:DZ$73)</f>
        <v>0</v>
      </c>
      <c r="DI32" s="39">
        <f>SUMIF(Report_BM!EG$6:EG$73,CONCATENATE($C32,DM$3),Report_BM!$EA$6:$EA$73)</f>
        <v>47520000</v>
      </c>
      <c r="DJ32" s="39">
        <f>SUMIF(Report_BM!EG$6:EG$73,CONCATENATE($C32,DM$3),Report_BM!$EB$6:$EB$73)</f>
        <v>0</v>
      </c>
      <c r="DK32" s="46">
        <f>SUMIF(Master_Data!$AK$152:$AK$864,CONCATENATE($C32,DM$3),Master_Data!$T$152:$T$864)</f>
        <v>-880000</v>
      </c>
      <c r="DL32" s="45">
        <f>SUMIF(Report_BM!EG$6:EG$73,CONCATENATE($C32,DM$3),Report_BM!ED$6:ED$73)</f>
        <v>0</v>
      </c>
      <c r="DM32" s="39" t="e">
        <f ca="1">SUMIF(Report_BM!EG$6:EG$73,CONCATENATE($C32,DM$3),Report_BM!EE$6:EE$73)</f>
        <v>#VALUE!</v>
      </c>
      <c r="DN32" s="103"/>
      <c r="DO32" s="104"/>
      <c r="DP32" s="104"/>
      <c r="DQ32" s="104"/>
      <c r="DR32" s="104"/>
      <c r="DS32" s="104"/>
      <c r="DT32" s="45">
        <f>SUMIF(Report_BM!$EX$6:$EX$73,CONCATENATE($C32,EB$3),Report_BM!$EJ$6:$EJ$73)+SUMIF(Report_BM!$EX$6:$EX$73,CONCATENATE($C32,EB$3),Report_BM!$EM$6:$EM$73)</f>
        <v>0</v>
      </c>
      <c r="DU32" s="46" t="e">
        <f ca="1">SUMIF(Report_BM!$EX$6:$EX$73,CONCATENATE($C32,$EB$3),Report_BM!$EK$6:$EK$73)+SUMIF(Report_BM!$EX$6:$EX$73,CONCATENATE($C32,$EB$3),Report_BM!$EN$6:$EN$73)</f>
        <v>#VALUE!</v>
      </c>
      <c r="DV32" s="45">
        <f>SUMIF(Report_BM!$EX$6:$EX$73,CONCATENATE($C32,EB$3),Report_BM!$EP$6:$EP$73)</f>
        <v>0</v>
      </c>
      <c r="DW32" s="39">
        <f>SUMIF(Report_BM!$EX$6:$EX$73,CONCATENATE($C32,EB$3),Report_BM!$EQ$6:$EQ$73)</f>
        <v>0</v>
      </c>
      <c r="DX32" s="39">
        <f>SUMIF(Report_BM!$EX$6:$EX$73,CONCATENATE($C32,EB$3),Report_BM!$ER$6:$ER$73)</f>
        <v>47520000</v>
      </c>
      <c r="DY32" s="39">
        <f>SUMIF(Report_BM!$EX$6:$EX$73,CONCATENATE($C32,EB$3),Report_BM!$ES$6:$ES$73)</f>
        <v>0</v>
      </c>
      <c r="DZ32" s="46">
        <f>SUMIF(Master_Data!$AK$152:$AK$864,CONCATENATE($C32,EB$3),Master_Data!$T$152:$T$864)</f>
        <v>-880000</v>
      </c>
      <c r="EA32" s="45">
        <f>SUMIF(Report_BM!EX$6:EX$73,CONCATENATE($C32,EB$3),Report_BM!EU$6:EU$73)</f>
        <v>0</v>
      </c>
      <c r="EB32" s="39">
        <f>SUMIF(Report_BM!EX$6:EX$73,CONCATENATE($C32,EB$3),Report_BM!EV$6:EV$73)</f>
        <v>0</v>
      </c>
      <c r="EC32" s="103"/>
      <c r="ED32" s="104"/>
      <c r="EE32" s="104"/>
      <c r="EF32" s="104"/>
      <c r="EG32" s="104"/>
      <c r="EH32" s="104"/>
      <c r="EI32" s="45">
        <f>SUMIF(Report_BM!$FO$6:$FO$73,CONCATENATE($C32,EQ$3),Report_BM!$FA$6:$FA$73)+SUMIF(Report_BM!$FO$6:$FO$73,CONCATENATE($C32,EQ$3),Report_BM!$FD$6:$FD$73)</f>
        <v>0</v>
      </c>
      <c r="EJ32" s="46" t="e">
        <f>SUMIF(Report_BM!$FO$6:$FO$73,CONCATENATE($C32,$EQ$3),Report_BM!$FB$6:$FB$73)+SUMIF(Report_BM!$FO$6:$FO$73,CONCATENATE($C32,$EQ$3),Report_BM!$FE$6:$FE$73)</f>
        <v>#VALUE!</v>
      </c>
      <c r="EK32" s="45">
        <f>SUMIF(Report_BM!$FO$6:$FO$73,CONCATENATE($C32,EQ$3),Report_BM!$FG$6:$FG$73)</f>
        <v>0</v>
      </c>
      <c r="EL32" s="39">
        <f>SUMIF(Report_BM!$FO$6:$FO$73,CONCATENATE($C32,EQ$3),Report_BM!$FH$6:$FH$73)</f>
        <v>0</v>
      </c>
      <c r="EM32" s="39">
        <f>SUMIF(Report_BM!$FO$6:$FO$73,CONCATENATE($C32,EQ$3),Report_BM!$FI$6:$FI$73)</f>
        <v>95040000</v>
      </c>
      <c r="EN32" s="39">
        <f>SUMIF(Report_BM!$FO$6:$FO$73,CONCATENATE($C32,EQ$3),Report_BM!$FJ$6:$FJ$73)</f>
        <v>0</v>
      </c>
      <c r="EO32" s="46">
        <f>SUMIF(Master_Data!$AK$152:$AK$864,CONCATENATE($C32,EQ$3),Master_Data!$T$152:$T$864)</f>
        <v>-1760000</v>
      </c>
      <c r="EP32" s="45">
        <f>SUMIF(Report_BM!FO$6:FO$73,CONCATENATE($C32,EQ$3),Report_BM!FL$6:FL$73)</f>
        <v>0</v>
      </c>
      <c r="EQ32" s="39" t="e">
        <f>SUMIF(Report_BM!FO$6:FO$73,CONCATENATE($C32,EQ$3),Report_BM!FM$6:FM$73)</f>
        <v>#VALUE!</v>
      </c>
      <c r="ER32" s="103"/>
      <c r="ES32" s="104"/>
      <c r="ET32" s="104"/>
      <c r="EU32" s="104"/>
      <c r="EV32" s="104"/>
      <c r="EW32" s="104"/>
      <c r="EX32" s="45">
        <f>SUMIF(Report_BM!$GF$6:$GF$73,CONCATENATE($C32,FF$3),Report_BM!$FR$6:$FR$73)+SUMIF(Report_BM!$GF$6:$GF$73,CONCATENATE($C32,FF$3),Report_BM!$FU$6:$FU$73)</f>
        <v>0</v>
      </c>
      <c r="EY32" s="46" t="e">
        <f>SUMIF(Report_BM!$GF$6:$GF$73,CONCATENATE($C32,$FF$3),Report_BM!$FS$6:$FS$73)+SUMIF(Report_BM!$GF$6:$GF$73,CONCATENATE($C32,$FF$3),Report_BM!$FV$6:$FV$73)</f>
        <v>#VALUE!</v>
      </c>
      <c r="EZ32" s="45">
        <f>SUMIF(Report_BM!$GF$6:$GF$73,CONCATENATE($C32,FF$3),Report_BM!$FX$6:$FX$73)</f>
        <v>0</v>
      </c>
      <c r="FA32" s="39">
        <f>SUMIF(Report_BM!$GF$6:$GF$73,CONCATENATE($C32,FF$3),Report_BM!$FY$6:$FY$73)</f>
        <v>0</v>
      </c>
      <c r="FB32" s="39">
        <f>SUMIF(Report_BM!$GF$6:$GF$73,CONCATENATE($C32,FF$3),Report_BM!$FZ$6:$FZ$73)</f>
        <v>0</v>
      </c>
      <c r="FC32" s="39">
        <f>SUMIF(Report_BM!$GF$6:$GF$73,CONCATENATE($C32,FF$3),Report_BM!$GA$6:$GA$73)</f>
        <v>0</v>
      </c>
      <c r="FD32" s="46">
        <f>SUMIF(Master_Data!$AK$152:$AK$864,CONCATENATE($C32,FF$3),Master_Data!$T$152:$T$864)</f>
        <v>0</v>
      </c>
      <c r="FE32" s="45">
        <f>SUMIF(Report_BM!GF$6:GF$73,CONCATENATE($C32,FF$3),Report_BM!GC$6:GC$73)</f>
        <v>0</v>
      </c>
      <c r="FF32" s="39" t="e">
        <f>SUMIF(Report_BM!GF$6:GF$73,CONCATENATE($C32,FF$3),Report_BM!GD$6:GD$73)</f>
        <v>#VALUE!</v>
      </c>
      <c r="FG32" s="103"/>
      <c r="FH32" s="104"/>
      <c r="FI32" s="104"/>
      <c r="FJ32" s="104"/>
      <c r="FK32" s="104"/>
      <c r="FL32" s="104"/>
      <c r="FM32" s="45">
        <f>SUMIF(Report_BM!$GW$6:$GW$73,CONCATENATE($C32,FU$3),Report_BM!$GI$6:$GI$73)+SUMIF(Report_BM!$GW$6:$GW$73,CONCATENATE($C32,FU$3),Report_BM!$GL$6:$GL$73)</f>
        <v>0</v>
      </c>
      <c r="FN32" s="46" t="e">
        <f>SUMIF(Report_BM!$GW$6:$GW$73,CONCATENATE($C32,$FU$3),Report_BM!$GJ$6:$GJ$73)+SUMIF(Report_BM!$GW$6:$GW$73,CONCATENATE($C32,$FU$3),Report_BM!$GM$6:$GM$73)</f>
        <v>#VALUE!</v>
      </c>
      <c r="FO32" s="45">
        <f>SUMIF(Report_BM!$GW$6:$GW$73,CONCATENATE($C32,FU$3),Report_BM!$GO$6:$GO$73)</f>
        <v>0</v>
      </c>
      <c r="FP32" s="39">
        <f>SUMIF(Report_BM!$GW$6:$GW$73,CONCATENATE($C32,FU$3),Report_BM!$GP$6:$GP$73)</f>
        <v>0</v>
      </c>
      <c r="FQ32" s="39">
        <f>SUMIF(Report_BM!$GW$6:$GW$73,CONCATENATE($C32,FU$3),Report_BM!$GQ$6:$GQ$73)</f>
        <v>23760000</v>
      </c>
      <c r="FR32" s="39">
        <f>SUMIF(Report_BM!$GW$6:$GW$73,CONCATENATE($C32,FU$3),Report_BM!$GR$6:$GR$73)</f>
        <v>0</v>
      </c>
      <c r="FS32" s="46">
        <f>SUMIF(Master_Data!$AK$152:$AK$864,CONCATENATE($C32,FU$3),Master_Data!$T$152:$T$864)</f>
        <v>-440000</v>
      </c>
      <c r="FT32" s="45">
        <f>SUMIF(Report_BM!GW$6:GW$73,CONCATENATE($C32,FU$3),Report_BM!GT$6:GT$73)</f>
        <v>0</v>
      </c>
      <c r="FU32" s="39" t="e">
        <f>SUMIF(Report_BM!GW$6:GW$73,CONCATENATE($C32,FU$3),Report_BM!GU$6:GU$73)</f>
        <v>#VALUE!</v>
      </c>
      <c r="FV32" s="103"/>
      <c r="FW32" s="104"/>
      <c r="FX32" s="104"/>
      <c r="FY32" s="104"/>
      <c r="FZ32" s="104"/>
      <c r="GA32" s="104"/>
    </row>
    <row r="33" spans="1:183" s="40" customFormat="1" ht="14.1" customHeight="1">
      <c r="A33" s="9">
        <v>27</v>
      </c>
      <c r="B33" s="328" t="s">
        <v>14</v>
      </c>
      <c r="C33" s="323" t="s">
        <v>387</v>
      </c>
      <c r="D33" s="45">
        <f>SUMIF(Report_BM!$B$6:$B$73,CONCATENATE($C33,L$3),Report_BM!$E$6:$E$73)+SUMIF(Report_BM!$B$6:$B$73,CONCATENATE($C33,L$3),Report_BM!$H$6:$H$73)</f>
        <v>0</v>
      </c>
      <c r="E33" s="276">
        <f>SUMIF(Report_BM!$B$6:$B$73,CONCATENATE($C33,L$3),Report_BM!$F$6:$F$73)+SUMIF(Report_BM!$B$6:$B$73,CONCATENATE($C33,L$3),Report_BM!$I$6:$I$73)</f>
        <v>696000000</v>
      </c>
      <c r="F33" s="45">
        <f>SUMIF(Report_BM!$B$6:$B$73,CONCATENATE($C33,L$3),Report_BM!$K$6:$K$73)</f>
        <v>0</v>
      </c>
      <c r="G33" s="39">
        <f>SUMIF(Report_BM!$B$6:$B$73,CONCATENATE($C33,$L$3),Report_BM!$L$6:$L$73)</f>
        <v>0</v>
      </c>
      <c r="H33" s="39">
        <f>SUMIF(Report_BM!$B$6:$B$73,CONCATENATE($C33,$L$3),Report_BM!$M$6:$M$73)</f>
        <v>0</v>
      </c>
      <c r="I33" s="39">
        <f>SUMIF(Report_BM!$B$6:$B$73,CONCATENATE($C33,$L$3),Report_BM!$N$6:$N$73)</f>
        <v>0</v>
      </c>
      <c r="J33" s="46">
        <f>SUMIF(Report_BM!$B$6:$B$73,CONCATENATE($C33,$L$3),Report_BM!$O$6:$O$73)</f>
        <v>0</v>
      </c>
      <c r="K33" s="45">
        <f>SUMIF(Report_BM!$B$6:$B$73,CONCATENATE($C33,$L$3),Report_BM!$P$6:$P$73)</f>
        <v>0</v>
      </c>
      <c r="L33" s="39">
        <f>SUMIF(Report_BM!$B$6:$B$73,CONCATENATE($C33,$L$3),Report_BM!$Q$6:$Q$73)</f>
        <v>696000000</v>
      </c>
      <c r="M33" s="103"/>
      <c r="N33" s="104"/>
      <c r="O33" s="104"/>
      <c r="P33" s="104"/>
      <c r="Q33" s="104"/>
      <c r="R33" s="104"/>
      <c r="S33" s="45">
        <f>SUMIF(Report_BM!$AI$8:$AI$72,CONCATENATE($C33,AA$3),Report_BM!$U$8:$U$72)+SUMIF(Report_BM!$AI$8:$AI$72,CONCATENATE($C33,AA$3),Report_BM!$X$8:$X$72)</f>
        <v>0</v>
      </c>
      <c r="T33" s="276">
        <f>SUMIF(Report_BM!$AI$8:$AI$72,CONCATENATE($C33,AA$3),Report_BM!$V$8:$V$72)+SUMIF(Report_BM!$AI$8:$AI$72,CONCATENATE($C33,AA$3),Report_BM!$Y$8:$Y$72)</f>
        <v>696000000</v>
      </c>
      <c r="U33" s="45">
        <f>SUMIF(Report_BM!$AI$8:$AI$72,CONCATENATE($C33,AA$3),Report_BM!$AA$8:$AB$72)</f>
        <v>0</v>
      </c>
      <c r="V33" s="39">
        <f>SUMIF(Report_BM!$AI$8:$AI$72,CONCATENATE($C33,$AA$3),Report_BM!$AB$8:$AB$72)</f>
        <v>0</v>
      </c>
      <c r="W33" s="39">
        <f>SUMIF(Report_BM!$AI$8:$AI$72,CONCATENATE($C33,$AA$3),Report_BM!$AC$8:$AC$72)</f>
        <v>0</v>
      </c>
      <c r="X33" s="39">
        <f ca="1">SUMIF(Report_BM!$AI$7:$AI$73,CONCATENATE($C33,$AA$3),Report_BM!$AD$7:$AD$73)</f>
        <v>0</v>
      </c>
      <c r="Y33" s="46">
        <f>SUMIF(Master_Data!$AK$152:$AK$864,CONCATENATE($C33,AA$3),Master_Data!$T$152:$T$864)</f>
        <v>0</v>
      </c>
      <c r="Z33" s="45">
        <f>SUMIF(Report_BM!$AI$8:$AI$72,CONCATENATE($C33,$AA$3),Report_BM!$AF$8:$AF$72)</f>
        <v>0</v>
      </c>
      <c r="AA33" s="39">
        <f ca="1">SUMIF(Report_BM!$AI$8:$AI$72,CONCATENATE($C33,$AA$3),Report_BM!$AG$8:$AG$72)</f>
        <v>696000000</v>
      </c>
      <c r="AB33" s="103"/>
      <c r="AC33" s="104"/>
      <c r="AD33" s="104"/>
      <c r="AE33" s="104"/>
      <c r="AF33" s="104"/>
      <c r="AG33" s="104"/>
      <c r="AH33" s="45">
        <f>SUMIF(Report_BM!$AZ$5:$AZ$72,CONCATENATE($C33,AP$3),Report_BM!$AL$5:$AL$72)+SUMIF(Report_BM!$AZ$5:$AZ$72,CONCATENATE($C33,AP$3),Report_BM!$AO$5:$AO$72)</f>
        <v>0</v>
      </c>
      <c r="AI33" s="46">
        <f ca="1">SUMIF(Report_BM!$AZ$5:$AZ$72,CONCATENATE($C33,$AP$3),Report_BM!$AM$5:$AM$72)+SUMIF(Report_BM!$AZ$5:$AZ$72,CONCATENATE($C33,$AP$3),Report_BM!$AP$5:$AP$72)</f>
        <v>696000000</v>
      </c>
      <c r="AJ33" s="45">
        <f>SUMIF(Report_BM!$AZ$5:$AZ$72,CONCATENATE($C33,$AP$3),Report_BM!$AR$5:$AR$72)</f>
        <v>0</v>
      </c>
      <c r="AK33" s="39">
        <f>SUMIF(Report_BM!$AZ$5:$AZ$72,CONCATENATE($C33,$AP$3),Report_BM!$AS$5:$AS$72)</f>
        <v>0</v>
      </c>
      <c r="AL33" s="39">
        <f>SUMIF(Report_BM!$AZ$5:$AZ$72,CONCATENATE($C33,$AP$3),Report_BM!$AT$5:$AT$72)</f>
        <v>0</v>
      </c>
      <c r="AM33" s="39">
        <f ca="1">SUMIF(Report_BM!$AZ$5:$AZ$72,CONCATENATE($C33,$AP$3),Report_BM!$AU$5:$AU$72)</f>
        <v>0</v>
      </c>
      <c r="AN33" s="46">
        <f>SUMIF(Master_Data!$AK$152:$AK$915,CONCATENATE($C33,AP$3),Master_Data!$T$152:$T$915)</f>
        <v>0</v>
      </c>
      <c r="AO33" s="45">
        <f>SUMIF(Report_BM!$AZ$5:$AZ$72,CONCATENATE($C33,$AP$3),Report_BM!$AW$5:$AW$72)</f>
        <v>0</v>
      </c>
      <c r="AP33" s="39">
        <f ca="1">SUMIF(Report_BM!$AZ$5:$AZ$72,CONCATENATE($C33,$AP$3),Report_BM!$AX$5:$AX$72)</f>
        <v>696000000</v>
      </c>
      <c r="AQ33" s="103"/>
      <c r="AR33" s="104"/>
      <c r="AS33" s="104"/>
      <c r="AT33" s="104"/>
      <c r="AU33" s="104"/>
      <c r="AV33" s="104"/>
      <c r="AW33" s="45">
        <f>SUMIF(Report_BM!$BQ$6:$BQ$73,CONCATENATE($C33,BE$3),Report_BM!$BC$6:$BC$73)+SUMIF(Report_BM!$BQ$6:$BQ$73,CONCATENATE($C33,BE$3),Report_BM!$BF$6:$BF$73)</f>
        <v>0</v>
      </c>
      <c r="AX33" s="46">
        <f ca="1">SUMIF(Report_BM!$BQ$6:$BQ$73,CONCATENATE($C33,$BE$3),Report_BM!$BD$6:$BD$73)+SUMIF(Report_BM!$BQ$6:$BQ$73,CONCATENATE($C33,$BE$3),Report_BM!$BG$6:$BG$73)</f>
        <v>696000000</v>
      </c>
      <c r="AY33" s="45">
        <f>SUMIF(Report_BM!$BQ$6:$BQ$73,CONCATENATE($C33,BE$3),Report_BM!$BI$6:$BI$73)</f>
        <v>0</v>
      </c>
      <c r="AZ33" s="39">
        <f>SUMIF(Report_BM!$BQ$6:$BQ$73,CONCATENATE($C33,BE$3),Report_BM!$BJ$6:$BJ$73)</f>
        <v>0</v>
      </c>
      <c r="BA33" s="39">
        <f>SUMIF(Report_BM!$BQ$6:$BQ$73,CONCATENATE($C33,BE$3),Report_BM!$BK$6:$BK$73)</f>
        <v>0</v>
      </c>
      <c r="BB33" s="39">
        <f>SUMIF(Report_BM!$BQ$6:$BQ$73,CONCATENATE($C33,BE$3),Report_BM!$BL$6:$BL$73)</f>
        <v>0</v>
      </c>
      <c r="BC33" s="46">
        <f>SUMIF(Master_Data!$AK$152:$AK$864,CONCATENATE($C33,BE$3),Master_Data!$T$152:$T$864)</f>
        <v>0</v>
      </c>
      <c r="BD33" s="45">
        <f>SUMIF(Report_BM!$BQ$6:$BQ$73,CONCATENATE($C33,BE$3),Report_BM!$BN$6:$BN$73)</f>
        <v>0</v>
      </c>
      <c r="BE33" s="39">
        <f ca="1">SUMIF(Report_BM!$BQ$6:$BQ$73,CONCATENATE($C33,BE$3),Report_BM!$BO$6:$BO$73)</f>
        <v>696000000</v>
      </c>
      <c r="BF33" s="103"/>
      <c r="BG33" s="104"/>
      <c r="BH33" s="104"/>
      <c r="BI33" s="104"/>
      <c r="BJ33" s="104"/>
      <c r="BK33" s="104"/>
      <c r="BL33" s="45">
        <f>SUMIF(Report_BM!$CH$6:$CH$73,CONCATENATE($C33,BT$3),Report_BM!$BT$6:$BT$73)+SUMIF(Report_BM!$CH$6:$CH$73,CONCATENATE($C33,BT$3),Report_BM!$BW$6:$BW$73)</f>
        <v>0</v>
      </c>
      <c r="BM33" s="46">
        <f ca="1">SUMIF(Report_BM!$CH$6:$CH$73,CONCATENATE($C33,$BT$3),Report_BM!$BU$6:$BU$73)+SUMIF(Report_BM!$CH$6:$CH$73,CONCATENATE($C33,$BT$3),Report_BM!$BX$6:$BX$73)</f>
        <v>696000000</v>
      </c>
      <c r="BN33" s="45">
        <f>SUMIF(Report_BM!$CH$6:$CH$73,CONCATENATE($C33,BT$3),Report_BM!$BZ$6:$BZ$73)</f>
        <v>0</v>
      </c>
      <c r="BO33" s="39">
        <f>SUMIF(Report_BM!$CH$6:$CH$73,CONCATENATE($C33,BT$3),Report_BM!$CA$6:$CA$73)</f>
        <v>0</v>
      </c>
      <c r="BP33" s="39">
        <f>SUMIF(Report_BM!$CH$6:$CH$73,CONCATENATE($C33,BT$3),Report_BM!$CB$6:$CB$73)</f>
        <v>0</v>
      </c>
      <c r="BQ33" s="39">
        <f>SUMIF(Report_BM!$CH$6:$CH$73,CONCATENATE($C33,BT$3),Report_BM!$CC$6:$CC$73)</f>
        <v>0</v>
      </c>
      <c r="BR33" s="46">
        <f>SUMIF(Master_Data!$AK$152:$AK$864,CONCATENATE($C33,BT$3),Master_Data!$T$152:$T$864)</f>
        <v>0</v>
      </c>
      <c r="BS33" s="45">
        <f>SUMIF(Report_BM!$CH$6:$CH$73,CONCATENATE($C33,BT$3),Report_BM!$CE$6:$CE$73)</f>
        <v>0</v>
      </c>
      <c r="BT33" s="39">
        <f ca="1">SUMIF(Report_BM!$CH$6:$CH$73,CONCATENATE($C33,BT$3),Report_BM!$CF$6:$CF$73)</f>
        <v>696000000</v>
      </c>
      <c r="BU33" s="103"/>
      <c r="BV33" s="104"/>
      <c r="BW33" s="104"/>
      <c r="BX33" s="104"/>
      <c r="BY33" s="104"/>
      <c r="BZ33" s="104"/>
      <c r="CA33" s="45">
        <f>SUMIF(Report_BM!$CY$6:$CY$73,CONCATENATE($C33,CI$3),Report_BM!$CK$6:$CK$73)+SUMIF(Report_BM!$CY$6:$CY$73,CONCATENATE($C33,CI$3),Report_BM!$CN$6:$CN$73)</f>
        <v>0</v>
      </c>
      <c r="CB33" s="46">
        <f ca="1">SUMIF(Report_BM!$CY$6:$CY$73,CONCATENATE($C33,$CI$3),Report_BM!$CL$6:$CL$73)+SUMIF(Report_BM!$CY$6:$CY$73,CONCATENATE($C33,$CI$3),Report_BM!$CO$6:$CO$73)</f>
        <v>696000000</v>
      </c>
      <c r="CC33" s="45">
        <f>SUMIF(Report_BM!$CY$6:$CY$73,CONCATENATE($C33,CI$3),Report_BM!$CQ$6:$CQ$73)</f>
        <v>0</v>
      </c>
      <c r="CD33" s="39">
        <f>SUMIF(Report_BM!$CY$6:$CY$73,CONCATENATE($C33,CI$3),Report_BM!$CR$6:$CR$73)</f>
        <v>0</v>
      </c>
      <c r="CE33" s="39">
        <f>SUMIF(Report_BM!$CY$6:$CY$73,CONCATENATE($C33,CI$3),Report_BM!$CS$6:$CS$73)</f>
        <v>0</v>
      </c>
      <c r="CF33" s="39">
        <f ca="1">SUMIF(Report_BM!$CY$6:$CY$73,CONCATENATE($C33,CI$3),Report_BM!$CT$6:$CT$73)</f>
        <v>0</v>
      </c>
      <c r="CG33" s="46">
        <f>SUMIF(Report_BM!$CY$6:$CY$73,CONCATENATE($C33,CI$3),Report_BM!$CU$6:$CU$73)</f>
        <v>0</v>
      </c>
      <c r="CH33" s="45">
        <f>SUMIF(Report_BM!$CY$6:$CY$73,CONCATENATE($C33,CI$3),Report_BM!$CV$6:$CV$73)</f>
        <v>0</v>
      </c>
      <c r="CI33" s="39">
        <f ca="1">SUMIF(Report_BM!$CY$6:$CY$73,CONCATENATE($C33,CI$3),Report_BM!$CW$6:$CW$73)</f>
        <v>696000000</v>
      </c>
      <c r="CJ33" s="103"/>
      <c r="CK33" s="104"/>
      <c r="CL33" s="104"/>
      <c r="CM33" s="104"/>
      <c r="CN33" s="104"/>
      <c r="CO33" s="104"/>
      <c r="CP33" s="45">
        <f>SUMIF(Report_BM!$DP$6:$DP$73,CONCATENATE($C33,CX$3),Report_BM!$DB$6:$DB$73)+SUMIF(Report_BM!$DP$6:$DP$73,CONCATENATE($C33,CX$3),Report_BM!$DE$6:$DE$73)</f>
        <v>0</v>
      </c>
      <c r="CQ33" s="46">
        <f ca="1">SUMIF(Report_BM!$DP$6:$DP$73,CONCATENATE($C33,$CX$3),Report_BM!$DC$6:$DC$73)+SUMIF(Report_BM!$DP$6:$DP$73,CONCATENATE($C33,$CX$3),Report_BM!$DF$6:$DF$73)</f>
        <v>696000000</v>
      </c>
      <c r="CR33" s="45">
        <f>SUMIF(Report_BM!$DP$6:$DP$73,CONCATENATE($C33,CX$3),Report_BM!$DH$6:$DH$73)</f>
        <v>0</v>
      </c>
      <c r="CS33" s="39">
        <f>SUMIF(Report_BM!$DP$6:$DP$73,CONCATENATE($C33,CX$3),Report_BM!$DI$6:$DI$73)</f>
        <v>0</v>
      </c>
      <c r="CT33" s="39">
        <f>SUMIF(Report_BM!$DP$6:$DP$73,CONCATENATE($C33,CX$3),Report_BM!$DJ$6:$DJ$73)</f>
        <v>0</v>
      </c>
      <c r="CU33" s="39">
        <f>SUMIF(Report_BM!$DP$6:$DP$73,CONCATENATE($C33,CX$3),Report_BM!$DK$6:$DK$73)</f>
        <v>0</v>
      </c>
      <c r="CV33" s="46">
        <f>SUMIF(Master_Data!$AK$152:$AK$864,CONCATENATE($C33,CX$3),Master_Data!$T$152:$T$864)</f>
        <v>0</v>
      </c>
      <c r="CW33" s="45">
        <f>SUMIF(Report_BM!$DP$6:$DP$73,CONCATENATE($C33,CX$3),Report_BM!$DM$6:$DM$73)</f>
        <v>0</v>
      </c>
      <c r="CX33" s="39">
        <f ca="1">SUMIF(Report_BM!$DP$6:$DP$73,CONCATENATE($C33,CX$3),Report_BM!$DN$6:$DN$73)</f>
        <v>696000000</v>
      </c>
      <c r="CY33" s="103"/>
      <c r="CZ33" s="104"/>
      <c r="DA33" s="104"/>
      <c r="DB33" s="104"/>
      <c r="DC33" s="104"/>
      <c r="DD33" s="104"/>
      <c r="DE33" s="45">
        <f>SUMIF(Report_BM!$EG$6:$EG$73,CONCATENATE($C33,DM$3),Report_BM!$DS$6:$DS$73)+SUMIF(Report_BM!$EG$6:$EG$73,CONCATENATE($C33,DM$3),Report_BM!$DV$6:$DV$73)</f>
        <v>0</v>
      </c>
      <c r="DF33" s="46">
        <f ca="1">SUMIF(Report_BM!$EG$6:$EG$73,CONCATENATE($C33,$DM$3),Report_BM!$DT$6:$DT$73)+SUMIF(Report_BM!$EG$6:$EG$73,CONCATENATE($C33,$DM$3),Report_BM!$DW$6:$DW$73)</f>
        <v>696000000</v>
      </c>
      <c r="DG33" s="45">
        <f>SUMIF(Report_BM!$EG$6:$EG$73,CONCATENATE($C33,DM$3),Report_BM!$DY$6:$DY$73)</f>
        <v>0</v>
      </c>
      <c r="DH33" s="39">
        <f>SUMIF(Report_BM!EG$6:EG$73,CONCATENATE($C33,DM$3),Report_BM!DZ$6:DZ$73)</f>
        <v>0</v>
      </c>
      <c r="DI33" s="39">
        <f>SUMIF(Report_BM!EG$6:EG$73,CONCATENATE($C33,DM$3),Report_BM!$EA$6:$EA$73)</f>
        <v>0</v>
      </c>
      <c r="DJ33" s="39">
        <f>SUMIF(Report_BM!EG$6:EG$73,CONCATENATE($C33,DM$3),Report_BM!$EB$6:$EB$73)</f>
        <v>0</v>
      </c>
      <c r="DK33" s="46">
        <f>SUMIF(Master_Data!$AK$152:$AK$864,CONCATENATE($C33,DM$3),Master_Data!$T$152:$T$864)</f>
        <v>0</v>
      </c>
      <c r="DL33" s="45">
        <f>SUMIF(Report_BM!EG$6:EG$73,CONCATENATE($C33,DM$3),Report_BM!ED$6:ED$73)</f>
        <v>0</v>
      </c>
      <c r="DM33" s="39">
        <f ca="1">SUMIF(Report_BM!EG$6:EG$73,CONCATENATE($C33,DM$3),Report_BM!EE$6:EE$73)</f>
        <v>696000000</v>
      </c>
      <c r="DN33" s="103"/>
      <c r="DO33" s="104"/>
      <c r="DP33" s="104"/>
      <c r="DQ33" s="104"/>
      <c r="DR33" s="104"/>
      <c r="DS33" s="104"/>
      <c r="DT33" s="45">
        <f>SUMIF(Report_BM!$EX$6:$EX$73,CONCATENATE($C33,EB$3),Report_BM!$EJ$6:$EJ$73)+SUMIF(Report_BM!$EX$6:$EX$73,CONCATENATE($C33,EB$3),Report_BM!$EM$6:$EM$73)</f>
        <v>0</v>
      </c>
      <c r="DU33" s="46">
        <f ca="1">SUMIF(Report_BM!$EX$6:$EX$73,CONCATENATE($C33,$EB$3),Report_BM!$EK$6:$EK$73)+SUMIF(Report_BM!$EX$6:$EX$73,CONCATENATE($C33,$EB$3),Report_BM!$EN$6:$EN$73)</f>
        <v>696000000</v>
      </c>
      <c r="DV33" s="45">
        <f>SUMIF(Report_BM!$EX$6:$EX$73,CONCATENATE($C33,EB$3),Report_BM!$EP$6:$EP$73)</f>
        <v>0</v>
      </c>
      <c r="DW33" s="39">
        <f>SUMIF(Report_BM!$EX$6:$EX$73,CONCATENATE($C33,EB$3),Report_BM!$EQ$6:$EQ$73)</f>
        <v>0</v>
      </c>
      <c r="DX33" s="39">
        <f>SUMIF(Report_BM!$EX$6:$EX$73,CONCATENATE($C33,EB$3),Report_BM!$ER$6:$ER$73)</f>
        <v>0</v>
      </c>
      <c r="DY33" s="39">
        <f>SUMIF(Report_BM!$EX$6:$EX$73,CONCATENATE($C33,EB$3),Report_BM!$ES$6:$ES$73)</f>
        <v>0</v>
      </c>
      <c r="DZ33" s="46">
        <f>SUMIF(Master_Data!$AK$152:$AK$864,CONCATENATE($C33,EB$3),Master_Data!$T$152:$T$864)</f>
        <v>0</v>
      </c>
      <c r="EA33" s="45">
        <f>SUMIF(Report_BM!EX$6:EX$73,CONCATENATE($C33,EB$3),Report_BM!EU$6:EU$73)</f>
        <v>0</v>
      </c>
      <c r="EB33" s="39">
        <f>SUMIF(Report_BM!EX$6:EX$73,CONCATENATE($C33,EB$3),Report_BM!EV$6:EV$73)</f>
        <v>0</v>
      </c>
      <c r="EC33" s="103"/>
      <c r="ED33" s="104"/>
      <c r="EE33" s="104"/>
      <c r="EF33" s="104"/>
      <c r="EG33" s="104"/>
      <c r="EH33" s="104"/>
      <c r="EI33" s="45">
        <f>SUMIF(Report_BM!$FO$6:$FO$73,CONCATENATE($C33,EQ$3),Report_BM!$FA$6:$FA$73)+SUMIF(Report_BM!$FO$6:$FO$73,CONCATENATE($C33,EQ$3),Report_BM!$FD$6:$FD$73)</f>
        <v>0</v>
      </c>
      <c r="EJ33" s="46">
        <f>SUMIF(Report_BM!$FO$6:$FO$73,CONCATENATE($C33,$EQ$3),Report_BM!$FB$6:$FB$73)+SUMIF(Report_BM!$FO$6:$FO$73,CONCATENATE($C33,$EQ$3),Report_BM!$FE$6:$FE$73)</f>
        <v>0</v>
      </c>
      <c r="EK33" s="45">
        <f>SUMIF(Report_BM!$FO$6:$FO$73,CONCATENATE($C33,EQ$3),Report_BM!$FG$6:$FG$73)</f>
        <v>0</v>
      </c>
      <c r="EL33" s="39">
        <f>SUMIF(Report_BM!$FO$6:$FO$73,CONCATENATE($C33,EQ$3),Report_BM!$FH$6:$FH$73)</f>
        <v>0</v>
      </c>
      <c r="EM33" s="39">
        <f>SUMIF(Report_BM!$FO$6:$FO$73,CONCATENATE($C33,EQ$3),Report_BM!$FI$6:$FI$73)</f>
        <v>0</v>
      </c>
      <c r="EN33" s="39">
        <f>SUMIF(Report_BM!$FO$6:$FO$73,CONCATENATE($C33,EQ$3),Report_BM!$FJ$6:$FJ$73)</f>
        <v>0</v>
      </c>
      <c r="EO33" s="46">
        <f>SUMIF(Master_Data!$AK$152:$AK$864,CONCATENATE($C33,EQ$3),Master_Data!$T$152:$T$864)</f>
        <v>0</v>
      </c>
      <c r="EP33" s="45">
        <f>SUMIF(Report_BM!FO$6:FO$73,CONCATENATE($C33,EQ$3),Report_BM!FL$6:FL$73)</f>
        <v>0</v>
      </c>
      <c r="EQ33" s="39">
        <f>SUMIF(Report_BM!FO$6:FO$73,CONCATENATE($C33,EQ$3),Report_BM!FM$6:FM$73)</f>
        <v>0</v>
      </c>
      <c r="ER33" s="103"/>
      <c r="ES33" s="104"/>
      <c r="ET33" s="104"/>
      <c r="EU33" s="104"/>
      <c r="EV33" s="104"/>
      <c r="EW33" s="104"/>
      <c r="EX33" s="45">
        <f>SUMIF(Report_BM!$GF$6:$GF$73,CONCATENATE($C33,FF$3),Report_BM!$FR$6:$FR$73)+SUMIF(Report_BM!$GF$6:$GF$73,CONCATENATE($C33,FF$3),Report_BM!$FU$6:$FU$73)</f>
        <v>0</v>
      </c>
      <c r="EY33" s="46">
        <f>SUMIF(Report_BM!$GF$6:$GF$73,CONCATENATE($C33,$FF$3),Report_BM!$FS$6:$FS$73)+SUMIF(Report_BM!$GF$6:$GF$73,CONCATENATE($C33,$FF$3),Report_BM!$FV$6:$FV$73)</f>
        <v>0</v>
      </c>
      <c r="EZ33" s="45">
        <f>SUMIF(Report_BM!$GF$6:$GF$73,CONCATENATE($C33,FF$3),Report_BM!$FX$6:$FX$73)</f>
        <v>0</v>
      </c>
      <c r="FA33" s="39">
        <f>SUMIF(Report_BM!$GF$6:$GF$73,CONCATENATE($C33,FF$3),Report_BM!$FY$6:$FY$73)</f>
        <v>0</v>
      </c>
      <c r="FB33" s="39">
        <f>SUMIF(Report_BM!$GF$6:$GF$73,CONCATENATE($C33,FF$3),Report_BM!$FZ$6:$FZ$73)</f>
        <v>0</v>
      </c>
      <c r="FC33" s="39">
        <f>SUMIF(Report_BM!$GF$6:$GF$73,CONCATENATE($C33,FF$3),Report_BM!$GA$6:$GA$73)</f>
        <v>0</v>
      </c>
      <c r="FD33" s="46">
        <f>SUMIF(Master_Data!$AK$152:$AK$864,CONCATENATE($C33,FF$3),Master_Data!$T$152:$T$864)</f>
        <v>0</v>
      </c>
      <c r="FE33" s="45">
        <f>SUMIF(Report_BM!GF$6:GF$73,CONCATENATE($C33,FF$3),Report_BM!GC$6:GC$73)</f>
        <v>0</v>
      </c>
      <c r="FF33" s="39">
        <f>SUMIF(Report_BM!GF$6:GF$73,CONCATENATE($C33,FF$3),Report_BM!GD$6:GD$73)</f>
        <v>0</v>
      </c>
      <c r="FG33" s="103"/>
      <c r="FH33" s="104"/>
      <c r="FI33" s="104"/>
      <c r="FJ33" s="104"/>
      <c r="FK33" s="104"/>
      <c r="FL33" s="104"/>
      <c r="FM33" s="45">
        <f>SUMIF(Report_BM!$GW$6:$GW$73,CONCATENATE($C33,FU$3),Report_BM!$GI$6:$GI$73)+SUMIF(Report_BM!$GW$6:$GW$73,CONCATENATE($C33,FU$3),Report_BM!$GL$6:$GL$73)</f>
        <v>0</v>
      </c>
      <c r="FN33" s="46">
        <f>SUMIF(Report_BM!$GW$6:$GW$73,CONCATENATE($C33,$FU$3),Report_BM!$GJ$6:$GJ$73)+SUMIF(Report_BM!$GW$6:$GW$73,CONCATENATE($C33,$FU$3),Report_BM!$GM$6:$GM$73)</f>
        <v>0</v>
      </c>
      <c r="FO33" s="45">
        <f>SUMIF(Report_BM!$GW$6:$GW$73,CONCATENATE($C33,FU$3),Report_BM!$GO$6:$GO$73)</f>
        <v>0</v>
      </c>
      <c r="FP33" s="39">
        <f>SUMIF(Report_BM!$GW$6:$GW$73,CONCATENATE($C33,FU$3),Report_BM!$GP$6:$GP$73)</f>
        <v>0</v>
      </c>
      <c r="FQ33" s="39">
        <f>SUMIF(Report_BM!$GW$6:$GW$73,CONCATENATE($C33,FU$3),Report_BM!$GQ$6:$GQ$73)</f>
        <v>0</v>
      </c>
      <c r="FR33" s="39">
        <f>SUMIF(Report_BM!$GW$6:$GW$73,CONCATENATE($C33,FU$3),Report_BM!$GR$6:$GR$73)</f>
        <v>0</v>
      </c>
      <c r="FS33" s="46">
        <f>SUMIF(Master_Data!$AK$152:$AK$864,CONCATENATE($C33,FU$3),Master_Data!$T$152:$T$864)</f>
        <v>0</v>
      </c>
      <c r="FT33" s="45">
        <f>SUMIF(Report_BM!GW$6:GW$73,CONCATENATE($C33,FU$3),Report_BM!GT$6:GT$73)</f>
        <v>0</v>
      </c>
      <c r="FU33" s="39">
        <f>SUMIF(Report_BM!GW$6:GW$73,CONCATENATE($C33,FU$3),Report_BM!GU$6:GU$73)</f>
        <v>0</v>
      </c>
      <c r="FV33" s="103"/>
      <c r="FW33" s="104"/>
      <c r="FX33" s="104"/>
      <c r="FY33" s="104"/>
      <c r="FZ33" s="104"/>
      <c r="GA33" s="104"/>
    </row>
    <row r="34" spans="1:183" s="40" customFormat="1" ht="14.1" customHeight="1">
      <c r="A34" s="9">
        <v>28</v>
      </c>
      <c r="B34" s="328" t="s">
        <v>41</v>
      </c>
      <c r="C34" s="613" t="s">
        <v>40</v>
      </c>
      <c r="D34" s="45">
        <f>SUMIF(Report_BM!$B$6:$B$73,CONCATENATE($C34,L$3),Report_BM!$E$6:$E$73)+SUMIF(Report_BM!$B$6:$B$73,CONCATENATE($C34,L$3),Report_BM!$H$6:$H$73)</f>
        <v>0</v>
      </c>
      <c r="E34" s="276" t="e">
        <f>SUMIF(Report_BM!$B$6:$B$73,CONCATENATE($C34,L$3),Report_BM!$F$6:$F$73)+SUMIF(Report_BM!$B$6:$B$73,CONCATENATE($C34,L$3),Report_BM!$I$6:$I$73)</f>
        <v>#VALUE!</v>
      </c>
      <c r="F34" s="45">
        <f>SUMIF(Report_BM!$B$6:$B$73,CONCATENATE($C34,L$3),Report_BM!$K$6:$K$73)</f>
        <v>0</v>
      </c>
      <c r="G34" s="39">
        <f>SUMIF(Report_BM!$B$6:$B$73,CONCATENATE($C34,$L$3),Report_BM!$L$6:$L$73)</f>
        <v>0</v>
      </c>
      <c r="H34" s="39">
        <f>SUMIF(Report_BM!$B$6:$B$73,CONCATENATE($C34,$L$3),Report_BM!$M$6:$M$73)</f>
        <v>557925621</v>
      </c>
      <c r="I34" s="39">
        <f>SUMIF(Report_BM!$B$6:$B$73,CONCATENATE($C34,$L$3),Report_BM!$N$6:$N$73)</f>
        <v>0</v>
      </c>
      <c r="J34" s="46">
        <f>SUMIF(Report_BM!$B$6:$B$73,CONCATENATE($C34,$L$3),Report_BM!$O$6:$O$73)</f>
        <v>-10202068</v>
      </c>
      <c r="K34" s="45">
        <f>SUMIF(Report_BM!$B$6:$B$73,CONCATENATE($C34,$L$3),Report_BM!$P$6:$P$73)</f>
        <v>0</v>
      </c>
      <c r="L34" s="39" t="e">
        <f>SUMIF(Report_BM!$B$6:$B$73,CONCATENATE($C34,$L$3),Report_BM!$Q$6:$Q$73)</f>
        <v>#VALUE!</v>
      </c>
      <c r="M34" s="103"/>
      <c r="N34" s="104"/>
      <c r="O34" s="104"/>
      <c r="P34" s="104"/>
      <c r="Q34" s="104"/>
      <c r="R34" s="104"/>
      <c r="S34" s="45">
        <f>SUMIF(Report_BM!$AI$8:$AI$72,CONCATENATE($C34,AA$3),Report_BM!$U$8:$U$72)+SUMIF(Report_BM!$AI$8:$AI$72,CONCATENATE($C34,AA$3),Report_BM!$X$8:$X$72)</f>
        <v>0</v>
      </c>
      <c r="T34" s="276" t="e">
        <f>SUMIF(Report_BM!$AI$8:$AI$72,CONCATENATE($C34,AA$3),Report_BM!$V$8:$V$72)+SUMIF(Report_BM!$AI$8:$AI$72,CONCATENATE($C34,AA$3),Report_BM!$Y$8:$Y$72)</f>
        <v>#VALUE!</v>
      </c>
      <c r="U34" s="45">
        <f>SUMIF(Report_BM!$AI$8:$AI$72,CONCATENATE($C34,AA$3),Report_BM!$AA$8:$AB$72)</f>
        <v>0</v>
      </c>
      <c r="V34" s="39">
        <f>SUMIF(Report_BM!$AI$8:$AI$72,CONCATENATE($C34,$AA$3),Report_BM!$AB$8:$AB$72)</f>
        <v>0</v>
      </c>
      <c r="W34" s="39">
        <f>SUMIF(Report_BM!$AI$8:$AI$72,CONCATENATE($C34,$AA$3),Report_BM!$AC$8:$AC$72)</f>
        <v>299355836</v>
      </c>
      <c r="X34" s="39">
        <f ca="1">SUMIF(Report_BM!$AI$7:$AI$73,CONCATENATE($C34,$AA$3),Report_BM!$AD$7:$AD$73)</f>
        <v>0</v>
      </c>
      <c r="Y34" s="46">
        <f>SUMIF(Master_Data!$AK$152:$AK$864,CONCATENATE($C34,AA$3),Master_Data!$T$152:$T$864)</f>
        <v>-5126034</v>
      </c>
      <c r="Z34" s="45">
        <f>SUMIF(Report_BM!$AI$8:$AI$72,CONCATENATE($C34,$AA$3),Report_BM!$AF$8:$AF$72)</f>
        <v>0</v>
      </c>
      <c r="AA34" s="39" t="e">
        <f ca="1">SUMIF(Report_BM!$AI$8:$AI$72,CONCATENATE($C34,$AA$3),Report_BM!$AG$8:$AG$72)</f>
        <v>#VALUE!</v>
      </c>
      <c r="AB34" s="103"/>
      <c r="AC34" s="104"/>
      <c r="AD34" s="104"/>
      <c r="AE34" s="104"/>
      <c r="AF34" s="104"/>
      <c r="AG34" s="104"/>
      <c r="AH34" s="45">
        <f>SUMIF(Report_BM!$AZ$5:$AZ$72,CONCATENATE($C34,AP$3),Report_BM!$AL$5:$AL$72)+SUMIF(Report_BM!$AZ$5:$AZ$72,CONCATENATE($C34,AP$3),Report_BM!$AO$5:$AO$72)</f>
        <v>0</v>
      </c>
      <c r="AI34" s="46" t="e">
        <f ca="1">SUMIF(Report_BM!$AZ$5:$AZ$72,CONCATENATE($C34,$AP$3),Report_BM!$AM$5:$AM$72)+SUMIF(Report_BM!$AZ$5:$AZ$72,CONCATENATE($C34,$AP$3),Report_BM!$AP$5:$AP$72)</f>
        <v>#VALUE!</v>
      </c>
      <c r="AJ34" s="45">
        <f>SUMIF(Report_BM!$AZ$5:$AZ$72,CONCATENATE($C34,$AP$3),Report_BM!$AR$5:$AR$72)</f>
        <v>0</v>
      </c>
      <c r="AK34" s="39">
        <f>SUMIF(Report_BM!$AZ$5:$AZ$72,CONCATENATE($C34,$AP$3),Report_BM!$AS$5:$AS$72)</f>
        <v>0</v>
      </c>
      <c r="AL34" s="39">
        <f>SUMIF(Report_BM!$AZ$5:$AZ$72,CONCATENATE($C34,$AP$3),Report_BM!$AT$5:$AT$72)</f>
        <v>0</v>
      </c>
      <c r="AM34" s="39">
        <f ca="1">SUMIF(Report_BM!$AZ$5:$AZ$72,CONCATENATE($C34,$AP$3),Report_BM!$AU$5:$AU$72)</f>
        <v>0</v>
      </c>
      <c r="AN34" s="46">
        <f>SUMIF(Master_Data!$AK$152:$AK$915,CONCATENATE($C34,AP$3),Master_Data!$T$152:$T$915)</f>
        <v>0</v>
      </c>
      <c r="AO34" s="45">
        <f>SUMIF(Report_BM!$AZ$5:$AZ$72,CONCATENATE($C34,$AP$3),Report_BM!$AW$5:$AW$72)</f>
        <v>0</v>
      </c>
      <c r="AP34" s="39" t="e">
        <f ca="1">SUMIF(Report_BM!$AZ$5:$AZ$72,CONCATENATE($C34,$AP$3),Report_BM!$AX$5:$AX$72)</f>
        <v>#VALUE!</v>
      </c>
      <c r="AQ34" s="103"/>
      <c r="AR34" s="104"/>
      <c r="AS34" s="104"/>
      <c r="AT34" s="104"/>
      <c r="AU34" s="104"/>
      <c r="AV34" s="104"/>
      <c r="AW34" s="45">
        <f>SUMIF(Report_BM!$BQ$6:$BQ$73,CONCATENATE($C34,BE$3),Report_BM!$BC$6:$BC$73)+SUMIF(Report_BM!$BQ$6:$BQ$73,CONCATENATE($C34,BE$3),Report_BM!$BF$6:$BF$73)</f>
        <v>0</v>
      </c>
      <c r="AX34" s="46" t="e">
        <f ca="1">SUMIF(Report_BM!$BQ$6:$BQ$73,CONCATENATE($C34,$BE$3),Report_BM!$BD$6:$BD$73)+SUMIF(Report_BM!$BQ$6:$BQ$73,CONCATENATE($C34,$BE$3),Report_BM!$BG$6:$BG$73)</f>
        <v>#VALUE!</v>
      </c>
      <c r="AY34" s="45">
        <f>SUMIF(Report_BM!$BQ$6:$BQ$73,CONCATENATE($C34,BE$3),Report_BM!$BI$6:$BI$73)</f>
        <v>0</v>
      </c>
      <c r="AZ34" s="39">
        <f>SUMIF(Report_BM!$BQ$6:$BQ$73,CONCATENATE($C34,BE$3),Report_BM!$BJ$6:$BJ$73)</f>
        <v>0</v>
      </c>
      <c r="BA34" s="39">
        <f>SUMIF(Report_BM!$BQ$6:$BQ$73,CONCATENATE($C34,BE$3),Report_BM!$BK$6:$BK$73)</f>
        <v>897259968</v>
      </c>
      <c r="BB34" s="39">
        <f>SUMIF(Report_BM!$BQ$6:$BQ$73,CONCATENATE($C34,BE$3),Report_BM!$BL$6:$BL$73)</f>
        <v>0</v>
      </c>
      <c r="BC34" s="46">
        <f>SUMIF(Master_Data!$AK$152:$AK$864,CONCATENATE($C34,BE$3),Master_Data!$T$152:$T$864)</f>
        <v>-16522530</v>
      </c>
      <c r="BD34" s="45">
        <f>SUMIF(Report_BM!$BQ$6:$BQ$73,CONCATENATE($C34,BE$3),Report_BM!$BN$6:$BN$73)</f>
        <v>0</v>
      </c>
      <c r="BE34" s="39" t="e">
        <f ca="1">SUMIF(Report_BM!$BQ$6:$BQ$73,CONCATENATE($C34,BE$3),Report_BM!$BO$6:$BO$73)</f>
        <v>#VALUE!</v>
      </c>
      <c r="BF34" s="103"/>
      <c r="BG34" s="104"/>
      <c r="BH34" s="104"/>
      <c r="BI34" s="104"/>
      <c r="BJ34" s="104"/>
      <c r="BK34" s="104"/>
      <c r="BL34" s="45">
        <f>SUMIF(Report_BM!$CH$6:$CH$73,CONCATENATE($C34,BT$3),Report_BM!$BT$6:$BT$73)+SUMIF(Report_BM!$CH$6:$CH$73,CONCATENATE($C34,BT$3),Report_BM!$BW$6:$BW$73)</f>
        <v>0</v>
      </c>
      <c r="BM34" s="46" t="e">
        <f ca="1">SUMIF(Report_BM!$CH$6:$CH$73,CONCATENATE($C34,$BT$3),Report_BM!$BU$6:$BU$73)+SUMIF(Report_BM!$CH$6:$CH$73,CONCATENATE($C34,$BT$3),Report_BM!$BX$6:$BX$73)</f>
        <v>#VALUE!</v>
      </c>
      <c r="BN34" s="45">
        <f>SUMIF(Report_BM!$CH$6:$CH$73,CONCATENATE($C34,BT$3),Report_BM!$BZ$6:$BZ$73)</f>
        <v>0</v>
      </c>
      <c r="BO34" s="39">
        <f>SUMIF(Report_BM!$CH$6:$CH$73,CONCATENATE($C34,BT$3),Report_BM!$CA$6:$CA$73)</f>
        <v>0</v>
      </c>
      <c r="BP34" s="39">
        <f>SUMIF(Report_BM!$CH$6:$CH$73,CONCATENATE($C34,BT$3),Report_BM!$CB$6:$CB$73)</f>
        <v>44752932</v>
      </c>
      <c r="BQ34" s="39">
        <f>SUMIF(Report_BM!$CH$6:$CH$73,CONCATENATE($C34,BT$3),Report_BM!$CC$6:$CC$73)</f>
        <v>0</v>
      </c>
      <c r="BR34" s="46">
        <f>SUMIF(Master_Data!$AK$152:$AK$864,CONCATENATE($C34,BT$3),Master_Data!$T$152:$T$864)</f>
        <v>-828758</v>
      </c>
      <c r="BS34" s="45">
        <f>SUMIF(Report_BM!$CH$6:$CH$73,CONCATENATE($C34,BT$3),Report_BM!$CE$6:$CE$73)</f>
        <v>0</v>
      </c>
      <c r="BT34" s="39" t="e">
        <f ca="1">SUMIF(Report_BM!$CH$6:$CH$73,CONCATENATE($C34,BT$3),Report_BM!$CF$6:$CF$73)</f>
        <v>#VALUE!</v>
      </c>
      <c r="BU34" s="103"/>
      <c r="BV34" s="104"/>
      <c r="BW34" s="104"/>
      <c r="BX34" s="104"/>
      <c r="BY34" s="104"/>
      <c r="BZ34" s="104"/>
      <c r="CA34" s="45">
        <f>SUMIF(Report_BM!$CY$6:$CY$73,CONCATENATE($C34,CI$3),Report_BM!$CK$6:$CK$73)+SUMIF(Report_BM!$CY$6:$CY$73,CONCATENATE($C34,CI$3),Report_BM!$CN$6:$CN$73)</f>
        <v>0</v>
      </c>
      <c r="CB34" s="46" t="e">
        <f ca="1">SUMIF(Report_BM!$CY$6:$CY$73,CONCATENATE($C34,$CI$3),Report_BM!$CL$6:$CL$73)+SUMIF(Report_BM!$CY$6:$CY$73,CONCATENATE($C34,$CI$3),Report_BM!$CO$6:$CO$73)</f>
        <v>#VALUE!</v>
      </c>
      <c r="CC34" s="45">
        <f>SUMIF(Report_BM!$CY$6:$CY$73,CONCATENATE($C34,CI$3),Report_BM!$CQ$6:$CQ$73)</f>
        <v>0</v>
      </c>
      <c r="CD34" s="39">
        <f>SUMIF(Report_BM!$CY$6:$CY$73,CONCATENATE($C34,CI$3),Report_BM!$CR$6:$CR$73)</f>
        <v>0</v>
      </c>
      <c r="CE34" s="39">
        <f>SUMIF(Report_BM!$CY$6:$CY$73,CONCATENATE($C34,CI$3),Report_BM!$CS$6:$CS$73)</f>
        <v>18130600</v>
      </c>
      <c r="CF34" s="39">
        <f ca="1">SUMIF(Report_BM!$CY$6:$CY$73,CONCATENATE($C34,CI$3),Report_BM!$CT$6:$CT$73)</f>
        <v>0</v>
      </c>
      <c r="CG34" s="46">
        <f>SUMIF(Report_BM!$CY$6:$CY$73,CONCATENATE($C34,CI$3),Report_BM!$CU$6:$CU$73)</f>
        <v>-270000</v>
      </c>
      <c r="CH34" s="45">
        <f>SUMIF(Report_BM!$CY$6:$CY$73,CONCATENATE($C34,CI$3),Report_BM!$CV$6:$CV$73)</f>
        <v>0</v>
      </c>
      <c r="CI34" s="39" t="e">
        <f ca="1">SUMIF(Report_BM!$CY$6:$CY$73,CONCATENATE($C34,CI$3),Report_BM!$CW$6:$CW$73)</f>
        <v>#VALUE!</v>
      </c>
      <c r="CJ34" s="103"/>
      <c r="CK34" s="104"/>
      <c r="CL34" s="104"/>
      <c r="CM34" s="104"/>
      <c r="CN34" s="104"/>
      <c r="CO34" s="104"/>
      <c r="CP34" s="45">
        <f>SUMIF(Report_BM!$DP$6:$DP$73,CONCATENATE($C34,CX$3),Report_BM!$DB$6:$DB$73)+SUMIF(Report_BM!$DP$6:$DP$73,CONCATENATE($C34,CX$3),Report_BM!$DE$6:$DE$73)</f>
        <v>0</v>
      </c>
      <c r="CQ34" s="46" t="e">
        <f ca="1">SUMIF(Report_BM!$DP$6:$DP$73,CONCATENATE($C34,$CX$3),Report_BM!$DC$6:$DC$73)+SUMIF(Report_BM!$DP$6:$DP$73,CONCATENATE($C34,$CX$3),Report_BM!$DF$6:$DF$73)</f>
        <v>#VALUE!</v>
      </c>
      <c r="CR34" s="45">
        <f>SUMIF(Report_BM!$DP$6:$DP$73,CONCATENATE($C34,CX$3),Report_BM!$DH$6:$DH$73)</f>
        <v>0</v>
      </c>
      <c r="CS34" s="39">
        <f>SUMIF(Report_BM!$DP$6:$DP$73,CONCATENATE($C34,CX$3),Report_BM!$DI$6:$DI$73)</f>
        <v>0</v>
      </c>
      <c r="CT34" s="39">
        <f>SUMIF(Report_BM!$DP$6:$DP$73,CONCATENATE($C34,CX$3),Report_BM!$DJ$6:$DJ$73)</f>
        <v>948204856</v>
      </c>
      <c r="CU34" s="39">
        <f>SUMIF(Report_BM!$DP$6:$DP$73,CONCATENATE($C34,CX$3),Report_BM!$DK$6:$DK$73)</f>
        <v>0</v>
      </c>
      <c r="CV34" s="46">
        <f>SUMIF(Master_Data!$AK$152:$AK$864,CONCATENATE($C34,CX$3),Master_Data!$T$152:$T$864)</f>
        <v>-17559349.199999999</v>
      </c>
      <c r="CW34" s="45">
        <f>SUMIF(Report_BM!$DP$6:$DP$73,CONCATENATE($C34,CX$3),Report_BM!$DM$6:$DM$73)</f>
        <v>0</v>
      </c>
      <c r="CX34" s="39" t="e">
        <f ca="1">SUMIF(Report_BM!$DP$6:$DP$73,CONCATENATE($C34,CX$3),Report_BM!$DN$6:$DN$73)</f>
        <v>#VALUE!</v>
      </c>
      <c r="CY34" s="103"/>
      <c r="CZ34" s="104"/>
      <c r="DA34" s="104"/>
      <c r="DB34" s="104"/>
      <c r="DC34" s="104"/>
      <c r="DD34" s="104"/>
      <c r="DE34" s="45">
        <f>SUMIF(Report_BM!$EG$6:$EG$73,CONCATENATE($C34,DM$3),Report_BM!$DS$6:$DS$73)+SUMIF(Report_BM!$EG$6:$EG$73,CONCATENATE($C34,DM$3),Report_BM!$DV$6:$DV$73)</f>
        <v>0</v>
      </c>
      <c r="DF34" s="46" t="e">
        <f ca="1">SUMIF(Report_BM!$EG$6:$EG$73,CONCATENATE($C34,$DM$3),Report_BM!$DT$6:$DT$73)+SUMIF(Report_BM!$EG$6:$EG$73,CONCATENATE($C34,$DM$3),Report_BM!$DW$6:$DW$73)</f>
        <v>#VALUE!</v>
      </c>
      <c r="DG34" s="45">
        <f>SUMIF(Report_BM!$EG$6:$EG$73,CONCATENATE($C34,DM$3),Report_BM!$DY$6:$DY$73)</f>
        <v>0</v>
      </c>
      <c r="DH34" s="39">
        <f>SUMIF(Report_BM!EG$6:EG$73,CONCATENATE($C34,DM$3),Report_BM!DZ$6:DZ$73)</f>
        <v>0</v>
      </c>
      <c r="DI34" s="39">
        <f>SUMIF(Report_BM!EG$6:EG$73,CONCATENATE($C34,DM$3),Report_BM!$EA$6:$EA$73)</f>
        <v>0</v>
      </c>
      <c r="DJ34" s="39">
        <f>SUMIF(Report_BM!EG$6:EG$73,CONCATENATE($C34,DM$3),Report_BM!$EB$6:$EB$73)</f>
        <v>0</v>
      </c>
      <c r="DK34" s="46">
        <f>SUMIF(Master_Data!$AK$152:$AK$864,CONCATENATE($C34,DM$3),Master_Data!$T$152:$T$864)</f>
        <v>0</v>
      </c>
      <c r="DL34" s="45">
        <f>SUMIF(Report_BM!EG$6:EG$73,CONCATENATE($C34,DM$3),Report_BM!ED$6:ED$73)</f>
        <v>0</v>
      </c>
      <c r="DM34" s="39" t="e">
        <f ca="1">SUMIF(Report_BM!EG$6:EG$73,CONCATENATE($C34,DM$3),Report_BM!EE$6:EE$73)</f>
        <v>#VALUE!</v>
      </c>
      <c r="DN34" s="103"/>
      <c r="DO34" s="104"/>
      <c r="DP34" s="104"/>
      <c r="DQ34" s="104"/>
      <c r="DR34" s="104"/>
      <c r="DS34" s="104"/>
      <c r="DT34" s="45">
        <f>SUMIF(Report_BM!$EX$6:$EX$73,CONCATENATE($C34,EB$3),Report_BM!$EJ$6:$EJ$73)+SUMIF(Report_BM!$EX$6:$EX$73,CONCATENATE($C34,EB$3),Report_BM!$EM$6:$EM$73)</f>
        <v>0</v>
      </c>
      <c r="DU34" s="46" t="e">
        <f ca="1">SUMIF(Report_BM!$EX$6:$EX$73,CONCATENATE($C34,$EB$3),Report_BM!$EK$6:$EK$73)+SUMIF(Report_BM!$EX$6:$EX$73,CONCATENATE($C34,$EB$3),Report_BM!$EN$6:$EN$73)</f>
        <v>#VALUE!</v>
      </c>
      <c r="DV34" s="45">
        <f>SUMIF(Report_BM!$EX$6:$EX$73,CONCATENATE($C34,EB$3),Report_BM!$EP$6:$EP$73)</f>
        <v>0</v>
      </c>
      <c r="DW34" s="39">
        <f>SUMIF(Report_BM!$EX$6:$EX$73,CONCATENATE($C34,EB$3),Report_BM!$EQ$6:$EQ$73)</f>
        <v>0</v>
      </c>
      <c r="DX34" s="39">
        <f>SUMIF(Report_BM!$EX$6:$EX$73,CONCATENATE($C34,EB$3),Report_BM!$ER$6:$ER$73)</f>
        <v>0</v>
      </c>
      <c r="DY34" s="39">
        <f>SUMIF(Report_BM!$EX$6:$EX$73,CONCATENATE($C34,EB$3),Report_BM!$ES$6:$ES$73)</f>
        <v>0</v>
      </c>
      <c r="DZ34" s="46">
        <f>SUMIF(Master_Data!$AK$152:$AK$864,CONCATENATE($C34,EB$3),Master_Data!$T$152:$T$864)</f>
        <v>0</v>
      </c>
      <c r="EA34" s="45">
        <f>SUMIF(Report_BM!EX$6:EX$73,CONCATENATE($C34,EB$3),Report_BM!EU$6:EU$73)</f>
        <v>0</v>
      </c>
      <c r="EB34" s="39">
        <f>SUMIF(Report_BM!EX$6:EX$73,CONCATENATE($C34,EB$3),Report_BM!EV$6:EV$73)</f>
        <v>0</v>
      </c>
      <c r="EC34" s="103"/>
      <c r="ED34" s="104"/>
      <c r="EE34" s="104"/>
      <c r="EF34" s="104"/>
      <c r="EG34" s="104"/>
      <c r="EH34" s="104"/>
      <c r="EI34" s="45">
        <f>SUMIF(Report_BM!$FO$6:$FO$73,CONCATENATE($C34,EQ$3),Report_BM!$FA$6:$FA$73)+SUMIF(Report_BM!$FO$6:$FO$73,CONCATENATE($C34,EQ$3),Report_BM!$FD$6:$FD$73)</f>
        <v>0</v>
      </c>
      <c r="EJ34" s="46" t="e">
        <f>SUMIF(Report_BM!$FO$6:$FO$73,CONCATENATE($C34,$EQ$3),Report_BM!$FB$6:$FB$73)+SUMIF(Report_BM!$FO$6:$FO$73,CONCATENATE($C34,$EQ$3),Report_BM!$FE$6:$FE$73)</f>
        <v>#VALUE!</v>
      </c>
      <c r="EK34" s="45">
        <f>SUMIF(Report_BM!$FO$6:$FO$73,CONCATENATE($C34,EQ$3),Report_BM!$FG$6:$FG$73)</f>
        <v>0</v>
      </c>
      <c r="EL34" s="39">
        <f>SUMIF(Report_BM!$FO$6:$FO$73,CONCATENATE($C34,EQ$3),Report_BM!$FH$6:$FH$73)</f>
        <v>0</v>
      </c>
      <c r="EM34" s="39">
        <f>SUMIF(Report_BM!$FO$6:$FO$73,CONCATENATE($C34,EQ$3),Report_BM!$FI$6:$FI$73)</f>
        <v>0</v>
      </c>
      <c r="EN34" s="39">
        <f>SUMIF(Report_BM!$FO$6:$FO$73,CONCATENATE($C34,EQ$3),Report_BM!$FJ$6:$FJ$73)</f>
        <v>0</v>
      </c>
      <c r="EO34" s="46">
        <f>SUMIF(Master_Data!$AK$152:$AK$864,CONCATENATE($C34,EQ$3),Master_Data!$T$152:$T$864)</f>
        <v>0</v>
      </c>
      <c r="EP34" s="45">
        <f>SUMIF(Report_BM!FO$6:FO$73,CONCATENATE($C34,EQ$3),Report_BM!FL$6:FL$73)</f>
        <v>0</v>
      </c>
      <c r="EQ34" s="39" t="e">
        <f>SUMIF(Report_BM!FO$6:FO$73,CONCATENATE($C34,EQ$3),Report_BM!FM$6:FM$73)</f>
        <v>#VALUE!</v>
      </c>
      <c r="ER34" s="103"/>
      <c r="ES34" s="104"/>
      <c r="ET34" s="104"/>
      <c r="EU34" s="104"/>
      <c r="EV34" s="104"/>
      <c r="EW34" s="104"/>
      <c r="EX34" s="45">
        <f>SUMIF(Report_BM!$GF$6:$GF$73,CONCATENATE($C34,FF$3),Report_BM!$FR$6:$FR$73)+SUMIF(Report_BM!$GF$6:$GF$73,CONCATENATE($C34,FF$3),Report_BM!$FU$6:$FU$73)</f>
        <v>0</v>
      </c>
      <c r="EY34" s="46" t="e">
        <f>SUMIF(Report_BM!$GF$6:$GF$73,CONCATENATE($C34,$FF$3),Report_BM!$FS$6:$FS$73)+SUMIF(Report_BM!$GF$6:$GF$73,CONCATENATE($C34,$FF$3),Report_BM!$FV$6:$FV$73)</f>
        <v>#VALUE!</v>
      </c>
      <c r="EZ34" s="45">
        <f>SUMIF(Report_BM!$GF$6:$GF$73,CONCATENATE($C34,FF$3),Report_BM!$FX$6:$FX$73)</f>
        <v>0</v>
      </c>
      <c r="FA34" s="39">
        <f>SUMIF(Report_BM!$GF$6:$GF$73,CONCATENATE($C34,FF$3),Report_BM!$FY$6:$FY$73)</f>
        <v>0</v>
      </c>
      <c r="FB34" s="39">
        <f>SUMIF(Report_BM!$GF$6:$GF$73,CONCATENATE($C34,FF$3),Report_BM!$FZ$6:$FZ$73)</f>
        <v>0</v>
      </c>
      <c r="FC34" s="39">
        <f>SUMIF(Report_BM!$GF$6:$GF$73,CONCATENATE($C34,FF$3),Report_BM!$GA$6:$GA$73)</f>
        <v>0</v>
      </c>
      <c r="FD34" s="46">
        <f>SUMIF(Master_Data!$AK$152:$AK$864,CONCATENATE($C34,FF$3),Master_Data!$T$152:$T$864)</f>
        <v>0</v>
      </c>
      <c r="FE34" s="45">
        <f>SUMIF(Report_BM!GF$6:GF$73,CONCATENATE($C34,FF$3),Report_BM!GC$6:GC$73)</f>
        <v>0</v>
      </c>
      <c r="FF34" s="39" t="e">
        <f>SUMIF(Report_BM!GF$6:GF$73,CONCATENATE($C34,FF$3),Report_BM!GD$6:GD$73)</f>
        <v>#VALUE!</v>
      </c>
      <c r="FG34" s="103"/>
      <c r="FH34" s="104"/>
      <c r="FI34" s="104"/>
      <c r="FJ34" s="104"/>
      <c r="FK34" s="104"/>
      <c r="FL34" s="104"/>
      <c r="FM34" s="45">
        <f>SUMIF(Report_BM!$GW$6:$GW$73,CONCATENATE($C34,FU$3),Report_BM!$GI$6:$GI$73)+SUMIF(Report_BM!$GW$6:$GW$73,CONCATENATE($C34,FU$3),Report_BM!$GL$6:$GL$73)</f>
        <v>0</v>
      </c>
      <c r="FN34" s="46" t="e">
        <f>SUMIF(Report_BM!$GW$6:$GW$73,CONCATENATE($C34,$FU$3),Report_BM!$GJ$6:$GJ$73)+SUMIF(Report_BM!$GW$6:$GW$73,CONCATENATE($C34,$FU$3),Report_BM!$GM$6:$GM$73)</f>
        <v>#VALUE!</v>
      </c>
      <c r="FO34" s="45">
        <f>SUMIF(Report_BM!$GW$6:$GW$73,CONCATENATE($C34,FU$3),Report_BM!$GO$6:$GO$73)</f>
        <v>0</v>
      </c>
      <c r="FP34" s="39">
        <f>SUMIF(Report_BM!$GW$6:$GW$73,CONCATENATE($C34,FU$3),Report_BM!$GP$6:$GP$73)</f>
        <v>0</v>
      </c>
      <c r="FQ34" s="39">
        <f>SUMIF(Report_BM!$GW$6:$GW$73,CONCATENATE($C34,FU$3),Report_BM!$GQ$6:$GQ$73)</f>
        <v>0</v>
      </c>
      <c r="FR34" s="39">
        <f>SUMIF(Report_BM!$GW$6:$GW$73,CONCATENATE($C34,FU$3),Report_BM!$GR$6:$GR$73)</f>
        <v>0</v>
      </c>
      <c r="FS34" s="46">
        <f>SUMIF(Master_Data!$AK$152:$AK$864,CONCATENATE($C34,FU$3),Master_Data!$T$152:$T$864)</f>
        <v>0</v>
      </c>
      <c r="FT34" s="45">
        <f>SUMIF(Report_BM!GW$6:GW$73,CONCATENATE($C34,FU$3),Report_BM!GT$6:GT$73)</f>
        <v>0</v>
      </c>
      <c r="FU34" s="39" t="e">
        <f>SUMIF(Report_BM!GW$6:GW$73,CONCATENATE($C34,FU$3),Report_BM!GU$6:GU$73)</f>
        <v>#VALUE!</v>
      </c>
      <c r="FV34" s="103"/>
      <c r="FW34" s="104"/>
      <c r="FX34" s="104"/>
      <c r="FY34" s="104"/>
      <c r="FZ34" s="104"/>
      <c r="GA34" s="104"/>
    </row>
    <row r="35" spans="1:183" s="40" customFormat="1" ht="14.1" customHeight="1">
      <c r="A35" s="9">
        <v>29</v>
      </c>
      <c r="B35" s="328" t="s">
        <v>127</v>
      </c>
      <c r="C35" s="613" t="s">
        <v>128</v>
      </c>
      <c r="D35" s="45">
        <f>SUMIF(Report_BM!$B$6:$B$73,CONCATENATE($C35,L$3),Report_BM!$E$6:$E$73)+SUMIF(Report_BM!$B$6:$B$73,CONCATENATE($C35,L$3),Report_BM!$H$6:$H$73)</f>
        <v>0</v>
      </c>
      <c r="E35" s="276" t="e">
        <f>SUMIF(Report_BM!$B$6:$B$73,CONCATENATE($C35,L$3),Report_BM!$F$6:$F$73)+SUMIF(Report_BM!$B$6:$B$73,CONCATENATE($C35,L$3),Report_BM!$I$6:$I$73)</f>
        <v>#VALUE!</v>
      </c>
      <c r="F35" s="45">
        <f>SUMIF(Report_BM!$B$6:$B$73,CONCATENATE($C35,L$3),Report_BM!$K$6:$K$73)</f>
        <v>0</v>
      </c>
      <c r="G35" s="39">
        <f>SUMIF(Report_BM!$B$6:$B$73,CONCATENATE($C35,$L$3),Report_BM!$L$6:$L$73)</f>
        <v>0</v>
      </c>
      <c r="H35" s="39">
        <f>SUMIF(Report_BM!$B$6:$B$73,CONCATENATE($C35,$L$3),Report_BM!$M$6:$M$73)</f>
        <v>10800000</v>
      </c>
      <c r="I35" s="39">
        <f>SUMIF(Report_BM!$B$6:$B$73,CONCATENATE($C35,$L$3),Report_BM!$N$6:$N$73)</f>
        <v>0</v>
      </c>
      <c r="J35" s="46">
        <f>SUMIF(Report_BM!$B$6:$B$73,CONCATENATE($C35,$L$3),Report_BM!$O$6:$O$73)</f>
        <v>-200000</v>
      </c>
      <c r="K35" s="45">
        <f>SUMIF(Report_BM!$B$6:$B$73,CONCATENATE($C35,$L$3),Report_BM!$P$6:$P$73)</f>
        <v>0</v>
      </c>
      <c r="L35" s="39" t="e">
        <f>SUMIF(Report_BM!$B$6:$B$73,CONCATENATE($C35,$L$3),Report_BM!$Q$6:$Q$73)</f>
        <v>#VALUE!</v>
      </c>
      <c r="M35" s="103"/>
      <c r="N35" s="104"/>
      <c r="O35" s="104"/>
      <c r="P35" s="104"/>
      <c r="Q35" s="104"/>
      <c r="R35" s="104"/>
      <c r="S35" s="45">
        <f>SUMIF(Report_BM!$AI$8:$AI$72,CONCATENATE($C35,AA$3),Report_BM!$U$8:$U$72)+SUMIF(Report_BM!$AI$8:$AI$72,CONCATENATE($C35,AA$3),Report_BM!$X$8:$X$72)</f>
        <v>0</v>
      </c>
      <c r="T35" s="276" t="e">
        <f>SUMIF(Report_BM!$AI$8:$AI$72,CONCATENATE($C35,AA$3),Report_BM!$V$8:$V$72)+SUMIF(Report_BM!$AI$8:$AI$72,CONCATENATE($C35,AA$3),Report_BM!$Y$8:$Y$72)</f>
        <v>#VALUE!</v>
      </c>
      <c r="U35" s="45">
        <f>SUMIF(Report_BM!$AI$8:$AI$72,CONCATENATE($C35,AA$3),Report_BM!$AA$8:$AB$72)</f>
        <v>0</v>
      </c>
      <c r="V35" s="39">
        <f>SUMIF(Report_BM!$AI$8:$AI$72,CONCATENATE($C35,$AA$3),Report_BM!$AB$8:$AB$72)</f>
        <v>0</v>
      </c>
      <c r="W35" s="39">
        <f>SUMIF(Report_BM!$AI$8:$AI$72,CONCATENATE($C35,$AA$3),Report_BM!$AC$8:$AC$72)</f>
        <v>10800000</v>
      </c>
      <c r="X35" s="39">
        <f ca="1">SUMIF(Report_BM!$AI$7:$AI$73,CONCATENATE($C35,$AA$3),Report_BM!$AD$7:$AD$73)</f>
        <v>0</v>
      </c>
      <c r="Y35" s="46">
        <f>SUMIF(Master_Data!$AK$152:$AK$864,CONCATENATE($C35,AA$3),Master_Data!$T$152:$T$864)</f>
        <v>-200000</v>
      </c>
      <c r="Z35" s="45">
        <f>SUMIF(Report_BM!$AI$8:$AI$72,CONCATENATE($C35,$AA$3),Report_BM!$AF$8:$AF$72)</f>
        <v>0</v>
      </c>
      <c r="AA35" s="39" t="e">
        <f ca="1">SUMIF(Report_BM!$AI$8:$AI$72,CONCATENATE($C35,$AA$3),Report_BM!$AG$8:$AG$72)</f>
        <v>#VALUE!</v>
      </c>
      <c r="AB35" s="103"/>
      <c r="AC35" s="104"/>
      <c r="AD35" s="104"/>
      <c r="AE35" s="104"/>
      <c r="AF35" s="104"/>
      <c r="AG35" s="104"/>
      <c r="AH35" s="45">
        <f>SUMIF(Report_BM!$AZ$5:$AZ$72,CONCATENATE($C35,AP$3),Report_BM!$AL$5:$AL$72)+SUMIF(Report_BM!$AZ$5:$AZ$72,CONCATENATE($C35,AP$3),Report_BM!$AO$5:$AO$72)</f>
        <v>0</v>
      </c>
      <c r="AI35" s="46" t="e">
        <f ca="1">SUMIF(Report_BM!$AZ$5:$AZ$72,CONCATENATE($C35,$AP$3),Report_BM!$AM$5:$AM$72)+SUMIF(Report_BM!$AZ$5:$AZ$72,CONCATENATE($C35,$AP$3),Report_BM!$AP$5:$AP$72)</f>
        <v>#VALUE!</v>
      </c>
      <c r="AJ35" s="45">
        <f>SUMIF(Report_BM!$AZ$5:$AZ$72,CONCATENATE($C35,$AP$3),Report_BM!$AR$5:$AR$72)</f>
        <v>0</v>
      </c>
      <c r="AK35" s="39">
        <f>SUMIF(Report_BM!$AZ$5:$AZ$72,CONCATENATE($C35,$AP$3),Report_BM!$AS$5:$AS$72)</f>
        <v>0</v>
      </c>
      <c r="AL35" s="39">
        <f>SUMIF(Report_BM!$AZ$5:$AZ$72,CONCATENATE($C35,$AP$3),Report_BM!$AT$5:$AT$72)</f>
        <v>10800000</v>
      </c>
      <c r="AM35" s="39">
        <f ca="1">SUMIF(Report_BM!$AZ$5:$AZ$72,CONCATENATE($C35,$AP$3),Report_BM!$AU$5:$AU$72)</f>
        <v>0</v>
      </c>
      <c r="AN35" s="46">
        <f>SUMIF(Master_Data!$AK$152:$AK$915,CONCATENATE($C35,AP$3),Master_Data!$T$152:$T$915)</f>
        <v>-200000</v>
      </c>
      <c r="AO35" s="45">
        <f>SUMIF(Report_BM!$AZ$5:$AZ$72,CONCATENATE($C35,$AP$3),Report_BM!$AW$5:$AW$72)</f>
        <v>0</v>
      </c>
      <c r="AP35" s="39" t="e">
        <f ca="1">SUMIF(Report_BM!$AZ$5:$AZ$72,CONCATENATE($C35,$AP$3),Report_BM!$AX$5:$AX$72)</f>
        <v>#VALUE!</v>
      </c>
      <c r="AQ35" s="103"/>
      <c r="AR35" s="104"/>
      <c r="AS35" s="104"/>
      <c r="AT35" s="104"/>
      <c r="AU35" s="104"/>
      <c r="AV35" s="104"/>
      <c r="AW35" s="45">
        <f>SUMIF(Report_BM!$BQ$6:$BQ$73,CONCATENATE($C35,BE$3),Report_BM!$BC$6:$BC$73)+SUMIF(Report_BM!$BQ$6:$BQ$73,CONCATENATE($C35,BE$3),Report_BM!$BF$6:$BF$73)</f>
        <v>0</v>
      </c>
      <c r="AX35" s="46" t="e">
        <f ca="1">SUMIF(Report_BM!$BQ$6:$BQ$73,CONCATENATE($C35,$BE$3),Report_BM!$BD$6:$BD$73)+SUMIF(Report_BM!$BQ$6:$BQ$73,CONCATENATE($C35,$BE$3),Report_BM!$BG$6:$BG$73)</f>
        <v>#VALUE!</v>
      </c>
      <c r="AY35" s="45">
        <f>SUMIF(Report_BM!$BQ$6:$BQ$73,CONCATENATE($C35,BE$3),Report_BM!$BI$6:$BI$73)</f>
        <v>0</v>
      </c>
      <c r="AZ35" s="39">
        <f>SUMIF(Report_BM!$BQ$6:$BQ$73,CONCATENATE($C35,BE$3),Report_BM!$BJ$6:$BJ$73)</f>
        <v>0</v>
      </c>
      <c r="BA35" s="39">
        <f>SUMIF(Report_BM!$BQ$6:$BQ$73,CONCATENATE($C35,BE$3),Report_BM!$BK$6:$BK$73)</f>
        <v>0</v>
      </c>
      <c r="BB35" s="39">
        <f>SUMIF(Report_BM!$BQ$6:$BQ$73,CONCATENATE($C35,BE$3),Report_BM!$BL$6:$BL$73)</f>
        <v>0</v>
      </c>
      <c r="BC35" s="46">
        <f>SUMIF(Master_Data!$AK$152:$AK$864,CONCATENATE($C35,BE$3),Master_Data!$T$152:$T$864)</f>
        <v>0</v>
      </c>
      <c r="BD35" s="45">
        <f>SUMIF(Report_BM!$BQ$6:$BQ$73,CONCATENATE($C35,BE$3),Report_BM!$BN$6:$BN$73)</f>
        <v>0</v>
      </c>
      <c r="BE35" s="39" t="e">
        <f ca="1">SUMIF(Report_BM!$BQ$6:$BQ$73,CONCATENATE($C35,BE$3),Report_BM!$BO$6:$BO$73)</f>
        <v>#VALUE!</v>
      </c>
      <c r="BF35" s="103"/>
      <c r="BG35" s="104"/>
      <c r="BH35" s="104"/>
      <c r="BI35" s="104"/>
      <c r="BJ35" s="104"/>
      <c r="BK35" s="104"/>
      <c r="BL35" s="45">
        <f>SUMIF(Report_BM!$CH$6:$CH$73,CONCATENATE($C35,BT$3),Report_BM!$BT$6:$BT$73)+SUMIF(Report_BM!$CH$6:$CH$73,CONCATENATE($C35,BT$3),Report_BM!$BW$6:$BW$73)</f>
        <v>0</v>
      </c>
      <c r="BM35" s="46" t="e">
        <f ca="1">SUMIF(Report_BM!$CH$6:$CH$73,CONCATENATE($C35,$BT$3),Report_BM!$BU$6:$BU$73)+SUMIF(Report_BM!$CH$6:$CH$73,CONCATENATE($C35,$BT$3),Report_BM!$BX$6:$BX$73)</f>
        <v>#VALUE!</v>
      </c>
      <c r="BN35" s="45">
        <f>SUMIF(Report_BM!$CH$6:$CH$73,CONCATENATE($C35,BT$3),Report_BM!$BZ$6:$BZ$73)</f>
        <v>0</v>
      </c>
      <c r="BO35" s="39">
        <f>SUMIF(Report_BM!$CH$6:$CH$73,CONCATENATE($C35,BT$3),Report_BM!$CA$6:$CA$73)</f>
        <v>0</v>
      </c>
      <c r="BP35" s="39">
        <f>SUMIF(Report_BM!$CH$6:$CH$73,CONCATENATE($C35,BT$3),Report_BM!$CB$6:$CB$73)</f>
        <v>15480000</v>
      </c>
      <c r="BQ35" s="39">
        <f>SUMIF(Report_BM!$CH$6:$CH$73,CONCATENATE($C35,BT$3),Report_BM!$CC$6:$CC$73)</f>
        <v>0</v>
      </c>
      <c r="BR35" s="46">
        <f>SUMIF(Master_Data!$AK$152:$AK$864,CONCATENATE($C35,BT$3),Master_Data!$T$152:$T$864)</f>
        <v>-286666.6666</v>
      </c>
      <c r="BS35" s="45">
        <f>SUMIF(Report_BM!$CH$6:$CH$73,CONCATENATE($C35,BT$3),Report_BM!$CE$6:$CE$73)</f>
        <v>0</v>
      </c>
      <c r="BT35" s="39" t="e">
        <f ca="1">SUMIF(Report_BM!$CH$6:$CH$73,CONCATENATE($C35,BT$3),Report_BM!$CF$6:$CF$73)</f>
        <v>#VALUE!</v>
      </c>
      <c r="BU35" s="103"/>
      <c r="BV35" s="104"/>
      <c r="BW35" s="104"/>
      <c r="BX35" s="104"/>
      <c r="BY35" s="104"/>
      <c r="BZ35" s="104"/>
      <c r="CA35" s="45">
        <f>SUMIF(Report_BM!$CY$6:$CY$73,CONCATENATE($C35,CI$3),Report_BM!$CK$6:$CK$73)+SUMIF(Report_BM!$CY$6:$CY$73,CONCATENATE($C35,CI$3),Report_BM!$CN$6:$CN$73)</f>
        <v>0</v>
      </c>
      <c r="CB35" s="46" t="e">
        <f ca="1">SUMIF(Report_BM!$CY$6:$CY$73,CONCATENATE($C35,$CI$3),Report_BM!$CL$6:$CL$73)+SUMIF(Report_BM!$CY$6:$CY$73,CONCATENATE($C35,$CI$3),Report_BM!$CO$6:$CO$73)</f>
        <v>#VALUE!</v>
      </c>
      <c r="CC35" s="45">
        <f>SUMIF(Report_BM!$CY$6:$CY$73,CONCATENATE($C35,CI$3),Report_BM!$CQ$6:$CQ$73)</f>
        <v>0</v>
      </c>
      <c r="CD35" s="39">
        <f>SUMIF(Report_BM!$CY$6:$CY$73,CONCATENATE($C35,CI$3),Report_BM!$CR$6:$CR$73)</f>
        <v>0</v>
      </c>
      <c r="CE35" s="39">
        <f>SUMIF(Report_BM!$CY$6:$CY$73,CONCATENATE($C35,CI$3),Report_BM!$CS$6:$CS$73)</f>
        <v>0</v>
      </c>
      <c r="CF35" s="39">
        <f ca="1">SUMIF(Report_BM!$CY$6:$CY$73,CONCATENATE($C35,CI$3),Report_BM!$CT$6:$CT$73)</f>
        <v>0</v>
      </c>
      <c r="CG35" s="46">
        <f>SUMIF(Report_BM!$CY$6:$CY$73,CONCATENATE($C35,CI$3),Report_BM!$CU$6:$CU$73)</f>
        <v>0</v>
      </c>
      <c r="CH35" s="45">
        <f>SUMIF(Report_BM!$CY$6:$CY$73,CONCATENATE($C35,CI$3),Report_BM!$CV$6:$CV$73)</f>
        <v>0</v>
      </c>
      <c r="CI35" s="39" t="e">
        <f ca="1">SUMIF(Report_BM!$CY$6:$CY$73,CONCATENATE($C35,CI$3),Report_BM!$CW$6:$CW$73)</f>
        <v>#VALUE!</v>
      </c>
      <c r="CJ35" s="103"/>
      <c r="CK35" s="104"/>
      <c r="CL35" s="104"/>
      <c r="CM35" s="104"/>
      <c r="CN35" s="104"/>
      <c r="CO35" s="104"/>
      <c r="CP35" s="45">
        <f>SUMIF(Report_BM!$DP$6:$DP$73,CONCATENATE($C35,CX$3),Report_BM!$DB$6:$DB$73)+SUMIF(Report_BM!$DP$6:$DP$73,CONCATENATE($C35,CX$3),Report_BM!$DE$6:$DE$73)</f>
        <v>0</v>
      </c>
      <c r="CQ35" s="46" t="e">
        <f ca="1">SUMIF(Report_BM!$DP$6:$DP$73,CONCATENATE($C35,$CX$3),Report_BM!$DC$6:$DC$73)+SUMIF(Report_BM!$DP$6:$DP$73,CONCATENATE($C35,$CX$3),Report_BM!$DF$6:$DF$73)</f>
        <v>#VALUE!</v>
      </c>
      <c r="CR35" s="45">
        <f>SUMIF(Report_BM!$DP$6:$DP$73,CONCATENATE($C35,CX$3),Report_BM!$DH$6:$DH$73)</f>
        <v>0</v>
      </c>
      <c r="CS35" s="39">
        <f>SUMIF(Report_BM!$DP$6:$DP$73,CONCATENATE($C35,CX$3),Report_BM!$DI$6:$DI$73)</f>
        <v>0</v>
      </c>
      <c r="CT35" s="39">
        <f>SUMIF(Report_BM!$DP$6:$DP$73,CONCATENATE($C35,CX$3),Report_BM!$DJ$6:$DJ$73)</f>
        <v>42110000</v>
      </c>
      <c r="CU35" s="39">
        <f>SUMIF(Report_BM!$DP$6:$DP$73,CONCATENATE($C35,CX$3),Report_BM!$DK$6:$DK$73)</f>
        <v>0</v>
      </c>
      <c r="CV35" s="46">
        <f>SUMIF(Master_Data!$AK$152:$AK$864,CONCATENATE($C35,CX$3),Master_Data!$T$152:$T$864)</f>
        <v>-780000</v>
      </c>
      <c r="CW35" s="45">
        <f>SUMIF(Report_BM!$DP$6:$DP$73,CONCATENATE($C35,CX$3),Report_BM!$DM$6:$DM$73)</f>
        <v>0</v>
      </c>
      <c r="CX35" s="39" t="e">
        <f ca="1">SUMIF(Report_BM!$DP$6:$DP$73,CONCATENATE($C35,CX$3),Report_BM!$DN$6:$DN$73)</f>
        <v>#VALUE!</v>
      </c>
      <c r="CY35" s="103"/>
      <c r="CZ35" s="104"/>
      <c r="DA35" s="104"/>
      <c r="DB35" s="104"/>
      <c r="DC35" s="104"/>
      <c r="DD35" s="104"/>
      <c r="DE35" s="45">
        <f>SUMIF(Report_BM!$EG$6:$EG$73,CONCATENATE($C35,DM$3),Report_BM!$DS$6:$DS$73)+SUMIF(Report_BM!$EG$6:$EG$73,CONCATENATE($C35,DM$3),Report_BM!$DV$6:$DV$73)</f>
        <v>0</v>
      </c>
      <c r="DF35" s="46" t="e">
        <f ca="1">SUMIF(Report_BM!$EG$6:$EG$73,CONCATENATE($C35,$DM$3),Report_BM!$DT$6:$DT$73)+SUMIF(Report_BM!$EG$6:$EG$73,CONCATENATE($C35,$DM$3),Report_BM!$DW$6:$DW$73)</f>
        <v>#VALUE!</v>
      </c>
      <c r="DG35" s="45">
        <f>SUMIF(Report_BM!$EG$6:$EG$73,CONCATENATE($C35,DM$3),Report_BM!$DY$6:$DY$73)</f>
        <v>0</v>
      </c>
      <c r="DH35" s="39">
        <f>SUMIF(Report_BM!EG$6:EG$73,CONCATENATE($C35,DM$3),Report_BM!DZ$6:DZ$73)</f>
        <v>0</v>
      </c>
      <c r="DI35" s="39">
        <f>SUMIF(Report_BM!EG$6:EG$73,CONCATENATE($C35,DM$3),Report_BM!$EA$6:$EA$73)</f>
        <v>22680000</v>
      </c>
      <c r="DJ35" s="39">
        <f>SUMIF(Report_BM!EG$6:EG$73,CONCATENATE($C35,DM$3),Report_BM!$EB$6:$EB$73)</f>
        <v>0</v>
      </c>
      <c r="DK35" s="46">
        <f>SUMIF(Master_Data!$AK$152:$AK$864,CONCATENATE($C35,DM$3),Master_Data!$T$152:$T$864)</f>
        <v>-420000</v>
      </c>
      <c r="DL35" s="45">
        <f>SUMIF(Report_BM!EG$6:EG$73,CONCATENATE($C35,DM$3),Report_BM!ED$6:ED$73)</f>
        <v>0</v>
      </c>
      <c r="DM35" s="39" t="e">
        <f ca="1">SUMIF(Report_BM!EG$6:EG$73,CONCATENATE($C35,DM$3),Report_BM!EE$6:EE$73)</f>
        <v>#VALUE!</v>
      </c>
      <c r="DN35" s="103"/>
      <c r="DO35" s="104"/>
      <c r="DP35" s="104"/>
      <c r="DQ35" s="104"/>
      <c r="DR35" s="104"/>
      <c r="DS35" s="104"/>
      <c r="DT35" s="45">
        <f>SUMIF(Report_BM!$EX$6:$EX$73,CONCATENATE($C35,EB$3),Report_BM!$EJ$6:$EJ$73)+SUMIF(Report_BM!$EX$6:$EX$73,CONCATENATE($C35,EB$3),Report_BM!$EM$6:$EM$73)</f>
        <v>0</v>
      </c>
      <c r="DU35" s="46" t="e">
        <f ca="1">SUMIF(Report_BM!$EX$6:$EX$73,CONCATENATE($C35,$EB$3),Report_BM!$EK$6:$EK$73)+SUMIF(Report_BM!$EX$6:$EX$73,CONCATENATE($C35,$EB$3),Report_BM!$EN$6:$EN$73)</f>
        <v>#VALUE!</v>
      </c>
      <c r="DV35" s="45">
        <f>SUMIF(Report_BM!$EX$6:$EX$73,CONCATENATE($C35,EB$3),Report_BM!$EP$6:$EP$73)</f>
        <v>0</v>
      </c>
      <c r="DW35" s="39">
        <f>SUMIF(Report_BM!$EX$6:$EX$73,CONCATENATE($C35,EB$3),Report_BM!$EQ$6:$EQ$73)</f>
        <v>0</v>
      </c>
      <c r="DX35" s="39">
        <f>SUMIF(Report_BM!$EX$6:$EX$73,CONCATENATE($C35,EB$3),Report_BM!$ER$6:$ER$73)</f>
        <v>0</v>
      </c>
      <c r="DY35" s="39">
        <f>SUMIF(Report_BM!$EX$6:$EX$73,CONCATENATE($C35,EB$3),Report_BM!$ES$6:$ES$73)</f>
        <v>0</v>
      </c>
      <c r="DZ35" s="46">
        <f>SUMIF(Master_Data!$AK$152:$AK$864,CONCATENATE($C35,EB$3),Master_Data!$T$152:$T$864)</f>
        <v>0</v>
      </c>
      <c r="EA35" s="45">
        <f>SUMIF(Report_BM!EX$6:EX$73,CONCATENATE($C35,EB$3),Report_BM!EU$6:EU$73)</f>
        <v>0</v>
      </c>
      <c r="EB35" s="39">
        <f>SUMIF(Report_BM!EX$6:EX$73,CONCATENATE($C35,EB$3),Report_BM!EV$6:EV$73)</f>
        <v>0</v>
      </c>
      <c r="EC35" s="103"/>
      <c r="ED35" s="104"/>
      <c r="EE35" s="104"/>
      <c r="EF35" s="104"/>
      <c r="EG35" s="104"/>
      <c r="EH35" s="104"/>
      <c r="EI35" s="45">
        <f>SUMIF(Report_BM!$FO$6:$FO$73,CONCATENATE($C35,EQ$3),Report_BM!$FA$6:$FA$73)+SUMIF(Report_BM!$FO$6:$FO$73,CONCATENATE($C35,EQ$3),Report_BM!$FD$6:$FD$73)</f>
        <v>0</v>
      </c>
      <c r="EJ35" s="46" t="e">
        <f>SUMIF(Report_BM!$FO$6:$FO$73,CONCATENATE($C35,$EQ$3),Report_BM!$FB$6:$FB$73)+SUMIF(Report_BM!$FO$6:$FO$73,CONCATENATE($C35,$EQ$3),Report_BM!$FE$6:$FE$73)</f>
        <v>#VALUE!</v>
      </c>
      <c r="EK35" s="45">
        <f>SUMIF(Report_BM!$FO$6:$FO$73,CONCATENATE($C35,EQ$3),Report_BM!$FG$6:$FG$73)</f>
        <v>0</v>
      </c>
      <c r="EL35" s="39">
        <f>SUMIF(Report_BM!$FO$6:$FO$73,CONCATENATE($C35,EQ$3),Report_BM!$FH$6:$FH$73)</f>
        <v>0</v>
      </c>
      <c r="EM35" s="39">
        <f>SUMIF(Report_BM!$FO$6:$FO$73,CONCATENATE($C35,EQ$3),Report_BM!$FI$6:$FI$73)</f>
        <v>45360000</v>
      </c>
      <c r="EN35" s="39">
        <f>SUMIF(Report_BM!$FO$6:$FO$73,CONCATENATE($C35,EQ$3),Report_BM!$FJ$6:$FJ$73)</f>
        <v>0</v>
      </c>
      <c r="EO35" s="46">
        <f>SUMIF(Master_Data!$AK$152:$AK$864,CONCATENATE($C35,EQ$3),Master_Data!$T$152:$T$864)</f>
        <v>-840000</v>
      </c>
      <c r="EP35" s="45">
        <f>SUMIF(Report_BM!FO$6:FO$73,CONCATENATE($C35,EQ$3),Report_BM!FL$6:FL$73)</f>
        <v>0</v>
      </c>
      <c r="EQ35" s="39" t="e">
        <f>SUMIF(Report_BM!FO$6:FO$73,CONCATENATE($C35,EQ$3),Report_BM!FM$6:FM$73)</f>
        <v>#VALUE!</v>
      </c>
      <c r="ER35" s="103"/>
      <c r="ES35" s="104"/>
      <c r="ET35" s="104"/>
      <c r="EU35" s="104"/>
      <c r="EV35" s="104"/>
      <c r="EW35" s="104"/>
      <c r="EX35" s="45">
        <f>SUMIF(Report_BM!$GF$6:$GF$73,CONCATENATE($C35,FF$3),Report_BM!$FR$6:$FR$73)+SUMIF(Report_BM!$GF$6:$GF$73,CONCATENATE($C35,FF$3),Report_BM!$FU$6:$FU$73)</f>
        <v>0</v>
      </c>
      <c r="EY35" s="46" t="e">
        <f>SUMIF(Report_BM!$GF$6:$GF$73,CONCATENATE($C35,$FF$3),Report_BM!$FS$6:$FS$73)+SUMIF(Report_BM!$GF$6:$GF$73,CONCATENATE($C35,$FF$3),Report_BM!$FV$6:$FV$73)</f>
        <v>#VALUE!</v>
      </c>
      <c r="EZ35" s="45">
        <f>SUMIF(Report_BM!$GF$6:$GF$73,CONCATENATE($C35,FF$3),Report_BM!$FX$6:$FX$73)</f>
        <v>0</v>
      </c>
      <c r="FA35" s="39">
        <f>SUMIF(Report_BM!$GF$6:$GF$73,CONCATENATE($C35,FF$3),Report_BM!$FY$6:$FY$73)</f>
        <v>0</v>
      </c>
      <c r="FB35" s="39">
        <f>SUMIF(Report_BM!$GF$6:$GF$73,CONCATENATE($C35,FF$3),Report_BM!$FZ$6:$FZ$73)</f>
        <v>22680000</v>
      </c>
      <c r="FC35" s="39">
        <f>SUMIF(Report_BM!$GF$6:$GF$73,CONCATENATE($C35,FF$3),Report_BM!$GA$6:$GA$73)</f>
        <v>0</v>
      </c>
      <c r="FD35" s="46">
        <f>SUMIF(Master_Data!$AK$152:$AK$864,CONCATENATE($C35,FF$3),Master_Data!$T$152:$T$864)</f>
        <v>-420000</v>
      </c>
      <c r="FE35" s="45">
        <f>SUMIF(Report_BM!GF$6:GF$73,CONCATENATE($C35,FF$3),Report_BM!GC$6:GC$73)</f>
        <v>0</v>
      </c>
      <c r="FF35" s="39" t="e">
        <f>SUMIF(Report_BM!GF$6:GF$73,CONCATENATE($C35,FF$3),Report_BM!GD$6:GD$73)</f>
        <v>#VALUE!</v>
      </c>
      <c r="FG35" s="103"/>
      <c r="FH35" s="104"/>
      <c r="FI35" s="104"/>
      <c r="FJ35" s="104"/>
      <c r="FK35" s="104"/>
      <c r="FL35" s="104"/>
      <c r="FM35" s="45">
        <f>SUMIF(Report_BM!$GW$6:$GW$73,CONCATENATE($C35,FU$3),Report_BM!$GI$6:$GI$73)+SUMIF(Report_BM!$GW$6:$GW$73,CONCATENATE($C35,FU$3),Report_BM!$GL$6:$GL$73)</f>
        <v>0</v>
      </c>
      <c r="FN35" s="46" t="e">
        <f>SUMIF(Report_BM!$GW$6:$GW$73,CONCATENATE($C35,$FU$3),Report_BM!$GJ$6:$GJ$73)+SUMIF(Report_BM!$GW$6:$GW$73,CONCATENATE($C35,$FU$3),Report_BM!$GM$6:$GM$73)</f>
        <v>#VALUE!</v>
      </c>
      <c r="FO35" s="45">
        <f>SUMIF(Report_BM!$GW$6:$GW$73,CONCATENATE($C35,FU$3),Report_BM!$GO$6:$GO$73)</f>
        <v>0</v>
      </c>
      <c r="FP35" s="39">
        <f>SUMIF(Report_BM!$GW$6:$GW$73,CONCATENATE($C35,FU$3),Report_BM!$GP$6:$GP$73)</f>
        <v>0</v>
      </c>
      <c r="FQ35" s="39">
        <f>SUMIF(Report_BM!$GW$6:$GW$73,CONCATENATE($C35,FU$3),Report_BM!$GQ$6:$GQ$73)</f>
        <v>22680000</v>
      </c>
      <c r="FR35" s="39">
        <f>SUMIF(Report_BM!$GW$6:$GW$73,CONCATENATE($C35,FU$3),Report_BM!$GR$6:$GR$73)</f>
        <v>0</v>
      </c>
      <c r="FS35" s="46">
        <f>SUMIF(Master_Data!$AK$152:$AK$864,CONCATENATE($C35,FU$3),Master_Data!$T$152:$T$864)</f>
        <v>-420000</v>
      </c>
      <c r="FT35" s="45">
        <f>SUMIF(Report_BM!GW$6:GW$73,CONCATENATE($C35,FU$3),Report_BM!GT$6:GT$73)</f>
        <v>0</v>
      </c>
      <c r="FU35" s="39" t="e">
        <f>SUMIF(Report_BM!GW$6:GW$73,CONCATENATE($C35,FU$3),Report_BM!GU$6:GU$73)</f>
        <v>#VALUE!</v>
      </c>
      <c r="FV35" s="103"/>
      <c r="FW35" s="104"/>
      <c r="FX35" s="104"/>
      <c r="FY35" s="104"/>
      <c r="FZ35" s="104"/>
      <c r="GA35" s="104"/>
    </row>
    <row r="36" spans="1:183" s="40" customFormat="1" ht="14.1" customHeight="1">
      <c r="A36" s="9">
        <v>30</v>
      </c>
      <c r="B36" s="328" t="s">
        <v>202</v>
      </c>
      <c r="C36" s="323" t="s">
        <v>159</v>
      </c>
      <c r="D36" s="45">
        <f>SUMIF(Report_BM!$B$6:$B$73,CONCATENATE($C36,L$3),Report_BM!$E$6:$E$73)+SUMIF(Report_BM!$B$6:$B$73,CONCATENATE($C36,L$3),Report_BM!$H$6:$H$73)</f>
        <v>0</v>
      </c>
      <c r="E36" s="276" t="e">
        <f>SUMIF(Report_BM!$B$6:$B$73,CONCATENATE($C36,L$3),Report_BM!$F$6:$F$73)+SUMIF(Report_BM!$B$6:$B$73,CONCATENATE($C36,L$3),Report_BM!$I$6:$I$73)</f>
        <v>#VALUE!</v>
      </c>
      <c r="F36" s="45">
        <f>SUMIF(Report_BM!$B$6:$B$73,CONCATENATE($C36,L$3),Report_BM!$K$6:$K$73)</f>
        <v>0</v>
      </c>
      <c r="G36" s="39">
        <f>SUMIF(Report_BM!$B$6:$B$73,CONCATENATE($C36,$L$3),Report_BM!$L$6:$L$73)</f>
        <v>0</v>
      </c>
      <c r="H36" s="39">
        <f>SUMIF(Report_BM!$B$6:$B$73,CONCATENATE($C36,$L$3),Report_BM!$M$6:$M$73)</f>
        <v>15984000</v>
      </c>
      <c r="I36" s="39">
        <f>SUMIF(Report_BM!$B$6:$B$73,CONCATENATE($C36,$L$3),Report_BM!$N$6:$N$73)</f>
        <v>0</v>
      </c>
      <c r="J36" s="46">
        <f>SUMIF(Report_BM!$B$6:$B$73,CONCATENATE($C36,$L$3),Report_BM!$O$6:$O$73)</f>
        <v>-296000</v>
      </c>
      <c r="K36" s="45">
        <f>SUMIF(Report_BM!$B$6:$B$73,CONCATENATE($C36,$L$3),Report_BM!$P$6:$P$73)</f>
        <v>0</v>
      </c>
      <c r="L36" s="39" t="e">
        <f>SUMIF(Report_BM!$B$6:$B$73,CONCATENATE($C36,$L$3),Report_BM!$Q$6:$Q$73)</f>
        <v>#VALUE!</v>
      </c>
      <c r="M36" s="103"/>
      <c r="N36" s="104"/>
      <c r="O36" s="104"/>
      <c r="P36" s="104"/>
      <c r="Q36" s="104"/>
      <c r="R36" s="104"/>
      <c r="S36" s="45">
        <f>SUMIF(Report_BM!$AI$8:$AI$72,CONCATENATE($C36,AA$3),Report_BM!$U$8:$U$72)+SUMIF(Report_BM!$AI$8:$AI$72,CONCATENATE($C36,AA$3),Report_BM!$X$8:$X$72)</f>
        <v>0</v>
      </c>
      <c r="T36" s="276" t="e">
        <f>SUMIF(Report_BM!$AI$8:$AI$72,CONCATENATE($C36,AA$3),Report_BM!$V$8:$V$72)+SUMIF(Report_BM!$AI$8:$AI$72,CONCATENATE($C36,AA$3),Report_BM!$Y$8:$Y$72)</f>
        <v>#VALUE!</v>
      </c>
      <c r="U36" s="45">
        <f>SUMIF(Report_BM!$AI$8:$AI$72,CONCATENATE($C36,AA$3),Report_BM!$AA$8:$AB$72)</f>
        <v>0</v>
      </c>
      <c r="V36" s="39">
        <f>SUMIF(Report_BM!$AI$8:$AI$72,CONCATENATE($C36,$AA$3),Report_BM!$AB$8:$AB$72)</f>
        <v>0</v>
      </c>
      <c r="W36" s="39">
        <f>SUMIF(Report_BM!$AI$8:$AI$72,CONCATENATE($C36,$AA$3),Report_BM!$AC$8:$AC$72)</f>
        <v>0</v>
      </c>
      <c r="X36" s="39">
        <f ca="1">SUMIF(Report_BM!$AI$7:$AI$73,CONCATENATE($C36,$AA$3),Report_BM!$AD$7:$AD$73)</f>
        <v>0</v>
      </c>
      <c r="Y36" s="46">
        <f>SUMIF(Master_Data!$AK$152:$AK$864,CONCATENATE($C36,AA$3),Master_Data!$T$152:$T$864)</f>
        <v>0</v>
      </c>
      <c r="Z36" s="45">
        <f>SUMIF(Report_BM!$AI$8:$AI$72,CONCATENATE($C36,$AA$3),Report_BM!$AF$8:$AF$72)</f>
        <v>0</v>
      </c>
      <c r="AA36" s="39" t="e">
        <f ca="1">SUMIF(Report_BM!$AI$8:$AI$72,CONCATENATE($C36,$AA$3),Report_BM!$AG$8:$AG$72)</f>
        <v>#VALUE!</v>
      </c>
      <c r="AB36" s="103"/>
      <c r="AC36" s="104"/>
      <c r="AD36" s="104"/>
      <c r="AE36" s="104"/>
      <c r="AF36" s="104"/>
      <c r="AG36" s="104"/>
      <c r="AH36" s="45">
        <f>SUMIF(Report_BM!$AZ$5:$AZ$72,CONCATENATE($C36,AP$3),Report_BM!$AL$5:$AL$72)+SUMIF(Report_BM!$AZ$5:$AZ$72,CONCATENATE($C36,AP$3),Report_BM!$AO$5:$AO$72)</f>
        <v>0</v>
      </c>
      <c r="AI36" s="46" t="e">
        <f ca="1">SUMIF(Report_BM!$AZ$5:$AZ$72,CONCATENATE($C36,$AP$3),Report_BM!$AM$5:$AM$72)+SUMIF(Report_BM!$AZ$5:$AZ$72,CONCATENATE($C36,$AP$3),Report_BM!$AP$5:$AP$72)</f>
        <v>#VALUE!</v>
      </c>
      <c r="AJ36" s="45">
        <f>SUMIF(Report_BM!$AZ$5:$AZ$72,CONCATENATE($C36,$AP$3),Report_BM!$AR$5:$AR$72)</f>
        <v>0</v>
      </c>
      <c r="AK36" s="39">
        <f>SUMIF(Report_BM!$AZ$5:$AZ$72,CONCATENATE($C36,$AP$3),Report_BM!$AS$5:$AS$72)</f>
        <v>0</v>
      </c>
      <c r="AL36" s="39">
        <f>SUMIF(Report_BM!$AZ$5:$AZ$72,CONCATENATE($C36,$AP$3),Report_BM!$AT$5:$AT$72)</f>
        <v>31968000</v>
      </c>
      <c r="AM36" s="39">
        <f ca="1">SUMIF(Report_BM!$AZ$5:$AZ$72,CONCATENATE($C36,$AP$3),Report_BM!$AU$5:$AU$72)</f>
        <v>0</v>
      </c>
      <c r="AN36" s="46">
        <f>SUMIF(Master_Data!$AK$152:$AK$915,CONCATENATE($C36,AP$3),Master_Data!$T$152:$T$915)</f>
        <v>-592000</v>
      </c>
      <c r="AO36" s="45">
        <f>SUMIF(Report_BM!$AZ$5:$AZ$72,CONCATENATE($C36,$AP$3),Report_BM!$AW$5:$AW$72)</f>
        <v>0</v>
      </c>
      <c r="AP36" s="39" t="e">
        <f ca="1">SUMIF(Report_BM!$AZ$5:$AZ$72,CONCATENATE($C36,$AP$3),Report_BM!$AX$5:$AX$72)</f>
        <v>#VALUE!</v>
      </c>
      <c r="AQ36" s="103"/>
      <c r="AR36" s="104"/>
      <c r="AS36" s="104"/>
      <c r="AT36" s="104"/>
      <c r="AU36" s="104"/>
      <c r="AV36" s="104"/>
      <c r="AW36" s="45">
        <f>SUMIF(Report_BM!$BQ$6:$BQ$73,CONCATENATE($C36,BE$3),Report_BM!$BC$6:$BC$73)+SUMIF(Report_BM!$BQ$6:$BQ$73,CONCATENATE($C36,BE$3),Report_BM!$BF$6:$BF$73)</f>
        <v>0</v>
      </c>
      <c r="AX36" s="46" t="e">
        <f ca="1">SUMIF(Report_BM!$BQ$6:$BQ$73,CONCATENATE($C36,$BE$3),Report_BM!$BD$6:$BD$73)+SUMIF(Report_BM!$BQ$6:$BQ$73,CONCATENATE($C36,$BE$3),Report_BM!$BG$6:$BG$73)</f>
        <v>#VALUE!</v>
      </c>
      <c r="AY36" s="45">
        <f>SUMIF(Report_BM!$BQ$6:$BQ$73,CONCATENATE($C36,BE$3),Report_BM!$BI$6:$BI$73)</f>
        <v>0</v>
      </c>
      <c r="AZ36" s="39">
        <f>SUMIF(Report_BM!$BQ$6:$BQ$73,CONCATENATE($C36,BE$3),Report_BM!$BJ$6:$BJ$73)</f>
        <v>0</v>
      </c>
      <c r="BA36" s="39">
        <f>SUMIF(Report_BM!$BQ$6:$BQ$73,CONCATENATE($C36,BE$3),Report_BM!$BK$6:$BK$73)</f>
        <v>15984000</v>
      </c>
      <c r="BB36" s="39">
        <f>SUMIF(Report_BM!$BQ$6:$BQ$73,CONCATENATE($C36,BE$3),Report_BM!$BL$6:$BL$73)</f>
        <v>0</v>
      </c>
      <c r="BC36" s="46">
        <f>SUMIF(Master_Data!$AK$152:$AK$864,CONCATENATE($C36,BE$3),Master_Data!$T$152:$T$864)</f>
        <v>-296000</v>
      </c>
      <c r="BD36" s="45">
        <f>SUMIF(Report_BM!$BQ$6:$BQ$73,CONCATENATE($C36,BE$3),Report_BM!$BN$6:$BN$73)</f>
        <v>0</v>
      </c>
      <c r="BE36" s="39" t="e">
        <f ca="1">SUMIF(Report_BM!$BQ$6:$BQ$73,CONCATENATE($C36,BE$3),Report_BM!$BO$6:$BO$73)</f>
        <v>#VALUE!</v>
      </c>
      <c r="BF36" s="103"/>
      <c r="BG36" s="104"/>
      <c r="BH36" s="104"/>
      <c r="BI36" s="104"/>
      <c r="BJ36" s="104"/>
      <c r="BK36" s="104"/>
      <c r="BL36" s="45">
        <f>SUMIF(Report_BM!$CH$6:$CH$73,CONCATENATE($C36,BT$3),Report_BM!$BT$6:$BT$73)+SUMIF(Report_BM!$CH$6:$CH$73,CONCATENATE($C36,BT$3),Report_BM!$BW$6:$BW$73)</f>
        <v>0</v>
      </c>
      <c r="BM36" s="46" t="e">
        <f ca="1">SUMIF(Report_BM!$CH$6:$CH$73,CONCATENATE($C36,$BT$3),Report_BM!$BU$6:$BU$73)+SUMIF(Report_BM!$CH$6:$CH$73,CONCATENATE($C36,$BT$3),Report_BM!$BX$6:$BX$73)</f>
        <v>#VALUE!</v>
      </c>
      <c r="BN36" s="45">
        <f>SUMIF(Report_BM!$CH$6:$CH$73,CONCATENATE($C36,BT$3),Report_BM!$BZ$6:$BZ$73)</f>
        <v>0</v>
      </c>
      <c r="BO36" s="39">
        <f>SUMIF(Report_BM!$CH$6:$CH$73,CONCATENATE($C36,BT$3),Report_BM!$CA$6:$CA$73)</f>
        <v>0</v>
      </c>
      <c r="BP36" s="39">
        <f>SUMIF(Report_BM!$CH$6:$CH$73,CONCATENATE($C36,BT$3),Report_BM!$CB$6:$CB$73)</f>
        <v>15984000</v>
      </c>
      <c r="BQ36" s="39">
        <f>SUMIF(Report_BM!$CH$6:$CH$73,CONCATENATE($C36,BT$3),Report_BM!$CC$6:$CC$73)</f>
        <v>0</v>
      </c>
      <c r="BR36" s="46">
        <f>SUMIF(Master_Data!$AK$152:$AK$864,CONCATENATE($C36,BT$3),Master_Data!$T$152:$T$864)</f>
        <v>-296000</v>
      </c>
      <c r="BS36" s="45">
        <f>SUMIF(Report_BM!$CH$6:$CH$73,CONCATENATE($C36,BT$3),Report_BM!$CE$6:$CE$73)</f>
        <v>0</v>
      </c>
      <c r="BT36" s="39" t="e">
        <f ca="1">SUMIF(Report_BM!$CH$6:$CH$73,CONCATENATE($C36,BT$3),Report_BM!$CF$6:$CF$73)</f>
        <v>#VALUE!</v>
      </c>
      <c r="BU36" s="103"/>
      <c r="BV36" s="104"/>
      <c r="BW36" s="104"/>
      <c r="BX36" s="104"/>
      <c r="BY36" s="104"/>
      <c r="BZ36" s="104"/>
      <c r="CA36" s="45">
        <f>SUMIF(Report_BM!$CY$6:$CY$73,CONCATENATE($C36,CI$3),Report_BM!$CK$6:$CK$73)+SUMIF(Report_BM!$CY$6:$CY$73,CONCATENATE($C36,CI$3),Report_BM!$CN$6:$CN$73)</f>
        <v>0</v>
      </c>
      <c r="CB36" s="46" t="e">
        <f ca="1">SUMIF(Report_BM!$CY$6:$CY$73,CONCATENATE($C36,$CI$3),Report_BM!$CL$6:$CL$73)+SUMIF(Report_BM!$CY$6:$CY$73,CONCATENATE($C36,$CI$3),Report_BM!$CO$6:$CO$73)</f>
        <v>#VALUE!</v>
      </c>
      <c r="CC36" s="45">
        <f>SUMIF(Report_BM!$CY$6:$CY$73,CONCATENATE($C36,CI$3),Report_BM!$CQ$6:$CQ$73)</f>
        <v>0</v>
      </c>
      <c r="CD36" s="39">
        <f>SUMIF(Report_BM!$CY$6:$CY$73,CONCATENATE($C36,CI$3),Report_BM!$CR$6:$CR$73)</f>
        <v>0</v>
      </c>
      <c r="CE36" s="39">
        <f>SUMIF(Report_BM!$CY$6:$CY$73,CONCATENATE($C36,CI$3),Report_BM!$CS$6:$CS$73)</f>
        <v>18460800</v>
      </c>
      <c r="CF36" s="39">
        <f ca="1">SUMIF(Report_BM!$CY$6:$CY$73,CONCATENATE($C36,CI$3),Report_BM!$CT$6:$CT$73)</f>
        <v>0</v>
      </c>
      <c r="CG36" s="46">
        <f>SUMIF(Report_BM!$CY$6:$CY$73,CONCATENATE($C36,CI$3),Report_BM!$CU$6:$CU$73)</f>
        <v>-341866.6666</v>
      </c>
      <c r="CH36" s="45">
        <f>SUMIF(Report_BM!$CY$6:$CY$73,CONCATENATE($C36,CI$3),Report_BM!$CV$6:$CV$73)</f>
        <v>0</v>
      </c>
      <c r="CI36" s="39" t="e">
        <f ca="1">SUMIF(Report_BM!$CY$6:$CY$73,CONCATENATE($C36,CI$3),Report_BM!$CW$6:$CW$73)</f>
        <v>#VALUE!</v>
      </c>
      <c r="CJ36" s="103"/>
      <c r="CK36" s="104"/>
      <c r="CL36" s="104"/>
      <c r="CM36" s="104"/>
      <c r="CN36" s="104"/>
      <c r="CO36" s="104"/>
      <c r="CP36" s="45">
        <f>SUMIF(Report_BM!$DP$6:$DP$73,CONCATENATE($C36,CX$3),Report_BM!$DB$6:$DB$73)+SUMIF(Report_BM!$DP$6:$DP$73,CONCATENATE($C36,CX$3),Report_BM!$DE$6:$DE$73)</f>
        <v>0</v>
      </c>
      <c r="CQ36" s="46" t="e">
        <f ca="1">SUMIF(Report_BM!$DP$6:$DP$73,CONCATENATE($C36,$CX$3),Report_BM!$DC$6:$DC$73)+SUMIF(Report_BM!$DP$6:$DP$73,CONCATENATE($C36,$CX$3),Report_BM!$DF$6:$DF$73)</f>
        <v>#VALUE!</v>
      </c>
      <c r="CR36" s="45">
        <f>SUMIF(Report_BM!$DP$6:$DP$73,CONCATENATE($C36,CX$3),Report_BM!$DH$6:$DH$73)</f>
        <v>0</v>
      </c>
      <c r="CS36" s="39">
        <f>SUMIF(Report_BM!$DP$6:$DP$73,CONCATENATE($C36,CX$3),Report_BM!$DI$6:$DI$73)</f>
        <v>0</v>
      </c>
      <c r="CT36" s="39">
        <f>SUMIF(Report_BM!$DP$6:$DP$73,CONCATENATE($C36,CX$3),Report_BM!$DJ$6:$DJ$73)</f>
        <v>15984000</v>
      </c>
      <c r="CU36" s="39">
        <f>SUMIF(Report_BM!$DP$6:$DP$73,CONCATENATE($C36,CX$3),Report_BM!$DK$6:$DK$73)</f>
        <v>0</v>
      </c>
      <c r="CV36" s="46">
        <f>SUMIF(Master_Data!$AK$152:$AK$864,CONCATENATE($C36,CX$3),Master_Data!$T$152:$T$864)</f>
        <v>-296000</v>
      </c>
      <c r="CW36" s="45">
        <f>SUMIF(Report_BM!$DP$6:$DP$73,CONCATENATE($C36,CX$3),Report_BM!$DM$6:$DM$73)</f>
        <v>0</v>
      </c>
      <c r="CX36" s="39" t="e">
        <f ca="1">SUMIF(Report_BM!$DP$6:$DP$73,CONCATENATE($C36,CX$3),Report_BM!$DN$6:$DN$73)</f>
        <v>#VALUE!</v>
      </c>
      <c r="CY36" s="103"/>
      <c r="CZ36" s="104"/>
      <c r="DA36" s="104"/>
      <c r="DB36" s="104"/>
      <c r="DC36" s="104"/>
      <c r="DD36" s="104"/>
      <c r="DE36" s="45">
        <f>SUMIF(Report_BM!$EG$6:$EG$73,CONCATENATE($C36,DM$3),Report_BM!$DS$6:$DS$73)+SUMIF(Report_BM!$EG$6:$EG$73,CONCATENATE($C36,DM$3),Report_BM!$DV$6:$DV$73)</f>
        <v>0</v>
      </c>
      <c r="DF36" s="46" t="e">
        <f ca="1">SUMIF(Report_BM!$EG$6:$EG$73,CONCATENATE($C36,$DM$3),Report_BM!$DT$6:$DT$73)+SUMIF(Report_BM!$EG$6:$EG$73,CONCATENATE($C36,$DM$3),Report_BM!$DW$6:$DW$73)</f>
        <v>#VALUE!</v>
      </c>
      <c r="DG36" s="45">
        <f>SUMIF(Report_BM!$EG$6:$EG$73,CONCATENATE($C36,DM$3),Report_BM!$DY$6:$DY$73)</f>
        <v>0</v>
      </c>
      <c r="DH36" s="39">
        <f>SUMIF(Report_BM!EG$6:EG$73,CONCATENATE($C36,DM$3),Report_BM!DZ$6:DZ$73)</f>
        <v>0</v>
      </c>
      <c r="DI36" s="39">
        <f>SUMIF(Report_BM!EG$6:EG$73,CONCATENATE($C36,DM$3),Report_BM!$EA$6:$EA$73)</f>
        <v>0</v>
      </c>
      <c r="DJ36" s="39">
        <f>SUMIF(Report_BM!EG$6:EG$73,CONCATENATE($C36,DM$3),Report_BM!$EB$6:$EB$73)</f>
        <v>0</v>
      </c>
      <c r="DK36" s="46">
        <f>SUMIF(Master_Data!$AK$152:$AK$864,CONCATENATE($C36,DM$3),Master_Data!$T$152:$T$864)</f>
        <v>0</v>
      </c>
      <c r="DL36" s="45">
        <f>SUMIF(Report_BM!EG$6:EG$73,CONCATENATE($C36,DM$3),Report_BM!ED$6:ED$73)</f>
        <v>0</v>
      </c>
      <c r="DM36" s="39" t="e">
        <f ca="1">SUMIF(Report_BM!EG$6:EG$73,CONCATENATE($C36,DM$3),Report_BM!EE$6:EE$73)</f>
        <v>#VALUE!</v>
      </c>
      <c r="DN36" s="103"/>
      <c r="DO36" s="104"/>
      <c r="DP36" s="104"/>
      <c r="DQ36" s="104"/>
      <c r="DR36" s="104"/>
      <c r="DS36" s="104"/>
      <c r="DT36" s="45">
        <f>SUMIF(Report_BM!$EX$6:$EX$73,CONCATENATE($C36,EB$3),Report_BM!$EJ$6:$EJ$73)+SUMIF(Report_BM!$EX$6:$EX$73,CONCATENATE($C36,EB$3),Report_BM!$EM$6:$EM$73)</f>
        <v>0</v>
      </c>
      <c r="DU36" s="46" t="e">
        <f ca="1">SUMIF(Report_BM!$EX$6:$EX$73,CONCATENATE($C36,$EB$3),Report_BM!$EK$6:$EK$73)+SUMIF(Report_BM!$EX$6:$EX$73,CONCATENATE($C36,$EB$3),Report_BM!$EN$6:$EN$73)</f>
        <v>#VALUE!</v>
      </c>
      <c r="DV36" s="45">
        <f>SUMIF(Report_BM!$EX$6:$EX$73,CONCATENATE($C36,EB$3),Report_BM!$EP$6:$EP$73)</f>
        <v>0</v>
      </c>
      <c r="DW36" s="39">
        <f>SUMIF(Report_BM!$EX$6:$EX$73,CONCATENATE($C36,EB$3),Report_BM!$EQ$6:$EQ$73)</f>
        <v>0</v>
      </c>
      <c r="DX36" s="39">
        <f>SUMIF(Report_BM!$EX$6:$EX$73,CONCATENATE($C36,EB$3),Report_BM!$ER$6:$ER$73)</f>
        <v>0</v>
      </c>
      <c r="DY36" s="39">
        <f>SUMIF(Report_BM!$EX$6:$EX$73,CONCATENATE($C36,EB$3),Report_BM!$ES$6:$ES$73)</f>
        <v>0</v>
      </c>
      <c r="DZ36" s="46">
        <f>SUMIF(Master_Data!$AK$152:$AK$864,CONCATENATE($C36,EB$3),Master_Data!$T$152:$T$864)</f>
        <v>0</v>
      </c>
      <c r="EA36" s="45">
        <f>SUMIF(Report_BM!EX$6:EX$73,CONCATENATE($C36,EB$3),Report_BM!EU$6:EU$73)</f>
        <v>0</v>
      </c>
      <c r="EB36" s="39">
        <f>SUMIF(Report_BM!EX$6:EX$73,CONCATENATE($C36,EB$3),Report_BM!EV$6:EV$73)</f>
        <v>0</v>
      </c>
      <c r="EC36" s="103"/>
      <c r="ED36" s="104"/>
      <c r="EE36" s="104"/>
      <c r="EF36" s="104"/>
      <c r="EG36" s="104"/>
      <c r="EH36" s="104"/>
      <c r="EI36" s="45">
        <f>SUMIF(Report_BM!$FO$6:$FO$73,CONCATENATE($C36,EQ$3),Report_BM!$FA$6:$FA$73)+SUMIF(Report_BM!$FO$6:$FO$73,CONCATENATE($C36,EQ$3),Report_BM!$FD$6:$FD$73)</f>
        <v>0</v>
      </c>
      <c r="EJ36" s="46" t="e">
        <f>SUMIF(Report_BM!$FO$6:$FO$73,CONCATENATE($C36,$EQ$3),Report_BM!$FB$6:$FB$73)+SUMIF(Report_BM!$FO$6:$FO$73,CONCATENATE($C36,$EQ$3),Report_BM!$FE$6:$FE$73)</f>
        <v>#VALUE!</v>
      </c>
      <c r="EK36" s="45">
        <f>SUMIF(Report_BM!$FO$6:$FO$73,CONCATENATE($C36,EQ$3),Report_BM!$FG$6:$FG$73)</f>
        <v>0</v>
      </c>
      <c r="EL36" s="39">
        <f>SUMIF(Report_BM!$FO$6:$FO$73,CONCATENATE($C36,EQ$3),Report_BM!$FH$6:$FH$73)</f>
        <v>0</v>
      </c>
      <c r="EM36" s="39">
        <f>SUMIF(Report_BM!$FO$6:$FO$73,CONCATENATE($C36,EQ$3),Report_BM!$FI$6:$FI$73)</f>
        <v>14364000</v>
      </c>
      <c r="EN36" s="39">
        <f>SUMIF(Report_BM!$FO$6:$FO$73,CONCATENATE($C36,EQ$3),Report_BM!$FJ$6:$FJ$73)</f>
        <v>0</v>
      </c>
      <c r="EO36" s="46">
        <f>SUMIF(Master_Data!$AK$152:$AK$864,CONCATENATE($C36,EQ$3),Master_Data!$T$152:$T$864)</f>
        <v>-266000</v>
      </c>
      <c r="EP36" s="45">
        <f>SUMIF(Report_BM!FO$6:FO$73,CONCATENATE($C36,EQ$3),Report_BM!FL$6:FL$73)</f>
        <v>0</v>
      </c>
      <c r="EQ36" s="39" t="e">
        <f>SUMIF(Report_BM!FO$6:FO$73,CONCATENATE($C36,EQ$3),Report_BM!FM$6:FM$73)</f>
        <v>#VALUE!</v>
      </c>
      <c r="ER36" s="103"/>
      <c r="ES36" s="104"/>
      <c r="ET36" s="104"/>
      <c r="EU36" s="104"/>
      <c r="EV36" s="104"/>
      <c r="EW36" s="104"/>
      <c r="EX36" s="45">
        <f>SUMIF(Report_BM!$GF$6:$GF$73,CONCATENATE($C36,FF$3),Report_BM!$FR$6:$FR$73)+SUMIF(Report_BM!$GF$6:$GF$73,CONCATENATE($C36,FF$3),Report_BM!$FU$6:$FU$73)</f>
        <v>0</v>
      </c>
      <c r="EY36" s="46" t="e">
        <f>SUMIF(Report_BM!$GF$6:$GF$73,CONCATENATE($C36,$FF$3),Report_BM!$FS$6:$FS$73)+SUMIF(Report_BM!$GF$6:$GF$73,CONCATENATE($C36,$FF$3),Report_BM!$FV$6:$FV$73)</f>
        <v>#VALUE!</v>
      </c>
      <c r="EZ36" s="45">
        <f>SUMIF(Report_BM!$GF$6:$GF$73,CONCATENATE($C36,FF$3),Report_BM!$FX$6:$FX$73)</f>
        <v>0</v>
      </c>
      <c r="FA36" s="39">
        <f>SUMIF(Report_BM!$GF$6:$GF$73,CONCATENATE($C36,FF$3),Report_BM!$FY$6:$FY$73)</f>
        <v>0</v>
      </c>
      <c r="FB36" s="39">
        <f>SUMIF(Report_BM!$GF$6:$GF$73,CONCATENATE($C36,FF$3),Report_BM!$FZ$6:$FZ$73)</f>
        <v>0</v>
      </c>
      <c r="FC36" s="39">
        <f>SUMIF(Report_BM!$GF$6:$GF$73,CONCATENATE($C36,FF$3),Report_BM!$GA$6:$GA$73)</f>
        <v>0</v>
      </c>
      <c r="FD36" s="46">
        <f>SUMIF(Master_Data!$AK$152:$AK$864,CONCATENATE($C36,FF$3),Master_Data!$T$152:$T$864)</f>
        <v>0</v>
      </c>
      <c r="FE36" s="45">
        <f>SUMIF(Report_BM!GF$6:GF$73,CONCATENATE($C36,FF$3),Report_BM!GC$6:GC$73)</f>
        <v>0</v>
      </c>
      <c r="FF36" s="39" t="e">
        <f>SUMIF(Report_BM!GF$6:GF$73,CONCATENATE($C36,FF$3),Report_BM!GD$6:GD$73)</f>
        <v>#VALUE!</v>
      </c>
      <c r="FG36" s="103"/>
      <c r="FH36" s="104"/>
      <c r="FI36" s="104"/>
      <c r="FJ36" s="104"/>
      <c r="FK36" s="104"/>
      <c r="FL36" s="104"/>
      <c r="FM36" s="45">
        <f>SUMIF(Report_BM!$GW$6:$GW$73,CONCATENATE($C36,FU$3),Report_BM!$GI$6:$GI$73)+SUMIF(Report_BM!$GW$6:$GW$73,CONCATENATE($C36,FU$3),Report_BM!$GL$6:$GL$73)</f>
        <v>0</v>
      </c>
      <c r="FN36" s="46" t="e">
        <f>SUMIF(Report_BM!$GW$6:$GW$73,CONCATENATE($C36,$FU$3),Report_BM!$GJ$6:$GJ$73)+SUMIF(Report_BM!$GW$6:$GW$73,CONCATENATE($C36,$FU$3),Report_BM!$GM$6:$GM$73)</f>
        <v>#VALUE!</v>
      </c>
      <c r="FO36" s="45">
        <f>SUMIF(Report_BM!$GW$6:$GW$73,CONCATENATE($C36,FU$3),Report_BM!$GO$6:$GO$73)</f>
        <v>0</v>
      </c>
      <c r="FP36" s="39">
        <f>SUMIF(Report_BM!$GW$6:$GW$73,CONCATENATE($C36,FU$3),Report_BM!$GP$6:$GP$73)</f>
        <v>0</v>
      </c>
      <c r="FQ36" s="39">
        <f>SUMIF(Report_BM!$GW$6:$GW$73,CONCATENATE($C36,FU$3),Report_BM!$GQ$6:$GQ$73)</f>
        <v>0</v>
      </c>
      <c r="FR36" s="39">
        <f>SUMIF(Report_BM!$GW$6:$GW$73,CONCATENATE($C36,FU$3),Report_BM!$GR$6:$GR$73)</f>
        <v>0</v>
      </c>
      <c r="FS36" s="46">
        <f>SUMIF(Master_Data!$AK$152:$AK$864,CONCATENATE($C36,FU$3),Master_Data!$T$152:$T$864)</f>
        <v>0</v>
      </c>
      <c r="FT36" s="45">
        <f>SUMIF(Report_BM!GW$6:GW$73,CONCATENATE($C36,FU$3),Report_BM!GT$6:GT$73)</f>
        <v>0</v>
      </c>
      <c r="FU36" s="39" t="e">
        <f>SUMIF(Report_BM!GW$6:GW$73,CONCATENATE($C36,FU$3),Report_BM!GU$6:GU$73)</f>
        <v>#VALUE!</v>
      </c>
      <c r="FV36" s="103"/>
      <c r="FW36" s="104"/>
      <c r="FX36" s="104"/>
      <c r="FY36" s="104"/>
      <c r="FZ36" s="104"/>
      <c r="GA36" s="104"/>
    </row>
    <row r="37" spans="1:183" s="40" customFormat="1" ht="14.1" customHeight="1">
      <c r="A37" s="9">
        <v>31</v>
      </c>
      <c r="B37" s="328" t="s">
        <v>43</v>
      </c>
      <c r="C37" s="323" t="s">
        <v>164</v>
      </c>
      <c r="D37" s="45">
        <f>SUMIF(Report_BM!$B$6:$B$73,CONCATENATE($C37,L$3),Report_BM!$E$6:$E$73)+SUMIF(Report_BM!$B$6:$B$73,CONCATENATE($C37,L$3),Report_BM!$H$6:$H$73)</f>
        <v>0</v>
      </c>
      <c r="E37" s="276" t="e">
        <f>SUMIF(Report_BM!$B$6:$B$73,CONCATENATE($C37,L$3),Report_BM!$F$6:$F$73)+SUMIF(Report_BM!$B$6:$B$73,CONCATENATE($C37,L$3),Report_BM!$I$6:$I$73)</f>
        <v>#VALUE!</v>
      </c>
      <c r="F37" s="45">
        <f>SUMIF(Report_BM!$B$6:$B$73,CONCATENATE($C37,L$3),Report_BM!$K$6:$K$73)</f>
        <v>0</v>
      </c>
      <c r="G37" s="39">
        <f>SUMIF(Report_BM!$B$6:$B$73,CONCATENATE($C37,$L$3),Report_BM!$L$6:$L$73)</f>
        <v>0</v>
      </c>
      <c r="H37" s="39">
        <f>SUMIF(Report_BM!$B$6:$B$73,CONCATENATE($C37,$L$3),Report_BM!$M$6:$M$73)</f>
        <v>0</v>
      </c>
      <c r="I37" s="39">
        <f>SUMIF(Report_BM!$B$6:$B$73,CONCATENATE($C37,$L$3),Report_BM!$N$6:$N$73)</f>
        <v>0</v>
      </c>
      <c r="J37" s="46">
        <f>SUMIF(Report_BM!$B$6:$B$73,CONCATENATE($C37,$L$3),Report_BM!$O$6:$O$73)</f>
        <v>0</v>
      </c>
      <c r="K37" s="45">
        <f>SUMIF(Report_BM!$B$6:$B$73,CONCATENATE($C37,$L$3),Report_BM!$P$6:$P$73)</f>
        <v>0</v>
      </c>
      <c r="L37" s="39" t="e">
        <f>SUMIF(Report_BM!$B$6:$B$73,CONCATENATE($C37,$L$3),Report_BM!$Q$6:$Q$73)</f>
        <v>#VALUE!</v>
      </c>
      <c r="M37" s="103"/>
      <c r="N37" s="104"/>
      <c r="O37" s="104"/>
      <c r="P37" s="104"/>
      <c r="Q37" s="104"/>
      <c r="R37" s="104"/>
      <c r="S37" s="45">
        <f>SUMIF(Report_BM!$AI$8:$AI$72,CONCATENATE($C37,AA$3),Report_BM!$U$8:$U$72)+SUMIF(Report_BM!$AI$8:$AI$72,CONCATENATE($C37,AA$3),Report_BM!$X$8:$X$72)</f>
        <v>0</v>
      </c>
      <c r="T37" s="276" t="e">
        <f>SUMIF(Report_BM!$AI$8:$AI$72,CONCATENATE($C37,AA$3),Report_BM!$V$8:$V$72)+SUMIF(Report_BM!$AI$8:$AI$72,CONCATENATE($C37,AA$3),Report_BM!$Y$8:$Y$72)</f>
        <v>#VALUE!</v>
      </c>
      <c r="U37" s="45">
        <f>SUMIF(Report_BM!$AI$8:$AI$72,CONCATENATE($C37,AA$3),Report_BM!$AA$8:$AB$72)</f>
        <v>0</v>
      </c>
      <c r="V37" s="39">
        <f>SUMIF(Report_BM!$AI$8:$AI$72,CONCATENATE($C37,$AA$3),Report_BM!$AB$8:$AB$72)</f>
        <v>0</v>
      </c>
      <c r="W37" s="39">
        <f>SUMIF(Report_BM!$AI$8:$AI$72,CONCATENATE($C37,$AA$3),Report_BM!$AC$8:$AC$72)</f>
        <v>28080000</v>
      </c>
      <c r="X37" s="39">
        <f ca="1">SUMIF(Report_BM!$AI$7:$AI$73,CONCATENATE($C37,$AA$3),Report_BM!$AD$7:$AD$73)</f>
        <v>0</v>
      </c>
      <c r="Y37" s="46">
        <f>SUMIF(Master_Data!$AK$152:$AK$864,CONCATENATE($C37,AA$3),Master_Data!$T$152:$T$864)</f>
        <v>-520000</v>
      </c>
      <c r="Z37" s="45">
        <f>SUMIF(Report_BM!$AI$8:$AI$72,CONCATENATE($C37,$AA$3),Report_BM!$AF$8:$AF$72)</f>
        <v>0</v>
      </c>
      <c r="AA37" s="39" t="e">
        <f ca="1">SUMIF(Report_BM!$AI$8:$AI$72,CONCATENATE($C37,$AA$3),Report_BM!$AG$8:$AG$72)</f>
        <v>#VALUE!</v>
      </c>
      <c r="AB37" s="103"/>
      <c r="AC37" s="104"/>
      <c r="AD37" s="104"/>
      <c r="AE37" s="104"/>
      <c r="AF37" s="104"/>
      <c r="AG37" s="104"/>
      <c r="AH37" s="45">
        <f>SUMIF(Report_BM!$AZ$5:$AZ$72,CONCATENATE($C37,AP$3),Report_BM!$AL$5:$AL$72)+SUMIF(Report_BM!$AZ$5:$AZ$72,CONCATENATE($C37,AP$3),Report_BM!$AO$5:$AO$72)</f>
        <v>0</v>
      </c>
      <c r="AI37" s="46" t="e">
        <f ca="1">SUMIF(Report_BM!$AZ$5:$AZ$72,CONCATENATE($C37,$AP$3),Report_BM!$AM$5:$AM$72)+SUMIF(Report_BM!$AZ$5:$AZ$72,CONCATENATE($C37,$AP$3),Report_BM!$AP$5:$AP$72)</f>
        <v>#VALUE!</v>
      </c>
      <c r="AJ37" s="45">
        <f>SUMIF(Report_BM!$AZ$5:$AZ$72,CONCATENATE($C37,$AP$3),Report_BM!$AR$5:$AR$72)</f>
        <v>0</v>
      </c>
      <c r="AK37" s="39">
        <f>SUMIF(Report_BM!$AZ$5:$AZ$72,CONCATENATE($C37,$AP$3),Report_BM!$AS$5:$AS$72)</f>
        <v>0</v>
      </c>
      <c r="AL37" s="39">
        <f>SUMIF(Report_BM!$AZ$5:$AZ$72,CONCATENATE($C37,$AP$3),Report_BM!$AT$5:$AT$72)</f>
        <v>56160000</v>
      </c>
      <c r="AM37" s="39">
        <f ca="1">SUMIF(Report_BM!$AZ$5:$AZ$72,CONCATENATE($C37,$AP$3),Report_BM!$AU$5:$AU$72)</f>
        <v>0</v>
      </c>
      <c r="AN37" s="46">
        <f>SUMIF(Master_Data!$AK$152:$AK$915,CONCATENATE($C37,AP$3),Master_Data!$T$152:$T$915)</f>
        <v>-1040000</v>
      </c>
      <c r="AO37" s="45">
        <f>SUMIF(Report_BM!$AZ$5:$AZ$72,CONCATENATE($C37,$AP$3),Report_BM!$AW$5:$AW$72)</f>
        <v>0</v>
      </c>
      <c r="AP37" s="39" t="e">
        <f ca="1">SUMIF(Report_BM!$AZ$5:$AZ$72,CONCATENATE($C37,$AP$3),Report_BM!$AX$5:$AX$72)</f>
        <v>#VALUE!</v>
      </c>
      <c r="AQ37" s="103"/>
      <c r="AR37" s="104"/>
      <c r="AS37" s="104"/>
      <c r="AT37" s="104"/>
      <c r="AU37" s="104"/>
      <c r="AV37" s="104"/>
      <c r="AW37" s="45">
        <f>SUMIF(Report_BM!$BQ$6:$BQ$73,CONCATENATE($C37,BE$3),Report_BM!$BC$6:$BC$73)+SUMIF(Report_BM!$BQ$6:$BQ$73,CONCATENATE($C37,BE$3),Report_BM!$BF$6:$BF$73)</f>
        <v>0</v>
      </c>
      <c r="AX37" s="46" t="e">
        <f ca="1">SUMIF(Report_BM!$BQ$6:$BQ$73,CONCATENATE($C37,$BE$3),Report_BM!$BD$6:$BD$73)+SUMIF(Report_BM!$BQ$6:$BQ$73,CONCATENATE($C37,$BE$3),Report_BM!$BG$6:$BG$73)</f>
        <v>#VALUE!</v>
      </c>
      <c r="AY37" s="45">
        <f>SUMIF(Report_BM!$BQ$6:$BQ$73,CONCATENATE($C37,BE$3),Report_BM!$BI$6:$BI$73)</f>
        <v>0</v>
      </c>
      <c r="AZ37" s="39">
        <f>SUMIF(Report_BM!$BQ$6:$BQ$73,CONCATENATE($C37,BE$3),Report_BM!$BJ$6:$BJ$73)</f>
        <v>0</v>
      </c>
      <c r="BA37" s="39">
        <f>SUMIF(Report_BM!$BQ$6:$BQ$73,CONCATENATE($C37,BE$3),Report_BM!$BK$6:$BK$73)</f>
        <v>0</v>
      </c>
      <c r="BB37" s="39">
        <f>SUMIF(Report_BM!$BQ$6:$BQ$73,CONCATENATE($C37,BE$3),Report_BM!$BL$6:$BL$73)</f>
        <v>0</v>
      </c>
      <c r="BC37" s="46">
        <f>SUMIF(Master_Data!$AK$152:$AK$864,CONCATENATE($C37,BE$3),Master_Data!$T$152:$T$864)</f>
        <v>0</v>
      </c>
      <c r="BD37" s="45">
        <f>SUMIF(Report_BM!$BQ$6:$BQ$73,CONCATENATE($C37,BE$3),Report_BM!$BN$6:$BN$73)</f>
        <v>0</v>
      </c>
      <c r="BE37" s="39" t="e">
        <f ca="1">SUMIF(Report_BM!$BQ$6:$BQ$73,CONCATENATE($C37,BE$3),Report_BM!$BO$6:$BO$73)</f>
        <v>#VALUE!</v>
      </c>
      <c r="BF37" s="103"/>
      <c r="BG37" s="104"/>
      <c r="BH37" s="104"/>
      <c r="BI37" s="104"/>
      <c r="BJ37" s="104"/>
      <c r="BK37" s="104"/>
      <c r="BL37" s="45">
        <f>SUMIF(Report_BM!$CH$6:$CH$73,CONCATENATE($C37,BT$3),Report_BM!$BT$6:$BT$73)+SUMIF(Report_BM!$CH$6:$CH$73,CONCATENATE($C37,BT$3),Report_BM!$BW$6:$BW$73)</f>
        <v>0</v>
      </c>
      <c r="BM37" s="46" t="e">
        <f ca="1">SUMIF(Report_BM!$CH$6:$CH$73,CONCATENATE($C37,$BT$3),Report_BM!$BU$6:$BU$73)+SUMIF(Report_BM!$CH$6:$CH$73,CONCATENATE($C37,$BT$3),Report_BM!$BX$6:$BX$73)</f>
        <v>#VALUE!</v>
      </c>
      <c r="BN37" s="45">
        <f>SUMIF(Report_BM!$CH$6:$CH$73,CONCATENATE($C37,BT$3),Report_BM!$BZ$6:$BZ$73)</f>
        <v>0</v>
      </c>
      <c r="BO37" s="39">
        <f>SUMIF(Report_BM!$CH$6:$CH$73,CONCATENATE($C37,BT$3),Report_BM!$CA$6:$CA$73)</f>
        <v>0</v>
      </c>
      <c r="BP37" s="39">
        <f>SUMIF(Report_BM!$CH$6:$CH$73,CONCATENATE($C37,BT$3),Report_BM!$CB$6:$CB$73)</f>
        <v>28080000</v>
      </c>
      <c r="BQ37" s="39">
        <f>SUMIF(Report_BM!$CH$6:$CH$73,CONCATENATE($C37,BT$3),Report_BM!$CC$6:$CC$73)</f>
        <v>0</v>
      </c>
      <c r="BR37" s="46">
        <f>SUMIF(Master_Data!$AK$152:$AK$864,CONCATENATE($C37,BT$3),Master_Data!$T$152:$T$864)</f>
        <v>-520000</v>
      </c>
      <c r="BS37" s="45">
        <f>SUMIF(Report_BM!$CH$6:$CH$73,CONCATENATE($C37,BT$3),Report_BM!$CE$6:$CE$73)</f>
        <v>0</v>
      </c>
      <c r="BT37" s="39" t="e">
        <f ca="1">SUMIF(Report_BM!$CH$6:$CH$73,CONCATENATE($C37,BT$3),Report_BM!$CF$6:$CF$73)</f>
        <v>#VALUE!</v>
      </c>
      <c r="BU37" s="103"/>
      <c r="BV37" s="104"/>
      <c r="BW37" s="104"/>
      <c r="BX37" s="104"/>
      <c r="BY37" s="104"/>
      <c r="BZ37" s="104"/>
      <c r="CA37" s="45">
        <f>SUMIF(Report_BM!$CY$6:$CY$73,CONCATENATE($C37,CI$3),Report_BM!$CK$6:$CK$73)+SUMIF(Report_BM!$CY$6:$CY$73,CONCATENATE($C37,CI$3),Report_BM!$CN$6:$CN$73)</f>
        <v>0</v>
      </c>
      <c r="CB37" s="46" t="e">
        <f ca="1">SUMIF(Report_BM!$CY$6:$CY$73,CONCATENATE($C37,$CI$3),Report_BM!$CL$6:$CL$73)+SUMIF(Report_BM!$CY$6:$CY$73,CONCATENATE($C37,$CI$3),Report_BM!$CO$6:$CO$73)</f>
        <v>#VALUE!</v>
      </c>
      <c r="CC37" s="45">
        <f>SUMIF(Report_BM!$CY$6:$CY$73,CONCATENATE($C37,CI$3),Report_BM!$CQ$6:$CQ$73)</f>
        <v>0</v>
      </c>
      <c r="CD37" s="39">
        <f>SUMIF(Report_BM!$CY$6:$CY$73,CONCATENATE($C37,CI$3),Report_BM!$CR$6:$CR$73)</f>
        <v>0</v>
      </c>
      <c r="CE37" s="39">
        <f>SUMIF(Report_BM!$CY$6:$CY$73,CONCATENATE($C37,CI$3),Report_BM!$CS$6:$CS$73)</f>
        <v>40536000</v>
      </c>
      <c r="CF37" s="39">
        <f ca="1">SUMIF(Report_BM!$CY$6:$CY$73,CONCATENATE($C37,CI$3),Report_BM!$CT$6:$CT$73)</f>
        <v>0</v>
      </c>
      <c r="CG37" s="46">
        <f>SUMIF(Report_BM!$CY$6:$CY$73,CONCATENATE($C37,CI$3),Report_BM!$CU$6:$CU$73)</f>
        <v>-750666.6666</v>
      </c>
      <c r="CH37" s="45">
        <f>SUMIF(Report_BM!$CY$6:$CY$73,CONCATENATE($C37,CI$3),Report_BM!$CV$6:$CV$73)</f>
        <v>0</v>
      </c>
      <c r="CI37" s="39" t="e">
        <f ca="1">SUMIF(Report_BM!$CY$6:$CY$73,CONCATENATE($C37,CI$3),Report_BM!$CW$6:$CW$73)</f>
        <v>#VALUE!</v>
      </c>
      <c r="CJ37" s="103"/>
      <c r="CK37" s="104"/>
      <c r="CL37" s="104"/>
      <c r="CM37" s="104"/>
      <c r="CN37" s="104"/>
      <c r="CO37" s="104"/>
      <c r="CP37" s="45">
        <f>SUMIF(Report_BM!$DP$6:$DP$73,CONCATENATE($C37,CX$3),Report_BM!$DB$6:$DB$73)+SUMIF(Report_BM!$DP$6:$DP$73,CONCATENATE($C37,CX$3),Report_BM!$DE$6:$DE$73)</f>
        <v>0</v>
      </c>
      <c r="CQ37" s="46" t="e">
        <f ca="1">SUMIF(Report_BM!$DP$6:$DP$73,CONCATENATE($C37,$CX$3),Report_BM!$DC$6:$DC$73)+SUMIF(Report_BM!$DP$6:$DP$73,CONCATENATE($C37,$CX$3),Report_BM!$DF$6:$DF$73)</f>
        <v>#VALUE!</v>
      </c>
      <c r="CR37" s="45">
        <f>SUMIF(Report_BM!$DP$6:$DP$73,CONCATENATE($C37,CX$3),Report_BM!$DH$6:$DH$73)</f>
        <v>0</v>
      </c>
      <c r="CS37" s="39">
        <f>SUMIF(Report_BM!$DP$6:$DP$73,CONCATENATE($C37,CX$3),Report_BM!$DI$6:$DI$73)</f>
        <v>0</v>
      </c>
      <c r="CT37" s="39">
        <f>SUMIF(Report_BM!$DP$6:$DP$73,CONCATENATE($C37,CX$3),Report_BM!$DJ$6:$DJ$73)</f>
        <v>28080000</v>
      </c>
      <c r="CU37" s="39">
        <f>SUMIF(Report_BM!$DP$6:$DP$73,CONCATENATE($C37,CX$3),Report_BM!$DK$6:$DK$73)</f>
        <v>0</v>
      </c>
      <c r="CV37" s="46">
        <f>SUMIF(Master_Data!$AK$152:$AK$864,CONCATENATE($C37,CX$3),Master_Data!$T$152:$T$864)</f>
        <v>-520000</v>
      </c>
      <c r="CW37" s="45">
        <f>SUMIF(Report_BM!$DP$6:$DP$73,CONCATENATE($C37,CX$3),Report_BM!$DM$6:$DM$73)</f>
        <v>0</v>
      </c>
      <c r="CX37" s="39" t="e">
        <f ca="1">SUMIF(Report_BM!$DP$6:$DP$73,CONCATENATE($C37,CX$3),Report_BM!$DN$6:$DN$73)</f>
        <v>#VALUE!</v>
      </c>
      <c r="CY37" s="103"/>
      <c r="CZ37" s="104"/>
      <c r="DA37" s="104"/>
      <c r="DB37" s="104"/>
      <c r="DC37" s="104"/>
      <c r="DD37" s="104"/>
      <c r="DE37" s="45">
        <f>SUMIF(Report_BM!$EG$6:$EG$73,CONCATENATE($C37,DM$3),Report_BM!$DS$6:$DS$73)+SUMIF(Report_BM!$EG$6:$EG$73,CONCATENATE($C37,DM$3),Report_BM!$DV$6:$DV$73)</f>
        <v>0</v>
      </c>
      <c r="DF37" s="46" t="e">
        <f ca="1">SUMIF(Report_BM!$EG$6:$EG$73,CONCATENATE($C37,$DM$3),Report_BM!$DT$6:$DT$73)+SUMIF(Report_BM!$EG$6:$EG$73,CONCATENATE($C37,$DM$3),Report_BM!$DW$6:$DW$73)</f>
        <v>#VALUE!</v>
      </c>
      <c r="DG37" s="45">
        <f>SUMIF(Report_BM!$EG$6:$EG$73,CONCATENATE($C37,DM$3),Report_BM!$DY$6:$DY$73)</f>
        <v>0</v>
      </c>
      <c r="DH37" s="39">
        <f>SUMIF(Report_BM!EG$6:EG$73,CONCATENATE($C37,DM$3),Report_BM!DZ$6:DZ$73)</f>
        <v>0</v>
      </c>
      <c r="DI37" s="39">
        <f>SUMIF(Report_BM!EG$6:EG$73,CONCATENATE($C37,DM$3),Report_BM!$EA$6:$EA$73)</f>
        <v>28080000</v>
      </c>
      <c r="DJ37" s="39">
        <f>SUMIF(Report_BM!EG$6:EG$73,CONCATENATE($C37,DM$3),Report_BM!$EB$6:$EB$73)</f>
        <v>0</v>
      </c>
      <c r="DK37" s="46">
        <f>SUMIF(Master_Data!$AK$152:$AK$864,CONCATENATE($C37,DM$3),Master_Data!$T$152:$T$864)</f>
        <v>-520000</v>
      </c>
      <c r="DL37" s="45">
        <f>SUMIF(Report_BM!EG$6:EG$73,CONCATENATE($C37,DM$3),Report_BM!ED$6:ED$73)</f>
        <v>0</v>
      </c>
      <c r="DM37" s="39" t="e">
        <f ca="1">SUMIF(Report_BM!EG$6:EG$73,CONCATENATE($C37,DM$3),Report_BM!EE$6:EE$73)</f>
        <v>#VALUE!</v>
      </c>
      <c r="DN37" s="103"/>
      <c r="DO37" s="104"/>
      <c r="DP37" s="104"/>
      <c r="DQ37" s="104"/>
      <c r="DR37" s="104"/>
      <c r="DS37" s="104"/>
      <c r="DT37" s="45">
        <f>SUMIF(Report_BM!$EX$6:$EX$73,CONCATENATE($C37,EB$3),Report_BM!$EJ$6:$EJ$73)+SUMIF(Report_BM!$EX$6:$EX$73,CONCATENATE($C37,EB$3),Report_BM!$EM$6:$EM$73)</f>
        <v>0</v>
      </c>
      <c r="DU37" s="46" t="e">
        <f ca="1">SUMIF(Report_BM!$EX$6:$EX$73,CONCATENATE($C37,$EB$3),Report_BM!$EK$6:$EK$73)+SUMIF(Report_BM!$EX$6:$EX$73,CONCATENATE($C37,$EB$3),Report_BM!$EN$6:$EN$73)</f>
        <v>#VALUE!</v>
      </c>
      <c r="DV37" s="45">
        <f>SUMIF(Report_BM!$EX$6:$EX$73,CONCATENATE($C37,EB$3),Report_BM!$EP$6:$EP$73)</f>
        <v>0</v>
      </c>
      <c r="DW37" s="39">
        <f>SUMIF(Report_BM!$EX$6:$EX$73,CONCATENATE($C37,EB$3),Report_BM!$EQ$6:$EQ$73)</f>
        <v>0</v>
      </c>
      <c r="DX37" s="39">
        <f>SUMIF(Report_BM!$EX$6:$EX$73,CONCATENATE($C37,EB$3),Report_BM!$ER$6:$ER$73)</f>
        <v>0</v>
      </c>
      <c r="DY37" s="39">
        <f>SUMIF(Report_BM!$EX$6:$EX$73,CONCATENATE($C37,EB$3),Report_BM!$ES$6:$ES$73)</f>
        <v>0</v>
      </c>
      <c r="DZ37" s="46">
        <f>SUMIF(Master_Data!$AK$152:$AK$864,CONCATENATE($C37,EB$3),Master_Data!$T$152:$T$864)</f>
        <v>0</v>
      </c>
      <c r="EA37" s="45">
        <f>SUMIF(Report_BM!EX$6:EX$73,CONCATENATE($C37,EB$3),Report_BM!EU$6:EU$73)</f>
        <v>0</v>
      </c>
      <c r="EB37" s="39">
        <f>SUMIF(Report_BM!EX$6:EX$73,CONCATENATE($C37,EB$3),Report_BM!EV$6:EV$73)</f>
        <v>0</v>
      </c>
      <c r="EC37" s="103"/>
      <c r="ED37" s="104"/>
      <c r="EE37" s="104"/>
      <c r="EF37" s="104"/>
      <c r="EG37" s="104"/>
      <c r="EH37" s="104"/>
      <c r="EI37" s="45">
        <f>SUMIF(Report_BM!$FO$6:$FO$73,CONCATENATE($C37,EQ$3),Report_BM!$FA$6:$FA$73)+SUMIF(Report_BM!$FO$6:$FO$73,CONCATENATE($C37,EQ$3),Report_BM!$FD$6:$FD$73)</f>
        <v>0</v>
      </c>
      <c r="EJ37" s="46" t="e">
        <f>SUMIF(Report_BM!$FO$6:$FO$73,CONCATENATE($C37,$EQ$3),Report_BM!$FB$6:$FB$73)+SUMIF(Report_BM!$FO$6:$FO$73,CONCATENATE($C37,$EQ$3),Report_BM!$FE$6:$FE$73)</f>
        <v>#VALUE!</v>
      </c>
      <c r="EK37" s="45">
        <f>SUMIF(Report_BM!$FO$6:$FO$73,CONCATENATE($C37,EQ$3),Report_BM!$FG$6:$FG$73)</f>
        <v>0</v>
      </c>
      <c r="EL37" s="39">
        <f>SUMIF(Report_BM!$FO$6:$FO$73,CONCATENATE($C37,EQ$3),Report_BM!$FH$6:$FH$73)</f>
        <v>0</v>
      </c>
      <c r="EM37" s="39">
        <f>SUMIF(Report_BM!$FO$6:$FO$73,CONCATENATE($C37,EQ$3),Report_BM!$FI$6:$FI$73)</f>
        <v>29700000</v>
      </c>
      <c r="EN37" s="39">
        <f>SUMIF(Report_BM!$FO$6:$FO$73,CONCATENATE($C37,EQ$3),Report_BM!$FJ$6:$FJ$73)</f>
        <v>0</v>
      </c>
      <c r="EO37" s="46">
        <f>SUMIF(Master_Data!$AK$152:$AK$864,CONCATENATE($C37,EQ$3),Master_Data!$T$152:$T$864)</f>
        <v>-550000</v>
      </c>
      <c r="EP37" s="45">
        <f>SUMIF(Report_BM!FO$6:FO$73,CONCATENATE($C37,EQ$3),Report_BM!FL$6:FL$73)</f>
        <v>0</v>
      </c>
      <c r="EQ37" s="39" t="e">
        <f>SUMIF(Report_BM!FO$6:FO$73,CONCATENATE($C37,EQ$3),Report_BM!FM$6:FM$73)</f>
        <v>#VALUE!</v>
      </c>
      <c r="ER37" s="103"/>
      <c r="ES37" s="104"/>
      <c r="ET37" s="104"/>
      <c r="EU37" s="104"/>
      <c r="EV37" s="104"/>
      <c r="EW37" s="104"/>
      <c r="EX37" s="45">
        <f>SUMIF(Report_BM!$GF$6:$GF$73,CONCATENATE($C37,FF$3),Report_BM!$FR$6:$FR$73)+SUMIF(Report_BM!$GF$6:$GF$73,CONCATENATE($C37,FF$3),Report_BM!$FU$6:$FU$73)</f>
        <v>0</v>
      </c>
      <c r="EY37" s="46" t="e">
        <f>SUMIF(Report_BM!$GF$6:$GF$73,CONCATENATE($C37,$FF$3),Report_BM!$FS$6:$FS$73)+SUMIF(Report_BM!$GF$6:$GF$73,CONCATENATE($C37,$FF$3),Report_BM!$FV$6:$FV$73)</f>
        <v>#VALUE!</v>
      </c>
      <c r="EZ37" s="45">
        <f>SUMIF(Report_BM!$GF$6:$GF$73,CONCATENATE($C37,FF$3),Report_BM!$FX$6:$FX$73)</f>
        <v>0</v>
      </c>
      <c r="FA37" s="39">
        <f>SUMIF(Report_BM!$GF$6:$GF$73,CONCATENATE($C37,FF$3),Report_BM!$FY$6:$FY$73)</f>
        <v>0</v>
      </c>
      <c r="FB37" s="39">
        <f>SUMIF(Report_BM!$GF$6:$GF$73,CONCATENATE($C37,FF$3),Report_BM!$FZ$6:$FZ$73)</f>
        <v>0</v>
      </c>
      <c r="FC37" s="39">
        <f>SUMIF(Report_BM!$GF$6:$GF$73,CONCATENATE($C37,FF$3),Report_BM!$GA$6:$GA$73)</f>
        <v>0</v>
      </c>
      <c r="FD37" s="46">
        <f>SUMIF(Master_Data!$AK$152:$AK$864,CONCATENATE($C37,FF$3),Master_Data!$T$152:$T$864)</f>
        <v>0</v>
      </c>
      <c r="FE37" s="45">
        <f>SUMIF(Report_BM!GF$6:GF$73,CONCATENATE($C37,FF$3),Report_BM!GC$6:GC$73)</f>
        <v>0</v>
      </c>
      <c r="FF37" s="39" t="e">
        <f>SUMIF(Report_BM!GF$6:GF$73,CONCATENATE($C37,FF$3),Report_BM!GD$6:GD$73)</f>
        <v>#VALUE!</v>
      </c>
      <c r="FG37" s="103"/>
      <c r="FH37" s="104"/>
      <c r="FI37" s="104"/>
      <c r="FJ37" s="104"/>
      <c r="FK37" s="104"/>
      <c r="FL37" s="104"/>
      <c r="FM37" s="45">
        <f>SUMIF(Report_BM!$GW$6:$GW$73,CONCATENATE($C37,FU$3),Report_BM!$GI$6:$GI$73)+SUMIF(Report_BM!$GW$6:$GW$73,CONCATENATE($C37,FU$3),Report_BM!$GL$6:$GL$73)</f>
        <v>0</v>
      </c>
      <c r="FN37" s="46" t="e">
        <f>SUMIF(Report_BM!$GW$6:$GW$73,CONCATENATE($C37,$FU$3),Report_BM!$GJ$6:$GJ$73)+SUMIF(Report_BM!$GW$6:$GW$73,CONCATENATE($C37,$FU$3),Report_BM!$GM$6:$GM$73)</f>
        <v>#VALUE!</v>
      </c>
      <c r="FO37" s="45">
        <f>SUMIF(Report_BM!$GW$6:$GW$73,CONCATENATE($C37,FU$3),Report_BM!$GO$6:$GO$73)</f>
        <v>0</v>
      </c>
      <c r="FP37" s="39">
        <f>SUMIF(Report_BM!$GW$6:$GW$73,CONCATENATE($C37,FU$3),Report_BM!$GP$6:$GP$73)</f>
        <v>0</v>
      </c>
      <c r="FQ37" s="39">
        <f>SUMIF(Report_BM!$GW$6:$GW$73,CONCATENATE($C37,FU$3),Report_BM!$GQ$6:$GQ$73)</f>
        <v>0</v>
      </c>
      <c r="FR37" s="39">
        <f>SUMIF(Report_BM!$GW$6:$GW$73,CONCATENATE($C37,FU$3),Report_BM!$GR$6:$GR$73)</f>
        <v>0</v>
      </c>
      <c r="FS37" s="46">
        <f>SUMIF(Master_Data!$AK$152:$AK$864,CONCATENATE($C37,FU$3),Master_Data!$T$152:$T$864)</f>
        <v>0</v>
      </c>
      <c r="FT37" s="45">
        <f>SUMIF(Report_BM!GW$6:GW$73,CONCATENATE($C37,FU$3),Report_BM!GT$6:GT$73)</f>
        <v>0</v>
      </c>
      <c r="FU37" s="39" t="e">
        <f>SUMIF(Report_BM!GW$6:GW$73,CONCATENATE($C37,FU$3),Report_BM!GU$6:GU$73)</f>
        <v>#VALUE!</v>
      </c>
      <c r="FV37" s="103"/>
      <c r="FW37" s="104"/>
      <c r="FX37" s="104"/>
      <c r="FY37" s="104"/>
      <c r="FZ37" s="104"/>
      <c r="GA37" s="104"/>
    </row>
    <row r="38" spans="1:183" s="40" customFormat="1" ht="14.1" customHeight="1">
      <c r="A38" s="9">
        <v>32</v>
      </c>
      <c r="B38" s="328" t="s">
        <v>333</v>
      </c>
      <c r="C38" s="323" t="s">
        <v>44</v>
      </c>
      <c r="D38" s="45">
        <f>SUMIF(Report_BM!$B$6:$B$73,CONCATENATE($C38,L$3),Report_BM!$E$6:$E$73)+SUMIF(Report_BM!$B$6:$B$73,CONCATENATE($C38,L$3),Report_BM!$H$6:$H$73)</f>
        <v>0</v>
      </c>
      <c r="E38" s="276">
        <f>SUMIF(Report_BM!$B$6:$B$73,CONCATENATE($C38,L$3),Report_BM!$F$6:$F$73)+SUMIF(Report_BM!$B$6:$B$73,CONCATENATE($C38,L$3),Report_BM!$I$6:$I$73)</f>
        <v>0</v>
      </c>
      <c r="F38" s="45">
        <f>SUMIF(Report_BM!$B$6:$B$73,CONCATENATE($C38,L$3),Report_BM!$K$6:$K$73)</f>
        <v>0</v>
      </c>
      <c r="G38" s="39">
        <f>SUMIF(Report_BM!$B$6:$B$73,CONCATENATE($C38,$L$3),Report_BM!$L$6:$L$73)</f>
        <v>0</v>
      </c>
      <c r="H38" s="39">
        <f>SUMIF(Report_BM!$B$6:$B$73,CONCATENATE($C38,$L$3),Report_BM!$M$6:$M$73)</f>
        <v>0</v>
      </c>
      <c r="I38" s="39">
        <f>SUMIF(Report_BM!$B$6:$B$73,CONCATENATE($C38,$L$3),Report_BM!$N$6:$N$73)</f>
        <v>0</v>
      </c>
      <c r="J38" s="46">
        <f>SUMIF(Report_BM!$B$6:$B$73,CONCATENATE($C38,$L$3),Report_BM!$O$6:$O$73)</f>
        <v>0</v>
      </c>
      <c r="K38" s="45">
        <f>SUMIF(Report_BM!$B$6:$B$73,CONCATENATE($C38,$L$3),Report_BM!$P$6:$P$73)</f>
        <v>0</v>
      </c>
      <c r="L38" s="39">
        <f>SUMIF(Report_BM!$B$6:$B$73,CONCATENATE($C38,$L$3),Report_BM!$Q$6:$Q$73)</f>
        <v>0</v>
      </c>
      <c r="M38" s="103"/>
      <c r="N38" s="104"/>
      <c r="O38" s="104"/>
      <c r="P38" s="104"/>
      <c r="Q38" s="104"/>
      <c r="R38" s="104"/>
      <c r="S38" s="45">
        <f>SUMIF(Report_BM!$AI$8:$AI$72,CONCATENATE($C38,AA$3),Report_BM!$U$8:$U$72)+SUMIF(Report_BM!$AI$8:$AI$72,CONCATENATE($C38,AA$3),Report_BM!$X$8:$X$72)</f>
        <v>0</v>
      </c>
      <c r="T38" s="276">
        <f>SUMIF(Report_BM!$AI$8:$AI$72,CONCATENATE($C38,AA$3),Report_BM!$V$8:$V$72)+SUMIF(Report_BM!$AI$8:$AI$72,CONCATENATE($C38,AA$3),Report_BM!$Y$8:$Y$72)</f>
        <v>0</v>
      </c>
      <c r="U38" s="45">
        <f>SUMIF(Report_BM!$AI$8:$AI$72,CONCATENATE($C38,AA$3),Report_BM!$AA$8:$AB$72)</f>
        <v>0</v>
      </c>
      <c r="V38" s="39">
        <f>SUMIF(Report_BM!$AI$8:$AI$72,CONCATENATE($C38,$AA$3),Report_BM!$AB$8:$AB$72)</f>
        <v>0</v>
      </c>
      <c r="W38" s="39">
        <f>SUMIF(Report_BM!$AI$8:$AI$72,CONCATENATE($C38,$AA$3),Report_BM!$AC$8:$AC$72)</f>
        <v>0</v>
      </c>
      <c r="X38" s="39">
        <f ca="1">SUMIF(Report_BM!$AI$7:$AI$73,CONCATENATE($C38,$AA$3),Report_BM!$AD$7:$AD$73)</f>
        <v>0</v>
      </c>
      <c r="Y38" s="46">
        <f>SUMIF(Master_Data!$AK$152:$AK$864,CONCATENATE($C38,AA$3),Master_Data!$T$152:$T$864)</f>
        <v>0</v>
      </c>
      <c r="Z38" s="45">
        <f>SUMIF(Report_BM!$AI$8:$AI$72,CONCATENATE($C38,$AA$3),Report_BM!$AF$8:$AF$72)</f>
        <v>0</v>
      </c>
      <c r="AA38" s="39">
        <f ca="1">SUMIF(Report_BM!$AI$8:$AI$72,CONCATENATE($C38,$AA$3),Report_BM!$AG$8:$AG$72)</f>
        <v>0</v>
      </c>
      <c r="AB38" s="103"/>
      <c r="AC38" s="104"/>
      <c r="AD38" s="104"/>
      <c r="AE38" s="104"/>
      <c r="AF38" s="104"/>
      <c r="AG38" s="104"/>
      <c r="AH38" s="45">
        <f>SUMIF(Report_BM!$AZ$5:$AZ$72,CONCATENATE($C38,AP$3),Report_BM!$AL$5:$AL$72)+SUMIF(Report_BM!$AZ$5:$AZ$72,CONCATENATE($C38,AP$3),Report_BM!$AO$5:$AO$72)</f>
        <v>0</v>
      </c>
      <c r="AI38" s="46">
        <f ca="1">SUMIF(Report_BM!$AZ$5:$AZ$72,CONCATENATE($C38,$AP$3),Report_BM!$AM$5:$AM$72)+SUMIF(Report_BM!$AZ$5:$AZ$72,CONCATENATE($C38,$AP$3),Report_BM!$AP$5:$AP$72)</f>
        <v>0</v>
      </c>
      <c r="AJ38" s="45">
        <f>SUMIF(Report_BM!$AZ$5:$AZ$72,CONCATENATE($C38,$AP$3),Report_BM!$AR$5:$AR$72)</f>
        <v>0</v>
      </c>
      <c r="AK38" s="39">
        <f>SUMIF(Report_BM!$AZ$5:$AZ$72,CONCATENATE($C38,$AP$3),Report_BM!$AS$5:$AS$72)</f>
        <v>0</v>
      </c>
      <c r="AL38" s="39">
        <f>SUMIF(Report_BM!$AZ$5:$AZ$72,CONCATENATE($C38,$AP$3),Report_BM!$AT$5:$AT$72)</f>
        <v>0</v>
      </c>
      <c r="AM38" s="39">
        <f ca="1">SUMIF(Report_BM!$AZ$5:$AZ$72,CONCATENATE($C38,$AP$3),Report_BM!$AU$5:$AU$72)</f>
        <v>0</v>
      </c>
      <c r="AN38" s="46">
        <f>SUMIF(Master_Data!$AK$152:$AK$915,CONCATENATE($C38,AP$3),Master_Data!$T$152:$T$915)</f>
        <v>0</v>
      </c>
      <c r="AO38" s="45">
        <f>SUMIF(Report_BM!$AZ$5:$AZ$72,CONCATENATE($C38,$AP$3),Report_BM!$AW$5:$AW$72)</f>
        <v>0</v>
      </c>
      <c r="AP38" s="39">
        <f ca="1">SUMIF(Report_BM!$AZ$5:$AZ$72,CONCATENATE($C38,$AP$3),Report_BM!$AX$5:$AX$72)</f>
        <v>0</v>
      </c>
      <c r="AQ38" s="103"/>
      <c r="AR38" s="104"/>
      <c r="AS38" s="104"/>
      <c r="AT38" s="104"/>
      <c r="AU38" s="104"/>
      <c r="AV38" s="104"/>
      <c r="AW38" s="45">
        <f>SUMIF(Report_BM!$BQ$6:$BQ$73,CONCATENATE($C38,BE$3),Report_BM!$BC$6:$BC$73)+SUMIF(Report_BM!$BQ$6:$BQ$73,CONCATENATE($C38,BE$3),Report_BM!$BF$6:$BF$73)</f>
        <v>0</v>
      </c>
      <c r="AX38" s="46">
        <f ca="1">SUMIF(Report_BM!$BQ$6:$BQ$73,CONCATENATE($C38,$BE$3),Report_BM!$BD$6:$BD$73)+SUMIF(Report_BM!$BQ$6:$BQ$73,CONCATENATE($C38,$BE$3),Report_BM!$BG$6:$BG$73)</f>
        <v>0</v>
      </c>
      <c r="AY38" s="45">
        <f>SUMIF(Report_BM!$BQ$6:$BQ$73,CONCATENATE($C38,BE$3),Report_BM!$BI$6:$BI$73)</f>
        <v>0</v>
      </c>
      <c r="AZ38" s="39">
        <f>SUMIF(Report_BM!$BQ$6:$BQ$73,CONCATENATE($C38,BE$3),Report_BM!$BJ$6:$BJ$73)</f>
        <v>0</v>
      </c>
      <c r="BA38" s="39">
        <f>SUMIF(Report_BM!$BQ$6:$BQ$73,CONCATENATE($C38,BE$3),Report_BM!$BK$6:$BK$73)</f>
        <v>0</v>
      </c>
      <c r="BB38" s="39">
        <f>SUMIF(Report_BM!$BQ$6:$BQ$73,CONCATENATE($C38,BE$3),Report_BM!$BL$6:$BL$73)</f>
        <v>0</v>
      </c>
      <c r="BC38" s="46">
        <f>SUMIF(Master_Data!$AK$152:$AK$864,CONCATENATE($C38,BE$3),Master_Data!$T$152:$T$864)</f>
        <v>0</v>
      </c>
      <c r="BD38" s="45">
        <f>SUMIF(Report_BM!$BQ$6:$BQ$73,CONCATENATE($C38,BE$3),Report_BM!$BN$6:$BN$73)</f>
        <v>0</v>
      </c>
      <c r="BE38" s="39">
        <f ca="1">SUMIF(Report_BM!$BQ$6:$BQ$73,CONCATENATE($C38,BE$3),Report_BM!$BO$6:$BO$73)</f>
        <v>0</v>
      </c>
      <c r="BF38" s="103"/>
      <c r="BG38" s="104"/>
      <c r="BH38" s="104"/>
      <c r="BI38" s="104"/>
      <c r="BJ38" s="104"/>
      <c r="BK38" s="104"/>
      <c r="BL38" s="45">
        <f>SUMIF(Report_BM!$CH$6:$CH$73,CONCATENATE($C38,BT$3),Report_BM!$BT$6:$BT$73)+SUMIF(Report_BM!$CH$6:$CH$73,CONCATENATE($C38,BT$3),Report_BM!$BW$6:$BW$73)</f>
        <v>0</v>
      </c>
      <c r="BM38" s="46">
        <f ca="1">SUMIF(Report_BM!$CH$6:$CH$73,CONCATENATE($C38,$BT$3),Report_BM!$BU$6:$BU$73)+SUMIF(Report_BM!$CH$6:$CH$73,CONCATENATE($C38,$BT$3),Report_BM!$BX$6:$BX$73)</f>
        <v>0</v>
      </c>
      <c r="BN38" s="45">
        <f>SUMIF(Report_BM!$CH$6:$CH$73,CONCATENATE($C38,BT$3),Report_BM!$BZ$6:$BZ$73)</f>
        <v>0</v>
      </c>
      <c r="BO38" s="39">
        <f>SUMIF(Report_BM!$CH$6:$CH$73,CONCATENATE($C38,BT$3),Report_BM!$CA$6:$CA$73)</f>
        <v>0</v>
      </c>
      <c r="BP38" s="39">
        <f>SUMIF(Report_BM!$CH$6:$CH$73,CONCATENATE($C38,BT$3),Report_BM!$CB$6:$CB$73)</f>
        <v>0</v>
      </c>
      <c r="BQ38" s="39">
        <f>SUMIF(Report_BM!$CH$6:$CH$73,CONCATENATE($C38,BT$3),Report_BM!$CC$6:$CC$73)</f>
        <v>0</v>
      </c>
      <c r="BR38" s="46">
        <f>SUMIF(Master_Data!$AK$152:$AK$864,CONCATENATE($C38,BT$3),Master_Data!$T$152:$T$864)</f>
        <v>0</v>
      </c>
      <c r="BS38" s="45">
        <f>SUMIF(Report_BM!$CH$6:$CH$73,CONCATENATE($C38,BT$3),Report_BM!$CE$6:$CE$73)</f>
        <v>0</v>
      </c>
      <c r="BT38" s="39">
        <f ca="1">SUMIF(Report_BM!$CH$6:$CH$73,CONCATENATE($C38,BT$3),Report_BM!$CF$6:$CF$73)</f>
        <v>0</v>
      </c>
      <c r="BU38" s="103"/>
      <c r="BV38" s="104"/>
      <c r="BW38" s="104"/>
      <c r="BX38" s="104"/>
      <c r="BY38" s="104"/>
      <c r="BZ38" s="104"/>
      <c r="CA38" s="45">
        <f>SUMIF(Report_BM!$CY$6:$CY$73,CONCATENATE($C38,CI$3),Report_BM!$CK$6:$CK$73)+SUMIF(Report_BM!$CY$6:$CY$73,CONCATENATE($C38,CI$3),Report_BM!$CN$6:$CN$73)</f>
        <v>0</v>
      </c>
      <c r="CB38" s="46">
        <f ca="1">SUMIF(Report_BM!$CY$6:$CY$73,CONCATENATE($C38,$CI$3),Report_BM!$CL$6:$CL$73)+SUMIF(Report_BM!$CY$6:$CY$73,CONCATENATE($C38,$CI$3),Report_BM!$CO$6:$CO$73)</f>
        <v>0</v>
      </c>
      <c r="CC38" s="45">
        <f>SUMIF(Report_BM!$CY$6:$CY$73,CONCATENATE($C38,CI$3),Report_BM!$CQ$6:$CQ$73)</f>
        <v>0</v>
      </c>
      <c r="CD38" s="39">
        <f>SUMIF(Report_BM!$CY$6:$CY$73,CONCATENATE($C38,CI$3),Report_BM!$CR$6:$CR$73)</f>
        <v>0</v>
      </c>
      <c r="CE38" s="39">
        <f>SUMIF(Report_BM!$CY$6:$CY$73,CONCATENATE($C38,CI$3),Report_BM!$CS$6:$CS$73)</f>
        <v>0</v>
      </c>
      <c r="CF38" s="39">
        <f ca="1">SUMIF(Report_BM!$CY$6:$CY$73,CONCATENATE($C38,CI$3),Report_BM!$CT$6:$CT$73)</f>
        <v>0</v>
      </c>
      <c r="CG38" s="46">
        <f>SUMIF(Report_BM!$CY$6:$CY$73,CONCATENATE($C38,CI$3),Report_BM!$CU$6:$CU$73)</f>
        <v>0</v>
      </c>
      <c r="CH38" s="45">
        <f>SUMIF(Report_BM!$CY$6:$CY$73,CONCATENATE($C38,CI$3),Report_BM!$CV$6:$CV$73)</f>
        <v>0</v>
      </c>
      <c r="CI38" s="39">
        <f ca="1">SUMIF(Report_BM!$CY$6:$CY$73,CONCATENATE($C38,CI$3),Report_BM!$CW$6:$CW$73)</f>
        <v>0</v>
      </c>
      <c r="CJ38" s="103"/>
      <c r="CK38" s="104"/>
      <c r="CL38" s="104"/>
      <c r="CM38" s="104"/>
      <c r="CN38" s="104"/>
      <c r="CO38" s="104"/>
      <c r="CP38" s="45">
        <f>SUMIF(Report_BM!$DP$6:$DP$73,CONCATENATE($C38,CX$3),Report_BM!$DB$6:$DB$73)+SUMIF(Report_BM!$DP$6:$DP$73,CONCATENATE($C38,CX$3),Report_BM!$DE$6:$DE$73)</f>
        <v>0</v>
      </c>
      <c r="CQ38" s="46">
        <f ca="1">SUMIF(Report_BM!$DP$6:$DP$73,CONCATENATE($C38,$CX$3),Report_BM!$DC$6:$DC$73)+SUMIF(Report_BM!$DP$6:$DP$73,CONCATENATE($C38,$CX$3),Report_BM!$DF$6:$DF$73)</f>
        <v>0</v>
      </c>
      <c r="CR38" s="45">
        <f>SUMIF(Report_BM!$DP$6:$DP$73,CONCATENATE($C38,CX$3),Report_BM!$DH$6:$DH$73)</f>
        <v>0</v>
      </c>
      <c r="CS38" s="39">
        <f>SUMIF(Report_BM!$DP$6:$DP$73,CONCATENATE($C38,CX$3),Report_BM!$DI$6:$DI$73)</f>
        <v>0</v>
      </c>
      <c r="CT38" s="39">
        <f>SUMIF(Report_BM!$DP$6:$DP$73,CONCATENATE($C38,CX$3),Report_BM!$DJ$6:$DJ$73)</f>
        <v>0</v>
      </c>
      <c r="CU38" s="39">
        <f>SUMIF(Report_BM!$DP$6:$DP$73,CONCATENATE($C38,CX$3),Report_BM!$DK$6:$DK$73)</f>
        <v>0</v>
      </c>
      <c r="CV38" s="46">
        <f>SUMIF(Master_Data!$AK$152:$AK$864,CONCATENATE($C38,CX$3),Master_Data!$T$152:$T$864)</f>
        <v>0</v>
      </c>
      <c r="CW38" s="45">
        <f>SUMIF(Report_BM!$DP$6:$DP$73,CONCATENATE($C38,CX$3),Report_BM!$DM$6:$DM$73)</f>
        <v>0</v>
      </c>
      <c r="CX38" s="39">
        <f ca="1">SUMIF(Report_BM!$DP$6:$DP$73,CONCATENATE($C38,CX$3),Report_BM!$DN$6:$DN$73)</f>
        <v>0</v>
      </c>
      <c r="CY38" s="103"/>
      <c r="CZ38" s="104"/>
      <c r="DA38" s="104"/>
      <c r="DB38" s="104"/>
      <c r="DC38" s="104"/>
      <c r="DD38" s="104"/>
      <c r="DE38" s="45">
        <f>SUMIF(Report_BM!$EG$6:$EG$73,CONCATENATE($C38,DM$3),Report_BM!$DS$6:$DS$73)+SUMIF(Report_BM!$EG$6:$EG$73,CONCATENATE($C38,DM$3),Report_BM!$DV$6:$DV$73)</f>
        <v>0</v>
      </c>
      <c r="DF38" s="46">
        <f ca="1">SUMIF(Report_BM!$EG$6:$EG$73,CONCATENATE($C38,$DM$3),Report_BM!$DT$6:$DT$73)+SUMIF(Report_BM!$EG$6:$EG$73,CONCATENATE($C38,$DM$3),Report_BM!$DW$6:$DW$73)</f>
        <v>0</v>
      </c>
      <c r="DG38" s="45">
        <f>SUMIF(Report_BM!$EG$6:$EG$73,CONCATENATE($C38,DM$3),Report_BM!$DY$6:$DY$73)</f>
        <v>0</v>
      </c>
      <c r="DH38" s="39">
        <f>SUMIF(Report_BM!EG$6:EG$73,CONCATENATE($C38,DM$3),Report_BM!DZ$6:DZ$73)</f>
        <v>0</v>
      </c>
      <c r="DI38" s="39">
        <f>SUMIF(Report_BM!EG$6:EG$73,CONCATENATE($C38,DM$3),Report_BM!$EA$6:$EA$73)</f>
        <v>0</v>
      </c>
      <c r="DJ38" s="39">
        <f>SUMIF(Report_BM!EG$6:EG$73,CONCATENATE($C38,DM$3),Report_BM!$EB$6:$EB$73)</f>
        <v>0</v>
      </c>
      <c r="DK38" s="46">
        <f>SUMIF(Master_Data!$AK$152:$AK$864,CONCATENATE($C38,DM$3),Master_Data!$T$152:$T$864)</f>
        <v>0</v>
      </c>
      <c r="DL38" s="45">
        <f>SUMIF(Report_BM!EG$6:EG$73,CONCATENATE($C38,DM$3),Report_BM!ED$6:ED$73)</f>
        <v>0</v>
      </c>
      <c r="DM38" s="39">
        <f ca="1">SUMIF(Report_BM!EG$6:EG$73,CONCATENATE($C38,DM$3),Report_BM!EE$6:EE$73)</f>
        <v>0</v>
      </c>
      <c r="DN38" s="103"/>
      <c r="DO38" s="104"/>
      <c r="DP38" s="104"/>
      <c r="DQ38" s="104"/>
      <c r="DR38" s="104"/>
      <c r="DS38" s="104"/>
      <c r="DT38" s="45">
        <f>SUMIF(Report_BM!$EX$6:$EX$73,CONCATENATE($C38,EB$3),Report_BM!$EJ$6:$EJ$73)+SUMIF(Report_BM!$EX$6:$EX$73,CONCATENATE($C38,EB$3),Report_BM!$EM$6:$EM$73)</f>
        <v>0</v>
      </c>
      <c r="DU38" s="46">
        <f ca="1">SUMIF(Report_BM!$EX$6:$EX$73,CONCATENATE($C38,$EB$3),Report_BM!$EK$6:$EK$73)+SUMIF(Report_BM!$EX$6:$EX$73,CONCATENATE($C38,$EB$3),Report_BM!$EN$6:$EN$73)</f>
        <v>0</v>
      </c>
      <c r="DV38" s="45">
        <f>SUMIF(Report_BM!$EX$6:$EX$73,CONCATENATE($C38,EB$3),Report_BM!$EP$6:$EP$73)</f>
        <v>0</v>
      </c>
      <c r="DW38" s="39">
        <f>SUMIF(Report_BM!$EX$6:$EX$73,CONCATENATE($C38,EB$3),Report_BM!$EQ$6:$EQ$73)</f>
        <v>0</v>
      </c>
      <c r="DX38" s="39">
        <f>SUMIF(Report_BM!$EX$6:$EX$73,CONCATENATE($C38,EB$3),Report_BM!$ER$6:$ER$73)</f>
        <v>0</v>
      </c>
      <c r="DY38" s="39">
        <f>SUMIF(Report_BM!$EX$6:$EX$73,CONCATENATE($C38,EB$3),Report_BM!$ES$6:$ES$73)</f>
        <v>0</v>
      </c>
      <c r="DZ38" s="46">
        <f>SUMIF(Master_Data!$AK$152:$AK$864,CONCATENATE($C38,EB$3),Master_Data!$T$152:$T$864)</f>
        <v>0</v>
      </c>
      <c r="EA38" s="45">
        <f>SUMIF(Report_BM!EX$6:EX$73,CONCATENATE($C38,EB$3),Report_BM!EU$6:EU$73)</f>
        <v>0</v>
      </c>
      <c r="EB38" s="39">
        <f>SUMIF(Report_BM!EX$6:EX$73,CONCATENATE($C38,EB$3),Report_BM!EV$6:EV$73)</f>
        <v>0</v>
      </c>
      <c r="EC38" s="103"/>
      <c r="ED38" s="104"/>
      <c r="EE38" s="104"/>
      <c r="EF38" s="104"/>
      <c r="EG38" s="104"/>
      <c r="EH38" s="104"/>
      <c r="EI38" s="45">
        <f>SUMIF(Report_BM!$FO$6:$FO$73,CONCATENATE($C38,EQ$3),Report_BM!$FA$6:$FA$73)+SUMIF(Report_BM!$FO$6:$FO$73,CONCATENATE($C38,EQ$3),Report_BM!$FD$6:$FD$73)</f>
        <v>0</v>
      </c>
      <c r="EJ38" s="46">
        <f>SUMIF(Report_BM!$FO$6:$FO$73,CONCATENATE($C38,$EQ$3),Report_BM!$FB$6:$FB$73)+SUMIF(Report_BM!$FO$6:$FO$73,CONCATENATE($C38,$EQ$3),Report_BM!$FE$6:$FE$73)</f>
        <v>0</v>
      </c>
      <c r="EK38" s="45">
        <f>SUMIF(Report_BM!$FO$6:$FO$73,CONCATENATE($C38,EQ$3),Report_BM!$FG$6:$FG$73)</f>
        <v>0</v>
      </c>
      <c r="EL38" s="39">
        <f>SUMIF(Report_BM!$FO$6:$FO$73,CONCATENATE($C38,EQ$3),Report_BM!$FH$6:$FH$73)</f>
        <v>0</v>
      </c>
      <c r="EM38" s="39">
        <f>SUMIF(Report_BM!$FO$6:$FO$73,CONCATENATE($C38,EQ$3),Report_BM!$FI$6:$FI$73)</f>
        <v>0</v>
      </c>
      <c r="EN38" s="39">
        <f>SUMIF(Report_BM!$FO$6:$FO$73,CONCATENATE($C38,EQ$3),Report_BM!$FJ$6:$FJ$73)</f>
        <v>0</v>
      </c>
      <c r="EO38" s="46">
        <f>SUMIF(Master_Data!$AK$152:$AK$864,CONCATENATE($C38,EQ$3),Master_Data!$T$152:$T$864)</f>
        <v>0</v>
      </c>
      <c r="EP38" s="45">
        <f>SUMIF(Report_BM!FO$6:FO$73,CONCATENATE($C38,EQ$3),Report_BM!FL$6:FL$73)</f>
        <v>0</v>
      </c>
      <c r="EQ38" s="39">
        <f>SUMIF(Report_BM!FO$6:FO$73,CONCATENATE($C38,EQ$3),Report_BM!FM$6:FM$73)</f>
        <v>0</v>
      </c>
      <c r="ER38" s="103"/>
      <c r="ES38" s="104"/>
      <c r="ET38" s="104"/>
      <c r="EU38" s="104"/>
      <c r="EV38" s="104"/>
      <c r="EW38" s="104"/>
      <c r="EX38" s="45">
        <f>SUMIF(Report_BM!$GF$6:$GF$73,CONCATENATE($C38,FF$3),Report_BM!$FR$6:$FR$73)+SUMIF(Report_BM!$GF$6:$GF$73,CONCATENATE($C38,FF$3),Report_BM!$FU$6:$FU$73)</f>
        <v>0</v>
      </c>
      <c r="EY38" s="46">
        <f>SUMIF(Report_BM!$GF$6:$GF$73,CONCATENATE($C38,$FF$3),Report_BM!$FS$6:$FS$73)+SUMIF(Report_BM!$GF$6:$GF$73,CONCATENATE($C38,$FF$3),Report_BM!$FV$6:$FV$73)</f>
        <v>0</v>
      </c>
      <c r="EZ38" s="45">
        <f>SUMIF(Report_BM!$GF$6:$GF$73,CONCATENATE($C38,FF$3),Report_BM!$FX$6:$FX$73)</f>
        <v>0</v>
      </c>
      <c r="FA38" s="39">
        <f>SUMIF(Report_BM!$GF$6:$GF$73,CONCATENATE($C38,FF$3),Report_BM!$FY$6:$FY$73)</f>
        <v>0</v>
      </c>
      <c r="FB38" s="39">
        <f>SUMIF(Report_BM!$GF$6:$GF$73,CONCATENATE($C38,FF$3),Report_BM!$FZ$6:$FZ$73)</f>
        <v>0</v>
      </c>
      <c r="FC38" s="39">
        <f>SUMIF(Report_BM!$GF$6:$GF$73,CONCATENATE($C38,FF$3),Report_BM!$GA$6:$GA$73)</f>
        <v>0</v>
      </c>
      <c r="FD38" s="46">
        <f>SUMIF(Master_Data!$AK$152:$AK$864,CONCATENATE($C38,FF$3),Master_Data!$T$152:$T$864)</f>
        <v>0</v>
      </c>
      <c r="FE38" s="45">
        <f>SUMIF(Report_BM!GF$6:GF$73,CONCATENATE($C38,FF$3),Report_BM!GC$6:GC$73)</f>
        <v>0</v>
      </c>
      <c r="FF38" s="39">
        <f>SUMIF(Report_BM!GF$6:GF$73,CONCATENATE($C38,FF$3),Report_BM!GD$6:GD$73)</f>
        <v>0</v>
      </c>
      <c r="FG38" s="103"/>
      <c r="FH38" s="104"/>
      <c r="FI38" s="104"/>
      <c r="FJ38" s="104"/>
      <c r="FK38" s="104"/>
      <c r="FL38" s="104"/>
      <c r="FM38" s="45">
        <f>SUMIF(Report_BM!$GW$6:$GW$73,CONCATENATE($C38,FU$3),Report_BM!$GI$6:$GI$73)+SUMIF(Report_BM!$GW$6:$GW$73,CONCATENATE($C38,FU$3),Report_BM!$GL$6:$GL$73)</f>
        <v>0</v>
      </c>
      <c r="FN38" s="46">
        <f>SUMIF(Report_BM!$GW$6:$GW$73,CONCATENATE($C38,$FU$3),Report_BM!$GJ$6:$GJ$73)+SUMIF(Report_BM!$GW$6:$GW$73,CONCATENATE($C38,$FU$3),Report_BM!$GM$6:$GM$73)</f>
        <v>0</v>
      </c>
      <c r="FO38" s="45">
        <f>SUMIF(Report_BM!$GW$6:$GW$73,CONCATENATE($C38,FU$3),Report_BM!$GO$6:$GO$73)</f>
        <v>0</v>
      </c>
      <c r="FP38" s="39">
        <f>SUMIF(Report_BM!$GW$6:$GW$73,CONCATENATE($C38,FU$3),Report_BM!$GP$6:$GP$73)</f>
        <v>0</v>
      </c>
      <c r="FQ38" s="39">
        <f>SUMIF(Report_BM!$GW$6:$GW$73,CONCATENATE($C38,FU$3),Report_BM!$GQ$6:$GQ$73)</f>
        <v>0</v>
      </c>
      <c r="FR38" s="39">
        <f>SUMIF(Report_BM!$GW$6:$GW$73,CONCATENATE($C38,FU$3),Report_BM!$GR$6:$GR$73)</f>
        <v>0</v>
      </c>
      <c r="FS38" s="46">
        <f>SUMIF(Master_Data!$AK$152:$AK$864,CONCATENATE($C38,FU$3),Master_Data!$T$152:$T$864)</f>
        <v>0</v>
      </c>
      <c r="FT38" s="45">
        <f>SUMIF(Report_BM!GW$6:GW$73,CONCATENATE($C38,FU$3),Report_BM!GT$6:GT$73)</f>
        <v>0</v>
      </c>
      <c r="FU38" s="39">
        <f>SUMIF(Report_BM!GW$6:GW$73,CONCATENATE($C38,FU$3),Report_BM!GU$6:GU$73)</f>
        <v>0</v>
      </c>
      <c r="FV38" s="103"/>
      <c r="FW38" s="104"/>
      <c r="FX38" s="104"/>
      <c r="FY38" s="104"/>
      <c r="FZ38" s="104"/>
      <c r="GA38" s="104"/>
    </row>
    <row r="39" spans="1:183" s="40" customFormat="1" ht="14.1" customHeight="1">
      <c r="A39" s="9">
        <v>33</v>
      </c>
      <c r="B39" s="328" t="s">
        <v>46</v>
      </c>
      <c r="C39" s="325" t="s">
        <v>45</v>
      </c>
      <c r="D39" s="45">
        <f>SUMIF(Report_BM!$B$6:$B$73,CONCATENATE($C39,L$3),Report_BM!$E$6:$E$73)+SUMIF(Report_BM!$B$6:$B$73,CONCATENATE($C39,L$3),Report_BM!$H$6:$H$73)</f>
        <v>0</v>
      </c>
      <c r="E39" s="276" t="e">
        <f>SUMIF(Report_BM!$B$6:$B$73,CONCATENATE($C39,L$3),Report_BM!$F$6:$F$73)+SUMIF(Report_BM!$B$6:$B$73,CONCATENATE($C39,L$3),Report_BM!$I$6:$I$73)</f>
        <v>#VALUE!</v>
      </c>
      <c r="F39" s="45">
        <f>SUMIF(Report_BM!$B$6:$B$73,CONCATENATE($C39,L$3),Report_BM!$K$6:$K$73)</f>
        <v>0</v>
      </c>
      <c r="G39" s="39">
        <f>SUMIF(Report_BM!$B$6:$B$73,CONCATENATE($C39,$L$3),Report_BM!$L$6:$L$73)</f>
        <v>0</v>
      </c>
      <c r="H39" s="39">
        <f>SUMIF(Report_BM!$B$6:$B$73,CONCATENATE($C39,$L$3),Report_BM!$M$6:$M$73)</f>
        <v>12960000</v>
      </c>
      <c r="I39" s="39">
        <f>SUMIF(Report_BM!$B$6:$B$73,CONCATENATE($C39,$L$3),Report_BM!$N$6:$N$73)</f>
        <v>0</v>
      </c>
      <c r="J39" s="46">
        <f>SUMIF(Report_BM!$B$6:$B$73,CONCATENATE($C39,$L$3),Report_BM!$O$6:$O$73)</f>
        <v>-240000</v>
      </c>
      <c r="K39" s="45">
        <f>SUMIF(Report_BM!$B$6:$B$73,CONCATENATE($C39,$L$3),Report_BM!$P$6:$P$73)</f>
        <v>0</v>
      </c>
      <c r="L39" s="39" t="e">
        <f>SUMIF(Report_BM!$B$6:$B$73,CONCATENATE($C39,$L$3),Report_BM!$Q$6:$Q$73)</f>
        <v>#VALUE!</v>
      </c>
      <c r="M39" s="103"/>
      <c r="N39" s="104"/>
      <c r="O39" s="104"/>
      <c r="P39" s="104"/>
      <c r="Q39" s="104"/>
      <c r="R39" s="104"/>
      <c r="S39" s="45">
        <f>SUMIF(Report_BM!$AI$8:$AI$72,CONCATENATE($C39,AA$3),Report_BM!$U$8:$U$72)+SUMIF(Report_BM!$AI$8:$AI$72,CONCATENATE($C39,AA$3),Report_BM!$X$8:$X$72)</f>
        <v>0</v>
      </c>
      <c r="T39" s="276" t="e">
        <f>SUMIF(Report_BM!$AI$8:$AI$72,CONCATENATE($C39,AA$3),Report_BM!$V$8:$V$72)+SUMIF(Report_BM!$AI$8:$AI$72,CONCATENATE($C39,AA$3),Report_BM!$Y$8:$Y$72)</f>
        <v>#VALUE!</v>
      </c>
      <c r="U39" s="45">
        <f>SUMIF(Report_BM!$AI$8:$AI$72,CONCATENATE($C39,AA$3),Report_BM!$AA$8:$AB$72)</f>
        <v>0</v>
      </c>
      <c r="V39" s="39">
        <f>SUMIF(Report_BM!$AI$8:$AI$72,CONCATENATE($C39,$AA$3),Report_BM!$AB$8:$AB$72)</f>
        <v>0</v>
      </c>
      <c r="W39" s="39">
        <f>SUMIF(Report_BM!$AI$8:$AI$72,CONCATENATE($C39,$AA$3),Report_BM!$AC$8:$AC$72)</f>
        <v>25920000</v>
      </c>
      <c r="X39" s="39">
        <f ca="1">SUMIF(Report_BM!$AI$7:$AI$73,CONCATENATE($C39,$AA$3),Report_BM!$AD$7:$AD$73)</f>
        <v>0</v>
      </c>
      <c r="Y39" s="46">
        <f>SUMIF(Master_Data!$AK$152:$AK$864,CONCATENATE($C39,AA$3),Master_Data!$T$152:$T$864)</f>
        <v>-240000</v>
      </c>
      <c r="Z39" s="45">
        <f>SUMIF(Report_BM!$AI$8:$AI$72,CONCATENATE($C39,$AA$3),Report_BM!$AF$8:$AF$72)</f>
        <v>0</v>
      </c>
      <c r="AA39" s="39" t="e">
        <f ca="1">SUMIF(Report_BM!$AI$8:$AI$72,CONCATENATE($C39,$AA$3),Report_BM!$AG$8:$AG$72)</f>
        <v>#VALUE!</v>
      </c>
      <c r="AB39" s="103"/>
      <c r="AC39" s="813"/>
      <c r="AD39" s="104"/>
      <c r="AE39" s="104"/>
      <c r="AF39" s="104"/>
      <c r="AG39" s="104"/>
      <c r="AH39" s="45">
        <f>SUMIF(Report_BM!$AZ$5:$AZ$72,CONCATENATE($C39,AP$3),Report_BM!$AL$5:$AL$72)+SUMIF(Report_BM!$AZ$5:$AZ$72,CONCATENATE($C39,AP$3),Report_BM!$AO$5:$AO$72)</f>
        <v>0</v>
      </c>
      <c r="AI39" s="46" t="e">
        <f ca="1">SUMIF(Report_BM!$AZ$5:$AZ$72,CONCATENATE($C39,$AP$3),Report_BM!$AM$5:$AM$72)+SUMIF(Report_BM!$AZ$5:$AZ$72,CONCATENATE($C39,$AP$3),Report_BM!$AP$5:$AP$72)</f>
        <v>#VALUE!</v>
      </c>
      <c r="AJ39" s="45">
        <f>SUMIF(Report_BM!$AZ$5:$AZ$72,CONCATENATE($C39,$AP$3),Report_BM!$AR$5:$AR$72)</f>
        <v>0</v>
      </c>
      <c r="AK39" s="39">
        <f>SUMIF(Report_BM!$AZ$5:$AZ$72,CONCATENATE($C39,$AP$3),Report_BM!$AS$5:$AS$72)</f>
        <v>0</v>
      </c>
      <c r="AL39" s="39">
        <f>SUMIF(Report_BM!$AZ$5:$AZ$72,CONCATENATE($C39,$AP$3),Report_BM!$AT$5:$AT$72)</f>
        <v>12960000</v>
      </c>
      <c r="AM39" s="39">
        <f ca="1">SUMIF(Report_BM!$AZ$5:$AZ$72,CONCATENATE($C39,$AP$3),Report_BM!$AU$5:$AU$72)</f>
        <v>0</v>
      </c>
      <c r="AN39" s="46">
        <f>SUMIF(Master_Data!$AK$152:$AK$915,CONCATENATE($C39,AP$3),Master_Data!$T$152:$T$915)</f>
        <v>-240000</v>
      </c>
      <c r="AO39" s="45">
        <f>SUMIF(Report_BM!$AZ$5:$AZ$72,CONCATENATE($C39,$AP$3),Report_BM!$AW$5:$AW$72)</f>
        <v>0</v>
      </c>
      <c r="AP39" s="39" t="e">
        <f ca="1">SUMIF(Report_BM!$AZ$5:$AZ$72,CONCATENATE($C39,$AP$3),Report_BM!$AX$5:$AX$72)</f>
        <v>#VALUE!</v>
      </c>
      <c r="AQ39" s="103"/>
      <c r="AR39" s="104"/>
      <c r="AS39" s="104"/>
      <c r="AT39" s="104"/>
      <c r="AU39" s="104"/>
      <c r="AV39" s="104"/>
      <c r="AW39" s="45">
        <f>SUMIF(Report_BM!$BQ$6:$BQ$73,CONCATENATE($C39,BE$3),Report_BM!$BC$6:$BC$73)+SUMIF(Report_BM!$BQ$6:$BQ$73,CONCATENATE($C39,BE$3),Report_BM!$BF$6:$BF$73)</f>
        <v>0</v>
      </c>
      <c r="AX39" s="46" t="e">
        <f ca="1">SUMIF(Report_BM!$BQ$6:$BQ$73,CONCATENATE($C39,$BE$3),Report_BM!$BD$6:$BD$73)+SUMIF(Report_BM!$BQ$6:$BQ$73,CONCATENATE($C39,$BE$3),Report_BM!$BG$6:$BG$73)</f>
        <v>#VALUE!</v>
      </c>
      <c r="AY39" s="45">
        <f>SUMIF(Report_BM!$BQ$6:$BQ$73,CONCATENATE($C39,BE$3),Report_BM!$BI$6:$BI$73)</f>
        <v>0</v>
      </c>
      <c r="AZ39" s="39">
        <f>SUMIF(Report_BM!$BQ$6:$BQ$73,CONCATENATE($C39,BE$3),Report_BM!$BJ$6:$BJ$73)</f>
        <v>0</v>
      </c>
      <c r="BA39" s="39">
        <f>SUMIF(Report_BM!$BQ$6:$BQ$73,CONCATENATE($C39,BE$3),Report_BM!$BK$6:$BK$73)</f>
        <v>12960000</v>
      </c>
      <c r="BB39" s="39">
        <f>SUMIF(Report_BM!$BQ$6:$BQ$73,CONCATENATE($C39,BE$3),Report_BM!$BL$6:$BL$73)</f>
        <v>0</v>
      </c>
      <c r="BC39" s="46">
        <f>SUMIF(Master_Data!$AK$152:$AK$864,CONCATENATE($C39,BE$3),Master_Data!$T$152:$T$864)</f>
        <v>-240000</v>
      </c>
      <c r="BD39" s="45">
        <f>SUMIF(Report_BM!$BQ$6:$BQ$73,CONCATENATE($C39,BE$3),Report_BM!$BN$6:$BN$73)</f>
        <v>0</v>
      </c>
      <c r="BE39" s="39" t="e">
        <f ca="1">SUMIF(Report_BM!$BQ$6:$BQ$73,CONCATENATE($C39,BE$3),Report_BM!$BO$6:$BO$73)</f>
        <v>#VALUE!</v>
      </c>
      <c r="BF39" s="103"/>
      <c r="BG39" s="104"/>
      <c r="BH39" s="104"/>
      <c r="BI39" s="104"/>
      <c r="BJ39" s="104"/>
      <c r="BK39" s="104"/>
      <c r="BL39" s="45">
        <f>SUMIF(Report_BM!$CH$6:$CH$73,CONCATENATE($C39,BT$3),Report_BM!$BT$6:$BT$73)+SUMIF(Report_BM!$CH$6:$CH$73,CONCATENATE($C39,BT$3),Report_BM!$BW$6:$BW$73)</f>
        <v>0</v>
      </c>
      <c r="BM39" s="46" t="e">
        <f ca="1">SUMIF(Report_BM!$CH$6:$CH$73,CONCATENATE($C39,$BT$3),Report_BM!$BU$6:$BU$73)+SUMIF(Report_BM!$CH$6:$CH$73,CONCATENATE($C39,$BT$3),Report_BM!$BX$6:$BX$73)</f>
        <v>#VALUE!</v>
      </c>
      <c r="BN39" s="45">
        <f>SUMIF(Report_BM!$CH$6:$CH$73,CONCATENATE($C39,BT$3),Report_BM!$BZ$6:$BZ$73)</f>
        <v>0</v>
      </c>
      <c r="BO39" s="39">
        <f>SUMIF(Report_BM!$CH$6:$CH$73,CONCATENATE($C39,BT$3),Report_BM!$CA$6:$CA$73)</f>
        <v>0</v>
      </c>
      <c r="BP39" s="39">
        <f>SUMIF(Report_BM!$CH$6:$CH$73,CONCATENATE($C39,BT$3),Report_BM!$CB$6:$CB$73)</f>
        <v>12960000</v>
      </c>
      <c r="BQ39" s="39">
        <f>SUMIF(Report_BM!$CH$6:$CH$73,CONCATENATE($C39,BT$3),Report_BM!$CC$6:$CC$73)</f>
        <v>0</v>
      </c>
      <c r="BR39" s="46">
        <f>SUMIF(Master_Data!$AK$152:$AK$864,CONCATENATE($C39,BT$3),Master_Data!$T$152:$T$864)</f>
        <v>-240000</v>
      </c>
      <c r="BS39" s="45">
        <f>SUMIF(Report_BM!$CH$6:$CH$73,CONCATENATE($C39,BT$3),Report_BM!$CE$6:$CE$73)</f>
        <v>0</v>
      </c>
      <c r="BT39" s="39" t="e">
        <f ca="1">SUMIF(Report_BM!$CH$6:$CH$73,CONCATENATE($C39,BT$3),Report_BM!$CF$6:$CF$73)</f>
        <v>#VALUE!</v>
      </c>
      <c r="BU39" s="103"/>
      <c r="BV39" s="104"/>
      <c r="BW39" s="104"/>
      <c r="BX39" s="104"/>
      <c r="BY39" s="104"/>
      <c r="BZ39" s="104"/>
      <c r="CA39" s="45">
        <f>SUMIF(Report_BM!$CY$6:$CY$73,CONCATENATE($C39,CI$3),Report_BM!$CK$6:$CK$73)+SUMIF(Report_BM!$CY$6:$CY$73,CONCATENATE($C39,CI$3),Report_BM!$CN$6:$CN$73)</f>
        <v>0</v>
      </c>
      <c r="CB39" s="46" t="e">
        <f ca="1">SUMIF(Report_BM!$CY$6:$CY$73,CONCATENATE($C39,$CI$3),Report_BM!$CL$6:$CL$73)+SUMIF(Report_BM!$CY$6:$CY$73,CONCATENATE($C39,$CI$3),Report_BM!$CO$6:$CO$73)</f>
        <v>#VALUE!</v>
      </c>
      <c r="CC39" s="45">
        <f>SUMIF(Report_BM!$CY$6:$CY$73,CONCATENATE($C39,CI$3),Report_BM!$CQ$6:$CQ$73)</f>
        <v>0</v>
      </c>
      <c r="CD39" s="39">
        <f>SUMIF(Report_BM!$CY$6:$CY$73,CONCATENATE($C39,CI$3),Report_BM!$CR$6:$CR$73)</f>
        <v>0</v>
      </c>
      <c r="CE39" s="39">
        <f>SUMIF(Report_BM!$CY$6:$CY$73,CONCATENATE($C39,CI$3),Report_BM!$CS$6:$CS$73)</f>
        <v>25920000</v>
      </c>
      <c r="CF39" s="39">
        <f ca="1">SUMIF(Report_BM!$CY$6:$CY$73,CONCATENATE($C39,CI$3),Report_BM!$CT$6:$CT$73)</f>
        <v>0</v>
      </c>
      <c r="CG39" s="46">
        <f>SUMIF(Report_BM!$CY$6:$CY$73,CONCATENATE($C39,CI$3),Report_BM!$CU$6:$CU$73)</f>
        <v>-480000</v>
      </c>
      <c r="CH39" s="45">
        <f>SUMIF(Report_BM!$CY$6:$CY$73,CONCATENATE($C39,CI$3),Report_BM!$CV$6:$CV$73)</f>
        <v>0</v>
      </c>
      <c r="CI39" s="39" t="e">
        <f ca="1">SUMIF(Report_BM!$CY$6:$CY$73,CONCATENATE($C39,CI$3),Report_BM!$CW$6:$CW$73)</f>
        <v>#VALUE!</v>
      </c>
      <c r="CJ39" s="103"/>
      <c r="CK39" s="104"/>
      <c r="CL39" s="104"/>
      <c r="CM39" s="104"/>
      <c r="CN39" s="104"/>
      <c r="CO39" s="104"/>
      <c r="CP39" s="45">
        <f>SUMIF(Report_BM!$DP$6:$DP$73,CONCATENATE($C39,CX$3),Report_BM!$DB$6:$DB$73)+SUMIF(Report_BM!$DP$6:$DP$73,CONCATENATE($C39,CX$3),Report_BM!$DE$6:$DE$73)</f>
        <v>0</v>
      </c>
      <c r="CQ39" s="46" t="e">
        <f ca="1">SUMIF(Report_BM!$DP$6:$DP$73,CONCATENATE($C39,$CX$3),Report_BM!$DC$6:$DC$73)+SUMIF(Report_BM!$DP$6:$DP$73,CONCATENATE($C39,$CX$3),Report_BM!$DF$6:$DF$73)</f>
        <v>#VALUE!</v>
      </c>
      <c r="CR39" s="45">
        <f>SUMIF(Report_BM!$DP$6:$DP$73,CONCATENATE($C39,CX$3),Report_BM!$DH$6:$DH$73)</f>
        <v>0</v>
      </c>
      <c r="CS39" s="39">
        <f>SUMIF(Report_BM!$DP$6:$DP$73,CONCATENATE($C39,CX$3),Report_BM!$DI$6:$DI$73)</f>
        <v>0</v>
      </c>
      <c r="CT39" s="39">
        <f>SUMIF(Report_BM!$DP$6:$DP$73,CONCATENATE($C39,CX$3),Report_BM!$DJ$6:$DJ$73)</f>
        <v>12960000</v>
      </c>
      <c r="CU39" s="39">
        <f>SUMIF(Report_BM!$DP$6:$DP$73,CONCATENATE($C39,CX$3),Report_BM!$DK$6:$DK$73)</f>
        <v>0</v>
      </c>
      <c r="CV39" s="46">
        <f>SUMIF(Master_Data!$AK$152:$AK$864,CONCATENATE($C39,CX$3),Master_Data!$T$152:$T$864)</f>
        <v>-240000</v>
      </c>
      <c r="CW39" s="45">
        <f>SUMIF(Report_BM!$DP$6:$DP$73,CONCATENATE($C39,CX$3),Report_BM!$DM$6:$DM$73)</f>
        <v>0</v>
      </c>
      <c r="CX39" s="39" t="e">
        <f ca="1">SUMIF(Report_BM!$DP$6:$DP$73,CONCATENATE($C39,CX$3),Report_BM!$DN$6:$DN$73)</f>
        <v>#VALUE!</v>
      </c>
      <c r="CY39" s="103"/>
      <c r="CZ39" s="104"/>
      <c r="DA39" s="104"/>
      <c r="DB39" s="104"/>
      <c r="DC39" s="104"/>
      <c r="DD39" s="104"/>
      <c r="DE39" s="45">
        <f>SUMIF(Report_BM!$EG$6:$EG$73,CONCATENATE($C39,DM$3),Report_BM!$DS$6:$DS$73)+SUMIF(Report_BM!$EG$6:$EG$73,CONCATENATE($C39,DM$3),Report_BM!$DV$6:$DV$73)</f>
        <v>0</v>
      </c>
      <c r="DF39" s="46" t="e">
        <f ca="1">SUMIF(Report_BM!$EG$6:$EG$73,CONCATENATE($C39,$DM$3),Report_BM!$DT$6:$DT$73)+SUMIF(Report_BM!$EG$6:$EG$73,CONCATENATE($C39,$DM$3),Report_BM!$DW$6:$DW$73)</f>
        <v>#VALUE!</v>
      </c>
      <c r="DG39" s="45">
        <f>SUMIF(Report_BM!$EG$6:$EG$73,CONCATENATE($C39,DM$3),Report_BM!$DY$6:$DY$73)</f>
        <v>0</v>
      </c>
      <c r="DH39" s="39">
        <f>SUMIF(Report_BM!EG$6:EG$73,CONCATENATE($C39,DM$3),Report_BM!DZ$6:DZ$73)</f>
        <v>0</v>
      </c>
      <c r="DI39" s="39">
        <f>SUMIF(Report_BM!EG$6:EG$73,CONCATENATE($C39,DM$3),Report_BM!$EA$6:$EA$73)</f>
        <v>0</v>
      </c>
      <c r="DJ39" s="39">
        <f>SUMIF(Report_BM!EG$6:EG$73,CONCATENATE($C39,DM$3),Report_BM!$EB$6:$EB$73)</f>
        <v>0</v>
      </c>
      <c r="DK39" s="46">
        <f>SUMIF(Master_Data!$AK$152:$AK$864,CONCATENATE($C39,DM$3),Master_Data!$T$152:$T$864)</f>
        <v>0</v>
      </c>
      <c r="DL39" s="45">
        <f>SUMIF(Report_BM!EG$6:EG$73,CONCATENATE($C39,DM$3),Report_BM!ED$6:ED$73)</f>
        <v>0</v>
      </c>
      <c r="DM39" s="39" t="e">
        <f ca="1">SUMIF(Report_BM!EG$6:EG$73,CONCATENATE($C39,DM$3),Report_BM!EE$6:EE$73)</f>
        <v>#VALUE!</v>
      </c>
      <c r="DN39" s="103"/>
      <c r="DO39" s="104"/>
      <c r="DP39" s="104"/>
      <c r="DQ39" s="104"/>
      <c r="DR39" s="104"/>
      <c r="DS39" s="104"/>
      <c r="DT39" s="45">
        <f>SUMIF(Report_BM!$EX$6:$EX$73,CONCATENATE($C39,EB$3),Report_BM!$EJ$6:$EJ$73)+SUMIF(Report_BM!$EX$6:$EX$73,CONCATENATE($C39,EB$3),Report_BM!$EM$6:$EM$73)</f>
        <v>0</v>
      </c>
      <c r="DU39" s="46" t="e">
        <f ca="1">SUMIF(Report_BM!$EX$6:$EX$73,CONCATENATE($C39,$EB$3),Report_BM!$EK$6:$EK$73)+SUMIF(Report_BM!$EX$6:$EX$73,CONCATENATE($C39,$EB$3),Report_BM!$EN$6:$EN$73)</f>
        <v>#VALUE!</v>
      </c>
      <c r="DV39" s="45">
        <f>SUMIF(Report_BM!$EX$6:$EX$73,CONCATENATE($C39,EB$3),Report_BM!$EP$6:$EP$73)</f>
        <v>0</v>
      </c>
      <c r="DW39" s="39">
        <f>SUMIF(Report_BM!$EX$6:$EX$73,CONCATENATE($C39,EB$3),Report_BM!$EQ$6:$EQ$73)</f>
        <v>0</v>
      </c>
      <c r="DX39" s="39">
        <f>SUMIF(Report_BM!$EX$6:$EX$73,CONCATENATE($C39,EB$3),Report_BM!$ER$6:$ER$73)</f>
        <v>0</v>
      </c>
      <c r="DY39" s="39">
        <f>SUMIF(Report_BM!$EX$6:$EX$73,CONCATENATE($C39,EB$3),Report_BM!$ES$6:$ES$73)</f>
        <v>0</v>
      </c>
      <c r="DZ39" s="46">
        <f>SUMIF(Master_Data!$AK$152:$AK$864,CONCATENATE($C39,EB$3),Master_Data!$T$152:$T$864)</f>
        <v>0</v>
      </c>
      <c r="EA39" s="45">
        <f>SUMIF(Report_BM!EX$6:EX$73,CONCATENATE($C39,EB$3),Report_BM!EU$6:EU$73)</f>
        <v>0</v>
      </c>
      <c r="EB39" s="39">
        <f>SUMIF(Report_BM!EX$6:EX$73,CONCATENATE($C39,EB$3),Report_BM!EV$6:EV$73)</f>
        <v>0</v>
      </c>
      <c r="EC39" s="103"/>
      <c r="ED39" s="104"/>
      <c r="EE39" s="104"/>
      <c r="EF39" s="104"/>
      <c r="EG39" s="104"/>
      <c r="EH39" s="104"/>
      <c r="EI39" s="45">
        <f>SUMIF(Report_BM!$FO$6:$FO$73,CONCATENATE($C39,EQ$3),Report_BM!$FA$6:$FA$73)+SUMIF(Report_BM!$FO$6:$FO$73,CONCATENATE($C39,EQ$3),Report_BM!$FD$6:$FD$73)</f>
        <v>0</v>
      </c>
      <c r="EJ39" s="46" t="e">
        <f>SUMIF(Report_BM!$FO$6:$FO$73,CONCATENATE($C39,$EQ$3),Report_BM!$FB$6:$FB$73)+SUMIF(Report_BM!$FO$6:$FO$73,CONCATENATE($C39,$EQ$3),Report_BM!$FE$6:$FE$73)</f>
        <v>#VALUE!</v>
      </c>
      <c r="EK39" s="45">
        <f>SUMIF(Report_BM!$FO$6:$FO$73,CONCATENATE($C39,EQ$3),Report_BM!$FG$6:$FG$73)</f>
        <v>0</v>
      </c>
      <c r="EL39" s="39">
        <f>SUMIF(Report_BM!$FO$6:$FO$73,CONCATENATE($C39,EQ$3),Report_BM!$FH$6:$FH$73)</f>
        <v>0</v>
      </c>
      <c r="EM39" s="39">
        <f>SUMIF(Report_BM!$FO$6:$FO$73,CONCATENATE($C39,EQ$3),Report_BM!$FI$6:$FI$73)</f>
        <v>25920000</v>
      </c>
      <c r="EN39" s="39">
        <f>SUMIF(Report_BM!$FO$6:$FO$73,CONCATENATE($C39,EQ$3),Report_BM!$FJ$6:$FJ$73)</f>
        <v>0</v>
      </c>
      <c r="EO39" s="46">
        <f>SUMIF(Master_Data!$AK$152:$AK$864,CONCATENATE($C39,EQ$3),Master_Data!$T$152:$T$864)</f>
        <v>-480000</v>
      </c>
      <c r="EP39" s="45">
        <f>SUMIF(Report_BM!FO$6:FO$73,CONCATENATE($C39,EQ$3),Report_BM!FL$6:FL$73)</f>
        <v>0</v>
      </c>
      <c r="EQ39" s="39" t="e">
        <f>SUMIF(Report_BM!FO$6:FO$73,CONCATENATE($C39,EQ$3),Report_BM!FM$6:FM$73)</f>
        <v>#VALUE!</v>
      </c>
      <c r="ER39" s="103"/>
      <c r="ES39" s="104"/>
      <c r="ET39" s="104"/>
      <c r="EU39" s="104"/>
      <c r="EV39" s="104"/>
      <c r="EW39" s="104"/>
      <c r="EX39" s="45">
        <f>SUMIF(Report_BM!$GF$6:$GF$73,CONCATENATE($C39,FF$3),Report_BM!$FR$6:$FR$73)+SUMIF(Report_BM!$GF$6:$GF$73,CONCATENATE($C39,FF$3),Report_BM!$FU$6:$FU$73)</f>
        <v>0</v>
      </c>
      <c r="EY39" s="46" t="e">
        <f>SUMIF(Report_BM!$GF$6:$GF$73,CONCATENATE($C39,$FF$3),Report_BM!$FS$6:$FS$73)+SUMIF(Report_BM!$GF$6:$GF$73,CONCATENATE($C39,$FF$3),Report_BM!$FV$6:$FV$73)</f>
        <v>#VALUE!</v>
      </c>
      <c r="EZ39" s="45">
        <f>SUMIF(Report_BM!$GF$6:$GF$73,CONCATENATE($C39,FF$3),Report_BM!$FX$6:$FX$73)</f>
        <v>0</v>
      </c>
      <c r="FA39" s="39">
        <f>SUMIF(Report_BM!$GF$6:$GF$73,CONCATENATE($C39,FF$3),Report_BM!$FY$6:$FY$73)</f>
        <v>0</v>
      </c>
      <c r="FB39" s="39">
        <f>SUMIF(Report_BM!$GF$6:$GF$73,CONCATENATE($C39,FF$3),Report_BM!$FZ$6:$FZ$73)</f>
        <v>0</v>
      </c>
      <c r="FC39" s="39">
        <f>SUMIF(Report_BM!$GF$6:$GF$73,CONCATENATE($C39,FF$3),Report_BM!$GA$6:$GA$73)</f>
        <v>0</v>
      </c>
      <c r="FD39" s="46">
        <f>SUMIF(Master_Data!$AK$152:$AK$864,CONCATENATE($C39,FF$3),Master_Data!$T$152:$T$864)</f>
        <v>0</v>
      </c>
      <c r="FE39" s="45">
        <f>SUMIF(Report_BM!GF$6:GF$73,CONCATENATE($C39,FF$3),Report_BM!GC$6:GC$73)</f>
        <v>0</v>
      </c>
      <c r="FF39" s="39" t="e">
        <f>SUMIF(Report_BM!GF$6:GF$73,CONCATENATE($C39,FF$3),Report_BM!GD$6:GD$73)</f>
        <v>#VALUE!</v>
      </c>
      <c r="FG39" s="103"/>
      <c r="FH39" s="104"/>
      <c r="FI39" s="104"/>
      <c r="FJ39" s="104"/>
      <c r="FK39" s="104"/>
      <c r="FL39" s="104"/>
      <c r="FM39" s="45">
        <f>SUMIF(Report_BM!$GW$6:$GW$73,CONCATENATE($C39,FU$3),Report_BM!$GI$6:$GI$73)+SUMIF(Report_BM!$GW$6:$GW$73,CONCATENATE($C39,FU$3),Report_BM!$GL$6:$GL$73)</f>
        <v>0</v>
      </c>
      <c r="FN39" s="46" t="e">
        <f>SUMIF(Report_BM!$GW$6:$GW$73,CONCATENATE($C39,$FU$3),Report_BM!$GJ$6:$GJ$73)+SUMIF(Report_BM!$GW$6:$GW$73,CONCATENATE($C39,$FU$3),Report_BM!$GM$6:$GM$73)</f>
        <v>#VALUE!</v>
      </c>
      <c r="FO39" s="45">
        <f>SUMIF(Report_BM!$GW$6:$GW$73,CONCATENATE($C39,FU$3),Report_BM!$GO$6:$GO$73)</f>
        <v>0</v>
      </c>
      <c r="FP39" s="39">
        <f>SUMIF(Report_BM!$GW$6:$GW$73,CONCATENATE($C39,FU$3),Report_BM!$GP$6:$GP$73)</f>
        <v>0</v>
      </c>
      <c r="FQ39" s="39">
        <f>SUMIF(Report_BM!$GW$6:$GW$73,CONCATENATE($C39,FU$3),Report_BM!$GQ$6:$GQ$73)</f>
        <v>0</v>
      </c>
      <c r="FR39" s="39">
        <f>SUMIF(Report_BM!$GW$6:$GW$73,CONCATENATE($C39,FU$3),Report_BM!$GR$6:$GR$73)</f>
        <v>0</v>
      </c>
      <c r="FS39" s="46">
        <f>SUMIF(Master_Data!$AK$152:$AK$864,CONCATENATE($C39,FU$3),Master_Data!$T$152:$T$864)</f>
        <v>0</v>
      </c>
      <c r="FT39" s="45">
        <f>SUMIF(Report_BM!GW$6:GW$73,CONCATENATE($C39,FU$3),Report_BM!GT$6:GT$73)</f>
        <v>0</v>
      </c>
      <c r="FU39" s="39" t="e">
        <f>SUMIF(Report_BM!GW$6:GW$73,CONCATENATE($C39,FU$3),Report_BM!GU$6:GU$73)</f>
        <v>#VALUE!</v>
      </c>
      <c r="FV39" s="103"/>
      <c r="FW39" s="104"/>
      <c r="FX39" s="104"/>
      <c r="FY39" s="104"/>
      <c r="FZ39" s="104"/>
      <c r="GA39" s="104"/>
    </row>
    <row r="40" spans="1:183" s="40" customFormat="1" ht="14.1" customHeight="1">
      <c r="A40" s="9">
        <v>34</v>
      </c>
      <c r="B40" s="328" t="s">
        <v>336</v>
      </c>
      <c r="C40" s="323" t="s">
        <v>208</v>
      </c>
      <c r="D40" s="45">
        <f>SUMIF(Report_BM!$B$6:$B$73,CONCATENATE($C40,L$3),Report_BM!$E$6:$E$73)+SUMIF(Report_BM!$B$6:$B$73,CONCATENATE($C40,L$3),Report_BM!$H$6:$H$73)</f>
        <v>0</v>
      </c>
      <c r="E40" s="276">
        <f>SUMIF(Report_BM!$B$6:$B$73,CONCATENATE($C40,L$3),Report_BM!$F$6:$F$73)+SUMIF(Report_BM!$B$6:$B$73,CONCATENATE($C40,L$3),Report_BM!$I$6:$I$73)</f>
        <v>1400000</v>
      </c>
      <c r="F40" s="45">
        <f>SUMIF(Report_BM!$B$6:$B$73,CONCATENATE($C40,L$3),Report_BM!$K$6:$K$73)</f>
        <v>0</v>
      </c>
      <c r="G40" s="39">
        <f>SUMIF(Report_BM!$B$6:$B$73,CONCATENATE($C40,$L$3),Report_BM!$L$6:$L$73)</f>
        <v>0</v>
      </c>
      <c r="H40" s="39">
        <f>SUMIF(Report_BM!$B$6:$B$73,CONCATENATE($C40,$L$3),Report_BM!$M$6:$M$73)</f>
        <v>0</v>
      </c>
      <c r="I40" s="39">
        <f>SUMIF(Report_BM!$B$6:$B$73,CONCATENATE($C40,$L$3),Report_BM!$N$6:$N$73)</f>
        <v>0</v>
      </c>
      <c r="J40" s="46">
        <f>SUMIF(Report_BM!$B$6:$B$73,CONCATENATE($C40,$L$3),Report_BM!$O$6:$O$73)</f>
        <v>0</v>
      </c>
      <c r="K40" s="45">
        <f>SUMIF(Report_BM!$B$6:$B$73,CONCATENATE($C40,$L$3),Report_BM!$P$6:$P$73)</f>
        <v>0</v>
      </c>
      <c r="L40" s="39">
        <f>SUMIF(Report_BM!$B$6:$B$73,CONCATENATE($C40,$L$3),Report_BM!$Q$6:$Q$73)</f>
        <v>1400000</v>
      </c>
      <c r="M40" s="103"/>
      <c r="N40" s="104"/>
      <c r="O40" s="104"/>
      <c r="P40" s="104"/>
      <c r="Q40" s="104"/>
      <c r="R40" s="104"/>
      <c r="S40" s="45">
        <f>SUMIF(Report_BM!$AI$8:$AI$72,CONCATENATE($C40,AA$3),Report_BM!$U$8:$U$72)+SUMIF(Report_BM!$AI$8:$AI$72,CONCATENATE($C40,AA$3),Report_BM!$X$8:$X$72)</f>
        <v>0</v>
      </c>
      <c r="T40" s="276">
        <f>SUMIF(Report_BM!$AI$8:$AI$72,CONCATENATE($C40,AA$3),Report_BM!$V$8:$V$72)+SUMIF(Report_BM!$AI$8:$AI$72,CONCATENATE($C40,AA$3),Report_BM!$Y$8:$Y$72)</f>
        <v>1400000</v>
      </c>
      <c r="U40" s="45">
        <f>SUMIF(Report_BM!$AI$8:$AI$72,CONCATENATE($C40,AA$3),Report_BM!$AA$8:$AB$72)</f>
        <v>0</v>
      </c>
      <c r="V40" s="39">
        <f>SUMIF(Report_BM!$AI$8:$AI$72,CONCATENATE($C40,$AA$3),Report_BM!$AB$8:$AB$72)</f>
        <v>0</v>
      </c>
      <c r="W40" s="39">
        <f>SUMIF(Report_BM!$AI$8:$AI$72,CONCATENATE($C40,$AA$3),Report_BM!$AC$8:$AC$72)</f>
        <v>0</v>
      </c>
      <c r="X40" s="39">
        <f ca="1">SUMIF(Report_BM!$AI$7:$AI$73,CONCATENATE($C40,$AA$3),Report_BM!$AD$7:$AD$73)</f>
        <v>0</v>
      </c>
      <c r="Y40" s="46">
        <f>SUMIF(Master_Data!$AK$152:$AK$864,CONCATENATE($C40,AA$3),Master_Data!$T$152:$T$864)</f>
        <v>0</v>
      </c>
      <c r="Z40" s="45">
        <f>SUMIF(Report_BM!$AI$8:$AI$72,CONCATENATE($C40,$AA$3),Report_BM!$AF$8:$AF$72)</f>
        <v>0</v>
      </c>
      <c r="AA40" s="39">
        <f ca="1">SUMIF(Report_BM!$AI$8:$AI$72,CONCATENATE($C40,$AA$3),Report_BM!$AG$8:$AG$72)</f>
        <v>1400000</v>
      </c>
      <c r="AB40" s="103"/>
      <c r="AC40" s="104"/>
      <c r="AD40" s="104"/>
      <c r="AE40" s="104"/>
      <c r="AF40" s="104"/>
      <c r="AG40" s="104"/>
      <c r="AH40" s="45">
        <f>SUMIF(Report_BM!$AZ$5:$AZ$72,CONCATENATE($C40,AP$3),Report_BM!$AL$5:$AL$72)+SUMIF(Report_BM!$AZ$5:$AZ$72,CONCATENATE($C40,AP$3),Report_BM!$AO$5:$AO$72)</f>
        <v>0</v>
      </c>
      <c r="AI40" s="46">
        <f ca="1">SUMIF(Report_BM!$AZ$5:$AZ$72,CONCATENATE($C40,$AP$3),Report_BM!$AM$5:$AM$72)+SUMIF(Report_BM!$AZ$5:$AZ$72,CONCATENATE($C40,$AP$3),Report_BM!$AP$5:$AP$72)</f>
        <v>1400000</v>
      </c>
      <c r="AJ40" s="45">
        <f>SUMIF(Report_BM!$AZ$5:$AZ$72,CONCATENATE($C40,$AP$3),Report_BM!$AR$5:$AR$72)</f>
        <v>0</v>
      </c>
      <c r="AK40" s="39">
        <f>SUMIF(Report_BM!$AZ$5:$AZ$72,CONCATENATE($C40,$AP$3),Report_BM!$AS$5:$AS$72)</f>
        <v>0</v>
      </c>
      <c r="AL40" s="39">
        <f>SUMIF(Report_BM!$AZ$5:$AZ$72,CONCATENATE($C40,$AP$3),Report_BM!$AT$5:$AT$72)</f>
        <v>0</v>
      </c>
      <c r="AM40" s="39">
        <f ca="1">SUMIF(Report_BM!$AZ$5:$AZ$72,CONCATENATE($C40,$AP$3),Report_BM!$AU$5:$AU$72)</f>
        <v>0</v>
      </c>
      <c r="AN40" s="46">
        <f>SUMIF(Master_Data!$AK$152:$AK$915,CONCATENATE($C40,AP$3),Master_Data!$T$152:$T$915)</f>
        <v>0</v>
      </c>
      <c r="AO40" s="45">
        <f>SUMIF(Report_BM!$AZ$5:$AZ$72,CONCATENATE($C40,$AP$3),Report_BM!$AW$5:$AW$72)</f>
        <v>0</v>
      </c>
      <c r="AP40" s="39">
        <f ca="1">SUMIF(Report_BM!$AZ$5:$AZ$72,CONCATENATE($C40,$AP$3),Report_BM!$AX$5:$AX$72)</f>
        <v>1400000</v>
      </c>
      <c r="AQ40" s="103"/>
      <c r="AR40" s="104"/>
      <c r="AS40" s="104"/>
      <c r="AT40" s="104"/>
      <c r="AU40" s="104"/>
      <c r="AV40" s="104"/>
      <c r="AW40" s="45">
        <f>SUMIF(Report_BM!$BQ$6:$BQ$73,CONCATENATE($C40,BE$3),Report_BM!$BC$6:$BC$73)+SUMIF(Report_BM!$BQ$6:$BQ$73,CONCATENATE($C40,BE$3),Report_BM!$BF$6:$BF$73)</f>
        <v>0</v>
      </c>
      <c r="AX40" s="46">
        <f ca="1">SUMIF(Report_BM!$BQ$6:$BQ$73,CONCATENATE($C40,$BE$3),Report_BM!$BD$6:$BD$73)+SUMIF(Report_BM!$BQ$6:$BQ$73,CONCATENATE($C40,$BE$3),Report_BM!$BG$6:$BG$73)</f>
        <v>1400000</v>
      </c>
      <c r="AY40" s="45">
        <f>SUMIF(Report_BM!$BQ$6:$BQ$73,CONCATENATE($C40,BE$3),Report_BM!$BI$6:$BI$73)</f>
        <v>0</v>
      </c>
      <c r="AZ40" s="39">
        <f>SUMIF(Report_BM!$BQ$6:$BQ$73,CONCATENATE($C40,BE$3),Report_BM!$BJ$6:$BJ$73)</f>
        <v>0</v>
      </c>
      <c r="BA40" s="39">
        <f>SUMIF(Report_BM!$BQ$6:$BQ$73,CONCATENATE($C40,BE$3),Report_BM!$BK$6:$BK$73)</f>
        <v>0</v>
      </c>
      <c r="BB40" s="39">
        <f>SUMIF(Report_BM!$BQ$6:$BQ$73,CONCATENATE($C40,BE$3),Report_BM!$BL$6:$BL$73)</f>
        <v>0</v>
      </c>
      <c r="BC40" s="46">
        <f>SUMIF(Master_Data!$AK$152:$AK$864,CONCATENATE($C40,BE$3),Master_Data!$T$152:$T$864)</f>
        <v>0</v>
      </c>
      <c r="BD40" s="45">
        <f>SUMIF(Report_BM!$BQ$6:$BQ$73,CONCATENATE($C40,BE$3),Report_BM!$BN$6:$BN$73)</f>
        <v>0</v>
      </c>
      <c r="BE40" s="39">
        <f ca="1">SUMIF(Report_BM!$BQ$6:$BQ$73,CONCATENATE($C40,BE$3),Report_BM!$BO$6:$BO$73)</f>
        <v>1400000</v>
      </c>
      <c r="BF40" s="103"/>
      <c r="BG40" s="104"/>
      <c r="BH40" s="104"/>
      <c r="BI40" s="104"/>
      <c r="BJ40" s="104"/>
      <c r="BK40" s="104"/>
      <c r="BL40" s="45">
        <f>SUMIF(Report_BM!$CH$6:$CH$73,CONCATENATE($C40,BT$3),Report_BM!$BT$6:$BT$73)+SUMIF(Report_BM!$CH$6:$CH$73,CONCATENATE($C40,BT$3),Report_BM!$BW$6:$BW$73)</f>
        <v>0</v>
      </c>
      <c r="BM40" s="46">
        <f ca="1">SUMIF(Report_BM!$CH$6:$CH$73,CONCATENATE($C40,$BT$3),Report_BM!$BU$6:$BU$73)+SUMIF(Report_BM!$CH$6:$CH$73,CONCATENATE($C40,$BT$3),Report_BM!$BX$6:$BX$73)</f>
        <v>1400000</v>
      </c>
      <c r="BN40" s="45">
        <f>SUMIF(Report_BM!$CH$6:$CH$73,CONCATENATE($C40,BT$3),Report_BM!$BZ$6:$BZ$73)</f>
        <v>0</v>
      </c>
      <c r="BO40" s="39">
        <f>SUMIF(Report_BM!$CH$6:$CH$73,CONCATENATE($C40,BT$3),Report_BM!$CA$6:$CA$73)</f>
        <v>0</v>
      </c>
      <c r="BP40" s="39">
        <f>SUMIF(Report_BM!$CH$6:$CH$73,CONCATENATE($C40,BT$3),Report_BM!$CB$6:$CB$73)</f>
        <v>0</v>
      </c>
      <c r="BQ40" s="39">
        <f>SUMIF(Report_BM!$CH$6:$CH$73,CONCATENATE($C40,BT$3),Report_BM!$CC$6:$CC$73)</f>
        <v>0</v>
      </c>
      <c r="BR40" s="46">
        <f>SUMIF(Master_Data!$AK$152:$AK$864,CONCATENATE($C40,BT$3),Master_Data!$T$152:$T$864)</f>
        <v>0</v>
      </c>
      <c r="BS40" s="45">
        <f>SUMIF(Report_BM!$CH$6:$CH$73,CONCATENATE($C40,BT$3),Report_BM!$CE$6:$CE$73)</f>
        <v>0</v>
      </c>
      <c r="BT40" s="39">
        <f ca="1">SUMIF(Report_BM!$CH$6:$CH$73,CONCATENATE($C40,BT$3),Report_BM!$CF$6:$CF$73)</f>
        <v>1400000</v>
      </c>
      <c r="BU40" s="103"/>
      <c r="BV40" s="104"/>
      <c r="BW40" s="104"/>
      <c r="BX40" s="104"/>
      <c r="BY40" s="104"/>
      <c r="BZ40" s="104"/>
      <c r="CA40" s="45">
        <f>SUMIF(Report_BM!$CY$6:$CY$73,CONCATENATE($C40,CI$3),Report_BM!$CK$6:$CK$73)+SUMIF(Report_BM!$CY$6:$CY$73,CONCATENATE($C40,CI$3),Report_BM!$CN$6:$CN$73)</f>
        <v>0</v>
      </c>
      <c r="CB40" s="46">
        <f ca="1">SUMIF(Report_BM!$CY$6:$CY$73,CONCATENATE($C40,$CI$3),Report_BM!$CL$6:$CL$73)+SUMIF(Report_BM!$CY$6:$CY$73,CONCATENATE($C40,$CI$3),Report_BM!$CO$6:$CO$73)</f>
        <v>1400000</v>
      </c>
      <c r="CC40" s="45">
        <f>SUMIF(Report_BM!$CY$6:$CY$73,CONCATENATE($C40,CI$3),Report_BM!$CQ$6:$CQ$73)</f>
        <v>0</v>
      </c>
      <c r="CD40" s="39">
        <f>SUMIF(Report_BM!$CY$6:$CY$73,CONCATENATE($C40,CI$3),Report_BM!$CR$6:$CR$73)</f>
        <v>0</v>
      </c>
      <c r="CE40" s="39">
        <f>SUMIF(Report_BM!$CY$6:$CY$73,CONCATENATE($C40,CI$3),Report_BM!$CS$6:$CS$73)</f>
        <v>0</v>
      </c>
      <c r="CF40" s="39">
        <f ca="1">SUMIF(Report_BM!$CY$6:$CY$73,CONCATENATE($C40,CI$3),Report_BM!$CT$6:$CT$73)</f>
        <v>0</v>
      </c>
      <c r="CG40" s="46">
        <f>SUMIF(Report_BM!$CY$6:$CY$73,CONCATENATE($C40,CI$3),Report_BM!$CU$6:$CU$73)</f>
        <v>0</v>
      </c>
      <c r="CH40" s="45">
        <f>SUMIF(Report_BM!$CY$6:$CY$73,CONCATENATE($C40,CI$3),Report_BM!$CV$6:$CV$73)</f>
        <v>0</v>
      </c>
      <c r="CI40" s="39">
        <f ca="1">SUMIF(Report_BM!$CY$6:$CY$73,CONCATENATE($C40,CI$3),Report_BM!$CW$6:$CW$73)</f>
        <v>1400000</v>
      </c>
      <c r="CJ40" s="103"/>
      <c r="CK40" s="104"/>
      <c r="CL40" s="104"/>
      <c r="CM40" s="104"/>
      <c r="CN40" s="104"/>
      <c r="CO40" s="104"/>
      <c r="CP40" s="45">
        <f>SUMIF(Report_BM!$DP$6:$DP$73,CONCATENATE($C40,CX$3),Report_BM!$DB$6:$DB$73)+SUMIF(Report_BM!$DP$6:$DP$73,CONCATENATE($C40,CX$3),Report_BM!$DE$6:$DE$73)</f>
        <v>0</v>
      </c>
      <c r="CQ40" s="46">
        <f ca="1">SUMIF(Report_BM!$DP$6:$DP$73,CONCATENATE($C40,$CX$3),Report_BM!$DC$6:$DC$73)+SUMIF(Report_BM!$DP$6:$DP$73,CONCATENATE($C40,$CX$3),Report_BM!$DF$6:$DF$73)</f>
        <v>1400000</v>
      </c>
      <c r="CR40" s="45">
        <f>SUMIF(Report_BM!$DP$6:$DP$73,CONCATENATE($C40,CX$3),Report_BM!$DH$6:$DH$73)</f>
        <v>0</v>
      </c>
      <c r="CS40" s="39">
        <f>SUMIF(Report_BM!$DP$6:$DP$73,CONCATENATE($C40,CX$3),Report_BM!$DI$6:$DI$73)</f>
        <v>0</v>
      </c>
      <c r="CT40" s="39">
        <f>SUMIF(Report_BM!$DP$6:$DP$73,CONCATENATE($C40,CX$3),Report_BM!$DJ$6:$DJ$73)</f>
        <v>0</v>
      </c>
      <c r="CU40" s="39">
        <f>SUMIF(Report_BM!$DP$6:$DP$73,CONCATENATE($C40,CX$3),Report_BM!$DK$6:$DK$73)</f>
        <v>0</v>
      </c>
      <c r="CV40" s="46">
        <f>SUMIF(Master_Data!$AK$152:$AK$864,CONCATENATE($C40,CX$3),Master_Data!$T$152:$T$864)</f>
        <v>0</v>
      </c>
      <c r="CW40" s="45">
        <f>SUMIF(Report_BM!$DP$6:$DP$73,CONCATENATE($C40,CX$3),Report_BM!$DM$6:$DM$73)</f>
        <v>0</v>
      </c>
      <c r="CX40" s="39">
        <f ca="1">SUMIF(Report_BM!$DP$6:$DP$73,CONCATENATE($C40,CX$3),Report_BM!$DN$6:$DN$73)</f>
        <v>1400000</v>
      </c>
      <c r="CY40" s="103"/>
      <c r="CZ40" s="104"/>
      <c r="DA40" s="104"/>
      <c r="DB40" s="104"/>
      <c r="DC40" s="104"/>
      <c r="DD40" s="104"/>
      <c r="DE40" s="45">
        <f>SUMIF(Report_BM!$EG$6:$EG$73,CONCATENATE($C40,DM$3),Report_BM!$DS$6:$DS$73)+SUMIF(Report_BM!$EG$6:$EG$73,CONCATENATE($C40,DM$3),Report_BM!$DV$6:$DV$73)</f>
        <v>0</v>
      </c>
      <c r="DF40" s="46">
        <f ca="1">SUMIF(Report_BM!$EG$6:$EG$73,CONCATENATE($C40,$DM$3),Report_BM!$DT$6:$DT$73)+SUMIF(Report_BM!$EG$6:$EG$73,CONCATENATE($C40,$DM$3),Report_BM!$DW$6:$DW$73)</f>
        <v>1400000</v>
      </c>
      <c r="DG40" s="45">
        <f>SUMIF(Report_BM!$EG$6:$EG$73,CONCATENATE($C40,DM$3),Report_BM!$DY$6:$DY$73)</f>
        <v>0</v>
      </c>
      <c r="DH40" s="39">
        <f>SUMIF(Report_BM!EG$6:EG$73,CONCATENATE($C40,DM$3),Report_BM!DZ$6:DZ$73)</f>
        <v>0</v>
      </c>
      <c r="DI40" s="39">
        <f>SUMIF(Report_BM!EG$6:EG$73,CONCATENATE($C40,DM$3),Report_BM!$EA$6:$EA$73)</f>
        <v>0</v>
      </c>
      <c r="DJ40" s="39">
        <f>SUMIF(Report_BM!EG$6:EG$73,CONCATENATE($C40,DM$3),Report_BM!$EB$6:$EB$73)</f>
        <v>0</v>
      </c>
      <c r="DK40" s="46">
        <f>SUMIF(Master_Data!$AK$152:$AK$864,CONCATENATE($C40,DM$3),Master_Data!$T$152:$T$864)</f>
        <v>0</v>
      </c>
      <c r="DL40" s="45">
        <f>SUMIF(Report_BM!EG$6:EG$73,CONCATENATE($C40,DM$3),Report_BM!ED$6:ED$73)</f>
        <v>0</v>
      </c>
      <c r="DM40" s="39">
        <f ca="1">SUMIF(Report_BM!EG$6:EG$73,CONCATENATE($C40,DM$3),Report_BM!EE$6:EE$73)</f>
        <v>1400000</v>
      </c>
      <c r="DN40" s="103"/>
      <c r="DO40" s="104"/>
      <c r="DP40" s="104"/>
      <c r="DQ40" s="104"/>
      <c r="DR40" s="104"/>
      <c r="DS40" s="104"/>
      <c r="DT40" s="45">
        <f>SUMIF(Report_BM!$EX$6:$EX$73,CONCATENATE($C40,EB$3),Report_BM!$EJ$6:$EJ$73)+SUMIF(Report_BM!$EX$6:$EX$73,CONCATENATE($C40,EB$3),Report_BM!$EM$6:$EM$73)</f>
        <v>0</v>
      </c>
      <c r="DU40" s="46">
        <f ca="1">SUMIF(Report_BM!$EX$6:$EX$73,CONCATENATE($C40,$EB$3),Report_BM!$EK$6:$EK$73)+SUMIF(Report_BM!$EX$6:$EX$73,CONCATENATE($C40,$EB$3),Report_BM!$EN$6:$EN$73)</f>
        <v>1400000</v>
      </c>
      <c r="DV40" s="45">
        <f>SUMIF(Report_BM!$EX$6:$EX$73,CONCATENATE($C40,EB$3),Report_BM!$EP$6:$EP$73)</f>
        <v>0</v>
      </c>
      <c r="DW40" s="39">
        <f>SUMIF(Report_BM!$EX$6:$EX$73,CONCATENATE($C40,EB$3),Report_BM!$EQ$6:$EQ$73)</f>
        <v>0</v>
      </c>
      <c r="DX40" s="39">
        <f>SUMIF(Report_BM!$EX$6:$EX$73,CONCATENATE($C40,EB$3),Report_BM!$ER$6:$ER$73)</f>
        <v>0</v>
      </c>
      <c r="DY40" s="39">
        <f>SUMIF(Report_BM!$EX$6:$EX$73,CONCATENATE($C40,EB$3),Report_BM!$ES$6:$ES$73)</f>
        <v>0</v>
      </c>
      <c r="DZ40" s="46">
        <f>SUMIF(Master_Data!$AK$152:$AK$864,CONCATENATE($C40,EB$3),Master_Data!$T$152:$T$864)</f>
        <v>0</v>
      </c>
      <c r="EA40" s="45">
        <f>SUMIF(Report_BM!EX$6:EX$73,CONCATENATE($C40,EB$3),Report_BM!EU$6:EU$73)</f>
        <v>0</v>
      </c>
      <c r="EB40" s="39">
        <f>SUMIF(Report_BM!EX$6:EX$73,CONCATENATE($C40,EB$3),Report_BM!EV$6:EV$73)</f>
        <v>0</v>
      </c>
      <c r="EC40" s="103"/>
      <c r="ED40" s="104"/>
      <c r="EE40" s="104"/>
      <c r="EF40" s="104"/>
      <c r="EG40" s="104"/>
      <c r="EH40" s="104"/>
      <c r="EI40" s="45">
        <f>SUMIF(Report_BM!$FO$6:$FO$73,CONCATENATE($C40,EQ$3),Report_BM!$FA$6:$FA$73)+SUMIF(Report_BM!$FO$6:$FO$73,CONCATENATE($C40,EQ$3),Report_BM!$FD$6:$FD$73)</f>
        <v>0</v>
      </c>
      <c r="EJ40" s="46">
        <f>SUMIF(Report_BM!$FO$6:$FO$73,CONCATENATE($C40,$EQ$3),Report_BM!$FB$6:$FB$73)+SUMIF(Report_BM!$FO$6:$FO$73,CONCATENATE($C40,$EQ$3),Report_BM!$FE$6:$FE$73)</f>
        <v>0</v>
      </c>
      <c r="EK40" s="45">
        <f>SUMIF(Report_BM!$FO$6:$FO$73,CONCATENATE($C40,EQ$3),Report_BM!$FG$6:$FG$73)</f>
        <v>0</v>
      </c>
      <c r="EL40" s="39">
        <f>SUMIF(Report_BM!$FO$6:$FO$73,CONCATENATE($C40,EQ$3),Report_BM!$FH$6:$FH$73)</f>
        <v>0</v>
      </c>
      <c r="EM40" s="39">
        <f>SUMIF(Report_BM!$FO$6:$FO$73,CONCATENATE($C40,EQ$3),Report_BM!$FI$6:$FI$73)</f>
        <v>0</v>
      </c>
      <c r="EN40" s="39">
        <f>SUMIF(Report_BM!$FO$6:$FO$73,CONCATENATE($C40,EQ$3),Report_BM!$FJ$6:$FJ$73)</f>
        <v>0</v>
      </c>
      <c r="EO40" s="46">
        <f>SUMIF(Master_Data!$AK$152:$AK$864,CONCATENATE($C40,EQ$3),Master_Data!$T$152:$T$864)</f>
        <v>0</v>
      </c>
      <c r="EP40" s="45">
        <f>SUMIF(Report_BM!FO$6:FO$73,CONCATENATE($C40,EQ$3),Report_BM!FL$6:FL$73)</f>
        <v>0</v>
      </c>
      <c r="EQ40" s="39">
        <f>SUMIF(Report_BM!FO$6:FO$73,CONCATENATE($C40,EQ$3),Report_BM!FM$6:FM$73)</f>
        <v>0</v>
      </c>
      <c r="ER40" s="103"/>
      <c r="ES40" s="104"/>
      <c r="ET40" s="104"/>
      <c r="EU40" s="104"/>
      <c r="EV40" s="104"/>
      <c r="EW40" s="104"/>
      <c r="EX40" s="45">
        <f>SUMIF(Report_BM!$GF$6:$GF$73,CONCATENATE($C40,FF$3),Report_BM!$FR$6:$FR$73)+SUMIF(Report_BM!$GF$6:$GF$73,CONCATENATE($C40,FF$3),Report_BM!$FU$6:$FU$73)</f>
        <v>0</v>
      </c>
      <c r="EY40" s="46">
        <f>SUMIF(Report_BM!$GF$6:$GF$73,CONCATENATE($C40,$FF$3),Report_BM!$FS$6:$FS$73)+SUMIF(Report_BM!$GF$6:$GF$73,CONCATENATE($C40,$FF$3),Report_BM!$FV$6:$FV$73)</f>
        <v>0</v>
      </c>
      <c r="EZ40" s="45">
        <f>SUMIF(Report_BM!$GF$6:$GF$73,CONCATENATE($C40,FF$3),Report_BM!$FX$6:$FX$73)</f>
        <v>0</v>
      </c>
      <c r="FA40" s="39">
        <f>SUMIF(Report_BM!$GF$6:$GF$73,CONCATENATE($C40,FF$3),Report_BM!$FY$6:$FY$73)</f>
        <v>0</v>
      </c>
      <c r="FB40" s="39">
        <f>SUMIF(Report_BM!$GF$6:$GF$73,CONCATENATE($C40,FF$3),Report_BM!$FZ$6:$FZ$73)</f>
        <v>0</v>
      </c>
      <c r="FC40" s="39">
        <f>SUMIF(Report_BM!$GF$6:$GF$73,CONCATENATE($C40,FF$3),Report_BM!$GA$6:$GA$73)</f>
        <v>0</v>
      </c>
      <c r="FD40" s="46">
        <f>SUMIF(Master_Data!$AK$152:$AK$864,CONCATENATE($C40,FF$3),Master_Data!$T$152:$T$864)</f>
        <v>0</v>
      </c>
      <c r="FE40" s="45">
        <f>SUMIF(Report_BM!GF$6:GF$73,CONCATENATE($C40,FF$3),Report_BM!GC$6:GC$73)</f>
        <v>0</v>
      </c>
      <c r="FF40" s="39">
        <f>SUMIF(Report_BM!GF$6:GF$73,CONCATENATE($C40,FF$3),Report_BM!GD$6:GD$73)</f>
        <v>0</v>
      </c>
      <c r="FG40" s="103"/>
      <c r="FH40" s="104"/>
      <c r="FI40" s="104"/>
      <c r="FJ40" s="104"/>
      <c r="FK40" s="104"/>
      <c r="FL40" s="104"/>
      <c r="FM40" s="45">
        <f>SUMIF(Report_BM!$GW$6:$GW$73,CONCATENATE($C40,FU$3),Report_BM!$GI$6:$GI$73)+SUMIF(Report_BM!$GW$6:$GW$73,CONCATENATE($C40,FU$3),Report_BM!$GL$6:$GL$73)</f>
        <v>0</v>
      </c>
      <c r="FN40" s="46">
        <f>SUMIF(Report_BM!$GW$6:$GW$73,CONCATENATE($C40,$FU$3),Report_BM!$GJ$6:$GJ$73)+SUMIF(Report_BM!$GW$6:$GW$73,CONCATENATE($C40,$FU$3),Report_BM!$GM$6:$GM$73)</f>
        <v>0</v>
      </c>
      <c r="FO40" s="45">
        <f>SUMIF(Report_BM!$GW$6:$GW$73,CONCATENATE($C40,FU$3),Report_BM!$GO$6:$GO$73)</f>
        <v>0</v>
      </c>
      <c r="FP40" s="39">
        <f>SUMIF(Report_BM!$GW$6:$GW$73,CONCATENATE($C40,FU$3),Report_BM!$GP$6:$GP$73)</f>
        <v>0</v>
      </c>
      <c r="FQ40" s="39">
        <f>SUMIF(Report_BM!$GW$6:$GW$73,CONCATENATE($C40,FU$3),Report_BM!$GQ$6:$GQ$73)</f>
        <v>0</v>
      </c>
      <c r="FR40" s="39">
        <f>SUMIF(Report_BM!$GW$6:$GW$73,CONCATENATE($C40,FU$3),Report_BM!$GR$6:$GR$73)</f>
        <v>0</v>
      </c>
      <c r="FS40" s="46">
        <f>SUMIF(Master_Data!$AK$152:$AK$864,CONCATENATE($C40,FU$3),Master_Data!$T$152:$T$864)</f>
        <v>0</v>
      </c>
      <c r="FT40" s="45">
        <f>SUMIF(Report_BM!GW$6:GW$73,CONCATENATE($C40,FU$3),Report_BM!GT$6:GT$73)</f>
        <v>0</v>
      </c>
      <c r="FU40" s="39">
        <f>SUMIF(Report_BM!GW$6:GW$73,CONCATENATE($C40,FU$3),Report_BM!GU$6:GU$73)</f>
        <v>0</v>
      </c>
      <c r="FV40" s="103"/>
      <c r="FW40" s="104"/>
      <c r="FX40" s="104"/>
      <c r="FY40" s="104"/>
      <c r="FZ40" s="104"/>
      <c r="GA40" s="104"/>
    </row>
    <row r="41" spans="1:183" s="40" customFormat="1" ht="13.5" customHeight="1">
      <c r="A41" s="9">
        <v>35</v>
      </c>
      <c r="B41" s="328" t="s">
        <v>134</v>
      </c>
      <c r="C41" s="323" t="s">
        <v>133</v>
      </c>
      <c r="D41" s="45">
        <f>SUMIF(Report_BM!$B$6:$B$73,CONCATENATE($C41,L$3),Report_BM!$E$6:$E$73)+SUMIF(Report_BM!$B$6:$B$73,CONCATENATE($C41,L$3),Report_BM!$H$6:$H$73)</f>
        <v>0</v>
      </c>
      <c r="E41" s="276" t="e">
        <f>SUMIF(Report_BM!$B$6:$B$73,CONCATENATE($C41,L$3),Report_BM!$F$6:$F$73)+SUMIF(Report_BM!$B$6:$B$73,CONCATENATE($C41,L$3),Report_BM!$I$6:$I$73)</f>
        <v>#VALUE!</v>
      </c>
      <c r="F41" s="45">
        <f>SUMIF(Report_BM!$B$6:$B$73,CONCATENATE($C41,L$3),Report_BM!$K$6:$K$73)</f>
        <v>0</v>
      </c>
      <c r="G41" s="39">
        <f>SUMIF(Report_BM!$B$6:$B$73,CONCATENATE($C41,$L$3),Report_BM!$L$6:$L$73)</f>
        <v>0</v>
      </c>
      <c r="H41" s="39">
        <f>SUMIF(Report_BM!$B$6:$B$73,CONCATENATE($C41,$L$3),Report_BM!$M$6:$M$73)</f>
        <v>31311348</v>
      </c>
      <c r="I41" s="39">
        <f>SUMIF(Report_BM!$B$6:$B$73,CONCATENATE($C41,$L$3),Report_BM!$N$6:$N$73)</f>
        <v>0</v>
      </c>
      <c r="J41" s="46">
        <f>SUMIF(Report_BM!$B$6:$B$73,CONCATENATE($C41,$L$3),Report_BM!$O$6:$O$73)</f>
        <v>-579839.78500000003</v>
      </c>
      <c r="K41" s="45">
        <f>SUMIF(Report_BM!$B$6:$B$73,CONCATENATE($C41,$L$3),Report_BM!$P$6:$P$73)</f>
        <v>0</v>
      </c>
      <c r="L41" s="39" t="e">
        <f>SUMIF(Report_BM!$B$6:$B$73,CONCATENATE($C41,$L$3),Report_BM!$Q$6:$Q$73)</f>
        <v>#VALUE!</v>
      </c>
      <c r="M41" s="103"/>
      <c r="N41" s="104"/>
      <c r="O41" s="104"/>
      <c r="P41" s="104"/>
      <c r="Q41" s="104"/>
      <c r="R41" s="104"/>
      <c r="S41" s="45">
        <f>SUMIF(Report_BM!$AI$8:$AI$72,CONCATENATE($C41,AA$3),Report_BM!$U$8:$U$72)+SUMIF(Report_BM!$AI$8:$AI$72,CONCATENATE($C41,AA$3),Report_BM!$X$8:$X$72)</f>
        <v>0</v>
      </c>
      <c r="T41" s="276" t="e">
        <f>SUMIF(Report_BM!$AI$8:$AI$72,CONCATENATE($C41,AA$3),Report_BM!$V$8:$V$72)+SUMIF(Report_BM!$AI$8:$AI$72,CONCATENATE($C41,AA$3),Report_BM!$Y$8:$Y$72)</f>
        <v>#VALUE!</v>
      </c>
      <c r="U41" s="45">
        <f>SUMIF(Report_BM!$AI$8:$AI$72,CONCATENATE($C41,AA$3),Report_BM!$AA$8:$AB$72)</f>
        <v>0</v>
      </c>
      <c r="V41" s="39">
        <f>SUMIF(Report_BM!$AI$8:$AI$72,CONCATENATE($C41,$AA$3),Report_BM!$AB$8:$AB$72)</f>
        <v>0</v>
      </c>
      <c r="W41" s="39">
        <f>SUMIF(Report_BM!$AI$8:$AI$72,CONCATENATE($C41,$AA$3),Report_BM!$AC$8:$AC$72)</f>
        <v>32400000</v>
      </c>
      <c r="X41" s="39">
        <f ca="1">SUMIF(Report_BM!$AI$7:$AI$73,CONCATENATE($C41,$AA$3),Report_BM!$AD$7:$AD$73)</f>
        <v>0</v>
      </c>
      <c r="Y41" s="46">
        <f>SUMIF(Master_Data!$AK$152:$AK$864,CONCATENATE($C41,AA$3),Master_Data!$T$152:$T$864)</f>
        <v>-600000</v>
      </c>
      <c r="Z41" s="45">
        <f>SUMIF(Report_BM!$AI$8:$AI$72,CONCATENATE($C41,$AA$3),Report_BM!$AF$8:$AF$72)</f>
        <v>0</v>
      </c>
      <c r="AA41" s="39" t="e">
        <f ca="1">SUMIF(Report_BM!$AI$8:$AI$72,CONCATENATE($C41,$AA$3),Report_BM!$AG$8:$AG$72)</f>
        <v>#VALUE!</v>
      </c>
      <c r="AB41" s="103"/>
      <c r="AC41" s="104"/>
      <c r="AD41" s="104"/>
      <c r="AE41" s="104"/>
      <c r="AF41" s="104"/>
      <c r="AG41" s="104"/>
      <c r="AH41" s="45">
        <f>SUMIF(Report_BM!$AZ$5:$AZ$72,CONCATENATE($C41,AP$3),Report_BM!$AL$5:$AL$72)+SUMIF(Report_BM!$AZ$5:$AZ$72,CONCATENATE($C41,AP$3),Report_BM!$AO$5:$AO$72)</f>
        <v>0</v>
      </c>
      <c r="AI41" s="46" t="e">
        <f ca="1">SUMIF(Report_BM!$AZ$5:$AZ$72,CONCATENATE($C41,$AP$3),Report_BM!$AM$5:$AM$72)+SUMIF(Report_BM!$AZ$5:$AZ$72,CONCATENATE($C41,$AP$3),Report_BM!$AP$5:$AP$72)</f>
        <v>#VALUE!</v>
      </c>
      <c r="AJ41" s="45">
        <f>SUMIF(Report_BM!$AZ$5:$AZ$72,CONCATENATE($C41,$AP$3),Report_BM!$AR$5:$AR$72)</f>
        <v>0</v>
      </c>
      <c r="AK41" s="39">
        <f>SUMIF(Report_BM!$AZ$5:$AZ$72,CONCATENATE($C41,$AP$3),Report_BM!$AS$5:$AS$72)</f>
        <v>0</v>
      </c>
      <c r="AL41" s="39">
        <f>SUMIF(Report_BM!$AZ$5:$AZ$72,CONCATENATE($C41,$AP$3),Report_BM!$AT$5:$AT$72)</f>
        <v>32400000</v>
      </c>
      <c r="AM41" s="39">
        <f ca="1">SUMIF(Report_BM!$AZ$5:$AZ$72,CONCATENATE($C41,$AP$3),Report_BM!$AU$5:$AU$72)</f>
        <v>0</v>
      </c>
      <c r="AN41" s="46">
        <f>SUMIF(Master_Data!$AK$152:$AK$915,CONCATENATE($C41,AP$3),Master_Data!$T$152:$T$915)</f>
        <v>-600000</v>
      </c>
      <c r="AO41" s="45">
        <f>SUMIF(Report_BM!$AZ$5:$AZ$72,CONCATENATE($C41,$AP$3),Report_BM!$AW$5:$AW$72)</f>
        <v>0</v>
      </c>
      <c r="AP41" s="39" t="e">
        <f ca="1">SUMIF(Report_BM!$AZ$5:$AZ$72,CONCATENATE($C41,$AP$3),Report_BM!$AX$5:$AX$72)</f>
        <v>#VALUE!</v>
      </c>
      <c r="AQ41" s="103"/>
      <c r="AR41" s="104"/>
      <c r="AS41" s="104"/>
      <c r="AT41" s="104"/>
      <c r="AU41" s="104"/>
      <c r="AV41" s="104"/>
      <c r="AW41" s="45">
        <f>SUMIF(Report_BM!$BQ$6:$BQ$73,CONCATENATE($C41,BE$3),Report_BM!$BC$6:$BC$73)+SUMIF(Report_BM!$BQ$6:$BQ$73,CONCATENATE($C41,BE$3),Report_BM!$BF$6:$BF$73)</f>
        <v>0</v>
      </c>
      <c r="AX41" s="46" t="e">
        <f ca="1">SUMIF(Report_BM!$BQ$6:$BQ$73,CONCATENATE($C41,$BE$3),Report_BM!$BD$6:$BD$73)+SUMIF(Report_BM!$BQ$6:$BQ$73,CONCATENATE($C41,$BE$3),Report_BM!$BG$6:$BG$73)</f>
        <v>#VALUE!</v>
      </c>
      <c r="AY41" s="45">
        <f>SUMIF(Report_BM!$BQ$6:$BQ$73,CONCATENATE($C41,BE$3),Report_BM!$BI$6:$BI$73)</f>
        <v>0</v>
      </c>
      <c r="AZ41" s="39">
        <f>SUMIF(Report_BM!$BQ$6:$BQ$73,CONCATENATE($C41,BE$3),Report_BM!$BJ$6:$BJ$73)</f>
        <v>0</v>
      </c>
      <c r="BA41" s="39">
        <f>SUMIF(Report_BM!$BQ$6:$BQ$73,CONCATENATE($C41,BE$3),Report_BM!$BK$6:$BK$73)</f>
        <v>32400000</v>
      </c>
      <c r="BB41" s="39">
        <f>SUMIF(Report_BM!$BQ$6:$BQ$73,CONCATENATE($C41,BE$3),Report_BM!$BL$6:$BL$73)</f>
        <v>0</v>
      </c>
      <c r="BC41" s="46">
        <f>SUMIF(Master_Data!$AK$152:$AK$864,CONCATENATE($C41,BE$3),Master_Data!$T$152:$T$864)</f>
        <v>-600000</v>
      </c>
      <c r="BD41" s="45">
        <f>SUMIF(Report_BM!$BQ$6:$BQ$73,CONCATENATE($C41,BE$3),Report_BM!$BN$6:$BN$73)</f>
        <v>0</v>
      </c>
      <c r="BE41" s="39" t="e">
        <f ca="1">SUMIF(Report_BM!$BQ$6:$BQ$73,CONCATENATE($C41,BE$3),Report_BM!$BO$6:$BO$73)</f>
        <v>#VALUE!</v>
      </c>
      <c r="BF41" s="103"/>
      <c r="BG41" s="104"/>
      <c r="BH41" s="104"/>
      <c r="BI41" s="104"/>
      <c r="BJ41" s="104"/>
      <c r="BK41" s="104"/>
      <c r="BL41" s="45">
        <f>SUMIF(Report_BM!$CH$6:$CH$73,CONCATENATE($C41,BT$3),Report_BM!$BT$6:$BT$73)+SUMIF(Report_BM!$CH$6:$CH$73,CONCATENATE($C41,BT$3),Report_BM!$BW$6:$BW$73)</f>
        <v>0</v>
      </c>
      <c r="BM41" s="46" t="e">
        <f ca="1">SUMIF(Report_BM!$CH$6:$CH$73,CONCATENATE($C41,$BT$3),Report_BM!$BU$6:$BU$73)+SUMIF(Report_BM!$CH$6:$CH$73,CONCATENATE($C41,$BT$3),Report_BM!$BX$6:$BX$73)</f>
        <v>#VALUE!</v>
      </c>
      <c r="BN41" s="45">
        <f>SUMIF(Report_BM!$CH$6:$CH$73,CONCATENATE($C41,BT$3),Report_BM!$BZ$6:$BZ$73)</f>
        <v>0</v>
      </c>
      <c r="BO41" s="39">
        <f>SUMIF(Report_BM!$CH$6:$CH$73,CONCATENATE($C41,BT$3),Report_BM!$CA$6:$CA$73)</f>
        <v>0</v>
      </c>
      <c r="BP41" s="39">
        <f>SUMIF(Report_BM!$CH$6:$CH$73,CONCATENATE($C41,BT$3),Report_BM!$CB$6:$CB$73)</f>
        <v>32400000</v>
      </c>
      <c r="BQ41" s="39">
        <f>SUMIF(Report_BM!$CH$6:$CH$73,CONCATENATE($C41,BT$3),Report_BM!$CC$6:$CC$73)</f>
        <v>0</v>
      </c>
      <c r="BR41" s="46">
        <f>SUMIF(Master_Data!$AK$152:$AK$864,CONCATENATE($C41,BT$3),Master_Data!$T$152:$T$864)</f>
        <v>-600000</v>
      </c>
      <c r="BS41" s="45">
        <f>SUMIF(Report_BM!$CH$6:$CH$73,CONCATENATE($C41,BT$3),Report_BM!$CE$6:$CE$73)</f>
        <v>0</v>
      </c>
      <c r="BT41" s="39" t="e">
        <f ca="1">SUMIF(Report_BM!$CH$6:$CH$73,CONCATENATE($C41,BT$3),Report_BM!$CF$6:$CF$73)</f>
        <v>#VALUE!</v>
      </c>
      <c r="BU41" s="103"/>
      <c r="BV41" s="104"/>
      <c r="BW41" s="104"/>
      <c r="BX41" s="104"/>
      <c r="BY41" s="104"/>
      <c r="BZ41" s="104"/>
      <c r="CA41" s="45">
        <f>SUMIF(Report_BM!$CY$6:$CY$73,CONCATENATE($C41,CI$3),Report_BM!$CK$6:$CK$73)+SUMIF(Report_BM!$CY$6:$CY$73,CONCATENATE($C41,CI$3),Report_BM!$CN$6:$CN$73)</f>
        <v>0</v>
      </c>
      <c r="CB41" s="46" t="e">
        <f ca="1">SUMIF(Report_BM!$CY$6:$CY$73,CONCATENATE($C41,$CI$3),Report_BM!$CL$6:$CL$73)+SUMIF(Report_BM!$CY$6:$CY$73,CONCATENATE($C41,$CI$3),Report_BM!$CO$6:$CO$73)</f>
        <v>#VALUE!</v>
      </c>
      <c r="CC41" s="45">
        <f>SUMIF(Report_BM!$CY$6:$CY$73,CONCATENATE($C41,CI$3),Report_BM!$CQ$6:$CQ$73)</f>
        <v>0</v>
      </c>
      <c r="CD41" s="39">
        <f>SUMIF(Report_BM!$CY$6:$CY$73,CONCATENATE($C41,CI$3),Report_BM!$CR$6:$CR$73)</f>
        <v>0</v>
      </c>
      <c r="CE41" s="39">
        <f>SUMIF(Report_BM!$CY$6:$CY$73,CONCATENATE($C41,CI$3),Report_BM!$CS$6:$CS$73)</f>
        <v>32400000</v>
      </c>
      <c r="CF41" s="39">
        <f ca="1">SUMIF(Report_BM!$CY$6:$CY$73,CONCATENATE($C41,CI$3),Report_BM!$CT$6:$CT$73)</f>
        <v>0</v>
      </c>
      <c r="CG41" s="46">
        <f>SUMIF(Report_BM!$CY$6:$CY$73,CONCATENATE($C41,CI$3),Report_BM!$CU$6:$CU$73)</f>
        <v>-600000</v>
      </c>
      <c r="CH41" s="45">
        <f>SUMIF(Report_BM!$CY$6:$CY$73,CONCATENATE($C41,CI$3),Report_BM!$CV$6:$CV$73)</f>
        <v>0</v>
      </c>
      <c r="CI41" s="39" t="e">
        <f ca="1">SUMIF(Report_BM!$CY$6:$CY$73,CONCATENATE($C41,CI$3),Report_BM!$CW$6:$CW$73)</f>
        <v>#VALUE!</v>
      </c>
      <c r="CJ41" s="103"/>
      <c r="CK41" s="104"/>
      <c r="CL41" s="104"/>
      <c r="CM41" s="104"/>
      <c r="CN41" s="104"/>
      <c r="CO41" s="104"/>
      <c r="CP41" s="45">
        <f>SUMIF(Report_BM!$DP$6:$DP$73,CONCATENATE($C41,CX$3),Report_BM!$DB$6:$DB$73)+SUMIF(Report_BM!$DP$6:$DP$73,CONCATENATE($C41,CX$3),Report_BM!$DE$6:$DE$73)</f>
        <v>0</v>
      </c>
      <c r="CQ41" s="46" t="e">
        <f ca="1">SUMIF(Report_BM!$DP$6:$DP$73,CONCATENATE($C41,$CX$3),Report_BM!$DC$6:$DC$73)+SUMIF(Report_BM!$DP$6:$DP$73,CONCATENATE($C41,$CX$3),Report_BM!$DF$6:$DF$73)</f>
        <v>#VALUE!</v>
      </c>
      <c r="CR41" s="45">
        <f>SUMIF(Report_BM!$DP$6:$DP$73,CONCATENATE($C41,CX$3),Report_BM!$DH$6:$DH$73)</f>
        <v>0</v>
      </c>
      <c r="CS41" s="39">
        <f>SUMIF(Report_BM!$DP$6:$DP$73,CONCATENATE($C41,CX$3),Report_BM!$DI$6:$DI$73)</f>
        <v>0</v>
      </c>
      <c r="CT41" s="39">
        <f>SUMIF(Report_BM!$DP$6:$DP$73,CONCATENATE($C41,CX$3),Report_BM!$DJ$6:$DJ$73)</f>
        <v>32400000</v>
      </c>
      <c r="CU41" s="39">
        <f>SUMIF(Report_BM!$DP$6:$DP$73,CONCATENATE($C41,CX$3),Report_BM!$DK$6:$DK$73)</f>
        <v>0</v>
      </c>
      <c r="CV41" s="46">
        <f>SUMIF(Master_Data!$AK$152:$AK$864,CONCATENATE($C41,CX$3),Master_Data!$T$152:$T$864)</f>
        <v>-600000</v>
      </c>
      <c r="CW41" s="45">
        <f>SUMIF(Report_BM!$DP$6:$DP$73,CONCATENATE($C41,CX$3),Report_BM!$DM$6:$DM$73)</f>
        <v>0</v>
      </c>
      <c r="CX41" s="39" t="e">
        <f ca="1">SUMIF(Report_BM!$DP$6:$DP$73,CONCATENATE($C41,CX$3),Report_BM!$DN$6:$DN$73)</f>
        <v>#VALUE!</v>
      </c>
      <c r="CY41" s="103"/>
      <c r="CZ41" s="104"/>
      <c r="DA41" s="104"/>
      <c r="DB41" s="104"/>
      <c r="DC41" s="104"/>
      <c r="DD41" s="104"/>
      <c r="DE41" s="45">
        <f>SUMIF(Report_BM!$EG$6:$EG$73,CONCATENATE($C41,DM$3),Report_BM!$DS$6:$DS$73)+SUMIF(Report_BM!$EG$6:$EG$73,CONCATENATE($C41,DM$3),Report_BM!$DV$6:$DV$73)</f>
        <v>0</v>
      </c>
      <c r="DF41" s="46" t="e">
        <f ca="1">SUMIF(Report_BM!$EG$6:$EG$73,CONCATENATE($C41,$DM$3),Report_BM!$DT$6:$DT$73)+SUMIF(Report_BM!$EG$6:$EG$73,CONCATENATE($C41,$DM$3),Report_BM!$DW$6:$DW$73)</f>
        <v>#VALUE!</v>
      </c>
      <c r="DG41" s="45">
        <f>SUMIF(Report_BM!$EG$6:$EG$73,CONCATENATE($C41,DM$3),Report_BM!$DY$6:$DY$73)</f>
        <v>0</v>
      </c>
      <c r="DH41" s="39">
        <f>SUMIF(Report_BM!EG$6:EG$73,CONCATENATE($C41,DM$3),Report_BM!DZ$6:DZ$73)</f>
        <v>0</v>
      </c>
      <c r="DI41" s="39">
        <f>SUMIF(Report_BM!EG$6:EG$73,CONCATENATE($C41,DM$3),Report_BM!$EA$6:$EA$73)</f>
        <v>0</v>
      </c>
      <c r="DJ41" s="39">
        <f>SUMIF(Report_BM!EG$6:EG$73,CONCATENATE($C41,DM$3),Report_BM!$EB$6:$EB$73)</f>
        <v>0</v>
      </c>
      <c r="DK41" s="46">
        <f>SUMIF(Master_Data!$AK$152:$AK$864,CONCATENATE($C41,DM$3),Master_Data!$T$152:$T$864)</f>
        <v>0</v>
      </c>
      <c r="DL41" s="45">
        <f>SUMIF(Report_BM!EG$6:EG$73,CONCATENATE($C41,DM$3),Report_BM!ED$6:ED$73)</f>
        <v>0</v>
      </c>
      <c r="DM41" s="39" t="e">
        <f ca="1">SUMIF(Report_BM!EG$6:EG$73,CONCATENATE($C41,DM$3),Report_BM!EE$6:EE$73)</f>
        <v>#VALUE!</v>
      </c>
      <c r="DN41" s="103"/>
      <c r="DO41" s="104"/>
      <c r="DP41" s="104"/>
      <c r="DQ41" s="104"/>
      <c r="DR41" s="104"/>
      <c r="DS41" s="104"/>
      <c r="DT41" s="45">
        <f>SUMIF(Report_BM!$EX$6:$EX$73,CONCATENATE($C41,EB$3),Report_BM!$EJ$6:$EJ$73)+SUMIF(Report_BM!$EX$6:$EX$73,CONCATENATE($C41,EB$3),Report_BM!$EM$6:$EM$73)</f>
        <v>0</v>
      </c>
      <c r="DU41" s="46" t="e">
        <f ca="1">SUMIF(Report_BM!$EX$6:$EX$73,CONCATENATE($C41,$EB$3),Report_BM!$EK$6:$EK$73)+SUMIF(Report_BM!$EX$6:$EX$73,CONCATENATE($C41,$EB$3),Report_BM!$EN$6:$EN$73)</f>
        <v>#VALUE!</v>
      </c>
      <c r="DV41" s="45">
        <f>SUMIF(Report_BM!$EX$6:$EX$73,CONCATENATE($C41,EB$3),Report_BM!$EP$6:$EP$73)</f>
        <v>0</v>
      </c>
      <c r="DW41" s="39">
        <f>SUMIF(Report_BM!$EX$6:$EX$73,CONCATENATE($C41,EB$3),Report_BM!$EQ$6:$EQ$73)</f>
        <v>0</v>
      </c>
      <c r="DX41" s="39">
        <f>SUMIF(Report_BM!$EX$6:$EX$73,CONCATENATE($C41,EB$3),Report_BM!$ER$6:$ER$73)</f>
        <v>32400000</v>
      </c>
      <c r="DY41" s="39">
        <f>SUMIF(Report_BM!$EX$6:$EX$73,CONCATENATE($C41,EB$3),Report_BM!$ES$6:$ES$73)</f>
        <v>0</v>
      </c>
      <c r="DZ41" s="46">
        <f>SUMIF(Master_Data!$AK$152:$AK$864,CONCATENATE($C41,EB$3),Master_Data!$T$152:$T$864)</f>
        <v>-600000</v>
      </c>
      <c r="EA41" s="45">
        <f>SUMIF(Report_BM!EX$6:EX$73,CONCATENATE($C41,EB$3),Report_BM!EU$6:EU$73)</f>
        <v>0</v>
      </c>
      <c r="EB41" s="39">
        <f>SUMIF(Report_BM!EX$6:EX$73,CONCATENATE($C41,EB$3),Report_BM!EV$6:EV$73)</f>
        <v>0</v>
      </c>
      <c r="EC41" s="103"/>
      <c r="ED41" s="104"/>
      <c r="EE41" s="104"/>
      <c r="EF41" s="104"/>
      <c r="EG41" s="104"/>
      <c r="EH41" s="104"/>
      <c r="EI41" s="45">
        <f>SUMIF(Report_BM!$FO$6:$FO$73,CONCATENATE($C41,EQ$3),Report_BM!$FA$6:$FA$73)+SUMIF(Report_BM!$FO$6:$FO$73,CONCATENATE($C41,EQ$3),Report_BM!$FD$6:$FD$73)</f>
        <v>0</v>
      </c>
      <c r="EJ41" s="46" t="e">
        <f>SUMIF(Report_BM!$FO$6:$FO$73,CONCATENATE($C41,$EQ$3),Report_BM!$FB$6:$FB$73)+SUMIF(Report_BM!$FO$6:$FO$73,CONCATENATE($C41,$EQ$3),Report_BM!$FE$6:$FE$73)</f>
        <v>#VALUE!</v>
      </c>
      <c r="EK41" s="45">
        <f>SUMIF(Report_BM!$FO$6:$FO$73,CONCATENATE($C41,EQ$3),Report_BM!$FG$6:$FG$73)</f>
        <v>0</v>
      </c>
      <c r="EL41" s="39">
        <f>SUMIF(Report_BM!$FO$6:$FO$73,CONCATENATE($C41,EQ$3),Report_BM!$FH$6:$FH$73)</f>
        <v>0</v>
      </c>
      <c r="EM41" s="39">
        <f>SUMIF(Report_BM!$FO$6:$FO$73,CONCATENATE($C41,EQ$3),Report_BM!$FI$6:$FI$73)</f>
        <v>0</v>
      </c>
      <c r="EN41" s="39">
        <f>SUMIF(Report_BM!$FO$6:$FO$73,CONCATENATE($C41,EQ$3),Report_BM!$FJ$6:$FJ$73)</f>
        <v>0</v>
      </c>
      <c r="EO41" s="46">
        <f>SUMIF(Master_Data!$AK$152:$AK$864,CONCATENATE($C41,EQ$3),Master_Data!$T$152:$T$864)</f>
        <v>0</v>
      </c>
      <c r="EP41" s="45">
        <f>SUMIF(Report_BM!FO$6:FO$73,CONCATENATE($C41,EQ$3),Report_BM!FL$6:FL$73)</f>
        <v>0</v>
      </c>
      <c r="EQ41" s="39" t="e">
        <f>SUMIF(Report_BM!FO$6:FO$73,CONCATENATE($C41,EQ$3),Report_BM!FM$6:FM$73)</f>
        <v>#VALUE!</v>
      </c>
      <c r="ER41" s="103"/>
      <c r="ES41" s="104"/>
      <c r="ET41" s="104"/>
      <c r="EU41" s="104"/>
      <c r="EV41" s="104"/>
      <c r="EW41" s="104"/>
      <c r="EX41" s="45">
        <f>SUMIF(Report_BM!$GF$6:$GF$73,CONCATENATE($C41,FF$3),Report_BM!$FR$6:$FR$73)+SUMIF(Report_BM!$GF$6:$GF$73,CONCATENATE($C41,FF$3),Report_BM!$FU$6:$FU$73)</f>
        <v>0</v>
      </c>
      <c r="EY41" s="46" t="e">
        <f>SUMIF(Report_BM!$GF$6:$GF$73,CONCATENATE($C41,$FF$3),Report_BM!$FS$6:$FS$73)+SUMIF(Report_BM!$GF$6:$GF$73,CONCATENATE($C41,$FF$3),Report_BM!$FV$6:$FV$73)</f>
        <v>#VALUE!</v>
      </c>
      <c r="EZ41" s="45">
        <f>SUMIF(Report_BM!$GF$6:$GF$73,CONCATENATE($C41,FF$3),Report_BM!$FX$6:$FX$73)</f>
        <v>0</v>
      </c>
      <c r="FA41" s="39">
        <f>SUMIF(Report_BM!$GF$6:$GF$73,CONCATENATE($C41,FF$3),Report_BM!$FY$6:$FY$73)</f>
        <v>0</v>
      </c>
      <c r="FB41" s="39">
        <f>SUMIF(Report_BM!$GF$6:$GF$73,CONCATENATE($C41,FF$3),Report_BM!$FZ$6:$FZ$73)</f>
        <v>0</v>
      </c>
      <c r="FC41" s="39">
        <f>SUMIF(Report_BM!$GF$6:$GF$73,CONCATENATE($C41,FF$3),Report_BM!$GA$6:$GA$73)</f>
        <v>0</v>
      </c>
      <c r="FD41" s="46">
        <f>SUMIF(Master_Data!$AK$152:$AK$864,CONCATENATE($C41,FF$3),Master_Data!$T$152:$T$864)</f>
        <v>0</v>
      </c>
      <c r="FE41" s="45">
        <f>SUMIF(Report_BM!GF$6:GF$73,CONCATENATE($C41,FF$3),Report_BM!GC$6:GC$73)</f>
        <v>0</v>
      </c>
      <c r="FF41" s="39" t="e">
        <f>SUMIF(Report_BM!GF$6:GF$73,CONCATENATE($C41,FF$3),Report_BM!GD$6:GD$73)</f>
        <v>#VALUE!</v>
      </c>
      <c r="FG41" s="103"/>
      <c r="FH41" s="104"/>
      <c r="FI41" s="104"/>
      <c r="FJ41" s="104"/>
      <c r="FK41" s="104"/>
      <c r="FL41" s="104"/>
      <c r="FM41" s="45">
        <f>SUMIF(Report_BM!$GW$6:$GW$73,CONCATENATE($C41,FU$3),Report_BM!$GI$6:$GI$73)+SUMIF(Report_BM!$GW$6:$GW$73,CONCATENATE($C41,FU$3),Report_BM!$GL$6:$GL$73)</f>
        <v>0</v>
      </c>
      <c r="FN41" s="46" t="e">
        <f>SUMIF(Report_BM!$GW$6:$GW$73,CONCATENATE($C41,$FU$3),Report_BM!$GJ$6:$GJ$73)+SUMIF(Report_BM!$GW$6:$GW$73,CONCATENATE($C41,$FU$3),Report_BM!$GM$6:$GM$73)</f>
        <v>#VALUE!</v>
      </c>
      <c r="FO41" s="45">
        <f>SUMIF(Report_BM!$GW$6:$GW$73,CONCATENATE($C41,FU$3),Report_BM!$GO$6:$GO$73)</f>
        <v>0</v>
      </c>
      <c r="FP41" s="39">
        <f>SUMIF(Report_BM!$GW$6:$GW$73,CONCATENATE($C41,FU$3),Report_BM!$GP$6:$GP$73)</f>
        <v>0</v>
      </c>
      <c r="FQ41" s="39">
        <f>SUMIF(Report_BM!$GW$6:$GW$73,CONCATENATE($C41,FU$3),Report_BM!$GQ$6:$GQ$73)</f>
        <v>0</v>
      </c>
      <c r="FR41" s="39">
        <f>SUMIF(Report_BM!$GW$6:$GW$73,CONCATENATE($C41,FU$3),Report_BM!$GR$6:$GR$73)</f>
        <v>0</v>
      </c>
      <c r="FS41" s="46">
        <f>SUMIF(Master_Data!$AK$152:$AK$864,CONCATENATE($C41,FU$3),Master_Data!$T$152:$T$864)</f>
        <v>0</v>
      </c>
      <c r="FT41" s="45">
        <f>SUMIF(Report_BM!GW$6:GW$73,CONCATENATE($C41,FU$3),Report_BM!GT$6:GT$73)</f>
        <v>0</v>
      </c>
      <c r="FU41" s="39" t="e">
        <f>SUMIF(Report_BM!GW$6:GW$73,CONCATENATE($C41,FU$3),Report_BM!GU$6:GU$73)</f>
        <v>#VALUE!</v>
      </c>
      <c r="FV41" s="103"/>
      <c r="FW41" s="104"/>
      <c r="FX41" s="104"/>
      <c r="FY41" s="104"/>
      <c r="FZ41" s="104"/>
      <c r="GA41" s="104"/>
    </row>
    <row r="42" spans="1:183" s="40" customFormat="1" ht="14.1" customHeight="1">
      <c r="A42" s="9">
        <v>36</v>
      </c>
      <c r="B42" s="328" t="s">
        <v>334</v>
      </c>
      <c r="C42" s="323" t="s">
        <v>209</v>
      </c>
      <c r="D42" s="45">
        <f>SUMIF(Report_BM!$B$6:$B$73,CONCATENATE($C42,L$3),Report_BM!$E$6:$E$73)+SUMIF(Report_BM!$B$6:$B$73,CONCATENATE($C42,L$3),Report_BM!$H$6:$H$73)</f>
        <v>0</v>
      </c>
      <c r="E42" s="276">
        <f>SUMIF(Report_BM!$B$6:$B$73,CONCATENATE($C42,L$3),Report_BM!$F$6:$F$73)+SUMIF(Report_BM!$B$6:$B$73,CONCATENATE($C42,L$3),Report_BM!$I$6:$I$73)</f>
        <v>75500000</v>
      </c>
      <c r="F42" s="45">
        <f>SUMIF(Report_BM!$B$6:$B$73,CONCATENATE($C42,L$3),Report_BM!$K$6:$K$73)</f>
        <v>0</v>
      </c>
      <c r="G42" s="39">
        <f>SUMIF(Report_BM!$B$6:$B$73,CONCATENATE($C42,$L$3),Report_BM!$L$6:$L$73)</f>
        <v>0</v>
      </c>
      <c r="H42" s="39">
        <f>SUMIF(Report_BM!$B$6:$B$73,CONCATENATE($C42,$L$3),Report_BM!$M$6:$M$73)</f>
        <v>0</v>
      </c>
      <c r="I42" s="39">
        <f>SUMIF(Report_BM!$B$6:$B$73,CONCATENATE($C42,$L$3),Report_BM!$N$6:$N$73)</f>
        <v>0</v>
      </c>
      <c r="J42" s="46">
        <f>SUMIF(Report_BM!$B$6:$B$73,CONCATENATE($C42,$L$3),Report_BM!$O$6:$O$73)</f>
        <v>0</v>
      </c>
      <c r="K42" s="45">
        <f>SUMIF(Report_BM!$B$6:$B$73,CONCATENATE($C42,$L$3),Report_BM!$P$6:$P$73)</f>
        <v>0</v>
      </c>
      <c r="L42" s="39">
        <f>SUMIF(Report_BM!$B$6:$B$73,CONCATENATE($C42,$L$3),Report_BM!$Q$6:$Q$73)</f>
        <v>75500000</v>
      </c>
      <c r="M42" s="103"/>
      <c r="N42" s="104"/>
      <c r="O42" s="104"/>
      <c r="P42" s="104"/>
      <c r="Q42" s="104"/>
      <c r="R42" s="104"/>
      <c r="S42" s="45">
        <f>SUMIF(Report_BM!$AI$8:$AI$72,CONCATENATE($C42,AA$3),Report_BM!$U$8:$U$72)+SUMIF(Report_BM!$AI$8:$AI$72,CONCATENATE($C42,AA$3),Report_BM!$X$8:$X$72)</f>
        <v>0</v>
      </c>
      <c r="T42" s="276">
        <f>SUMIF(Report_BM!$AI$8:$AI$72,CONCATENATE($C42,AA$3),Report_BM!$V$8:$V$72)+SUMIF(Report_BM!$AI$8:$AI$72,CONCATENATE($C42,AA$3),Report_BM!$Y$8:$Y$72)</f>
        <v>75500000</v>
      </c>
      <c r="U42" s="45">
        <f>SUMIF(Report_BM!$AI$8:$AI$72,CONCATENATE($C42,AA$3),Report_BM!$AA$8:$AB$72)</f>
        <v>0</v>
      </c>
      <c r="V42" s="39">
        <f>SUMIF(Report_BM!$AI$8:$AI$72,CONCATENATE($C42,$AA$3),Report_BM!$AB$8:$AB$72)</f>
        <v>0</v>
      </c>
      <c r="W42" s="39">
        <f>SUMIF(Report_BM!$AI$8:$AI$72,CONCATENATE($C42,$AA$3),Report_BM!$AC$8:$AC$72)</f>
        <v>0</v>
      </c>
      <c r="X42" s="39">
        <f ca="1">SUMIF(Report_BM!$AI$7:$AI$73,CONCATENATE($C42,$AA$3),Report_BM!$AD$7:$AD$73)</f>
        <v>0</v>
      </c>
      <c r="Y42" s="46">
        <f>SUMIF(Master_Data!$AK$152:$AK$864,CONCATENATE($C42,AA$3),Master_Data!$T$152:$T$864)</f>
        <v>0</v>
      </c>
      <c r="Z42" s="45">
        <f>SUMIF(Report_BM!$AI$8:$AI$72,CONCATENATE($C42,$AA$3),Report_BM!$AF$8:$AF$72)</f>
        <v>0</v>
      </c>
      <c r="AA42" s="39">
        <f ca="1">SUMIF(Report_BM!$AI$8:$AI$72,CONCATENATE($C42,$AA$3),Report_BM!$AG$8:$AG$72)</f>
        <v>75500000</v>
      </c>
      <c r="AB42" s="103"/>
      <c r="AC42" s="104"/>
      <c r="AD42" s="104"/>
      <c r="AE42" s="104"/>
      <c r="AF42" s="104"/>
      <c r="AG42" s="104"/>
      <c r="AH42" s="45">
        <f>SUMIF(Report_BM!$AZ$5:$AZ$72,CONCATENATE($C42,AP$3),Report_BM!$AL$5:$AL$72)+SUMIF(Report_BM!$AZ$5:$AZ$72,CONCATENATE($C42,AP$3),Report_BM!$AO$5:$AO$72)</f>
        <v>0</v>
      </c>
      <c r="AI42" s="46">
        <f ca="1">SUMIF(Report_BM!$AZ$5:$AZ$72,CONCATENATE($C42,$AP$3),Report_BM!$AM$5:$AM$72)+SUMIF(Report_BM!$AZ$5:$AZ$72,CONCATENATE($C42,$AP$3),Report_BM!$AP$5:$AP$72)</f>
        <v>75500000</v>
      </c>
      <c r="AJ42" s="45">
        <f>SUMIF(Report_BM!$AZ$5:$AZ$72,CONCATENATE($C42,$AP$3),Report_BM!$AR$5:$AR$72)</f>
        <v>0</v>
      </c>
      <c r="AK42" s="39">
        <f>SUMIF(Report_BM!$AZ$5:$AZ$72,CONCATENATE($C42,$AP$3),Report_BM!$AS$5:$AS$72)</f>
        <v>0</v>
      </c>
      <c r="AL42" s="39">
        <f>SUMIF(Report_BM!$AZ$5:$AZ$72,CONCATENATE($C42,$AP$3),Report_BM!$AT$5:$AT$72)</f>
        <v>0</v>
      </c>
      <c r="AM42" s="39">
        <f ca="1">SUMIF(Report_BM!$AZ$5:$AZ$72,CONCATENATE($C42,$AP$3),Report_BM!$AU$5:$AU$72)</f>
        <v>0</v>
      </c>
      <c r="AN42" s="46">
        <f>SUMIF(Master_Data!$AK$152:$AK$915,CONCATENATE($C42,AP$3),Master_Data!$T$152:$T$915)</f>
        <v>0</v>
      </c>
      <c r="AO42" s="45">
        <f>SUMIF(Report_BM!$AZ$5:$AZ$72,CONCATENATE($C42,$AP$3),Report_BM!$AW$5:$AW$72)</f>
        <v>0</v>
      </c>
      <c r="AP42" s="39">
        <f ca="1">SUMIF(Report_BM!$AZ$5:$AZ$72,CONCATENATE($C42,$AP$3),Report_BM!$AX$5:$AX$72)</f>
        <v>75500000</v>
      </c>
      <c r="AQ42" s="103"/>
      <c r="AR42" s="104"/>
      <c r="AS42" s="104"/>
      <c r="AT42" s="104"/>
      <c r="AU42" s="104"/>
      <c r="AV42" s="104"/>
      <c r="AW42" s="45">
        <f>SUMIF(Report_BM!$BQ$6:$BQ$73,CONCATENATE($C42,BE$3),Report_BM!$BC$6:$BC$73)+SUMIF(Report_BM!$BQ$6:$BQ$73,CONCATENATE($C42,BE$3),Report_BM!$BF$6:$BF$73)</f>
        <v>0</v>
      </c>
      <c r="AX42" s="46">
        <f ca="1">SUMIF(Report_BM!$BQ$6:$BQ$73,CONCATENATE($C42,$BE$3),Report_BM!$BD$6:$BD$73)+SUMIF(Report_BM!$BQ$6:$BQ$73,CONCATENATE($C42,$BE$3),Report_BM!$BG$6:$BG$73)</f>
        <v>75500000</v>
      </c>
      <c r="AY42" s="45">
        <f>SUMIF(Report_BM!$BQ$6:$BQ$73,CONCATENATE($C42,BE$3),Report_BM!$BI$6:$BI$73)</f>
        <v>0</v>
      </c>
      <c r="AZ42" s="39">
        <f>SUMIF(Report_BM!$BQ$6:$BQ$73,CONCATENATE($C42,BE$3),Report_BM!$BJ$6:$BJ$73)</f>
        <v>0</v>
      </c>
      <c r="BA42" s="39">
        <f>SUMIF(Report_BM!$BQ$6:$BQ$73,CONCATENATE($C42,BE$3),Report_BM!$BK$6:$BK$73)</f>
        <v>0</v>
      </c>
      <c r="BB42" s="39">
        <f>SUMIF(Report_BM!$BQ$6:$BQ$73,CONCATENATE($C42,BE$3),Report_BM!$BL$6:$BL$73)</f>
        <v>0</v>
      </c>
      <c r="BC42" s="46">
        <f>SUMIF(Master_Data!$AK$152:$AK$864,CONCATENATE($C42,BE$3),Master_Data!$T$152:$T$864)</f>
        <v>0</v>
      </c>
      <c r="BD42" s="45">
        <f>SUMIF(Report_BM!$BQ$6:$BQ$73,CONCATENATE($C42,BE$3),Report_BM!$BN$6:$BN$73)</f>
        <v>0</v>
      </c>
      <c r="BE42" s="39">
        <f ca="1">SUMIF(Report_BM!$BQ$6:$BQ$73,CONCATENATE($C42,BE$3),Report_BM!$BO$6:$BO$73)</f>
        <v>75500000</v>
      </c>
      <c r="BF42" s="103"/>
      <c r="BG42" s="104"/>
      <c r="BH42" s="104"/>
      <c r="BI42" s="104"/>
      <c r="BJ42" s="104"/>
      <c r="BK42" s="104"/>
      <c r="BL42" s="45">
        <f>SUMIF(Report_BM!$CH$6:$CH$73,CONCATENATE($C42,BT$3),Report_BM!$BT$6:$BT$73)+SUMIF(Report_BM!$CH$6:$CH$73,CONCATENATE($C42,BT$3),Report_BM!$BW$6:$BW$73)</f>
        <v>0</v>
      </c>
      <c r="BM42" s="46">
        <f ca="1">SUMIF(Report_BM!$CH$6:$CH$73,CONCATENATE($C42,$BT$3),Report_BM!$BU$6:$BU$73)+SUMIF(Report_BM!$CH$6:$CH$73,CONCATENATE($C42,$BT$3),Report_BM!$BX$6:$BX$73)</f>
        <v>75500000</v>
      </c>
      <c r="BN42" s="45">
        <f>SUMIF(Report_BM!$CH$6:$CH$73,CONCATENATE($C42,BT$3),Report_BM!$BZ$6:$BZ$73)</f>
        <v>0</v>
      </c>
      <c r="BO42" s="39">
        <f>SUMIF(Report_BM!$CH$6:$CH$73,CONCATENATE($C42,BT$3),Report_BM!$CA$6:$CA$73)</f>
        <v>0</v>
      </c>
      <c r="BP42" s="39">
        <f>SUMIF(Report_BM!$CH$6:$CH$73,CONCATENATE($C42,BT$3),Report_BM!$CB$6:$CB$73)</f>
        <v>0</v>
      </c>
      <c r="BQ42" s="39">
        <f>SUMIF(Report_BM!$CH$6:$CH$73,CONCATENATE($C42,BT$3),Report_BM!$CC$6:$CC$73)</f>
        <v>0</v>
      </c>
      <c r="BR42" s="46">
        <f>SUMIF(Master_Data!$AK$152:$AK$864,CONCATENATE($C42,BT$3),Master_Data!$T$152:$T$864)</f>
        <v>0</v>
      </c>
      <c r="BS42" s="45">
        <f>SUMIF(Report_BM!$CH$6:$CH$73,CONCATENATE($C42,BT$3),Report_BM!$CE$6:$CE$73)</f>
        <v>0</v>
      </c>
      <c r="BT42" s="39">
        <f ca="1">SUMIF(Report_BM!$CH$6:$CH$73,CONCATENATE($C42,BT$3),Report_BM!$CF$6:$CF$73)</f>
        <v>75500000</v>
      </c>
      <c r="BU42" s="103"/>
      <c r="BV42" s="104"/>
      <c r="BW42" s="104"/>
      <c r="BX42" s="104"/>
      <c r="BY42" s="104"/>
      <c r="BZ42" s="104"/>
      <c r="CA42" s="45">
        <f>SUMIF(Report_BM!$CY$6:$CY$73,CONCATENATE($C42,CI$3),Report_BM!$CK$6:$CK$73)+SUMIF(Report_BM!$CY$6:$CY$73,CONCATENATE($C42,CI$3),Report_BM!$CN$6:$CN$73)</f>
        <v>0</v>
      </c>
      <c r="CB42" s="46">
        <f ca="1">SUMIF(Report_BM!$CY$6:$CY$73,CONCATENATE($C42,$CI$3),Report_BM!$CL$6:$CL$73)+SUMIF(Report_BM!$CY$6:$CY$73,CONCATENATE($C42,$CI$3),Report_BM!$CO$6:$CO$73)</f>
        <v>75500000</v>
      </c>
      <c r="CC42" s="45">
        <f>SUMIF(Report_BM!$CY$6:$CY$73,CONCATENATE($C42,CI$3),Report_BM!$CQ$6:$CQ$73)</f>
        <v>0</v>
      </c>
      <c r="CD42" s="39">
        <f>SUMIF(Report_BM!$CY$6:$CY$73,CONCATENATE($C42,CI$3),Report_BM!$CR$6:$CR$73)</f>
        <v>0</v>
      </c>
      <c r="CE42" s="39">
        <f>SUMIF(Report_BM!$CY$6:$CY$73,CONCATENATE($C42,CI$3),Report_BM!$CS$6:$CS$73)</f>
        <v>0</v>
      </c>
      <c r="CF42" s="39">
        <f ca="1">SUMIF(Report_BM!$CY$6:$CY$73,CONCATENATE($C42,CI$3),Report_BM!$CT$6:$CT$73)</f>
        <v>0</v>
      </c>
      <c r="CG42" s="46">
        <f>SUMIF(Report_BM!$CY$6:$CY$73,CONCATENATE($C42,CI$3),Report_BM!$CU$6:$CU$73)</f>
        <v>0</v>
      </c>
      <c r="CH42" s="45">
        <f>SUMIF(Report_BM!$CY$6:$CY$73,CONCATENATE($C42,CI$3),Report_BM!$CV$6:$CV$73)</f>
        <v>0</v>
      </c>
      <c r="CI42" s="39">
        <f ca="1">SUMIF(Report_BM!$CY$6:$CY$73,CONCATENATE($C42,CI$3),Report_BM!$CW$6:$CW$73)</f>
        <v>75500000</v>
      </c>
      <c r="CJ42" s="103"/>
      <c r="CK42" s="104"/>
      <c r="CL42" s="104"/>
      <c r="CM42" s="104"/>
      <c r="CN42" s="104"/>
      <c r="CO42" s="104"/>
      <c r="CP42" s="45">
        <f>SUMIF(Report_BM!$DP$6:$DP$73,CONCATENATE($C42,CX$3),Report_BM!$DB$6:$DB$73)+SUMIF(Report_BM!$DP$6:$DP$73,CONCATENATE($C42,CX$3),Report_BM!$DE$6:$DE$73)</f>
        <v>0</v>
      </c>
      <c r="CQ42" s="46">
        <f ca="1">SUMIF(Report_BM!$DP$6:$DP$73,CONCATENATE($C42,$CX$3),Report_BM!$DC$6:$DC$73)+SUMIF(Report_BM!$DP$6:$DP$73,CONCATENATE($C42,$CX$3),Report_BM!$DF$6:$DF$73)</f>
        <v>75500000</v>
      </c>
      <c r="CR42" s="45">
        <f>SUMIF(Report_BM!$DP$6:$DP$73,CONCATENATE($C42,CX$3),Report_BM!$DH$6:$DH$73)</f>
        <v>0</v>
      </c>
      <c r="CS42" s="39">
        <f>SUMIF(Report_BM!$DP$6:$DP$73,CONCATENATE($C42,CX$3),Report_BM!$DI$6:$DI$73)</f>
        <v>0</v>
      </c>
      <c r="CT42" s="39">
        <f>SUMIF(Report_BM!$DP$6:$DP$73,CONCATENATE($C42,CX$3),Report_BM!$DJ$6:$DJ$73)</f>
        <v>0</v>
      </c>
      <c r="CU42" s="39">
        <f>SUMIF(Report_BM!$DP$6:$DP$73,CONCATENATE($C42,CX$3),Report_BM!$DK$6:$DK$73)</f>
        <v>0</v>
      </c>
      <c r="CV42" s="46">
        <f>SUMIF(Master_Data!$AK$152:$AK$864,CONCATENATE($C42,CX$3),Master_Data!$T$152:$T$864)</f>
        <v>0</v>
      </c>
      <c r="CW42" s="45">
        <f>SUMIF(Report_BM!$DP$6:$DP$73,CONCATENATE($C42,CX$3),Report_BM!$DM$6:$DM$73)</f>
        <v>0</v>
      </c>
      <c r="CX42" s="39">
        <f ca="1">SUMIF(Report_BM!$DP$6:$DP$73,CONCATENATE($C42,CX$3),Report_BM!$DN$6:$DN$73)</f>
        <v>75500000</v>
      </c>
      <c r="CY42" s="103"/>
      <c r="CZ42" s="104"/>
      <c r="DA42" s="104"/>
      <c r="DB42" s="104"/>
      <c r="DC42" s="104"/>
      <c r="DD42" s="104"/>
      <c r="DE42" s="45">
        <f>SUMIF(Report_BM!$EG$6:$EG$73,CONCATENATE($C42,DM$3),Report_BM!$DS$6:$DS$73)+SUMIF(Report_BM!$EG$6:$EG$73,CONCATENATE($C42,DM$3),Report_BM!$DV$6:$DV$73)</f>
        <v>0</v>
      </c>
      <c r="DF42" s="46">
        <f ca="1">SUMIF(Report_BM!$EG$6:$EG$73,CONCATENATE($C42,$DM$3),Report_BM!$DT$6:$DT$73)+SUMIF(Report_BM!$EG$6:$EG$73,CONCATENATE($C42,$DM$3),Report_BM!$DW$6:$DW$73)</f>
        <v>75500000</v>
      </c>
      <c r="DG42" s="45">
        <f>SUMIF(Report_BM!$EG$6:$EG$73,CONCATENATE($C42,DM$3),Report_BM!$DY$6:$DY$73)</f>
        <v>0</v>
      </c>
      <c r="DH42" s="39">
        <f>SUMIF(Report_BM!EG$6:EG$73,CONCATENATE($C42,DM$3),Report_BM!DZ$6:DZ$73)</f>
        <v>0</v>
      </c>
      <c r="DI42" s="39">
        <f>SUMIF(Report_BM!EG$6:EG$73,CONCATENATE($C42,DM$3),Report_BM!$EA$6:$EA$73)</f>
        <v>0</v>
      </c>
      <c r="DJ42" s="39">
        <f>SUMIF(Report_BM!EG$6:EG$73,CONCATENATE($C42,DM$3),Report_BM!$EB$6:$EB$73)</f>
        <v>0</v>
      </c>
      <c r="DK42" s="46">
        <f>SUMIF(Master_Data!$AK$152:$AK$864,CONCATENATE($C42,DM$3),Master_Data!$T$152:$T$864)</f>
        <v>0</v>
      </c>
      <c r="DL42" s="45">
        <f>SUMIF(Report_BM!EG$6:EG$73,CONCATENATE($C42,DM$3),Report_BM!ED$6:ED$73)</f>
        <v>0</v>
      </c>
      <c r="DM42" s="39">
        <f ca="1">SUMIF(Report_BM!EG$6:EG$73,CONCATENATE($C42,DM$3),Report_BM!EE$6:EE$73)</f>
        <v>75500000</v>
      </c>
      <c r="DN42" s="103"/>
      <c r="DO42" s="104"/>
      <c r="DP42" s="104"/>
      <c r="DQ42" s="104"/>
      <c r="DR42" s="104"/>
      <c r="DS42" s="104"/>
      <c r="DT42" s="45">
        <f>SUMIF(Report_BM!$EX$6:$EX$73,CONCATENATE($C42,EB$3),Report_BM!$EJ$6:$EJ$73)+SUMIF(Report_BM!$EX$6:$EX$73,CONCATENATE($C42,EB$3),Report_BM!$EM$6:$EM$73)</f>
        <v>0</v>
      </c>
      <c r="DU42" s="46">
        <f ca="1">SUMIF(Report_BM!$EX$6:$EX$73,CONCATENATE($C42,$EB$3),Report_BM!$EK$6:$EK$73)+SUMIF(Report_BM!$EX$6:$EX$73,CONCATENATE($C42,$EB$3),Report_BM!$EN$6:$EN$73)</f>
        <v>75500000</v>
      </c>
      <c r="DV42" s="45">
        <f>SUMIF(Report_BM!$EX$6:$EX$73,CONCATENATE($C42,EB$3),Report_BM!$EP$6:$EP$73)</f>
        <v>0</v>
      </c>
      <c r="DW42" s="39">
        <f>SUMIF(Report_BM!$EX$6:$EX$73,CONCATENATE($C42,EB$3),Report_BM!$EQ$6:$EQ$73)</f>
        <v>0</v>
      </c>
      <c r="DX42" s="39">
        <f>SUMIF(Report_BM!$EX$6:$EX$73,CONCATENATE($C42,EB$3),Report_BM!$ER$6:$ER$73)</f>
        <v>0</v>
      </c>
      <c r="DY42" s="39">
        <f>SUMIF(Report_BM!$EX$6:$EX$73,CONCATENATE($C42,EB$3),Report_BM!$ES$6:$ES$73)</f>
        <v>0</v>
      </c>
      <c r="DZ42" s="46">
        <f>SUMIF(Master_Data!$AK$152:$AK$864,CONCATENATE($C42,EB$3),Master_Data!$T$152:$T$864)</f>
        <v>0</v>
      </c>
      <c r="EA42" s="45">
        <f>SUMIF(Report_BM!EX$6:EX$73,CONCATENATE($C42,EB$3),Report_BM!EU$6:EU$73)</f>
        <v>0</v>
      </c>
      <c r="EB42" s="39">
        <f>SUMIF(Report_BM!EX$6:EX$73,CONCATENATE($C42,EB$3),Report_BM!EV$6:EV$73)</f>
        <v>0</v>
      </c>
      <c r="EC42" s="103"/>
      <c r="ED42" s="104"/>
      <c r="EE42" s="104"/>
      <c r="EF42" s="104"/>
      <c r="EG42" s="104"/>
      <c r="EH42" s="104"/>
      <c r="EI42" s="45">
        <f>SUMIF(Report_BM!$FO$6:$FO$73,CONCATENATE($C42,EQ$3),Report_BM!$FA$6:$FA$73)+SUMIF(Report_BM!$FO$6:$FO$73,CONCATENATE($C42,EQ$3),Report_BM!$FD$6:$FD$73)</f>
        <v>0</v>
      </c>
      <c r="EJ42" s="46">
        <f>SUMIF(Report_BM!$FO$6:$FO$73,CONCATENATE($C42,$EQ$3),Report_BM!$FB$6:$FB$73)+SUMIF(Report_BM!$FO$6:$FO$73,CONCATENATE($C42,$EQ$3),Report_BM!$FE$6:$FE$73)</f>
        <v>0</v>
      </c>
      <c r="EK42" s="45">
        <f>SUMIF(Report_BM!$FO$6:$FO$73,CONCATENATE($C42,EQ$3),Report_BM!$FG$6:$FG$73)</f>
        <v>0</v>
      </c>
      <c r="EL42" s="39">
        <f>SUMIF(Report_BM!$FO$6:$FO$73,CONCATENATE($C42,EQ$3),Report_BM!$FH$6:$FH$73)</f>
        <v>0</v>
      </c>
      <c r="EM42" s="39">
        <f>SUMIF(Report_BM!$FO$6:$FO$73,CONCATENATE($C42,EQ$3),Report_BM!$FI$6:$FI$73)</f>
        <v>0</v>
      </c>
      <c r="EN42" s="39">
        <f>SUMIF(Report_BM!$FO$6:$FO$73,CONCATENATE($C42,EQ$3),Report_BM!$FJ$6:$FJ$73)</f>
        <v>0</v>
      </c>
      <c r="EO42" s="46">
        <f>SUMIF(Master_Data!$AK$152:$AK$864,CONCATENATE($C42,EQ$3),Master_Data!$T$152:$T$864)</f>
        <v>0</v>
      </c>
      <c r="EP42" s="45">
        <f>SUMIF(Report_BM!FO$6:FO$73,CONCATENATE($C42,EQ$3),Report_BM!FL$6:FL$73)</f>
        <v>0</v>
      </c>
      <c r="EQ42" s="39">
        <f>SUMIF(Report_BM!FO$6:FO$73,CONCATENATE($C42,EQ$3),Report_BM!FM$6:FM$73)</f>
        <v>0</v>
      </c>
      <c r="ER42" s="103"/>
      <c r="ES42" s="104"/>
      <c r="ET42" s="104"/>
      <c r="EU42" s="104"/>
      <c r="EV42" s="104"/>
      <c r="EW42" s="104"/>
      <c r="EX42" s="45">
        <f>SUMIF(Report_BM!$GF$6:$GF$73,CONCATENATE($C42,FF$3),Report_BM!$FR$6:$FR$73)+SUMIF(Report_BM!$GF$6:$GF$73,CONCATENATE($C42,FF$3),Report_BM!$FU$6:$FU$73)</f>
        <v>0</v>
      </c>
      <c r="EY42" s="46">
        <f>SUMIF(Report_BM!$GF$6:$GF$73,CONCATENATE($C42,$FF$3),Report_BM!$FS$6:$FS$73)+SUMIF(Report_BM!$GF$6:$GF$73,CONCATENATE($C42,$FF$3),Report_BM!$FV$6:$FV$73)</f>
        <v>0</v>
      </c>
      <c r="EZ42" s="45">
        <f>SUMIF(Report_BM!$GF$6:$GF$73,CONCATENATE($C42,FF$3),Report_BM!$FX$6:$FX$73)</f>
        <v>0</v>
      </c>
      <c r="FA42" s="39">
        <f>SUMIF(Report_BM!$GF$6:$GF$73,CONCATENATE($C42,FF$3),Report_BM!$FY$6:$FY$73)</f>
        <v>0</v>
      </c>
      <c r="FB42" s="39">
        <f>SUMIF(Report_BM!$GF$6:$GF$73,CONCATENATE($C42,FF$3),Report_BM!$FZ$6:$FZ$73)</f>
        <v>0</v>
      </c>
      <c r="FC42" s="39">
        <f>SUMIF(Report_BM!$GF$6:$GF$73,CONCATENATE($C42,FF$3),Report_BM!$GA$6:$GA$73)</f>
        <v>0</v>
      </c>
      <c r="FD42" s="46">
        <f>SUMIF(Master_Data!$AK$152:$AK$864,CONCATENATE($C42,FF$3),Master_Data!$T$152:$T$864)</f>
        <v>0</v>
      </c>
      <c r="FE42" s="45">
        <f>SUMIF(Report_BM!GF$6:GF$73,CONCATENATE($C42,FF$3),Report_BM!GC$6:GC$73)</f>
        <v>0</v>
      </c>
      <c r="FF42" s="39">
        <f>SUMIF(Report_BM!GF$6:GF$73,CONCATENATE($C42,FF$3),Report_BM!GD$6:GD$73)</f>
        <v>0</v>
      </c>
      <c r="FG42" s="103"/>
      <c r="FH42" s="104"/>
      <c r="FI42" s="104"/>
      <c r="FJ42" s="104"/>
      <c r="FK42" s="104"/>
      <c r="FL42" s="104"/>
      <c r="FM42" s="45">
        <f>SUMIF(Report_BM!$GW$6:$GW$73,CONCATENATE($C42,FU$3),Report_BM!$GI$6:$GI$73)+SUMIF(Report_BM!$GW$6:$GW$73,CONCATENATE($C42,FU$3),Report_BM!$GL$6:$GL$73)</f>
        <v>0</v>
      </c>
      <c r="FN42" s="46">
        <f>SUMIF(Report_BM!$GW$6:$GW$73,CONCATENATE($C42,$FU$3),Report_BM!$GJ$6:$GJ$73)+SUMIF(Report_BM!$GW$6:$GW$73,CONCATENATE($C42,$FU$3),Report_BM!$GM$6:$GM$73)</f>
        <v>0</v>
      </c>
      <c r="FO42" s="45">
        <f>SUMIF(Report_BM!$GW$6:$GW$73,CONCATENATE($C42,FU$3),Report_BM!$GO$6:$GO$73)</f>
        <v>0</v>
      </c>
      <c r="FP42" s="39">
        <f>SUMIF(Report_BM!$GW$6:$GW$73,CONCATENATE($C42,FU$3),Report_BM!$GP$6:$GP$73)</f>
        <v>0</v>
      </c>
      <c r="FQ42" s="39">
        <f>SUMIF(Report_BM!$GW$6:$GW$73,CONCATENATE($C42,FU$3),Report_BM!$GQ$6:$GQ$73)</f>
        <v>0</v>
      </c>
      <c r="FR42" s="39">
        <f>SUMIF(Report_BM!$GW$6:$GW$73,CONCATENATE($C42,FU$3),Report_BM!$GR$6:$GR$73)</f>
        <v>0</v>
      </c>
      <c r="FS42" s="46">
        <f>SUMIF(Master_Data!$AK$152:$AK$864,CONCATENATE($C42,FU$3),Master_Data!$T$152:$T$864)</f>
        <v>0</v>
      </c>
      <c r="FT42" s="45">
        <f>SUMIF(Report_BM!GW$6:GW$73,CONCATENATE($C42,FU$3),Report_BM!GT$6:GT$73)</f>
        <v>0</v>
      </c>
      <c r="FU42" s="39">
        <f>SUMIF(Report_BM!GW$6:GW$73,CONCATENATE($C42,FU$3),Report_BM!GU$6:GU$73)</f>
        <v>0</v>
      </c>
      <c r="FV42" s="103"/>
      <c r="FW42" s="104"/>
      <c r="FX42" s="104"/>
      <c r="FY42" s="104"/>
      <c r="FZ42" s="104"/>
      <c r="GA42" s="104"/>
    </row>
    <row r="43" spans="1:183" s="40" customFormat="1" ht="14.1" customHeight="1">
      <c r="A43" s="9">
        <v>37</v>
      </c>
      <c r="B43" s="328" t="s">
        <v>335</v>
      </c>
      <c r="C43" s="323" t="s">
        <v>210</v>
      </c>
      <c r="D43" s="45">
        <f>SUMIF(Report_BM!$B$6:$B$73,CONCATENATE($C43,L$3),Report_BM!$E$6:$E$73)+SUMIF(Report_BM!$B$6:$B$73,CONCATENATE($C43,L$3),Report_BM!$H$6:$H$73)</f>
        <v>0</v>
      </c>
      <c r="E43" s="276">
        <f>SUMIF(Report_BM!$B$6:$B$73,CONCATENATE($C43,L$3),Report_BM!$F$6:$F$73)+SUMIF(Report_BM!$B$6:$B$73,CONCATENATE($C43,L$3),Report_BM!$I$6:$I$73)</f>
        <v>8800000</v>
      </c>
      <c r="F43" s="45">
        <f>SUMIF(Report_BM!$B$6:$B$73,CONCATENATE($C43,L$3),Report_BM!$K$6:$K$73)</f>
        <v>0</v>
      </c>
      <c r="G43" s="39">
        <f>SUMIF(Report_BM!$B$6:$B$73,CONCATENATE($C43,$L$3),Report_BM!$L$6:$L$73)</f>
        <v>0</v>
      </c>
      <c r="H43" s="39">
        <f>SUMIF(Report_BM!$B$6:$B$73,CONCATENATE($C43,$L$3),Report_BM!$M$6:$M$73)</f>
        <v>0</v>
      </c>
      <c r="I43" s="39">
        <f>SUMIF(Report_BM!$B$6:$B$73,CONCATENATE($C43,$L$3),Report_BM!$N$6:$N$73)</f>
        <v>0</v>
      </c>
      <c r="J43" s="46">
        <f>SUMIF(Report_BM!$B$6:$B$73,CONCATENATE($C43,$L$3),Report_BM!$O$6:$O$73)</f>
        <v>0</v>
      </c>
      <c r="K43" s="45">
        <f>SUMIF(Report_BM!$B$6:$B$73,CONCATENATE($C43,$L$3),Report_BM!$P$6:$P$73)</f>
        <v>0</v>
      </c>
      <c r="L43" s="39">
        <f>SUMIF(Report_BM!$B$6:$B$73,CONCATENATE($C43,$L$3),Report_BM!$Q$6:$Q$73)</f>
        <v>8800000</v>
      </c>
      <c r="M43" s="103"/>
      <c r="N43" s="104"/>
      <c r="O43" s="104"/>
      <c r="P43" s="104"/>
      <c r="Q43" s="104"/>
      <c r="R43" s="104"/>
      <c r="S43" s="45">
        <f>SUMIF(Report_BM!$AI$8:$AI$72,CONCATENATE($C43,AA$3),Report_BM!$U$8:$U$72)+SUMIF(Report_BM!$AI$8:$AI$72,CONCATENATE($C43,AA$3),Report_BM!$X$8:$X$72)</f>
        <v>0</v>
      </c>
      <c r="T43" s="276">
        <f>SUMIF(Report_BM!$AI$8:$AI$72,CONCATENATE($C43,AA$3),Report_BM!$V$8:$V$72)+SUMIF(Report_BM!$AI$8:$AI$72,CONCATENATE($C43,AA$3),Report_BM!$Y$8:$Y$72)</f>
        <v>8800000</v>
      </c>
      <c r="U43" s="45">
        <f>SUMIF(Report_BM!$AI$8:$AI$72,CONCATENATE($C43,AA$3),Report_BM!$AA$8:$AB$72)</f>
        <v>0</v>
      </c>
      <c r="V43" s="39">
        <f>SUMIF(Report_BM!$AI$8:$AI$72,CONCATENATE($C43,$AA$3),Report_BM!$AB$8:$AB$72)</f>
        <v>0</v>
      </c>
      <c r="W43" s="39">
        <f>SUMIF(Report_BM!$AI$8:$AI$72,CONCATENATE($C43,$AA$3),Report_BM!$AC$8:$AC$72)</f>
        <v>0</v>
      </c>
      <c r="X43" s="39">
        <f ca="1">SUMIF(Report_BM!$AI$7:$AI$73,CONCATENATE($C43,$AA$3),Report_BM!$AD$7:$AD$73)</f>
        <v>0</v>
      </c>
      <c r="Y43" s="46">
        <f>SUMIF(Master_Data!$AK$152:$AK$864,CONCATENATE($C43,AA$3),Master_Data!$T$152:$T$864)</f>
        <v>0</v>
      </c>
      <c r="Z43" s="45">
        <f>SUMIF(Report_BM!$AI$8:$AI$72,CONCATENATE($C43,$AA$3),Report_BM!$AF$8:$AF$72)</f>
        <v>0</v>
      </c>
      <c r="AA43" s="39">
        <f ca="1">SUMIF(Report_BM!$AI$8:$AI$72,CONCATENATE($C43,$AA$3),Report_BM!$AG$8:$AG$72)</f>
        <v>8800000</v>
      </c>
      <c r="AB43" s="103"/>
      <c r="AC43" s="104"/>
      <c r="AD43" s="104"/>
      <c r="AE43" s="104"/>
      <c r="AF43" s="104"/>
      <c r="AG43" s="104"/>
      <c r="AH43" s="45">
        <f>SUMIF(Report_BM!$AZ$5:$AZ$72,CONCATENATE($C43,AP$3),Report_BM!$AL$5:$AL$72)+SUMIF(Report_BM!$AZ$5:$AZ$72,CONCATENATE($C43,AP$3),Report_BM!$AO$5:$AO$72)</f>
        <v>0</v>
      </c>
      <c r="AI43" s="46">
        <f ca="1">SUMIF(Report_BM!$AZ$5:$AZ$72,CONCATENATE($C43,$AP$3),Report_BM!$AM$5:$AM$72)+SUMIF(Report_BM!$AZ$5:$AZ$72,CONCATENATE($C43,$AP$3),Report_BM!$AP$5:$AP$72)</f>
        <v>8800000</v>
      </c>
      <c r="AJ43" s="45">
        <f>SUMIF(Report_BM!$AZ$5:$AZ$72,CONCATENATE($C43,$AP$3),Report_BM!$AR$5:$AR$72)</f>
        <v>0</v>
      </c>
      <c r="AK43" s="39">
        <f>SUMIF(Report_BM!$AZ$5:$AZ$72,CONCATENATE($C43,$AP$3),Report_BM!$AS$5:$AS$72)</f>
        <v>0</v>
      </c>
      <c r="AL43" s="39">
        <f>SUMIF(Report_BM!$AZ$5:$AZ$72,CONCATENATE($C43,$AP$3),Report_BM!$AT$5:$AT$72)</f>
        <v>0</v>
      </c>
      <c r="AM43" s="39">
        <f ca="1">SUMIF(Report_BM!$AZ$5:$AZ$72,CONCATENATE($C43,$AP$3),Report_BM!$AU$5:$AU$72)</f>
        <v>0</v>
      </c>
      <c r="AN43" s="46">
        <f>SUMIF(Master_Data!$AK$152:$AK$915,CONCATENATE($C43,AP$3),Master_Data!$T$152:$T$915)</f>
        <v>0</v>
      </c>
      <c r="AO43" s="45">
        <f>SUMIF(Report_BM!$AZ$5:$AZ$72,CONCATENATE($C43,$AP$3),Report_BM!$AW$5:$AW$72)</f>
        <v>0</v>
      </c>
      <c r="AP43" s="39">
        <f ca="1">SUMIF(Report_BM!$AZ$5:$AZ$72,CONCATENATE($C43,$AP$3),Report_BM!$AX$5:$AX$72)</f>
        <v>8800000</v>
      </c>
      <c r="AQ43" s="103"/>
      <c r="AR43" s="104"/>
      <c r="AS43" s="104"/>
      <c r="AT43" s="104"/>
      <c r="AU43" s="104"/>
      <c r="AV43" s="104"/>
      <c r="AW43" s="45">
        <f>SUMIF(Report_BM!$BQ$6:$BQ$73,CONCATENATE($C43,BE$3),Report_BM!$BC$6:$BC$73)+SUMIF(Report_BM!$BQ$6:$BQ$73,CONCATENATE($C43,BE$3),Report_BM!$BF$6:$BF$73)</f>
        <v>0</v>
      </c>
      <c r="AX43" s="46">
        <f ca="1">SUMIF(Report_BM!$BQ$6:$BQ$73,CONCATENATE($C43,$BE$3),Report_BM!$BD$6:$BD$73)+SUMIF(Report_BM!$BQ$6:$BQ$73,CONCATENATE($C43,$BE$3),Report_BM!$BG$6:$BG$73)</f>
        <v>8800000</v>
      </c>
      <c r="AY43" s="45">
        <f>SUMIF(Report_BM!$BQ$6:$BQ$73,CONCATENATE($C43,BE$3),Report_BM!$BI$6:$BI$73)</f>
        <v>0</v>
      </c>
      <c r="AZ43" s="39">
        <f>SUMIF(Report_BM!$BQ$6:$BQ$73,CONCATENATE($C43,BE$3),Report_BM!$BJ$6:$BJ$73)</f>
        <v>0</v>
      </c>
      <c r="BA43" s="39">
        <f>SUMIF(Report_BM!$BQ$6:$BQ$73,CONCATENATE($C43,BE$3),Report_BM!$BK$6:$BK$73)</f>
        <v>0</v>
      </c>
      <c r="BB43" s="39">
        <f>SUMIF(Report_BM!$BQ$6:$BQ$73,CONCATENATE($C43,BE$3),Report_BM!$BL$6:$BL$73)</f>
        <v>0</v>
      </c>
      <c r="BC43" s="46">
        <f>SUMIF(Master_Data!$AK$152:$AK$864,CONCATENATE($C43,BE$3),Master_Data!$T$152:$T$864)</f>
        <v>0</v>
      </c>
      <c r="BD43" s="45">
        <f>SUMIF(Report_BM!$BQ$6:$BQ$73,CONCATENATE($C43,BE$3),Report_BM!$BN$6:$BN$73)</f>
        <v>0</v>
      </c>
      <c r="BE43" s="39">
        <f ca="1">SUMIF(Report_BM!$BQ$6:$BQ$73,CONCATENATE($C43,BE$3),Report_BM!$BO$6:$BO$73)</f>
        <v>8800000</v>
      </c>
      <c r="BF43" s="103"/>
      <c r="BG43" s="104"/>
      <c r="BH43" s="104"/>
      <c r="BI43" s="104"/>
      <c r="BJ43" s="104"/>
      <c r="BK43" s="104"/>
      <c r="BL43" s="45">
        <f>SUMIF(Report_BM!$CH$6:$CH$73,CONCATENATE($C43,BT$3),Report_BM!$BT$6:$BT$73)+SUMIF(Report_BM!$CH$6:$CH$73,CONCATENATE($C43,BT$3),Report_BM!$BW$6:$BW$73)</f>
        <v>0</v>
      </c>
      <c r="BM43" s="46">
        <f ca="1">SUMIF(Report_BM!$CH$6:$CH$73,CONCATENATE($C43,$BT$3),Report_BM!$BU$6:$BU$73)+SUMIF(Report_BM!$CH$6:$CH$73,CONCATENATE($C43,$BT$3),Report_BM!$BX$6:$BX$73)</f>
        <v>8800000</v>
      </c>
      <c r="BN43" s="45">
        <f>SUMIF(Report_BM!$CH$6:$CH$73,CONCATENATE($C43,BT$3),Report_BM!$BZ$6:$BZ$73)</f>
        <v>0</v>
      </c>
      <c r="BO43" s="39">
        <f>SUMIF(Report_BM!$CH$6:$CH$73,CONCATENATE($C43,BT$3),Report_BM!$CA$6:$CA$73)</f>
        <v>0</v>
      </c>
      <c r="BP43" s="39">
        <f>SUMIF(Report_BM!$CH$6:$CH$73,CONCATENATE($C43,BT$3),Report_BM!$CB$6:$CB$73)</f>
        <v>0</v>
      </c>
      <c r="BQ43" s="39">
        <f>SUMIF(Report_BM!$CH$6:$CH$73,CONCATENATE($C43,BT$3),Report_BM!$CC$6:$CC$73)</f>
        <v>0</v>
      </c>
      <c r="BR43" s="46">
        <f>SUMIF(Master_Data!$AK$152:$AK$864,CONCATENATE($C43,BT$3),Master_Data!$T$152:$T$864)</f>
        <v>0</v>
      </c>
      <c r="BS43" s="45">
        <f>SUMIF(Report_BM!$CH$6:$CH$73,CONCATENATE($C43,BT$3),Report_BM!$CE$6:$CE$73)</f>
        <v>0</v>
      </c>
      <c r="BT43" s="39">
        <f ca="1">SUMIF(Report_BM!$CH$6:$CH$73,CONCATENATE($C43,BT$3),Report_BM!$CF$6:$CF$73)</f>
        <v>8800000</v>
      </c>
      <c r="BU43" s="103"/>
      <c r="BV43" s="104"/>
      <c r="BW43" s="104"/>
      <c r="BX43" s="104"/>
      <c r="BY43" s="104"/>
      <c r="BZ43" s="104"/>
      <c r="CA43" s="45">
        <f>SUMIF(Report_BM!$CY$6:$CY$73,CONCATENATE($C43,CI$3),Report_BM!$CK$6:$CK$73)+SUMIF(Report_BM!$CY$6:$CY$73,CONCATENATE($C43,CI$3),Report_BM!$CN$6:$CN$73)</f>
        <v>0</v>
      </c>
      <c r="CB43" s="46">
        <f ca="1">SUMIF(Report_BM!$CY$6:$CY$73,CONCATENATE($C43,$CI$3),Report_BM!$CL$6:$CL$73)+SUMIF(Report_BM!$CY$6:$CY$73,CONCATENATE($C43,$CI$3),Report_BM!$CO$6:$CO$73)</f>
        <v>8800000</v>
      </c>
      <c r="CC43" s="45">
        <f>SUMIF(Report_BM!$CY$6:$CY$73,CONCATENATE($C43,CI$3),Report_BM!$CQ$6:$CQ$73)</f>
        <v>0</v>
      </c>
      <c r="CD43" s="39">
        <f>SUMIF(Report_BM!$CY$6:$CY$73,CONCATENATE($C43,CI$3),Report_BM!$CR$6:$CR$73)</f>
        <v>0</v>
      </c>
      <c r="CE43" s="39">
        <f>SUMIF(Report_BM!$CY$6:$CY$73,CONCATENATE($C43,CI$3),Report_BM!$CS$6:$CS$73)</f>
        <v>0</v>
      </c>
      <c r="CF43" s="39">
        <f ca="1">SUMIF(Report_BM!$CY$6:$CY$73,CONCATENATE($C43,CI$3),Report_BM!$CT$6:$CT$73)</f>
        <v>0</v>
      </c>
      <c r="CG43" s="46">
        <f>SUMIF(Report_BM!$CY$6:$CY$73,CONCATENATE($C43,CI$3),Report_BM!$CU$6:$CU$73)</f>
        <v>0</v>
      </c>
      <c r="CH43" s="45">
        <f>SUMIF(Report_BM!$CY$6:$CY$73,CONCATENATE($C43,CI$3),Report_BM!$CV$6:$CV$73)</f>
        <v>0</v>
      </c>
      <c r="CI43" s="39">
        <f ca="1">SUMIF(Report_BM!$CY$6:$CY$73,CONCATENATE($C43,CI$3),Report_BM!$CW$6:$CW$73)</f>
        <v>8800000</v>
      </c>
      <c r="CJ43" s="103"/>
      <c r="CK43" s="104"/>
      <c r="CL43" s="104"/>
      <c r="CM43" s="104"/>
      <c r="CN43" s="104"/>
      <c r="CO43" s="104"/>
      <c r="CP43" s="45">
        <f>SUMIF(Report_BM!$DP$6:$DP$73,CONCATENATE($C43,CX$3),Report_BM!$DB$6:$DB$73)+SUMIF(Report_BM!$DP$6:$DP$73,CONCATENATE($C43,CX$3),Report_BM!$DE$6:$DE$73)</f>
        <v>0</v>
      </c>
      <c r="CQ43" s="46">
        <f ca="1">SUMIF(Report_BM!$DP$6:$DP$73,CONCATENATE($C43,$CX$3),Report_BM!$DC$6:$DC$73)+SUMIF(Report_BM!$DP$6:$DP$73,CONCATENATE($C43,$CX$3),Report_BM!$DF$6:$DF$73)</f>
        <v>8800000</v>
      </c>
      <c r="CR43" s="45">
        <f>SUMIF(Report_BM!$DP$6:$DP$73,CONCATENATE($C43,CX$3),Report_BM!$DH$6:$DH$73)</f>
        <v>0</v>
      </c>
      <c r="CS43" s="39">
        <f>SUMIF(Report_BM!$DP$6:$DP$73,CONCATENATE($C43,CX$3),Report_BM!$DI$6:$DI$73)</f>
        <v>0</v>
      </c>
      <c r="CT43" s="39">
        <f>SUMIF(Report_BM!$DP$6:$DP$73,CONCATENATE($C43,CX$3),Report_BM!$DJ$6:$DJ$73)</f>
        <v>0</v>
      </c>
      <c r="CU43" s="39">
        <f>SUMIF(Report_BM!$DP$6:$DP$73,CONCATENATE($C43,CX$3),Report_BM!$DK$6:$DK$73)</f>
        <v>0</v>
      </c>
      <c r="CV43" s="46">
        <f>SUMIF(Master_Data!$AK$152:$AK$864,CONCATENATE($C43,CX$3),Master_Data!$T$152:$T$864)</f>
        <v>0</v>
      </c>
      <c r="CW43" s="45">
        <f>SUMIF(Report_BM!$DP$6:$DP$73,CONCATENATE($C43,CX$3),Report_BM!$DM$6:$DM$73)</f>
        <v>0</v>
      </c>
      <c r="CX43" s="39">
        <f ca="1">SUMIF(Report_BM!$DP$6:$DP$73,CONCATENATE($C43,CX$3),Report_BM!$DN$6:$DN$73)</f>
        <v>8800000</v>
      </c>
      <c r="CY43" s="103"/>
      <c r="CZ43" s="104"/>
      <c r="DA43" s="104"/>
      <c r="DB43" s="104"/>
      <c r="DC43" s="104"/>
      <c r="DD43" s="104"/>
      <c r="DE43" s="45">
        <f>SUMIF(Report_BM!$EG$6:$EG$73,CONCATENATE($C43,DM$3),Report_BM!$DS$6:$DS$73)+SUMIF(Report_BM!$EG$6:$EG$73,CONCATENATE($C43,DM$3),Report_BM!$DV$6:$DV$73)</f>
        <v>0</v>
      </c>
      <c r="DF43" s="46">
        <f ca="1">SUMIF(Report_BM!$EG$6:$EG$73,CONCATENATE($C43,$DM$3),Report_BM!$DT$6:$DT$73)+SUMIF(Report_BM!$EG$6:$EG$73,CONCATENATE($C43,$DM$3),Report_BM!$DW$6:$DW$73)</f>
        <v>8800000</v>
      </c>
      <c r="DG43" s="45">
        <f>SUMIF(Report_BM!$EG$6:$EG$73,CONCATENATE($C43,DM$3),Report_BM!$DY$6:$DY$73)</f>
        <v>0</v>
      </c>
      <c r="DH43" s="39">
        <f>SUMIF(Report_BM!EG$6:EG$73,CONCATENATE($C43,DM$3),Report_BM!DZ$6:DZ$73)</f>
        <v>0</v>
      </c>
      <c r="DI43" s="39">
        <f>SUMIF(Report_BM!EG$6:EG$73,CONCATENATE($C43,DM$3),Report_BM!$EA$6:$EA$73)</f>
        <v>0</v>
      </c>
      <c r="DJ43" s="39">
        <f>SUMIF(Report_BM!EG$6:EG$73,CONCATENATE($C43,DM$3),Report_BM!$EB$6:$EB$73)</f>
        <v>0</v>
      </c>
      <c r="DK43" s="46">
        <f>SUMIF(Master_Data!$AK$152:$AK$864,CONCATENATE($C43,DM$3),Master_Data!$T$152:$T$864)</f>
        <v>0</v>
      </c>
      <c r="DL43" s="45">
        <f>SUMIF(Report_BM!EG$6:EG$73,CONCATENATE($C43,DM$3),Report_BM!ED$6:ED$73)</f>
        <v>0</v>
      </c>
      <c r="DM43" s="39">
        <f ca="1">SUMIF(Report_BM!EG$6:EG$73,CONCATENATE($C43,DM$3),Report_BM!EE$6:EE$73)</f>
        <v>8800000</v>
      </c>
      <c r="DN43" s="103"/>
      <c r="DO43" s="104"/>
      <c r="DP43" s="104"/>
      <c r="DQ43" s="104"/>
      <c r="DR43" s="104"/>
      <c r="DS43" s="104"/>
      <c r="DT43" s="45">
        <f>SUMIF(Report_BM!$EX$6:$EX$73,CONCATENATE($C43,EB$3),Report_BM!$EJ$6:$EJ$73)+SUMIF(Report_BM!$EX$6:$EX$73,CONCATENATE($C43,EB$3),Report_BM!$EM$6:$EM$73)</f>
        <v>0</v>
      </c>
      <c r="DU43" s="46">
        <f ca="1">SUMIF(Report_BM!$EX$6:$EX$73,CONCATENATE($C43,$EB$3),Report_BM!$EK$6:$EK$73)+SUMIF(Report_BM!$EX$6:$EX$73,CONCATENATE($C43,$EB$3),Report_BM!$EN$6:$EN$73)</f>
        <v>8800000</v>
      </c>
      <c r="DV43" s="45">
        <f>SUMIF(Report_BM!$EX$6:$EX$73,CONCATENATE($C43,EB$3),Report_BM!$EP$6:$EP$73)</f>
        <v>0</v>
      </c>
      <c r="DW43" s="39">
        <f>SUMIF(Report_BM!$EX$6:$EX$73,CONCATENATE($C43,EB$3),Report_BM!$EQ$6:$EQ$73)</f>
        <v>0</v>
      </c>
      <c r="DX43" s="39">
        <f>SUMIF(Report_BM!$EX$6:$EX$73,CONCATENATE($C43,EB$3),Report_BM!$ER$6:$ER$73)</f>
        <v>0</v>
      </c>
      <c r="DY43" s="39">
        <f>SUMIF(Report_BM!$EX$6:$EX$73,CONCATENATE($C43,EB$3),Report_BM!$ES$6:$ES$73)</f>
        <v>0</v>
      </c>
      <c r="DZ43" s="46">
        <f>SUMIF(Master_Data!$AK$152:$AK$864,CONCATENATE($C43,EB$3),Master_Data!$T$152:$T$864)</f>
        <v>0</v>
      </c>
      <c r="EA43" s="45">
        <f>SUMIF(Report_BM!EX$6:EX$73,CONCATENATE($C43,EB$3),Report_BM!EU$6:EU$73)</f>
        <v>0</v>
      </c>
      <c r="EB43" s="39">
        <f>SUMIF(Report_BM!EX$6:EX$73,CONCATENATE($C43,EB$3),Report_BM!EV$6:EV$73)</f>
        <v>0</v>
      </c>
      <c r="EC43" s="103"/>
      <c r="ED43" s="104"/>
      <c r="EE43" s="104"/>
      <c r="EF43" s="104"/>
      <c r="EG43" s="104"/>
      <c r="EH43" s="104"/>
      <c r="EI43" s="45">
        <f>SUMIF(Report_BM!$FO$6:$FO$73,CONCATENATE($C43,EQ$3),Report_BM!$FA$6:$FA$73)+SUMIF(Report_BM!$FO$6:$FO$73,CONCATENATE($C43,EQ$3),Report_BM!$FD$6:$FD$73)</f>
        <v>0</v>
      </c>
      <c r="EJ43" s="46">
        <f>SUMIF(Report_BM!$FO$6:$FO$73,CONCATENATE($C43,$EQ$3),Report_BM!$FB$6:$FB$73)+SUMIF(Report_BM!$FO$6:$FO$73,CONCATENATE($C43,$EQ$3),Report_BM!$FE$6:$FE$73)</f>
        <v>0</v>
      </c>
      <c r="EK43" s="45">
        <f>SUMIF(Report_BM!$FO$6:$FO$73,CONCATENATE($C43,EQ$3),Report_BM!$FG$6:$FG$73)</f>
        <v>0</v>
      </c>
      <c r="EL43" s="39">
        <f>SUMIF(Report_BM!$FO$6:$FO$73,CONCATENATE($C43,EQ$3),Report_BM!$FH$6:$FH$73)</f>
        <v>0</v>
      </c>
      <c r="EM43" s="39">
        <f>SUMIF(Report_BM!$FO$6:$FO$73,CONCATENATE($C43,EQ$3),Report_BM!$FI$6:$FI$73)</f>
        <v>0</v>
      </c>
      <c r="EN43" s="39">
        <f>SUMIF(Report_BM!$FO$6:$FO$73,CONCATENATE($C43,EQ$3),Report_BM!$FJ$6:$FJ$73)</f>
        <v>0</v>
      </c>
      <c r="EO43" s="46">
        <f>SUMIF(Master_Data!$AK$152:$AK$864,CONCATENATE($C43,EQ$3),Master_Data!$T$152:$T$864)</f>
        <v>0</v>
      </c>
      <c r="EP43" s="45">
        <f>SUMIF(Report_BM!FO$6:FO$73,CONCATENATE($C43,EQ$3),Report_BM!FL$6:FL$73)</f>
        <v>0</v>
      </c>
      <c r="EQ43" s="39">
        <f>SUMIF(Report_BM!FO$6:FO$73,CONCATENATE($C43,EQ$3),Report_BM!FM$6:FM$73)</f>
        <v>0</v>
      </c>
      <c r="ER43" s="103"/>
      <c r="ES43" s="104"/>
      <c r="ET43" s="104"/>
      <c r="EU43" s="104"/>
      <c r="EV43" s="104"/>
      <c r="EW43" s="104"/>
      <c r="EX43" s="45">
        <f>SUMIF(Report_BM!$GF$6:$GF$73,CONCATENATE($C43,FF$3),Report_BM!$FR$6:$FR$73)+SUMIF(Report_BM!$GF$6:$GF$73,CONCATENATE($C43,FF$3),Report_BM!$FU$6:$FU$73)</f>
        <v>0</v>
      </c>
      <c r="EY43" s="46">
        <f>SUMIF(Report_BM!$GF$6:$GF$73,CONCATENATE($C43,$FF$3),Report_BM!$FS$6:$FS$73)+SUMIF(Report_BM!$GF$6:$GF$73,CONCATENATE($C43,$FF$3),Report_BM!$FV$6:$FV$73)</f>
        <v>0</v>
      </c>
      <c r="EZ43" s="45">
        <f>SUMIF(Report_BM!$GF$6:$GF$73,CONCATENATE($C43,FF$3),Report_BM!$FX$6:$FX$73)</f>
        <v>0</v>
      </c>
      <c r="FA43" s="39">
        <f>SUMIF(Report_BM!$GF$6:$GF$73,CONCATENATE($C43,FF$3),Report_BM!$FY$6:$FY$73)</f>
        <v>0</v>
      </c>
      <c r="FB43" s="39">
        <f>SUMIF(Report_BM!$GF$6:$GF$73,CONCATENATE($C43,FF$3),Report_BM!$FZ$6:$FZ$73)</f>
        <v>0</v>
      </c>
      <c r="FC43" s="39">
        <f>SUMIF(Report_BM!$GF$6:$GF$73,CONCATENATE($C43,FF$3),Report_BM!$GA$6:$GA$73)</f>
        <v>0</v>
      </c>
      <c r="FD43" s="46">
        <f>SUMIF(Master_Data!$AK$152:$AK$864,CONCATENATE($C43,FF$3),Master_Data!$T$152:$T$864)</f>
        <v>0</v>
      </c>
      <c r="FE43" s="45">
        <f>SUMIF(Report_BM!GF$6:GF$73,CONCATENATE($C43,FF$3),Report_BM!GC$6:GC$73)</f>
        <v>0</v>
      </c>
      <c r="FF43" s="39">
        <f>SUMIF(Report_BM!GF$6:GF$73,CONCATENATE($C43,FF$3),Report_BM!GD$6:GD$73)</f>
        <v>0</v>
      </c>
      <c r="FG43" s="103"/>
      <c r="FH43" s="104"/>
      <c r="FI43" s="104"/>
      <c r="FJ43" s="104"/>
      <c r="FK43" s="104"/>
      <c r="FL43" s="104"/>
      <c r="FM43" s="45">
        <f>SUMIF(Report_BM!$GW$6:$GW$73,CONCATENATE($C43,FU$3),Report_BM!$GI$6:$GI$73)+SUMIF(Report_BM!$GW$6:$GW$73,CONCATENATE($C43,FU$3),Report_BM!$GL$6:$GL$73)</f>
        <v>0</v>
      </c>
      <c r="FN43" s="46">
        <f>SUMIF(Report_BM!$GW$6:$GW$73,CONCATENATE($C43,$FU$3),Report_BM!$GJ$6:$GJ$73)+SUMIF(Report_BM!$GW$6:$GW$73,CONCATENATE($C43,$FU$3),Report_BM!$GM$6:$GM$73)</f>
        <v>0</v>
      </c>
      <c r="FO43" s="45">
        <f>SUMIF(Report_BM!$GW$6:$GW$73,CONCATENATE($C43,FU$3),Report_BM!$GO$6:$GO$73)</f>
        <v>0</v>
      </c>
      <c r="FP43" s="39">
        <f>SUMIF(Report_BM!$GW$6:$GW$73,CONCATENATE($C43,FU$3),Report_BM!$GP$6:$GP$73)</f>
        <v>0</v>
      </c>
      <c r="FQ43" s="39">
        <f>SUMIF(Report_BM!$GW$6:$GW$73,CONCATENATE($C43,FU$3),Report_BM!$GQ$6:$GQ$73)</f>
        <v>0</v>
      </c>
      <c r="FR43" s="39">
        <f>SUMIF(Report_BM!$GW$6:$GW$73,CONCATENATE($C43,FU$3),Report_BM!$GR$6:$GR$73)</f>
        <v>0</v>
      </c>
      <c r="FS43" s="46">
        <f>SUMIF(Master_Data!$AK$152:$AK$864,CONCATENATE($C43,FU$3),Master_Data!$T$152:$T$864)</f>
        <v>0</v>
      </c>
      <c r="FT43" s="45">
        <f>SUMIF(Report_BM!GW$6:GW$73,CONCATENATE($C43,FU$3),Report_BM!GT$6:GT$73)</f>
        <v>0</v>
      </c>
      <c r="FU43" s="39">
        <f>SUMIF(Report_BM!GW$6:GW$73,CONCATENATE($C43,FU$3),Report_BM!GU$6:GU$73)</f>
        <v>0</v>
      </c>
      <c r="FV43" s="103"/>
      <c r="FW43" s="104"/>
      <c r="FX43" s="104"/>
      <c r="FY43" s="104"/>
      <c r="FZ43" s="104"/>
      <c r="GA43" s="104"/>
    </row>
    <row r="44" spans="1:183" s="40" customFormat="1" ht="14.1" customHeight="1">
      <c r="A44" s="9">
        <v>38</v>
      </c>
      <c r="B44" s="328" t="s">
        <v>2193</v>
      </c>
      <c r="C44" s="323" t="s">
        <v>2064</v>
      </c>
      <c r="D44" s="45">
        <f>SUMIF(Report_BM!$B$6:$B$73,CONCATENATE($C44,L$3),Report_BM!$E$6:$E$73)+SUMIF(Report_BM!$B$6:$B$73,CONCATENATE($C44,L$3),Report_BM!$H$6:$H$73)</f>
        <v>0</v>
      </c>
      <c r="E44" s="276">
        <f>SUMIF(Report_BM!$B$6:$B$73,CONCATENATE($C44,L$3),Report_BM!$F$6:$F$73)+SUMIF(Report_BM!$B$6:$B$73,CONCATENATE($C44,L$3),Report_BM!$I$6:$I$73)</f>
        <v>0</v>
      </c>
      <c r="F44" s="45">
        <f>SUMIF(Report_BM!$B$6:$B$73,CONCATENATE($C44,L$3),Report_BM!$K$6:$K$73)</f>
        <v>0</v>
      </c>
      <c r="G44" s="39">
        <f>SUMIF(Report_BM!$B$6:$B$73,CONCATENATE($C44,$L$3),Report_BM!$L$6:$L$73)</f>
        <v>0</v>
      </c>
      <c r="H44" s="39">
        <f>SUMIF(Report_BM!$B$6:$B$73,CONCATENATE($C44,$L$3),Report_BM!$M$6:$M$73)</f>
        <v>0</v>
      </c>
      <c r="I44" s="39">
        <f>SUMIF(Report_BM!$B$6:$B$73,CONCATENATE($C44,$L$3),Report_BM!$N$6:$N$73)</f>
        <v>0</v>
      </c>
      <c r="J44" s="46">
        <f>SUMIF(Report_BM!$B$6:$B$73,CONCATENATE($C44,$L$3),Report_BM!$O$6:$O$73)</f>
        <v>0</v>
      </c>
      <c r="K44" s="45">
        <f>SUMIF(Report_BM!$B$6:$B$73,CONCATENATE($C44,$L$3),Report_BM!$P$6:$P$73)</f>
        <v>0</v>
      </c>
      <c r="L44" s="39">
        <f>SUMIF(Report_BM!$B$6:$B$73,CONCATENATE($C44,$L$3),Report_BM!$Q$6:$Q$73)</f>
        <v>0</v>
      </c>
      <c r="M44" s="103"/>
      <c r="N44" s="104"/>
      <c r="O44" s="104"/>
      <c r="P44" s="104"/>
      <c r="Q44" s="104"/>
      <c r="R44" s="104"/>
      <c r="S44" s="45">
        <f>SUMIF(Report_BM!$AI$8:$AI$72,CONCATENATE($C44,AA$3),Report_BM!$U$8:$U$72)+SUMIF(Report_BM!$AI$8:$AI$72,CONCATENATE($C44,AA$3),Report_BM!$X$8:$X$72)</f>
        <v>0</v>
      </c>
      <c r="T44" s="276" t="e">
        <f>SUMIF(Report_BM!$AI$8:$AI$72,CONCATENATE($C44,AA$3),Report_BM!$V$8:$V$72)+SUMIF(Report_BM!$AI$8:$AI$72,CONCATENATE($C44,AA$3),Report_BM!$Y$8:$Y$72)</f>
        <v>#VALUE!</v>
      </c>
      <c r="U44" s="45">
        <f>SUMIF(Report_BM!$AI$8:$AI$72,CONCATENATE($C44,AA$3),Report_BM!$AA$8:$AB$72)</f>
        <v>0</v>
      </c>
      <c r="V44" s="39">
        <f>SUMIF(Report_BM!$AI$8:$AI$72,CONCATENATE($C44,$AA$3),Report_BM!$AB$8:$AB$72)</f>
        <v>0</v>
      </c>
      <c r="W44" s="39">
        <f>SUMIF(Report_BM!$AI$8:$AI$72,CONCATENATE($C44,$AA$3),Report_BM!$AC$8:$AC$72)</f>
        <v>0</v>
      </c>
      <c r="X44" s="39">
        <f ca="1">SUMIF(Report_BM!$AI$7:$AI$73,CONCATENATE($C44,$AA$3),Report_BM!$AD$7:$AD$73)</f>
        <v>0</v>
      </c>
      <c r="Y44" s="46">
        <f>SUMIF(Master_Data!$AK$152:$AK$864,CONCATENATE($C44,AA$3),Master_Data!$T$152:$T$864)</f>
        <v>0</v>
      </c>
      <c r="Z44" s="45">
        <f>SUMIF(Report_BM!$AI$8:$AI$72,CONCATENATE($C44,$AA$3),Report_BM!$AF$8:$AF$72)</f>
        <v>0</v>
      </c>
      <c r="AA44" s="39" t="e">
        <f ca="1">SUMIF(Report_BM!$AI$8:$AI$72,CONCATENATE($C44,$AA$3),Report_BM!$AG$8:$AG$72)</f>
        <v>#VALUE!</v>
      </c>
      <c r="AB44" s="103"/>
      <c r="AC44" s="104"/>
      <c r="AD44" s="104"/>
      <c r="AE44" s="104"/>
      <c r="AF44" s="104"/>
      <c r="AG44" s="104"/>
      <c r="AH44" s="45">
        <f>SUMIF(Report_BM!$AZ$5:$AZ$72,CONCATENATE($C44,AP$3),Report_BM!$AL$5:$AL$72)+SUMIF(Report_BM!$AZ$5:$AZ$72,CONCATENATE($C44,AP$3),Report_BM!$AO$5:$AO$72)</f>
        <v>0</v>
      </c>
      <c r="AI44" s="46" t="e">
        <f ca="1">SUMIF(Report_BM!$AZ$5:$AZ$72,CONCATENATE($C44,$AP$3),Report_BM!$AM$5:$AM$72)+SUMIF(Report_BM!$AZ$5:$AZ$72,CONCATENATE($C44,$AP$3),Report_BM!$AP$5:$AP$72)</f>
        <v>#VALUE!</v>
      </c>
      <c r="AJ44" s="45">
        <f>SUMIF(Report_BM!$AZ$5:$AZ$72,CONCATENATE($C44,$AP$3),Report_BM!$AR$5:$AR$72)</f>
        <v>0</v>
      </c>
      <c r="AK44" s="39">
        <f>SUMIF(Report_BM!$AZ$5:$AZ$72,CONCATENATE($C44,$AP$3),Report_BM!$AS$5:$AS$72)</f>
        <v>0</v>
      </c>
      <c r="AL44" s="39">
        <f>SUMIF(Report_BM!$AZ$5:$AZ$72,CONCATENATE($C44,$AP$3),Report_BM!$AT$5:$AT$72)</f>
        <v>30939640</v>
      </c>
      <c r="AM44" s="39">
        <f ca="1">SUMIF(Report_BM!$AZ$5:$AZ$72,CONCATENATE($C44,$AP$3),Report_BM!$AU$5:$AU$72)</f>
        <v>0</v>
      </c>
      <c r="AN44" s="46">
        <f>SUMIF(Master_Data!$AK$152:$AK$915,CONCATENATE($C44,AP$3),Master_Data!$T$152:$T$915)</f>
        <v>-540000</v>
      </c>
      <c r="AO44" s="45">
        <f>SUMIF(Report_BM!$AZ$5:$AZ$72,CONCATENATE($C44,$AP$3),Report_BM!$AW$5:$AW$72)</f>
        <v>0</v>
      </c>
      <c r="AP44" s="39" t="e">
        <f ca="1">SUMIF(Report_BM!$AZ$5:$AZ$72,CONCATENATE($C44,$AP$3),Report_BM!$AX$5:$AX$72)</f>
        <v>#VALUE!</v>
      </c>
      <c r="AQ44" s="103"/>
      <c r="AR44" s="104"/>
      <c r="AS44" s="104"/>
      <c r="AT44" s="104"/>
      <c r="AU44" s="104"/>
      <c r="AV44" s="104"/>
      <c r="AW44" s="45">
        <f>SUMIF(Report_BM!$BQ$6:$BQ$73,CONCATENATE($C44,BE$3),Report_BM!$BC$6:$BC$73)+SUMIF(Report_BM!$BQ$6:$BQ$73,CONCATENATE($C44,BE$3),Report_BM!$BF$6:$BF$73)</f>
        <v>0</v>
      </c>
      <c r="AX44" s="46" t="e">
        <f ca="1">SUMIF(Report_BM!$BQ$6:$BQ$73,CONCATENATE($C44,$BE$3),Report_BM!$BD$6:$BD$73)+SUMIF(Report_BM!$BQ$6:$BQ$73,CONCATENATE($C44,$BE$3),Report_BM!$BG$6:$BG$73)</f>
        <v>#VALUE!</v>
      </c>
      <c r="AY44" s="45">
        <f>SUMIF(Report_BM!$BQ$6:$BQ$73,CONCATENATE($C44,BE$3),Report_BM!$BI$6:$BI$73)</f>
        <v>0</v>
      </c>
      <c r="AZ44" s="39">
        <f>SUMIF(Report_BM!$BQ$6:$BQ$73,CONCATENATE($C44,BE$3),Report_BM!$BJ$6:$BJ$73)</f>
        <v>0</v>
      </c>
      <c r="BA44" s="39">
        <f>SUMIF(Report_BM!$BQ$6:$BQ$73,CONCATENATE($C44,BE$3),Report_BM!$BK$6:$BK$73)</f>
        <v>23760000</v>
      </c>
      <c r="BB44" s="39">
        <f>SUMIF(Report_BM!$BQ$6:$BQ$73,CONCATENATE($C44,BE$3),Report_BM!$BL$6:$BL$73)</f>
        <v>0</v>
      </c>
      <c r="BC44" s="46">
        <f>SUMIF(Master_Data!$AK$152:$AK$864,CONCATENATE($C44,BE$3),Master_Data!$T$152:$T$864)</f>
        <v>-440000</v>
      </c>
      <c r="BD44" s="45">
        <f>SUMIF(Report_BM!$BQ$6:$BQ$73,CONCATENATE($C44,BE$3),Report_BM!$BN$6:$BN$73)</f>
        <v>0</v>
      </c>
      <c r="BE44" s="39" t="e">
        <f ca="1">SUMIF(Report_BM!$BQ$6:$BQ$73,CONCATENATE($C44,BE$3),Report_BM!$BO$6:$BO$73)</f>
        <v>#VALUE!</v>
      </c>
      <c r="BF44" s="103"/>
      <c r="BG44" s="104"/>
      <c r="BH44" s="104"/>
      <c r="BI44" s="104"/>
      <c r="BJ44" s="104"/>
      <c r="BK44" s="104"/>
      <c r="BL44" s="45">
        <f>SUMIF(Report_BM!$CH$6:$CH$73,CONCATENATE($C44,BT$3),Report_BM!$BT$6:$BT$73)+SUMIF(Report_BM!$CH$6:$CH$73,CONCATENATE($C44,BT$3),Report_BM!$BW$6:$BW$73)</f>
        <v>0</v>
      </c>
      <c r="BM44" s="46" t="e">
        <f ca="1">SUMIF(Report_BM!$CH$6:$CH$73,CONCATENATE($C44,$BT$3),Report_BM!$BU$6:$BU$73)+SUMIF(Report_BM!$CH$6:$CH$73,CONCATENATE($C44,$BT$3),Report_BM!$BX$6:$BX$73)</f>
        <v>#VALUE!</v>
      </c>
      <c r="BN44" s="45">
        <f>SUMIF(Report_BM!$CH$6:$CH$73,CONCATENATE($C44,BT$3),Report_BM!$BZ$6:$BZ$73)</f>
        <v>0</v>
      </c>
      <c r="BO44" s="39">
        <f>SUMIF(Report_BM!$CH$6:$CH$73,CONCATENATE($C44,BT$3),Report_BM!$CA$6:$CA$73)</f>
        <v>0</v>
      </c>
      <c r="BP44" s="39">
        <f>SUMIF(Report_BM!$CH$6:$CH$73,CONCATENATE($C44,BT$3),Report_BM!$CB$6:$CB$73)</f>
        <v>23760000</v>
      </c>
      <c r="BQ44" s="39">
        <f>SUMIF(Report_BM!$CH$6:$CH$73,CONCATENATE($C44,BT$3),Report_BM!$CC$6:$CC$73)</f>
        <v>0</v>
      </c>
      <c r="BR44" s="46">
        <f>SUMIF(Master_Data!$AK$152:$AK$864,CONCATENATE($C44,BT$3),Master_Data!$T$152:$T$864)</f>
        <v>-440000</v>
      </c>
      <c r="BS44" s="45">
        <f>SUMIF(Report_BM!$CH$6:$CH$73,CONCATENATE($C44,BT$3),Report_BM!$CE$6:$CE$73)</f>
        <v>0</v>
      </c>
      <c r="BT44" s="39" t="e">
        <f ca="1">SUMIF(Report_BM!$CH$6:$CH$73,CONCATENATE($C44,BT$3),Report_BM!$CF$6:$CF$73)</f>
        <v>#VALUE!</v>
      </c>
      <c r="BU44" s="103"/>
      <c r="BV44" s="104"/>
      <c r="BW44" s="104"/>
      <c r="BX44" s="104"/>
      <c r="BY44" s="104"/>
      <c r="BZ44" s="104"/>
      <c r="CA44" s="45">
        <f>SUMIF(Report_BM!$CY$6:$CY$73,CONCATENATE($C44,CI$3),Report_BM!$CK$6:$CK$73)+SUMIF(Report_BM!$CY$6:$CY$73,CONCATENATE($C44,CI$3),Report_BM!$CN$6:$CN$73)</f>
        <v>0</v>
      </c>
      <c r="CB44" s="46" t="e">
        <f ca="1">SUMIF(Report_BM!$CY$6:$CY$73,CONCATENATE($C44,$CI$3),Report_BM!$CL$6:$CL$73)+SUMIF(Report_BM!$CY$6:$CY$73,CONCATENATE($C44,$CI$3),Report_BM!$CO$6:$CO$73)</f>
        <v>#VALUE!</v>
      </c>
      <c r="CC44" s="45">
        <f>SUMIF(Report_BM!$CY$6:$CY$73,CONCATENATE($C44,CI$3),Report_BM!$CQ$6:$CQ$73)</f>
        <v>0</v>
      </c>
      <c r="CD44" s="39">
        <f>SUMIF(Report_BM!$CY$6:$CY$73,CONCATENATE($C44,CI$3),Report_BM!$CR$6:$CR$73)</f>
        <v>0</v>
      </c>
      <c r="CE44" s="39">
        <f>SUMIF(Report_BM!$CY$6:$CY$73,CONCATENATE($C44,CI$3),Report_BM!$CS$6:$CS$73)</f>
        <v>4752000</v>
      </c>
      <c r="CF44" s="39">
        <f ca="1">SUMIF(Report_BM!$CY$6:$CY$73,CONCATENATE($C44,CI$3),Report_BM!$CT$6:$CT$73)</f>
        <v>0</v>
      </c>
      <c r="CG44" s="46">
        <f>SUMIF(Report_BM!$CY$6:$CY$73,CONCATENATE($C44,CI$3),Report_BM!$CU$6:$CU$73)</f>
        <v>-88000</v>
      </c>
      <c r="CH44" s="45">
        <f>SUMIF(Report_BM!$CY$6:$CY$73,CONCATENATE($C44,CI$3),Report_BM!$CV$6:$CV$73)</f>
        <v>0</v>
      </c>
      <c r="CI44" s="39" t="e">
        <f ca="1">SUMIF(Report_BM!$CY$6:$CY$73,CONCATENATE($C44,CI$3),Report_BM!$CW$6:$CW$73)</f>
        <v>#VALUE!</v>
      </c>
      <c r="CJ44" s="103"/>
      <c r="CK44" s="104"/>
      <c r="CL44" s="104"/>
      <c r="CM44" s="104"/>
      <c r="CN44" s="104"/>
      <c r="CO44" s="104"/>
      <c r="CP44" s="45">
        <f>SUMIF(Report_BM!$DP$6:$DP$73,CONCATENATE($C44,CX$3),Report_BM!$DB$6:$DB$73)+SUMIF(Report_BM!$DP$6:$DP$73,CONCATENATE($C44,CX$3),Report_BM!$DE$6:$DE$73)</f>
        <v>0</v>
      </c>
      <c r="CQ44" s="46" t="e">
        <f ca="1">SUMIF(Report_BM!$DP$6:$DP$73,CONCATENATE($C44,$CX$3),Report_BM!$DC$6:$DC$73)+SUMIF(Report_BM!$DP$6:$DP$73,CONCATENATE($C44,$CX$3),Report_BM!$DF$6:$DF$73)</f>
        <v>#VALUE!</v>
      </c>
      <c r="CR44" s="45">
        <f>SUMIF(Report_BM!$DP$6:$DP$73,CONCATENATE($C44,CX$3),Report_BM!$DH$6:$DH$73)</f>
        <v>0</v>
      </c>
      <c r="CS44" s="39">
        <f>SUMIF(Report_BM!$DP$6:$DP$73,CONCATENATE($C44,CX$3),Report_BM!$DI$6:$DI$73)</f>
        <v>0</v>
      </c>
      <c r="CT44" s="39">
        <f>SUMIF(Report_BM!$DP$6:$DP$73,CONCATENATE($C44,CX$3),Report_BM!$DJ$6:$DJ$73)</f>
        <v>23760000</v>
      </c>
      <c r="CU44" s="39">
        <f>SUMIF(Report_BM!$DP$6:$DP$73,CONCATENATE($C44,CX$3),Report_BM!$DK$6:$DK$73)</f>
        <v>0</v>
      </c>
      <c r="CV44" s="46">
        <f>SUMIF(Master_Data!$AK$152:$AK$864,CONCATENATE($C44,CX$3),Master_Data!$T$152:$T$864)</f>
        <v>-440000</v>
      </c>
      <c r="CW44" s="45">
        <f>SUMIF(Report_BM!$DP$6:$DP$73,CONCATENATE($C44,CX$3),Report_BM!$DM$6:$DM$73)</f>
        <v>0</v>
      </c>
      <c r="CX44" s="39" t="e">
        <f ca="1">SUMIF(Report_BM!$DP$6:$DP$73,CONCATENATE($C44,CX$3),Report_BM!$DN$6:$DN$73)</f>
        <v>#VALUE!</v>
      </c>
      <c r="CY44" s="103"/>
      <c r="CZ44" s="104"/>
      <c r="DA44" s="104"/>
      <c r="DB44" s="104"/>
      <c r="DC44" s="104"/>
      <c r="DD44" s="104"/>
      <c r="DE44" s="45"/>
      <c r="DF44" s="46"/>
      <c r="DG44" s="45"/>
      <c r="DH44" s="39"/>
      <c r="DI44" s="39"/>
      <c r="DJ44" s="39"/>
      <c r="DK44" s="46"/>
      <c r="DL44" s="45"/>
      <c r="DM44" s="39"/>
      <c r="DN44" s="103"/>
      <c r="DO44" s="104"/>
      <c r="DP44" s="104"/>
      <c r="DQ44" s="104"/>
      <c r="DR44" s="104"/>
      <c r="DS44" s="104"/>
      <c r="DT44" s="45"/>
      <c r="DU44" s="46"/>
      <c r="DV44" s="45"/>
      <c r="DW44" s="39"/>
      <c r="DX44" s="39"/>
      <c r="DY44" s="39"/>
      <c r="DZ44" s="46"/>
      <c r="EA44" s="45"/>
      <c r="EB44" s="39"/>
      <c r="EC44" s="103"/>
      <c r="ED44" s="104"/>
      <c r="EE44" s="104"/>
      <c r="EF44" s="104"/>
      <c r="EG44" s="104"/>
      <c r="EH44" s="104"/>
      <c r="EI44" s="45"/>
      <c r="EJ44" s="46"/>
      <c r="EK44" s="45"/>
      <c r="EL44" s="39"/>
      <c r="EM44" s="39"/>
      <c r="EN44" s="39"/>
      <c r="EO44" s="46"/>
      <c r="EP44" s="45"/>
      <c r="EQ44" s="39"/>
      <c r="ER44" s="103"/>
      <c r="ES44" s="104"/>
      <c r="ET44" s="104"/>
      <c r="EU44" s="104"/>
      <c r="EV44" s="104"/>
      <c r="EW44" s="104"/>
      <c r="EX44" s="45"/>
      <c r="EY44" s="46"/>
      <c r="EZ44" s="45"/>
      <c r="FA44" s="39"/>
      <c r="FB44" s="39"/>
      <c r="FC44" s="39"/>
      <c r="FD44" s="46"/>
      <c r="FE44" s="45"/>
      <c r="FF44" s="39"/>
      <c r="FG44" s="103"/>
      <c r="FH44" s="104"/>
      <c r="FI44" s="104"/>
      <c r="FJ44" s="104"/>
      <c r="FK44" s="104"/>
      <c r="FL44" s="104"/>
      <c r="FM44" s="45"/>
      <c r="FN44" s="46"/>
      <c r="FO44" s="45"/>
      <c r="FP44" s="39"/>
      <c r="FQ44" s="39"/>
      <c r="FR44" s="39"/>
      <c r="FS44" s="46"/>
      <c r="FT44" s="45"/>
      <c r="FU44" s="39"/>
      <c r="FV44" s="103"/>
      <c r="FW44" s="104"/>
      <c r="FX44" s="104"/>
      <c r="FY44" s="104"/>
      <c r="FZ44" s="104"/>
      <c r="GA44" s="104"/>
    </row>
    <row r="45" spans="1:183" s="40" customFormat="1" ht="14.1" customHeight="1">
      <c r="A45" s="9">
        <v>39</v>
      </c>
      <c r="B45" s="328" t="s">
        <v>381</v>
      </c>
      <c r="C45" s="323" t="s">
        <v>352</v>
      </c>
      <c r="D45" s="45">
        <f>SUMIF(Report_BM!$B$6:$B$73,CONCATENATE($C45,L$3),Report_BM!$E$6:$E$73)+SUMIF(Report_BM!$B$6:$B$73,CONCATENATE($C45,L$3),Report_BM!$H$6:$H$73)</f>
        <v>0</v>
      </c>
      <c r="E45" s="276">
        <f>SUMIF(Report_BM!$B$6:$B$73,CONCATENATE($C45,L$3),Report_BM!$F$6:$F$73)+SUMIF(Report_BM!$B$6:$B$73,CONCATENATE($C45,L$3),Report_BM!$I$6:$I$73)</f>
        <v>0</v>
      </c>
      <c r="F45" s="45">
        <f>SUMIF(Report_BM!$B$6:$B$73,CONCATENATE($C45,L$3),Report_BM!$K$6:$K$73)</f>
        <v>0</v>
      </c>
      <c r="G45" s="39">
        <f>SUMIF(Report_BM!$B$6:$B$73,CONCATENATE($C45,$L$3),Report_BM!$L$6:$L$73)</f>
        <v>0</v>
      </c>
      <c r="H45" s="39">
        <f>SUMIF(Report_BM!$B$6:$B$73,CONCATENATE($C45,$L$3),Report_BM!$M$6:$M$73)</f>
        <v>0</v>
      </c>
      <c r="I45" s="39">
        <f>SUMIF(Report_BM!$B$6:$B$73,CONCATENATE($C45,$L$3),Report_BM!$N$6:$N$73)</f>
        <v>0</v>
      </c>
      <c r="J45" s="46">
        <f>SUMIF(Report_BM!$B$6:$B$73,CONCATENATE($C45,$L$3),Report_BM!$O$6:$O$73)</f>
        <v>0</v>
      </c>
      <c r="K45" s="45">
        <f>SUMIF(Report_BM!$B$6:$B$73,CONCATENATE($C45,$L$3),Report_BM!$P$6:$P$73)</f>
        <v>0</v>
      </c>
      <c r="L45" s="39">
        <f>SUMIF(Report_BM!$B$6:$B$73,CONCATENATE($C45,$L$3),Report_BM!$Q$6:$Q$73)</f>
        <v>0</v>
      </c>
      <c r="M45" s="103"/>
      <c r="N45" s="104"/>
      <c r="O45" s="104"/>
      <c r="P45" s="104"/>
      <c r="Q45" s="104"/>
      <c r="R45" s="104"/>
      <c r="S45" s="45">
        <f>SUMIF(Report_BM!$AI$8:$AI$72,CONCATENATE($C45,AA$3),Report_BM!$U$8:$U$72)+SUMIF(Report_BM!$AI$8:$AI$72,CONCATENATE($C45,AA$3),Report_BM!$X$8:$X$72)</f>
        <v>0</v>
      </c>
      <c r="T45" s="276">
        <f>SUMIF(Report_BM!$AI$8:$AI$72,CONCATENATE($C45,AA$3),Report_BM!$V$8:$V$72)+SUMIF(Report_BM!$AI$8:$AI$72,CONCATENATE($C45,AA$3),Report_BM!$Y$8:$Y$72)</f>
        <v>0</v>
      </c>
      <c r="U45" s="45">
        <f>SUMIF(Report_BM!$AI$8:$AI$72,CONCATENATE($C45,AA$3),Report_BM!$AA$8:$AB$72)</f>
        <v>0</v>
      </c>
      <c r="V45" s="39">
        <f>SUMIF(Report_BM!$AI$8:$AI$72,CONCATENATE($C45,$AA$3),Report_BM!$AB$8:$AB$72)</f>
        <v>0</v>
      </c>
      <c r="W45" s="39">
        <f>SUMIF(Report_BM!$AI$8:$AI$72,CONCATENATE($C45,$AA$3),Report_BM!$AC$8:$AC$72)</f>
        <v>0</v>
      </c>
      <c r="X45" s="39">
        <f ca="1">SUMIF(Report_BM!$AI$7:$AI$73,CONCATENATE($C45,$AA$3),Report_BM!$AD$7:$AD$73)</f>
        <v>0</v>
      </c>
      <c r="Y45" s="46">
        <f>SUMIF(Master_Data!$AK$152:$AK$864,CONCATENATE($C45,AA$3),Master_Data!$T$152:$T$864)</f>
        <v>0</v>
      </c>
      <c r="Z45" s="45">
        <f>SUMIF(Report_BM!$AI$8:$AI$72,CONCATENATE($C45,$AA$3),Report_BM!$AF$8:$AF$72)</f>
        <v>0</v>
      </c>
      <c r="AA45" s="39">
        <f ca="1">SUMIF(Report_BM!$AI$8:$AI$72,CONCATENATE($C45,$AA$3),Report_BM!$AG$8:$AG$72)</f>
        <v>0</v>
      </c>
      <c r="AB45" s="103"/>
      <c r="AC45" s="104"/>
      <c r="AD45" s="104"/>
      <c r="AE45" s="104"/>
      <c r="AF45" s="104"/>
      <c r="AG45" s="104"/>
      <c r="AH45" s="45">
        <f>SUMIF(Report_BM!$AZ$5:$AZ$72,CONCATENATE($C45,AP$3),Report_BM!$AL$5:$AL$72)+SUMIF(Report_BM!$AZ$5:$AZ$72,CONCATENATE($C45,AP$3),Report_BM!$AO$5:$AO$72)</f>
        <v>0</v>
      </c>
      <c r="AI45" s="46">
        <f ca="1">SUMIF(Report_BM!$AZ$5:$AZ$72,CONCATENATE($C45,$AP$3),Report_BM!$AM$5:$AM$72)+SUMIF(Report_BM!$AZ$5:$AZ$72,CONCATENATE($C45,$AP$3),Report_BM!$AP$5:$AP$72)</f>
        <v>0</v>
      </c>
      <c r="AJ45" s="45">
        <f>SUMIF(Report_BM!$AZ$5:$AZ$72,CONCATENATE($C45,$AP$3),Report_BM!$AR$5:$AR$72)</f>
        <v>0</v>
      </c>
      <c r="AK45" s="39">
        <f>SUMIF(Report_BM!$AZ$5:$AZ$72,CONCATENATE($C45,$AP$3),Report_BM!$AS$5:$AS$72)</f>
        <v>0</v>
      </c>
      <c r="AL45" s="39">
        <f>SUMIF(Report_BM!$AZ$5:$AZ$72,CONCATENATE($C45,$AP$3),Report_BM!$AT$5:$AT$72)</f>
        <v>0</v>
      </c>
      <c r="AM45" s="39">
        <f ca="1">SUMIF(Report_BM!$AZ$5:$AZ$72,CONCATENATE($C45,$AP$3),Report_BM!$AU$5:$AU$72)</f>
        <v>0</v>
      </c>
      <c r="AN45" s="46">
        <f>SUMIF(Master_Data!$AK$152:$AK$915,CONCATENATE($C45,AP$3),Master_Data!$T$152:$T$915)</f>
        <v>0</v>
      </c>
      <c r="AO45" s="45">
        <f>SUMIF(Report_BM!$AZ$5:$AZ$72,CONCATENATE($C45,$AP$3),Report_BM!$AW$5:$AW$72)</f>
        <v>0</v>
      </c>
      <c r="AP45" s="39">
        <f ca="1">SUMIF(Report_BM!$AZ$5:$AZ$72,CONCATENATE($C45,$AP$3),Report_BM!$AX$5:$AX$72)</f>
        <v>0</v>
      </c>
      <c r="AQ45" s="103"/>
      <c r="AR45" s="104"/>
      <c r="AS45" s="104"/>
      <c r="AT45" s="104"/>
      <c r="AU45" s="104"/>
      <c r="AV45" s="104"/>
      <c r="AW45" s="45">
        <f>SUMIF(Report_BM!$BQ$6:$BQ$73,CONCATENATE($C45,BE$3),Report_BM!$BC$6:$BC$73)+SUMIF(Report_BM!$BQ$6:$BQ$73,CONCATENATE($C45,BE$3),Report_BM!$BF$6:$BF$73)</f>
        <v>0</v>
      </c>
      <c r="AX45" s="46">
        <f ca="1">SUMIF(Report_BM!$BQ$6:$BQ$73,CONCATENATE($C45,$BE$3),Report_BM!$BD$6:$BD$73)+SUMIF(Report_BM!$BQ$6:$BQ$73,CONCATENATE($C45,$BE$3),Report_BM!$BG$6:$BG$73)</f>
        <v>0</v>
      </c>
      <c r="AY45" s="45">
        <f>SUMIF(Report_BM!$BQ$6:$BQ$73,CONCATENATE($C45,BE$3),Report_BM!$BI$6:$BI$73)</f>
        <v>0</v>
      </c>
      <c r="AZ45" s="39">
        <f>SUMIF(Report_BM!$BQ$6:$BQ$73,CONCATENATE($C45,BE$3),Report_BM!$BJ$6:$BJ$73)</f>
        <v>0</v>
      </c>
      <c r="BA45" s="39">
        <f>SUMIF(Report_BM!$BQ$6:$BQ$73,CONCATENATE($C45,BE$3),Report_BM!$BK$6:$BK$73)</f>
        <v>0</v>
      </c>
      <c r="BB45" s="39">
        <f>SUMIF(Report_BM!$BQ$6:$BQ$73,CONCATENATE($C45,BE$3),Report_BM!$BL$6:$BL$73)</f>
        <v>0</v>
      </c>
      <c r="BC45" s="46">
        <f>SUMIF(Master_Data!$AK$152:$AK$864,CONCATENATE($C45,BE$3),Master_Data!$T$152:$T$864)</f>
        <v>0</v>
      </c>
      <c r="BD45" s="45">
        <f>SUMIF(Report_BM!$BQ$6:$BQ$73,CONCATENATE($C45,BE$3),Report_BM!$BN$6:$BN$73)</f>
        <v>0</v>
      </c>
      <c r="BE45" s="39">
        <f ca="1">SUMIF(Report_BM!$BQ$6:$BQ$73,CONCATENATE($C45,BE$3),Report_BM!$BO$6:$BO$73)</f>
        <v>0</v>
      </c>
      <c r="BF45" s="103"/>
      <c r="BG45" s="104"/>
      <c r="BH45" s="104"/>
      <c r="BI45" s="104"/>
      <c r="BJ45" s="104"/>
      <c r="BK45" s="104"/>
      <c r="BL45" s="45">
        <f>SUMIF(Report_BM!$CH$6:$CH$73,CONCATENATE($C45,BT$3),Report_BM!$BT$6:$BT$73)+SUMIF(Report_BM!$CH$6:$CH$73,CONCATENATE($C45,BT$3),Report_BM!$BW$6:$BW$73)</f>
        <v>0</v>
      </c>
      <c r="BM45" s="46">
        <f ca="1">SUMIF(Report_BM!$CH$6:$CH$73,CONCATENATE($C45,$BT$3),Report_BM!$BU$6:$BU$73)+SUMIF(Report_BM!$CH$6:$CH$73,CONCATENATE($C45,$BT$3),Report_BM!$BX$6:$BX$73)</f>
        <v>0</v>
      </c>
      <c r="BN45" s="45">
        <f>SUMIF(Report_BM!$CH$6:$CH$73,CONCATENATE($C45,BT$3),Report_BM!$BZ$6:$BZ$73)</f>
        <v>0</v>
      </c>
      <c r="BO45" s="39">
        <f>SUMIF(Report_BM!$CH$6:$CH$73,CONCATENATE($C45,BT$3),Report_BM!$CA$6:$CA$73)</f>
        <v>0</v>
      </c>
      <c r="BP45" s="39">
        <f>SUMIF(Report_BM!$CH$6:$CH$73,CONCATENATE($C45,BT$3),Report_BM!$CB$6:$CB$73)</f>
        <v>0</v>
      </c>
      <c r="BQ45" s="39">
        <f>SUMIF(Report_BM!$CH$6:$CH$73,CONCATENATE($C45,BT$3),Report_BM!$CC$6:$CC$73)</f>
        <v>0</v>
      </c>
      <c r="BR45" s="46">
        <f>SUMIF(Master_Data!$AK$152:$AK$864,CONCATENATE($C45,BT$3),Master_Data!$T$152:$T$864)</f>
        <v>0</v>
      </c>
      <c r="BS45" s="45">
        <f>SUMIF(Report_BM!$CH$6:$CH$73,CONCATENATE($C45,BT$3),Report_BM!$CE$6:$CE$73)</f>
        <v>0</v>
      </c>
      <c r="BT45" s="39">
        <f ca="1">SUMIF(Report_BM!$CH$6:$CH$73,CONCATENATE($C45,BT$3),Report_BM!$CF$6:$CF$73)</f>
        <v>0</v>
      </c>
      <c r="BU45" s="103"/>
      <c r="BV45" s="104"/>
      <c r="BW45" s="104"/>
      <c r="BX45" s="104"/>
      <c r="BY45" s="104"/>
      <c r="BZ45" s="104"/>
      <c r="CA45" s="45">
        <f>SUMIF(Report_BM!$CY$6:$CY$73,CONCATENATE($C45,CI$3),Report_BM!$CK$6:$CK$73)+SUMIF(Report_BM!$CY$6:$CY$73,CONCATENATE($C45,CI$3),Report_BM!$CN$6:$CN$73)</f>
        <v>0</v>
      </c>
      <c r="CB45" s="46">
        <f ca="1">SUMIF(Report_BM!$CY$6:$CY$73,CONCATENATE($C45,$CI$3),Report_BM!$CL$6:$CL$73)+SUMIF(Report_BM!$CY$6:$CY$73,CONCATENATE($C45,$CI$3),Report_BM!$CO$6:$CO$73)</f>
        <v>0</v>
      </c>
      <c r="CC45" s="45">
        <f>SUMIF(Report_BM!$CY$6:$CY$73,CONCATENATE($C45,CI$3),Report_BM!$CQ$6:$CQ$73)</f>
        <v>0</v>
      </c>
      <c r="CD45" s="39">
        <f>SUMIF(Report_BM!$CY$6:$CY$73,CONCATENATE($C45,CI$3),Report_BM!$CR$6:$CR$73)</f>
        <v>0</v>
      </c>
      <c r="CE45" s="39">
        <f>SUMIF(Report_BM!$CY$6:$CY$73,CONCATENATE($C45,CI$3),Report_BM!$CS$6:$CS$73)</f>
        <v>0</v>
      </c>
      <c r="CF45" s="39">
        <f ca="1">SUMIF(Report_BM!$CY$6:$CY$73,CONCATENATE($C45,CI$3),Report_BM!$CT$6:$CT$73)</f>
        <v>0</v>
      </c>
      <c r="CG45" s="46">
        <f>SUMIF(Report_BM!$CY$6:$CY$73,CONCATENATE($C45,CI$3),Report_BM!$CU$6:$CU$73)</f>
        <v>0</v>
      </c>
      <c r="CH45" s="45">
        <f>SUMIF(Report_BM!$CY$6:$CY$73,CONCATENATE($C45,CI$3),Report_BM!$CV$6:$CV$73)</f>
        <v>0</v>
      </c>
      <c r="CI45" s="39">
        <f ca="1">SUMIF(Report_BM!$CY$6:$CY$73,CONCATENATE($C45,CI$3),Report_BM!$CW$6:$CW$73)</f>
        <v>0</v>
      </c>
      <c r="CJ45" s="103"/>
      <c r="CK45" s="104"/>
      <c r="CL45" s="104"/>
      <c r="CM45" s="104"/>
      <c r="CN45" s="104"/>
      <c r="CO45" s="104"/>
      <c r="CP45" s="45">
        <f>SUMIF(Report_BM!$DP$6:$DP$73,CONCATENATE($C45,CX$3),Report_BM!$DB$6:$DB$73)+SUMIF(Report_BM!$DP$6:$DP$73,CONCATENATE($C45,CX$3),Report_BM!$DE$6:$DE$73)</f>
        <v>0</v>
      </c>
      <c r="CQ45" s="46">
        <f ca="1">SUMIF(Report_BM!$DP$6:$DP$73,CONCATENATE($C45,$CX$3),Report_BM!$DC$6:$DC$73)+SUMIF(Report_BM!$DP$6:$DP$73,CONCATENATE($C45,$CX$3),Report_BM!$DF$6:$DF$73)</f>
        <v>0</v>
      </c>
      <c r="CR45" s="45">
        <f>SUMIF(Report_BM!$DP$6:$DP$73,CONCATENATE($C45,CX$3),Report_BM!$DH$6:$DH$73)</f>
        <v>0</v>
      </c>
      <c r="CS45" s="39">
        <f>SUMIF(Report_BM!$DP$6:$DP$73,CONCATENATE($C45,CX$3),Report_BM!$DI$6:$DI$73)</f>
        <v>0</v>
      </c>
      <c r="CT45" s="39">
        <f>SUMIF(Report_BM!$DP$6:$DP$73,CONCATENATE($C45,CX$3),Report_BM!$DJ$6:$DJ$73)</f>
        <v>0</v>
      </c>
      <c r="CU45" s="39">
        <f>SUMIF(Report_BM!$DP$6:$DP$73,CONCATENATE($C45,CX$3),Report_BM!$DK$6:$DK$73)</f>
        <v>0</v>
      </c>
      <c r="CV45" s="46">
        <f>SUMIF(Master_Data!$AK$152:$AK$864,CONCATENATE($C45,CX$3),Master_Data!$T$152:$T$864)</f>
        <v>0</v>
      </c>
      <c r="CW45" s="45">
        <f>SUMIF(Report_BM!$DP$6:$DP$73,CONCATENATE($C45,CX$3),Report_BM!$DM$6:$DM$73)</f>
        <v>0</v>
      </c>
      <c r="CX45" s="39">
        <f ca="1">SUMIF(Report_BM!$DP$6:$DP$73,CONCATENATE($C45,CX$3),Report_BM!$DN$6:$DN$73)</f>
        <v>0</v>
      </c>
      <c r="CY45" s="103"/>
      <c r="CZ45" s="104"/>
      <c r="DA45" s="104"/>
      <c r="DB45" s="104"/>
      <c r="DC45" s="104"/>
      <c r="DD45" s="104"/>
      <c r="DE45" s="45">
        <f>SUMIF(Report_BM!$EG$6:$EG$73,CONCATENATE($C45,DM$3),Report_BM!$DS$6:$DS$73)+SUMIF(Report_BM!$EG$6:$EG$73,CONCATENATE($C45,DM$3),Report_BM!$DV$6:$DV$73)</f>
        <v>0</v>
      </c>
      <c r="DF45" s="46">
        <f ca="1">SUMIF(Report_BM!$EG$6:$EG$73,CONCATENATE($C45,$DM$3),Report_BM!$DT$6:$DT$73)+SUMIF(Report_BM!$EG$6:$EG$73,CONCATENATE($C45,$DM$3),Report_BM!$DW$6:$DW$73)</f>
        <v>0</v>
      </c>
      <c r="DG45" s="45">
        <f>SUMIF(Report_BM!$EG$6:$EG$73,CONCATENATE($C45,DM$3),Report_BM!$DY$6:$DY$73)</f>
        <v>0</v>
      </c>
      <c r="DH45" s="39">
        <f>SUMIF(Report_BM!EG$6:EG$73,CONCATENATE($C45,DM$3),Report_BM!DZ$6:DZ$73)</f>
        <v>0</v>
      </c>
      <c r="DI45" s="39">
        <f>SUMIF(Report_BM!EG$6:EG$73,CONCATENATE($C45,DM$3),Report_BM!$EA$6:$EA$73)</f>
        <v>0</v>
      </c>
      <c r="DJ45" s="39">
        <f>SUMIF(Report_BM!EG$6:EG$73,CONCATENATE($C45,DM$3),Report_BM!$EB$6:$EB$73)</f>
        <v>0</v>
      </c>
      <c r="DK45" s="46">
        <f>SUMIF(Master_Data!$AK$152:$AK$864,CONCATENATE($C45,DM$3),Master_Data!$T$152:$T$864)</f>
        <v>0</v>
      </c>
      <c r="DL45" s="45">
        <f>SUMIF(Report_BM!EG$6:EG$73,CONCATENATE($C45,DM$3),Report_BM!ED$6:ED$73)</f>
        <v>0</v>
      </c>
      <c r="DM45" s="39">
        <f ca="1">SUMIF(Report_BM!EG$6:EG$73,CONCATENATE($C45,DM$3),Report_BM!EE$6:EE$73)</f>
        <v>0</v>
      </c>
      <c r="DN45" s="103"/>
      <c r="DO45" s="104"/>
      <c r="DP45" s="104"/>
      <c r="DQ45" s="104"/>
      <c r="DR45" s="104"/>
      <c r="DS45" s="104"/>
      <c r="DT45" s="45">
        <f>SUMIF(Report_BM!$EX$6:$EX$73,CONCATENATE($C45,EB$3),Report_BM!$EJ$6:$EJ$73)+SUMIF(Report_BM!$EX$6:$EX$73,CONCATENATE($C45,EB$3),Report_BM!$EM$6:$EM$73)</f>
        <v>0</v>
      </c>
      <c r="DU45" s="46">
        <f ca="1">SUMIF(Report_BM!$EX$6:$EX$73,CONCATENATE($C45,$EB$3),Report_BM!$EK$6:$EK$73)+SUMIF(Report_BM!$EX$6:$EX$73,CONCATENATE($C45,$EB$3),Report_BM!$EN$6:$EN$73)</f>
        <v>0</v>
      </c>
      <c r="DV45" s="45">
        <f>SUMIF(Report_BM!$EX$6:$EX$73,CONCATENATE($C45,EB$3),Report_BM!$EP$6:$EP$73)</f>
        <v>0</v>
      </c>
      <c r="DW45" s="39">
        <f>SUMIF(Report_BM!$EX$6:$EX$73,CONCATENATE($C45,EB$3),Report_BM!$EQ$6:$EQ$73)</f>
        <v>0</v>
      </c>
      <c r="DX45" s="39">
        <f>SUMIF(Report_BM!$EX$6:$EX$73,CONCATENATE($C45,EB$3),Report_BM!$ER$6:$ER$73)</f>
        <v>0</v>
      </c>
      <c r="DY45" s="39">
        <f>SUMIF(Report_BM!$EX$6:$EX$73,CONCATENATE($C45,EB$3),Report_BM!$ES$6:$ES$73)</f>
        <v>0</v>
      </c>
      <c r="DZ45" s="46">
        <f>SUMIF(Master_Data!$AK$152:$AK$864,CONCATENATE($C45,EB$3),Master_Data!$T$152:$T$864)</f>
        <v>0</v>
      </c>
      <c r="EA45" s="45">
        <f>SUMIF(Report_BM!EX$6:EX$73,CONCATENATE($C45,EB$3),Report_BM!EU$6:EU$73)</f>
        <v>0</v>
      </c>
      <c r="EB45" s="39">
        <f>SUMIF(Report_BM!EX$6:EX$73,CONCATENATE($C45,EB$3),Report_BM!EV$6:EV$73)</f>
        <v>0</v>
      </c>
      <c r="EC45" s="103"/>
      <c r="ED45" s="104"/>
      <c r="EE45" s="104"/>
      <c r="EF45" s="104"/>
      <c r="EG45" s="104"/>
      <c r="EH45" s="104"/>
      <c r="EI45" s="45">
        <f>SUMIF(Report_BM!$FO$6:$FO$73,CONCATENATE($C45,EQ$3),Report_BM!$FA$6:$FA$73)+SUMIF(Report_BM!$FO$6:$FO$73,CONCATENATE($C45,EQ$3),Report_BM!$FD$6:$FD$73)</f>
        <v>0</v>
      </c>
      <c r="EJ45" s="46">
        <f>SUMIF(Report_BM!$FO$6:$FO$73,CONCATENATE($C45,$EQ$3),Report_BM!$FB$6:$FB$73)+SUMIF(Report_BM!$FO$6:$FO$73,CONCATENATE($C45,$EQ$3),Report_BM!$FE$6:$FE$73)</f>
        <v>0</v>
      </c>
      <c r="EK45" s="45">
        <f>SUMIF(Report_BM!$FO$6:$FO$73,CONCATENATE($C45,EQ$3),Report_BM!$FG$6:$FG$73)</f>
        <v>0</v>
      </c>
      <c r="EL45" s="39">
        <f>SUMIF(Report_BM!$FO$6:$FO$73,CONCATENATE($C45,EQ$3),Report_BM!$FH$6:$FH$73)</f>
        <v>0</v>
      </c>
      <c r="EM45" s="39">
        <f>SUMIF(Report_BM!$FO$6:$FO$73,CONCATENATE($C45,EQ$3),Report_BM!$FI$6:$FI$73)</f>
        <v>0</v>
      </c>
      <c r="EN45" s="39">
        <f>SUMIF(Report_BM!$FO$6:$FO$73,CONCATENATE($C45,EQ$3),Report_BM!$FJ$6:$FJ$73)</f>
        <v>0</v>
      </c>
      <c r="EO45" s="46">
        <f>SUMIF(Master_Data!$AK$152:$AK$864,CONCATENATE($C45,EQ$3),Master_Data!$T$152:$T$864)</f>
        <v>0</v>
      </c>
      <c r="EP45" s="45">
        <f>SUMIF(Report_BM!FO$6:FO$73,CONCATENATE($C45,EQ$3),Report_BM!FL$6:FL$73)</f>
        <v>0</v>
      </c>
      <c r="EQ45" s="39">
        <f>SUMIF(Report_BM!FO$6:FO$73,CONCATENATE($C45,EQ$3),Report_BM!FM$6:FM$73)</f>
        <v>0</v>
      </c>
      <c r="ER45" s="103"/>
      <c r="ES45" s="104"/>
      <c r="ET45" s="104"/>
      <c r="EU45" s="104"/>
      <c r="EV45" s="104"/>
      <c r="EW45" s="104"/>
      <c r="EX45" s="45">
        <f>SUMIF(Report_BM!$GF$6:$GF$73,CONCATENATE($C45,FF$3),Report_BM!$FR$6:$FR$73)+SUMIF(Report_BM!$GF$6:$GF$73,CONCATENATE($C45,FF$3),Report_BM!$FU$6:$FU$73)</f>
        <v>0</v>
      </c>
      <c r="EY45" s="46">
        <f>SUMIF(Report_BM!$GF$6:$GF$73,CONCATENATE($C45,$FF$3),Report_BM!$FS$6:$FS$73)+SUMIF(Report_BM!$GF$6:$GF$73,CONCATENATE($C45,$FF$3),Report_BM!$FV$6:$FV$73)</f>
        <v>0</v>
      </c>
      <c r="EZ45" s="45">
        <f>SUMIF(Report_BM!$GF$6:$GF$73,CONCATENATE($C45,FF$3),Report_BM!$FX$6:$FX$73)</f>
        <v>0</v>
      </c>
      <c r="FA45" s="39">
        <f>SUMIF(Report_BM!$GF$6:$GF$73,CONCATENATE($C45,FF$3),Report_BM!$FY$6:$FY$73)</f>
        <v>0</v>
      </c>
      <c r="FB45" s="39">
        <f>SUMIF(Report_BM!$GF$6:$GF$73,CONCATENATE($C45,FF$3),Report_BM!$FZ$6:$FZ$73)</f>
        <v>0</v>
      </c>
      <c r="FC45" s="39">
        <f>SUMIF(Report_BM!$GF$6:$GF$73,CONCATENATE($C45,FF$3),Report_BM!$GA$6:$GA$73)</f>
        <v>0</v>
      </c>
      <c r="FD45" s="46">
        <f>SUMIF(Master_Data!$AK$152:$AK$864,CONCATENATE($C45,FF$3),Master_Data!$T$152:$T$864)</f>
        <v>0</v>
      </c>
      <c r="FE45" s="45">
        <f>SUMIF(Report_BM!GF$6:GF$73,CONCATENATE($C45,FF$3),Report_BM!GC$6:GC$73)</f>
        <v>0</v>
      </c>
      <c r="FF45" s="39">
        <f>SUMIF(Report_BM!GF$6:GF$73,CONCATENATE($C45,FF$3),Report_BM!GD$6:GD$73)</f>
        <v>0</v>
      </c>
      <c r="FG45" s="103"/>
      <c r="FH45" s="104"/>
      <c r="FI45" s="104"/>
      <c r="FJ45" s="104"/>
      <c r="FK45" s="104"/>
      <c r="FL45" s="104"/>
      <c r="FM45" s="45">
        <f>SUMIF(Report_BM!$GW$6:$GW$73,CONCATENATE($C45,FU$3),Report_BM!$GI$6:$GI$73)+SUMIF(Report_BM!$GW$6:$GW$73,CONCATENATE($C45,FU$3),Report_BM!$GL$6:$GL$73)</f>
        <v>0</v>
      </c>
      <c r="FN45" s="46">
        <f>SUMIF(Report_BM!$GW$6:$GW$73,CONCATENATE($C45,$FU$3),Report_BM!$GJ$6:$GJ$73)+SUMIF(Report_BM!$GW$6:$GW$73,CONCATENATE($C45,$FU$3),Report_BM!$GM$6:$GM$73)</f>
        <v>0</v>
      </c>
      <c r="FO45" s="45">
        <f>SUMIF(Report_BM!$GW$6:$GW$73,CONCATENATE($C45,FU$3),Report_BM!$GO$6:$GO$73)</f>
        <v>0</v>
      </c>
      <c r="FP45" s="39">
        <f>SUMIF(Report_BM!$GW$6:$GW$73,CONCATENATE($C45,FU$3),Report_BM!$GP$6:$GP$73)</f>
        <v>0</v>
      </c>
      <c r="FQ45" s="39">
        <f>SUMIF(Report_BM!$GW$6:$GW$73,CONCATENATE($C45,FU$3),Report_BM!$GQ$6:$GQ$73)</f>
        <v>0</v>
      </c>
      <c r="FR45" s="39">
        <f>SUMIF(Report_BM!$GW$6:$GW$73,CONCATENATE($C45,FU$3),Report_BM!$GR$6:$GR$73)</f>
        <v>0</v>
      </c>
      <c r="FS45" s="46">
        <f>SUMIF(Master_Data!$AK$152:$AK$864,CONCATENATE($C45,FU$3),Master_Data!$T$152:$T$864)</f>
        <v>0</v>
      </c>
      <c r="FT45" s="45">
        <f>SUMIF(Report_BM!GW$6:GW$73,CONCATENATE($C45,FU$3),Report_BM!GT$6:GT$73)</f>
        <v>0</v>
      </c>
      <c r="FU45" s="39">
        <f>SUMIF(Report_BM!GW$6:GW$73,CONCATENATE($C45,FU$3),Report_BM!GU$6:GU$73)</f>
        <v>0</v>
      </c>
      <c r="FV45" s="103"/>
      <c r="FW45" s="104"/>
      <c r="FX45" s="104"/>
      <c r="FY45" s="104"/>
      <c r="FZ45" s="104"/>
      <c r="GA45" s="104"/>
    </row>
    <row r="46" spans="1:183" s="40" customFormat="1" ht="14.1" customHeight="1">
      <c r="A46" s="9">
        <v>40</v>
      </c>
      <c r="B46" s="328" t="s">
        <v>2983</v>
      </c>
      <c r="C46" s="323" t="s">
        <v>2894</v>
      </c>
      <c r="D46" s="45"/>
      <c r="E46" s="276"/>
      <c r="F46" s="45"/>
      <c r="G46" s="39"/>
      <c r="H46" s="39"/>
      <c r="I46" s="39"/>
      <c r="J46" s="46"/>
      <c r="K46" s="45"/>
      <c r="L46" s="39"/>
      <c r="M46" s="103"/>
      <c r="N46" s="104"/>
      <c r="O46" s="104"/>
      <c r="P46" s="104"/>
      <c r="Q46" s="104"/>
      <c r="R46" s="104"/>
      <c r="S46" s="45"/>
      <c r="T46" s="276"/>
      <c r="U46" s="45"/>
      <c r="V46" s="39"/>
      <c r="W46" s="39"/>
      <c r="X46" s="39"/>
      <c r="Y46" s="46"/>
      <c r="Z46" s="45"/>
      <c r="AA46" s="39"/>
      <c r="AB46" s="103"/>
      <c r="AC46" s="104"/>
      <c r="AD46" s="104"/>
      <c r="AE46" s="104"/>
      <c r="AF46" s="104"/>
      <c r="AG46" s="104"/>
      <c r="AH46" s="45"/>
      <c r="AI46" s="46"/>
      <c r="AJ46" s="45"/>
      <c r="AK46" s="39"/>
      <c r="AL46" s="39"/>
      <c r="AM46" s="39"/>
      <c r="AN46" s="46"/>
      <c r="AO46" s="45"/>
      <c r="AP46" s="39"/>
      <c r="AQ46" s="103"/>
      <c r="AR46" s="104"/>
      <c r="AS46" s="104"/>
      <c r="AT46" s="104"/>
      <c r="AU46" s="104"/>
      <c r="AV46" s="104"/>
      <c r="AW46" s="45"/>
      <c r="AX46" s="46"/>
      <c r="AY46" s="45"/>
      <c r="AZ46" s="39"/>
      <c r="BA46" s="39"/>
      <c r="BB46" s="39"/>
      <c r="BC46" s="46"/>
      <c r="BD46" s="45"/>
      <c r="BE46" s="39"/>
      <c r="BF46" s="103"/>
      <c r="BG46" s="104"/>
      <c r="BH46" s="104"/>
      <c r="BI46" s="104"/>
      <c r="BJ46" s="104"/>
      <c r="BK46" s="104"/>
      <c r="BL46" s="45"/>
      <c r="BM46" s="46"/>
      <c r="BN46" s="45"/>
      <c r="BO46" s="39"/>
      <c r="BP46" s="39"/>
      <c r="BQ46" s="39"/>
      <c r="BR46" s="46"/>
      <c r="BS46" s="45"/>
      <c r="BT46" s="39"/>
      <c r="BU46" s="103"/>
      <c r="BV46" s="104"/>
      <c r="BW46" s="104"/>
      <c r="BX46" s="104"/>
      <c r="BY46" s="104"/>
      <c r="BZ46" s="104"/>
      <c r="CA46" s="45"/>
      <c r="CB46" s="46"/>
      <c r="CC46" s="45"/>
      <c r="CD46" s="39"/>
      <c r="CE46" s="39"/>
      <c r="CF46" s="39"/>
      <c r="CG46" s="46"/>
      <c r="CH46" s="45"/>
      <c r="CI46" s="39"/>
      <c r="CJ46" s="103"/>
      <c r="CK46" s="104"/>
      <c r="CL46" s="104"/>
      <c r="CM46" s="104"/>
      <c r="CN46" s="104"/>
      <c r="CO46" s="104"/>
      <c r="CP46" s="45">
        <f>SUMIF(Report_BM!$DP$6:$DP$73,CONCATENATE($C46,CX$3),Report_BM!$DB$6:$DB$73)+SUMIF(Report_BM!$DP$6:$DP$73,CONCATENATE($C46,CX$3),Report_BM!$DE$6:$DE$73)</f>
        <v>0</v>
      </c>
      <c r="CQ46" s="46" t="e">
        <f>SUMIF(Report_BM!$DP$6:$DP$73,CONCATENATE($C46,$CX$3),Report_BM!$DC$6:$DC$73)+SUMIF(Report_BM!$DP$6:$DP$73,CONCATENATE($C46,$CX$3),Report_BM!$DF$6:$DF$73)</f>
        <v>#VALUE!</v>
      </c>
      <c r="CR46" s="45">
        <f>SUMIF(Report_BM!$DP$6:$DP$73,CONCATENATE($C46,CX$3),Report_BM!$DH$6:$DH$73)</f>
        <v>0</v>
      </c>
      <c r="CS46" s="39">
        <f>SUMIF(Report_BM!$DP$6:$DP$73,CONCATENATE($C46,CX$3),Report_BM!$DI$6:$DI$73)</f>
        <v>0</v>
      </c>
      <c r="CT46" s="39">
        <f>SUMIF(Report_BM!$DP$6:$DP$73,CONCATENATE($C46,CX$3),Report_BM!$DJ$6:$DJ$73)</f>
        <v>0</v>
      </c>
      <c r="CU46" s="39">
        <f>SUMIF(Report_BM!$DP$6:$DP$73,CONCATENATE($C46,CX$3),Report_BM!$DK$6:$DK$73)</f>
        <v>0</v>
      </c>
      <c r="CV46" s="46">
        <f>SUMIF(Master_Data!$AK$152:$AK$864,CONCATENATE($C46,CX$3),Master_Data!$T$152:$T$864)</f>
        <v>0</v>
      </c>
      <c r="CW46" s="45">
        <f>SUMIF(Report_BM!$DP$6:$DP$73,CONCATENATE($C46,CX$3),Report_BM!$DM$6:$DM$73)</f>
        <v>0</v>
      </c>
      <c r="CX46" s="39" t="e">
        <f>SUMIF(Report_BM!$DP$6:$DP$73,CONCATENATE($C46,CX$3),Report_BM!$DN$6:$DN$73)</f>
        <v>#VALUE!</v>
      </c>
      <c r="CY46" s="103"/>
      <c r="CZ46" s="104"/>
      <c r="DA46" s="104"/>
      <c r="DB46" s="104"/>
      <c r="DC46" s="104"/>
      <c r="DD46" s="104"/>
      <c r="DE46" s="45"/>
      <c r="DF46" s="46"/>
      <c r="DG46" s="45"/>
      <c r="DH46" s="39"/>
      <c r="DI46" s="39"/>
      <c r="DJ46" s="39"/>
      <c r="DK46" s="46"/>
      <c r="DL46" s="45"/>
      <c r="DM46" s="39"/>
      <c r="DN46" s="103"/>
      <c r="DO46" s="104"/>
      <c r="DP46" s="104"/>
      <c r="DQ46" s="104"/>
      <c r="DR46" s="104"/>
      <c r="DS46" s="104"/>
      <c r="DT46" s="45"/>
      <c r="DU46" s="46"/>
      <c r="DV46" s="45"/>
      <c r="DW46" s="39"/>
      <c r="DX46" s="39"/>
      <c r="DY46" s="39"/>
      <c r="DZ46" s="46"/>
      <c r="EA46" s="45"/>
      <c r="EB46" s="39"/>
      <c r="EC46" s="103"/>
      <c r="ED46" s="104"/>
      <c r="EE46" s="104"/>
      <c r="EF46" s="104"/>
      <c r="EG46" s="104"/>
      <c r="EH46" s="104"/>
      <c r="EI46" s="45"/>
      <c r="EJ46" s="46"/>
      <c r="EK46" s="45"/>
      <c r="EL46" s="39"/>
      <c r="EM46" s="39"/>
      <c r="EN46" s="39"/>
      <c r="EO46" s="46"/>
      <c r="EP46" s="45"/>
      <c r="EQ46" s="39"/>
      <c r="ER46" s="103"/>
      <c r="ES46" s="104"/>
      <c r="ET46" s="104"/>
      <c r="EU46" s="104"/>
      <c r="EV46" s="104"/>
      <c r="EW46" s="104"/>
      <c r="EX46" s="45"/>
      <c r="EY46" s="46"/>
      <c r="EZ46" s="45"/>
      <c r="FA46" s="39"/>
      <c r="FB46" s="39"/>
      <c r="FC46" s="39"/>
      <c r="FD46" s="46"/>
      <c r="FE46" s="45"/>
      <c r="FF46" s="39"/>
      <c r="FG46" s="103"/>
      <c r="FH46" s="104"/>
      <c r="FI46" s="104"/>
      <c r="FJ46" s="104"/>
      <c r="FK46" s="104"/>
      <c r="FL46" s="104"/>
      <c r="FM46" s="45"/>
      <c r="FN46" s="46"/>
      <c r="FO46" s="45"/>
      <c r="FP46" s="39"/>
      <c r="FQ46" s="39"/>
      <c r="FR46" s="39"/>
      <c r="FS46" s="46"/>
      <c r="FT46" s="45"/>
      <c r="FU46" s="39"/>
      <c r="FV46" s="103"/>
      <c r="FW46" s="104"/>
      <c r="FX46" s="104"/>
      <c r="FY46" s="104"/>
      <c r="FZ46" s="104"/>
      <c r="GA46" s="104"/>
    </row>
    <row r="47" spans="1:183" s="40" customFormat="1" ht="14.1" customHeight="1">
      <c r="A47" s="9">
        <v>41</v>
      </c>
      <c r="B47" s="328" t="s">
        <v>72</v>
      </c>
      <c r="C47" s="323" t="s">
        <v>111</v>
      </c>
      <c r="D47" s="45">
        <f>SUMIF(Report_BM!$B$6:$B$73,CONCATENATE($C47,L$3),Report_BM!$E$6:$E$73)+SUMIF(Report_BM!$B$6:$B$73,CONCATENATE($C47,L$3),Report_BM!$H$6:$H$73)</f>
        <v>0</v>
      </c>
      <c r="E47" s="276">
        <f>SUMIF(Report_BM!$B$6:$B$73,CONCATENATE($C47,L$3),Report_BM!$F$6:$F$73)+SUMIF(Report_BM!$B$6:$B$73,CONCATENATE($C47,L$3),Report_BM!$I$6:$I$73)</f>
        <v>84480000</v>
      </c>
      <c r="F47" s="45">
        <f>SUMIF(Report_BM!$B$6:$B$73,CONCATENATE($C47,L$3),Report_BM!$K$6:$K$73)</f>
        <v>0</v>
      </c>
      <c r="G47" s="39">
        <f>SUMIF(Report_BM!$B$6:$B$73,CONCATENATE($C47,$L$3),Report_BM!$L$6:$L$73)</f>
        <v>0</v>
      </c>
      <c r="H47" s="39">
        <f>SUMIF(Report_BM!$B$6:$B$73,CONCATENATE($C47,$L$3),Report_BM!$M$6:$M$73)</f>
        <v>0</v>
      </c>
      <c r="I47" s="39">
        <f>SUMIF(Report_BM!$B$6:$B$73,CONCATENATE($C47,$L$3),Report_BM!$N$6:$N$73)</f>
        <v>0</v>
      </c>
      <c r="J47" s="46">
        <f>SUMIF(Report_BM!$B$6:$B$73,CONCATENATE($C47,$L$3),Report_BM!$O$6:$O$73)</f>
        <v>0</v>
      </c>
      <c r="K47" s="45">
        <f>SUMIF(Report_BM!$B$6:$B$73,CONCATENATE($C47,$L$3),Report_BM!$P$6:$P$73)</f>
        <v>0</v>
      </c>
      <c r="L47" s="39">
        <f>SUMIF(Report_BM!$B$6:$B$73,CONCATENATE($C47,$L$3),Report_BM!$Q$6:$Q$73)</f>
        <v>84480000</v>
      </c>
      <c r="M47" s="103"/>
      <c r="N47" s="104"/>
      <c r="O47" s="104"/>
      <c r="P47" s="104"/>
      <c r="Q47" s="104"/>
      <c r="R47" s="104"/>
      <c r="S47" s="45">
        <f>SUMIF(Report_BM!$AI$8:$AI$72,CONCATENATE($C47,AA$3),Report_BM!$U$8:$U$72)+SUMIF(Report_BM!$AI$8:$AI$72,CONCATENATE($C47,AA$3),Report_BM!$X$8:$X$72)</f>
        <v>0</v>
      </c>
      <c r="T47" s="276">
        <f>SUMIF(Report_BM!$AI$8:$AI$72,CONCATENATE($C47,AA$3),Report_BM!$V$8:$V$72)+SUMIF(Report_BM!$AI$8:$AI$72,CONCATENATE($C47,AA$3),Report_BM!$Y$8:$Y$72)</f>
        <v>84480000</v>
      </c>
      <c r="U47" s="45">
        <f>SUMIF(Report_BM!$AI$8:$AI$72,CONCATENATE($C47,AA$3),Report_BM!$AA$8:$AB$72)</f>
        <v>0</v>
      </c>
      <c r="V47" s="39">
        <f>SUMIF(Report_BM!$AI$8:$AI$72,CONCATENATE($C47,$AA$3),Report_BM!$AB$8:$AB$72)</f>
        <v>0</v>
      </c>
      <c r="W47" s="39">
        <f>SUMIF(Report_BM!$AI$8:$AI$72,CONCATENATE($C47,$AA$3),Report_BM!$AC$8:$AC$72)</f>
        <v>0</v>
      </c>
      <c r="X47" s="39">
        <f ca="1">SUMIF(Report_BM!$AI$7:$AI$73,CONCATENATE($C47,$AA$3),Report_BM!$AD$7:$AD$73)</f>
        <v>0</v>
      </c>
      <c r="Y47" s="46">
        <f>SUMIF(Master_Data!$AK$152:$AK$864,CONCATENATE($C47,AA$3),Master_Data!$T$152:$T$864)</f>
        <v>0</v>
      </c>
      <c r="Z47" s="45">
        <f>SUMIF(Report_BM!$AI$8:$AI$72,CONCATENATE($C47,$AA$3),Report_BM!$AF$8:$AF$72)</f>
        <v>0</v>
      </c>
      <c r="AA47" s="39">
        <f ca="1">SUMIF(Report_BM!$AI$8:$AI$72,CONCATENATE($C47,$AA$3),Report_BM!$AG$8:$AG$72)</f>
        <v>84480000</v>
      </c>
      <c r="AB47" s="103"/>
      <c r="AC47" s="104"/>
      <c r="AD47" s="104"/>
      <c r="AE47" s="104"/>
      <c r="AF47" s="104"/>
      <c r="AG47" s="104"/>
      <c r="AH47" s="45">
        <f>SUMIF(Report_BM!$AZ$5:$AZ$72,CONCATENATE($C47,AP$3),Report_BM!$AL$5:$AL$72)+SUMIF(Report_BM!$AZ$5:$AZ$72,CONCATENATE($C47,AP$3),Report_BM!$AO$5:$AO$72)</f>
        <v>0</v>
      </c>
      <c r="AI47" s="46">
        <f ca="1">SUMIF(Report_BM!$AZ$5:$AZ$72,CONCATENATE($C47,$AP$3),Report_BM!$AM$5:$AM$72)+SUMIF(Report_BM!$AZ$5:$AZ$72,CONCATENATE($C47,$AP$3),Report_BM!$AP$5:$AP$72)</f>
        <v>84480000</v>
      </c>
      <c r="AJ47" s="45">
        <f>SUMIF(Report_BM!$AZ$5:$AZ$72,CONCATENATE($C47,$AP$3),Report_BM!$AR$5:$AR$72)</f>
        <v>0</v>
      </c>
      <c r="AK47" s="39">
        <f>SUMIF(Report_BM!$AZ$5:$AZ$72,CONCATENATE($C47,$AP$3),Report_BM!$AS$5:$AS$72)</f>
        <v>0</v>
      </c>
      <c r="AL47" s="39">
        <f>SUMIF(Report_BM!$AZ$5:$AZ$72,CONCATENATE($C47,$AP$3),Report_BM!$AT$5:$AT$72)</f>
        <v>0</v>
      </c>
      <c r="AM47" s="39">
        <f ca="1">SUMIF(Report_BM!$AZ$5:$AZ$72,CONCATENATE($C47,$AP$3),Report_BM!$AU$5:$AU$72)</f>
        <v>0</v>
      </c>
      <c r="AN47" s="46">
        <f>SUMIF(Master_Data!$AK$152:$AK$915,CONCATENATE($C47,AP$3),Master_Data!$T$152:$T$915)</f>
        <v>0</v>
      </c>
      <c r="AO47" s="45">
        <f>SUMIF(Report_BM!$AZ$5:$AZ$72,CONCATENATE($C47,$AP$3),Report_BM!$AW$5:$AW$72)</f>
        <v>0</v>
      </c>
      <c r="AP47" s="39">
        <f ca="1">SUMIF(Report_BM!$AZ$5:$AZ$72,CONCATENATE($C47,$AP$3),Report_BM!$AX$5:$AX$72)</f>
        <v>84480000</v>
      </c>
      <c r="AQ47" s="103"/>
      <c r="AR47" s="104"/>
      <c r="AS47" s="104"/>
      <c r="AT47" s="104"/>
      <c r="AU47" s="104"/>
      <c r="AV47" s="104"/>
      <c r="AW47" s="45">
        <f>SUMIF(Report_BM!$BQ$6:$BQ$73,CONCATENATE($C47,BE$3),Report_BM!$BC$6:$BC$73)+SUMIF(Report_BM!$BQ$6:$BQ$73,CONCATENATE($C47,BE$3),Report_BM!$BF$6:$BF$73)</f>
        <v>0</v>
      </c>
      <c r="AX47" s="46">
        <f ca="1">SUMIF(Report_BM!$BQ$6:$BQ$73,CONCATENATE($C47,$BE$3),Report_BM!$BD$6:$BD$73)+SUMIF(Report_BM!$BQ$6:$BQ$73,CONCATENATE($C47,$BE$3),Report_BM!$BG$6:$BG$73)</f>
        <v>84480000</v>
      </c>
      <c r="AY47" s="45">
        <f>SUMIF(Report_BM!$BQ$6:$BQ$73,CONCATENATE($C47,BE$3),Report_BM!$BI$6:$BI$73)</f>
        <v>0</v>
      </c>
      <c r="AZ47" s="39">
        <f>SUMIF(Report_BM!$BQ$6:$BQ$73,CONCATENATE($C47,BE$3),Report_BM!$BJ$6:$BJ$73)</f>
        <v>0</v>
      </c>
      <c r="BA47" s="39">
        <f>SUMIF(Report_BM!$BQ$6:$BQ$73,CONCATENATE($C47,BE$3),Report_BM!$BK$6:$BK$73)</f>
        <v>0</v>
      </c>
      <c r="BB47" s="39">
        <f>SUMIF(Report_BM!$BQ$6:$BQ$73,CONCATENATE($C47,BE$3),Report_BM!$BL$6:$BL$73)</f>
        <v>0</v>
      </c>
      <c r="BC47" s="46">
        <f>SUMIF(Master_Data!$AK$152:$AK$864,CONCATENATE($C47,BE$3),Master_Data!$T$152:$T$864)</f>
        <v>0</v>
      </c>
      <c r="BD47" s="45">
        <f>SUMIF(Report_BM!$BQ$6:$BQ$73,CONCATENATE($C47,BE$3),Report_BM!$BN$6:$BN$73)</f>
        <v>0</v>
      </c>
      <c r="BE47" s="39">
        <f ca="1">SUMIF(Report_BM!$BQ$6:$BQ$73,CONCATENATE($C47,BE$3),Report_BM!$BO$6:$BO$73)</f>
        <v>84480000</v>
      </c>
      <c r="BF47" s="103"/>
      <c r="BG47" s="104"/>
      <c r="BH47" s="104"/>
      <c r="BI47" s="104"/>
      <c r="BJ47" s="104"/>
      <c r="BK47" s="104"/>
      <c r="BL47" s="45">
        <f>SUMIF(Report_BM!$CH$6:$CH$73,CONCATENATE($C47,BT$3),Report_BM!$BT$6:$BT$73)+SUMIF(Report_BM!$CH$6:$CH$73,CONCATENATE($C47,BT$3),Report_BM!$BW$6:$BW$73)</f>
        <v>0</v>
      </c>
      <c r="BM47" s="46">
        <f ca="1">SUMIF(Report_BM!$CH$6:$CH$73,CONCATENATE($C47,$BT$3),Report_BM!$BU$6:$BU$73)+SUMIF(Report_BM!$CH$6:$CH$73,CONCATENATE($C47,$BT$3),Report_BM!$BX$6:$BX$73)</f>
        <v>84480000</v>
      </c>
      <c r="BN47" s="45">
        <f>SUMIF(Report_BM!$CH$6:$CH$73,CONCATENATE($C47,BT$3),Report_BM!$BZ$6:$BZ$73)</f>
        <v>0</v>
      </c>
      <c r="BO47" s="39">
        <f>SUMIF(Report_BM!$CH$6:$CH$73,CONCATENATE($C47,BT$3),Report_BM!$CA$6:$CA$73)</f>
        <v>0</v>
      </c>
      <c r="BP47" s="39">
        <f>SUMIF(Report_BM!$CH$6:$CH$73,CONCATENATE($C47,BT$3),Report_BM!$CB$6:$CB$73)</f>
        <v>0</v>
      </c>
      <c r="BQ47" s="39">
        <f>SUMIF(Report_BM!$CH$6:$CH$73,CONCATENATE($C47,BT$3),Report_BM!$CC$6:$CC$73)</f>
        <v>0</v>
      </c>
      <c r="BR47" s="46">
        <f>SUMIF(Master_Data!$AK$152:$AK$864,CONCATENATE($C47,BT$3),Master_Data!$T$152:$T$864)</f>
        <v>0</v>
      </c>
      <c r="BS47" s="45">
        <f>SUMIF(Report_BM!$CH$6:$CH$73,CONCATENATE($C47,BT$3),Report_BM!$CE$6:$CE$73)</f>
        <v>0</v>
      </c>
      <c r="BT47" s="39">
        <f ca="1">SUMIF(Report_BM!$CH$6:$CH$73,CONCATENATE($C47,BT$3),Report_BM!$CF$6:$CF$73)</f>
        <v>84480000</v>
      </c>
      <c r="BU47" s="103"/>
      <c r="BV47" s="104"/>
      <c r="BW47" s="104"/>
      <c r="BX47" s="104"/>
      <c r="BY47" s="104"/>
      <c r="BZ47" s="104"/>
      <c r="CA47" s="45">
        <f>SUMIF(Report_BM!$CY$6:$CY$73,CONCATENATE($C47,CI$3),Report_BM!$CK$6:$CK$73)+SUMIF(Report_BM!$CY$6:$CY$73,CONCATENATE($C47,CI$3),Report_BM!$CN$6:$CN$73)</f>
        <v>0</v>
      </c>
      <c r="CB47" s="46">
        <f ca="1">SUMIF(Report_BM!$CY$6:$CY$73,CONCATENATE($C47,$CI$3),Report_BM!$CL$6:$CL$73)+SUMIF(Report_BM!$CY$6:$CY$73,CONCATENATE($C47,$CI$3),Report_BM!$CO$6:$CO$73)</f>
        <v>84480000</v>
      </c>
      <c r="CC47" s="45">
        <f>SUMIF(Report_BM!$CY$6:$CY$73,CONCATENATE($C47,CI$3),Report_BM!$CQ$6:$CQ$73)</f>
        <v>0</v>
      </c>
      <c r="CD47" s="39">
        <f>SUMIF(Report_BM!$CY$6:$CY$73,CONCATENATE($C47,CI$3),Report_BM!$CR$6:$CR$73)</f>
        <v>0</v>
      </c>
      <c r="CE47" s="39">
        <f>SUMIF(Report_BM!$CY$6:$CY$73,CONCATENATE($C47,CI$3),Report_BM!$CS$6:$CS$73)</f>
        <v>0</v>
      </c>
      <c r="CF47" s="39">
        <f ca="1">SUMIF(Report_BM!$CY$6:$CY$73,CONCATENATE($C47,CI$3),Report_BM!$CT$6:$CT$73)</f>
        <v>0</v>
      </c>
      <c r="CG47" s="46">
        <f>SUMIF(Report_BM!$CY$6:$CY$73,CONCATENATE($C47,CI$3),Report_BM!$CU$6:$CU$73)</f>
        <v>0</v>
      </c>
      <c r="CH47" s="45">
        <f>SUMIF(Report_BM!$CY$6:$CY$73,CONCATENATE($C47,CI$3),Report_BM!$CV$6:$CV$73)</f>
        <v>0</v>
      </c>
      <c r="CI47" s="39">
        <f ca="1">SUMIF(Report_BM!$CY$6:$CY$73,CONCATENATE($C47,CI$3),Report_BM!$CW$6:$CW$73)</f>
        <v>84480000</v>
      </c>
      <c r="CJ47" s="103"/>
      <c r="CK47" s="104"/>
      <c r="CL47" s="104"/>
      <c r="CM47" s="104"/>
      <c r="CN47" s="104"/>
      <c r="CO47" s="104"/>
      <c r="CP47" s="45">
        <f>SUMIF(Report_BM!$DP$6:$DP$73,CONCATENATE($C47,CX$3),Report_BM!$DB$6:$DB$73)+SUMIF(Report_BM!$DP$6:$DP$73,CONCATENATE($C47,CX$3),Report_BM!$DE$6:$DE$73)</f>
        <v>0</v>
      </c>
      <c r="CQ47" s="46">
        <f ca="1">SUMIF(Report_BM!$DP$6:$DP$73,CONCATENATE($C47,$CX$3),Report_BM!$DC$6:$DC$73)+SUMIF(Report_BM!$DP$6:$DP$73,CONCATENATE($C47,$CX$3),Report_BM!$DF$6:$DF$73)</f>
        <v>84480000</v>
      </c>
      <c r="CR47" s="45">
        <f>SUMIF(Report_BM!$DP$6:$DP$73,CONCATENATE($C47,CX$3),Report_BM!$DH$6:$DH$73)</f>
        <v>0</v>
      </c>
      <c r="CS47" s="39">
        <f>SUMIF(Report_BM!$DP$6:$DP$73,CONCATENATE($C47,CX$3),Report_BM!$DI$6:$DI$73)</f>
        <v>0</v>
      </c>
      <c r="CT47" s="39">
        <f>SUMIF(Report_BM!$DP$6:$DP$73,CONCATENATE($C47,CX$3),Report_BM!$DJ$6:$DJ$73)</f>
        <v>0</v>
      </c>
      <c r="CU47" s="39">
        <f>SUMIF(Report_BM!$DP$6:$DP$73,CONCATENATE($C47,CX$3),Report_BM!$DK$6:$DK$73)</f>
        <v>0</v>
      </c>
      <c r="CV47" s="46">
        <f>SUMIF(Master_Data!$AK$152:$AK$864,CONCATENATE($C47,CX$3),Master_Data!$T$152:$T$864)</f>
        <v>0</v>
      </c>
      <c r="CW47" s="45">
        <f>SUMIF(Report_BM!$DP$6:$DP$73,CONCATENATE($C47,CX$3),Report_BM!$DM$6:$DM$73)</f>
        <v>0</v>
      </c>
      <c r="CX47" s="39">
        <f ca="1">SUMIF(Report_BM!$DP$6:$DP$73,CONCATENATE($C47,CX$3),Report_BM!$DN$6:$DN$73)</f>
        <v>84480000</v>
      </c>
      <c r="CY47" s="103"/>
      <c r="CZ47" s="104"/>
      <c r="DA47" s="104"/>
      <c r="DB47" s="104"/>
      <c r="DC47" s="104"/>
      <c r="DD47" s="104"/>
      <c r="DE47" s="45">
        <f>SUMIF(Report_BM!$EG$6:$EG$73,CONCATENATE($C47,DM$3),Report_BM!$DS$6:$DS$73)+SUMIF(Report_BM!$EG$6:$EG$73,CONCATENATE($C47,DM$3),Report_BM!$DV$6:$DV$73)</f>
        <v>0</v>
      </c>
      <c r="DF47" s="46">
        <f ca="1">SUMIF(Report_BM!$EG$6:$EG$73,CONCATENATE($C47,$DM$3),Report_BM!$DT$6:$DT$73)+SUMIF(Report_BM!$EG$6:$EG$73,CONCATENATE($C47,$DM$3),Report_BM!$DW$6:$DW$73)</f>
        <v>84480000</v>
      </c>
      <c r="DG47" s="45">
        <f>SUMIF(Report_BM!$EG$6:$EG$73,CONCATENATE($C47,DM$3),Report_BM!$DY$6:$DY$73)</f>
        <v>0</v>
      </c>
      <c r="DH47" s="39">
        <f>SUMIF(Report_BM!EG$6:EG$73,CONCATENATE($C47,DM$3),Report_BM!DZ$6:DZ$73)</f>
        <v>0</v>
      </c>
      <c r="DI47" s="39">
        <f>SUMIF(Report_BM!EG$6:EG$73,CONCATENATE($C47,DM$3),Report_BM!$EA$6:$EA$73)</f>
        <v>0</v>
      </c>
      <c r="DJ47" s="39">
        <f>SUMIF(Report_BM!EG$6:EG$73,CONCATENATE($C47,DM$3),Report_BM!$EB$6:$EB$73)</f>
        <v>0</v>
      </c>
      <c r="DK47" s="46">
        <f>SUMIF(Master_Data!$AK$152:$AK$864,CONCATENATE($C47,DM$3),Master_Data!$T$152:$T$864)</f>
        <v>0</v>
      </c>
      <c r="DL47" s="45">
        <f>SUMIF(Report_BM!EG$6:EG$73,CONCATENATE($C47,DM$3),Report_BM!ED$6:ED$73)</f>
        <v>0</v>
      </c>
      <c r="DM47" s="39">
        <f ca="1">SUMIF(Report_BM!EG$6:EG$73,CONCATENATE($C47,DM$3),Report_BM!EE$6:EE$73)</f>
        <v>84480000</v>
      </c>
      <c r="DN47" s="103"/>
      <c r="DO47" s="104"/>
      <c r="DP47" s="104"/>
      <c r="DQ47" s="104"/>
      <c r="DR47" s="104"/>
      <c r="DS47" s="104"/>
      <c r="DT47" s="45">
        <f>SUMIF(Report_BM!$EX$6:$EX$73,CONCATENATE($C47,EB$3),Report_BM!$EJ$6:$EJ$73)+SUMIF(Report_BM!$EX$6:$EX$73,CONCATENATE($C47,EB$3),Report_BM!$EM$6:$EM$73)</f>
        <v>0</v>
      </c>
      <c r="DU47" s="46">
        <f ca="1">SUMIF(Report_BM!$EX$6:$EX$73,CONCATENATE($C47,$EB$3),Report_BM!$EK$6:$EK$73)+SUMIF(Report_BM!$EX$6:$EX$73,CONCATENATE($C47,$EB$3),Report_BM!$EN$6:$EN$73)</f>
        <v>84480000</v>
      </c>
      <c r="DV47" s="45">
        <f>SUMIF(Report_BM!$EX$6:$EX$73,CONCATENATE($C47,EB$3),Report_BM!$EP$6:$EP$73)</f>
        <v>0</v>
      </c>
      <c r="DW47" s="39">
        <f>SUMIF(Report_BM!$EX$6:$EX$73,CONCATENATE($C47,EB$3),Report_BM!$EQ$6:$EQ$73)</f>
        <v>0</v>
      </c>
      <c r="DX47" s="39">
        <f>SUMIF(Report_BM!$EX$6:$EX$73,CONCATENATE($C47,EB$3),Report_BM!$ER$6:$ER$73)</f>
        <v>0</v>
      </c>
      <c r="DY47" s="39">
        <f>SUMIF(Report_BM!$EX$6:$EX$73,CONCATENATE($C47,EB$3),Report_BM!$ES$6:$ES$73)</f>
        <v>0</v>
      </c>
      <c r="DZ47" s="46">
        <f>SUMIF(Master_Data!$AK$152:$AK$864,CONCATENATE($C47,EB$3),Master_Data!$T$152:$T$864)</f>
        <v>0</v>
      </c>
      <c r="EA47" s="45">
        <f>SUMIF(Report_BM!EX$6:EX$73,CONCATENATE($C47,EB$3),Report_BM!EU$6:EU$73)</f>
        <v>0</v>
      </c>
      <c r="EB47" s="39">
        <f>SUMIF(Report_BM!EX$6:EX$73,CONCATENATE($C47,EB$3),Report_BM!EV$6:EV$73)</f>
        <v>0</v>
      </c>
      <c r="EC47" s="103"/>
      <c r="ED47" s="104"/>
      <c r="EE47" s="104"/>
      <c r="EF47" s="104"/>
      <c r="EG47" s="104"/>
      <c r="EH47" s="104"/>
      <c r="EI47" s="45">
        <f>SUMIF(Report_BM!$FO$6:$FO$73,CONCATENATE($C47,EQ$3),Report_BM!$FA$6:$FA$73)+SUMIF(Report_BM!$FO$6:$FO$73,CONCATENATE($C47,EQ$3),Report_BM!$FD$6:$FD$73)</f>
        <v>0</v>
      </c>
      <c r="EJ47" s="46">
        <f>SUMIF(Report_BM!$FO$6:$FO$73,CONCATENATE($C47,$EQ$3),Report_BM!$FB$6:$FB$73)+SUMIF(Report_BM!$FO$6:$FO$73,CONCATENATE($C47,$EQ$3),Report_BM!$FE$6:$FE$73)</f>
        <v>0</v>
      </c>
      <c r="EK47" s="45">
        <f>SUMIF(Report_BM!$FO$6:$FO$73,CONCATENATE($C47,EQ$3),Report_BM!$FG$6:$FG$73)</f>
        <v>0</v>
      </c>
      <c r="EL47" s="39">
        <f>SUMIF(Report_BM!$FO$6:$FO$73,CONCATENATE($C47,EQ$3),Report_BM!$FH$6:$FH$73)</f>
        <v>0</v>
      </c>
      <c r="EM47" s="39">
        <f>SUMIF(Report_BM!$FO$6:$FO$73,CONCATENATE($C47,EQ$3),Report_BM!$FI$6:$FI$73)</f>
        <v>0</v>
      </c>
      <c r="EN47" s="39">
        <f>SUMIF(Report_BM!$FO$6:$FO$73,CONCATENATE($C47,EQ$3),Report_BM!$FJ$6:$FJ$73)</f>
        <v>0</v>
      </c>
      <c r="EO47" s="46">
        <f>SUMIF(Master_Data!$AK$152:$AK$864,CONCATENATE($C47,EQ$3),Master_Data!$T$152:$T$864)</f>
        <v>0</v>
      </c>
      <c r="EP47" s="45">
        <f>SUMIF(Report_BM!FO$6:FO$73,CONCATENATE($C47,EQ$3),Report_BM!FL$6:FL$73)</f>
        <v>0</v>
      </c>
      <c r="EQ47" s="39">
        <f>SUMIF(Report_BM!FO$6:FO$73,CONCATENATE($C47,EQ$3),Report_BM!FM$6:FM$73)</f>
        <v>0</v>
      </c>
      <c r="ER47" s="103"/>
      <c r="ES47" s="104"/>
      <c r="ET47" s="104"/>
      <c r="EU47" s="104"/>
      <c r="EV47" s="104"/>
      <c r="EW47" s="104"/>
      <c r="EX47" s="45">
        <f>SUMIF(Report_BM!$GF$6:$GF$73,CONCATENATE($C47,FF$3),Report_BM!$FR$6:$FR$73)+SUMIF(Report_BM!$GF$6:$GF$73,CONCATENATE($C47,FF$3),Report_BM!$FU$6:$FU$73)</f>
        <v>0</v>
      </c>
      <c r="EY47" s="46">
        <f>SUMIF(Report_BM!$GF$6:$GF$73,CONCATENATE($C47,$FF$3),Report_BM!$FS$6:$FS$73)+SUMIF(Report_BM!$GF$6:$GF$73,CONCATENATE($C47,$FF$3),Report_BM!$FV$6:$FV$73)</f>
        <v>0</v>
      </c>
      <c r="EZ47" s="45">
        <f>SUMIF(Report_BM!$GF$6:$GF$73,CONCATENATE($C47,FF$3),Report_BM!$FX$6:$FX$73)</f>
        <v>0</v>
      </c>
      <c r="FA47" s="39">
        <f>SUMIF(Report_BM!$GF$6:$GF$73,CONCATENATE($C47,FF$3),Report_BM!$FY$6:$FY$73)</f>
        <v>0</v>
      </c>
      <c r="FB47" s="39">
        <f>SUMIF(Report_BM!$GF$6:$GF$73,CONCATENATE($C47,FF$3),Report_BM!$FZ$6:$FZ$73)</f>
        <v>0</v>
      </c>
      <c r="FC47" s="39">
        <f>SUMIF(Report_BM!$GF$6:$GF$73,CONCATENATE($C47,FF$3),Report_BM!$GA$6:$GA$73)</f>
        <v>0</v>
      </c>
      <c r="FD47" s="46">
        <f>SUMIF(Master_Data!$AK$152:$AK$864,CONCATENATE($C47,FF$3),Master_Data!$T$152:$T$864)</f>
        <v>0</v>
      </c>
      <c r="FE47" s="45">
        <f>SUMIF(Report_BM!GF$6:GF$73,CONCATENATE($C47,FF$3),Report_BM!GC$6:GC$73)</f>
        <v>0</v>
      </c>
      <c r="FF47" s="39">
        <f>SUMIF(Report_BM!GF$6:GF$73,CONCATENATE($C47,FF$3),Report_BM!GD$6:GD$73)</f>
        <v>0</v>
      </c>
      <c r="FG47" s="103"/>
      <c r="FH47" s="104"/>
      <c r="FI47" s="104"/>
      <c r="FJ47" s="104"/>
      <c r="FK47" s="104"/>
      <c r="FL47" s="104"/>
      <c r="FM47" s="45">
        <f>SUMIF(Report_BM!$GW$6:$GW$73,CONCATENATE($C47,FU$3),Report_BM!$GI$6:$GI$73)+SUMIF(Report_BM!$GW$6:$GW$73,CONCATENATE($C47,FU$3),Report_BM!$GL$6:$GL$73)</f>
        <v>0</v>
      </c>
      <c r="FN47" s="46">
        <f>SUMIF(Report_BM!$GW$6:$GW$73,CONCATENATE($C47,$FU$3),Report_BM!$GJ$6:$GJ$73)+SUMIF(Report_BM!$GW$6:$GW$73,CONCATENATE($C47,$FU$3),Report_BM!$GM$6:$GM$73)</f>
        <v>0</v>
      </c>
      <c r="FO47" s="45">
        <f>SUMIF(Report_BM!$GW$6:$GW$73,CONCATENATE($C47,FU$3),Report_BM!$GO$6:$GO$73)</f>
        <v>0</v>
      </c>
      <c r="FP47" s="39">
        <f>SUMIF(Report_BM!$GW$6:$GW$73,CONCATENATE($C47,FU$3),Report_BM!$GP$6:$GP$73)</f>
        <v>0</v>
      </c>
      <c r="FQ47" s="39">
        <f>SUMIF(Report_BM!$GW$6:$GW$73,CONCATENATE($C47,FU$3),Report_BM!$GQ$6:$GQ$73)</f>
        <v>0</v>
      </c>
      <c r="FR47" s="39">
        <f>SUMIF(Report_BM!$GW$6:$GW$73,CONCATENATE($C47,FU$3),Report_BM!$GR$6:$GR$73)</f>
        <v>0</v>
      </c>
      <c r="FS47" s="46">
        <f>SUMIF(Master_Data!$AK$152:$AK$864,CONCATENATE($C47,FU$3),Master_Data!$T$152:$T$864)</f>
        <v>0</v>
      </c>
      <c r="FT47" s="45">
        <f>SUMIF(Report_BM!GW$6:GW$73,CONCATENATE($C47,FU$3),Report_BM!GT$6:GT$73)</f>
        <v>0</v>
      </c>
      <c r="FU47" s="39">
        <f>SUMIF(Report_BM!GW$6:GW$73,CONCATENATE($C47,FU$3),Report_BM!GU$6:GU$73)</f>
        <v>0</v>
      </c>
      <c r="FV47" s="103"/>
      <c r="FW47" s="104"/>
      <c r="FX47" s="104"/>
      <c r="FY47" s="104"/>
      <c r="FZ47" s="104"/>
      <c r="GA47" s="104"/>
    </row>
    <row r="48" spans="1:183" s="40" customFormat="1" ht="14.1" customHeight="1">
      <c r="A48" s="9">
        <v>42</v>
      </c>
      <c r="B48" s="328" t="s">
        <v>452</v>
      </c>
      <c r="C48" s="8" t="s">
        <v>430</v>
      </c>
      <c r="D48" s="45">
        <f>SUMIF(Report_BM!$B$6:$B$73,CONCATENATE($C48,L$3),Report_BM!$E$6:$E$73)+SUMIF(Report_BM!$B$6:$B$73,CONCATENATE($C48,L$3),Report_BM!$H$6:$H$73)</f>
        <v>0</v>
      </c>
      <c r="E48" s="276" t="e">
        <f>SUMIF(Report_BM!$B$6:$B$73,CONCATENATE($C48,L$3),Report_BM!$F$6:$F$73)+SUMIF(Report_BM!$B$6:$B$73,CONCATENATE($C48,L$3),Report_BM!$I$6:$I$73)</f>
        <v>#VALUE!</v>
      </c>
      <c r="F48" s="45">
        <f>SUMIF(Report_BM!$B$6:$B$73,CONCATENATE($C48,L$3),Report_BM!$K$6:$K$73)</f>
        <v>0</v>
      </c>
      <c r="G48" s="39">
        <f>SUMIF(Report_BM!$B$6:$B$73,CONCATENATE($C48,$L$3),Report_BM!$L$6:$L$73)</f>
        <v>0</v>
      </c>
      <c r="H48" s="39">
        <f>SUMIF(Report_BM!$B$6:$B$73,CONCATENATE($C48,$L$3),Report_BM!$M$6:$M$73)</f>
        <v>18500000</v>
      </c>
      <c r="I48" s="39">
        <f>SUMIF(Report_BM!$B$6:$B$73,CONCATENATE($C48,$L$3),Report_BM!$N$6:$N$73)</f>
        <v>-1850000</v>
      </c>
      <c r="J48" s="46">
        <f>SUMIF(Report_BM!$B$6:$B$73,CONCATENATE($C48,$L$3),Report_BM!$O$6:$O$73)</f>
        <v>0</v>
      </c>
      <c r="K48" s="45">
        <f>SUMIF(Report_BM!$B$6:$B$73,CONCATENATE($C48,$L$3),Report_BM!$P$6:$P$73)</f>
        <v>0</v>
      </c>
      <c r="L48" s="39" t="e">
        <f>SUMIF(Report_BM!$B$6:$B$73,CONCATENATE($C48,$L$3),Report_BM!$Q$6:$Q$73)</f>
        <v>#VALUE!</v>
      </c>
      <c r="M48" s="103"/>
      <c r="N48" s="104"/>
      <c r="O48" s="104"/>
      <c r="P48" s="104"/>
      <c r="Q48" s="104"/>
      <c r="R48" s="104"/>
      <c r="S48" s="45">
        <f>SUMIF(Report_BM!$AI$8:$AI$72,CONCATENATE($C48,AA$3),Report_BM!$U$8:$U$72)+SUMIF(Report_BM!$AI$8:$AI$72,CONCATENATE($C48,AA$3),Report_BM!$X$8:$X$72)</f>
        <v>0</v>
      </c>
      <c r="T48" s="276" t="e">
        <f>SUMIF(Report_BM!$AI$8:$AI$72,CONCATENATE($C48,AA$3),Report_BM!$V$8:$V$72)+SUMIF(Report_BM!$AI$8:$AI$72,CONCATENATE($C48,AA$3),Report_BM!$Y$8:$Y$72)</f>
        <v>#VALUE!</v>
      </c>
      <c r="U48" s="45">
        <f>SUMIF(Report_BM!$AI$8:$AI$72,CONCATENATE($C48,AA$3),Report_BM!$AA$8:$AB$72)</f>
        <v>0</v>
      </c>
      <c r="V48" s="39">
        <f>SUMIF(Report_BM!$AI$8:$AI$72,CONCATENATE($C48,$AA$3),Report_BM!$AB$8:$AB$72)</f>
        <v>0</v>
      </c>
      <c r="W48" s="39">
        <f>SUMIF(Report_BM!$AI$8:$AI$72,CONCATENATE($C48,$AA$3),Report_BM!$AC$8:$AC$72)</f>
        <v>0</v>
      </c>
      <c r="X48" s="39">
        <f ca="1">SUMIF(Report_BM!$AI$7:$AI$73,CONCATENATE($C48,$AA$3),Report_BM!$AD$7:$AD$73)</f>
        <v>0</v>
      </c>
      <c r="Y48" s="46">
        <f>SUMIF(Master_Data!$AK$152:$AK$864,CONCATENATE($C48,AA$3),Master_Data!$T$152:$T$864)</f>
        <v>0</v>
      </c>
      <c r="Z48" s="45">
        <f>SUMIF(Report_BM!$AI$8:$AI$72,CONCATENATE($C48,$AA$3),Report_BM!$AF$8:$AF$72)</f>
        <v>0</v>
      </c>
      <c r="AA48" s="39" t="e">
        <f ca="1">SUMIF(Report_BM!$AI$8:$AI$72,CONCATENATE($C48,$AA$3),Report_BM!$AG$8:$AG$72)</f>
        <v>#VALUE!</v>
      </c>
      <c r="AB48" s="103"/>
      <c r="AC48" s="104"/>
      <c r="AD48" s="104"/>
      <c r="AE48" s="104"/>
      <c r="AF48" s="104"/>
      <c r="AG48" s="104"/>
      <c r="AH48" s="45">
        <f>SUMIF(Report_BM!$AZ$5:$AZ$72,CONCATENATE($C48,AP$3),Report_BM!$AL$5:$AL$72)+SUMIF(Report_BM!$AZ$5:$AZ$72,CONCATENATE($C48,AP$3),Report_BM!$AO$5:$AO$72)</f>
        <v>0</v>
      </c>
      <c r="AI48" s="46" t="e">
        <f ca="1">SUMIF(Report_BM!$AZ$5:$AZ$72,CONCATENATE($C48,$AP$3),Report_BM!$AM$5:$AM$72)+SUMIF(Report_BM!$AZ$5:$AZ$72,CONCATENATE($C48,$AP$3),Report_BM!$AP$5:$AP$72)</f>
        <v>#VALUE!</v>
      </c>
      <c r="AJ48" s="45">
        <f>SUMIF(Report_BM!$AZ$5:$AZ$72,CONCATENATE($C48,$AP$3),Report_BM!$AR$5:$AR$72)</f>
        <v>0</v>
      </c>
      <c r="AK48" s="39">
        <f>SUMIF(Report_BM!$AZ$5:$AZ$72,CONCATENATE($C48,$AP$3),Report_BM!$AS$5:$AS$72)</f>
        <v>0</v>
      </c>
      <c r="AL48" s="39">
        <f>SUMIF(Report_BM!$AZ$5:$AZ$72,CONCATENATE($C48,$AP$3),Report_BM!$AT$5:$AT$72)</f>
        <v>18500000</v>
      </c>
      <c r="AM48" s="39">
        <f ca="1">SUMIF(Report_BM!$AZ$5:$AZ$72,CONCATENATE($C48,$AP$3),Report_BM!$AU$5:$AU$72)</f>
        <v>-1850000</v>
      </c>
      <c r="AN48" s="46">
        <f>SUMIF(Master_Data!$AK$152:$AK$915,CONCATENATE($C48,AP$3),Master_Data!$T$152:$T$915)</f>
        <v>0</v>
      </c>
      <c r="AO48" s="45">
        <f>SUMIF(Report_BM!$AZ$5:$AZ$72,CONCATENATE($C48,$AP$3),Report_BM!$AW$5:$AW$72)</f>
        <v>0</v>
      </c>
      <c r="AP48" s="39" t="e">
        <f ca="1">SUMIF(Report_BM!$AZ$5:$AZ$72,CONCATENATE($C48,$AP$3),Report_BM!$AX$5:$AX$72)</f>
        <v>#VALUE!</v>
      </c>
      <c r="AQ48" s="103"/>
      <c r="AR48" s="104"/>
      <c r="AS48" s="104"/>
      <c r="AT48" s="104"/>
      <c r="AU48" s="104"/>
      <c r="AV48" s="104"/>
      <c r="AW48" s="45">
        <f>SUMIF(Report_BM!$BQ$6:$BQ$73,CONCATENATE($C48,BE$3),Report_BM!$BC$6:$BC$73)+SUMIF(Report_BM!$BQ$6:$BQ$73,CONCATENATE($C48,BE$3),Report_BM!$BF$6:$BF$73)</f>
        <v>0</v>
      </c>
      <c r="AX48" s="46" t="e">
        <f ca="1">SUMIF(Report_BM!$BQ$6:$BQ$73,CONCATENATE($C48,$BE$3),Report_BM!$BD$6:$BD$73)+SUMIF(Report_BM!$BQ$6:$BQ$73,CONCATENATE($C48,$BE$3),Report_BM!$BG$6:$BG$73)</f>
        <v>#VALUE!</v>
      </c>
      <c r="AY48" s="45">
        <f>SUMIF(Report_BM!$BQ$6:$BQ$73,CONCATENATE($C48,BE$3),Report_BM!$BI$6:$BI$73)</f>
        <v>0</v>
      </c>
      <c r="AZ48" s="39">
        <f>SUMIF(Report_BM!$BQ$6:$BQ$73,CONCATENATE($C48,BE$3),Report_BM!$BJ$6:$BJ$73)</f>
        <v>0</v>
      </c>
      <c r="BA48" s="39">
        <f>SUMIF(Report_BM!$BQ$6:$BQ$73,CONCATENATE($C48,BE$3),Report_BM!$BK$6:$BK$73)</f>
        <v>18500000</v>
      </c>
      <c r="BB48" s="39">
        <f>SUMIF(Report_BM!$BQ$6:$BQ$73,CONCATENATE($C48,BE$3),Report_BM!$BL$6:$BL$73)</f>
        <v>-1850000</v>
      </c>
      <c r="BC48" s="46">
        <f>SUMIF(Master_Data!$AK$152:$AK$864,CONCATENATE($C48,BE$3),Master_Data!$T$152:$T$864)</f>
        <v>0</v>
      </c>
      <c r="BD48" s="45">
        <f>SUMIF(Report_BM!$BQ$6:$BQ$73,CONCATENATE($C48,BE$3),Report_BM!$BN$6:$BN$73)</f>
        <v>0</v>
      </c>
      <c r="BE48" s="39" t="e">
        <f ca="1">SUMIF(Report_BM!$BQ$6:$BQ$73,CONCATENATE($C48,BE$3),Report_BM!$BO$6:$BO$73)</f>
        <v>#VALUE!</v>
      </c>
      <c r="BF48" s="103"/>
      <c r="BG48" s="104"/>
      <c r="BH48" s="104"/>
      <c r="BI48" s="104"/>
      <c r="BJ48" s="104"/>
      <c r="BK48" s="104"/>
      <c r="BL48" s="45">
        <f>SUMIF(Report_BM!$CH$6:$CH$73,CONCATENATE($C48,BT$3),Report_BM!$BT$6:$BT$73)+SUMIF(Report_BM!$CH$6:$CH$73,CONCATENATE($C48,BT$3),Report_BM!$BW$6:$BW$73)</f>
        <v>0</v>
      </c>
      <c r="BM48" s="46" t="e">
        <f ca="1">SUMIF(Report_BM!$CH$6:$CH$73,CONCATENATE($C48,$BT$3),Report_BM!$BU$6:$BU$73)+SUMIF(Report_BM!$CH$6:$CH$73,CONCATENATE($C48,$BT$3),Report_BM!$BX$6:$BX$73)</f>
        <v>#VALUE!</v>
      </c>
      <c r="BN48" s="45">
        <f>SUMIF(Report_BM!$CH$6:$CH$73,CONCATENATE($C48,BT$3),Report_BM!$BZ$6:$BZ$73)</f>
        <v>0</v>
      </c>
      <c r="BO48" s="39">
        <f>SUMIF(Report_BM!$CH$6:$CH$73,CONCATENATE($C48,BT$3),Report_BM!$CA$6:$CA$73)</f>
        <v>0</v>
      </c>
      <c r="BP48" s="39">
        <f>SUMIF(Report_BM!$CH$6:$CH$73,CONCATENATE($C48,BT$3),Report_BM!$CB$6:$CB$73)</f>
        <v>18500000</v>
      </c>
      <c r="BQ48" s="39">
        <f>SUMIF(Report_BM!$CH$6:$CH$73,CONCATENATE($C48,BT$3),Report_BM!$CC$6:$CC$73)</f>
        <v>-1850000</v>
      </c>
      <c r="BR48" s="46">
        <f>SUMIF(Master_Data!$AK$152:$AK$864,CONCATENATE($C48,BT$3),Master_Data!$T$152:$T$864)</f>
        <v>0</v>
      </c>
      <c r="BS48" s="45">
        <f>SUMIF(Report_BM!$CH$6:$CH$73,CONCATENATE($C48,BT$3),Report_BM!$CE$6:$CE$73)</f>
        <v>0</v>
      </c>
      <c r="BT48" s="39" t="e">
        <f ca="1">SUMIF(Report_BM!$CH$6:$CH$73,CONCATENATE($C48,BT$3),Report_BM!$CF$6:$CF$73)</f>
        <v>#VALUE!</v>
      </c>
      <c r="BU48" s="103"/>
      <c r="BV48" s="104"/>
      <c r="BW48" s="104"/>
      <c r="BX48" s="104"/>
      <c r="BY48" s="104"/>
      <c r="BZ48" s="104"/>
      <c r="CA48" s="45">
        <f>SUMIF(Report_BM!$CY$6:$CY$73,CONCATENATE($C48,CI$3),Report_BM!$CK$6:$CK$73)+SUMIF(Report_BM!$CY$6:$CY$73,CONCATENATE($C48,CI$3),Report_BM!$CN$6:$CN$73)</f>
        <v>0</v>
      </c>
      <c r="CB48" s="46" t="e">
        <f ca="1">SUMIF(Report_BM!$CY$6:$CY$73,CONCATENATE($C48,$CI$3),Report_BM!$CL$6:$CL$73)+SUMIF(Report_BM!$CY$6:$CY$73,CONCATENATE($C48,$CI$3),Report_BM!$CO$6:$CO$73)</f>
        <v>#VALUE!</v>
      </c>
      <c r="CC48" s="45">
        <f>SUMIF(Report_BM!$CY$6:$CY$73,CONCATENATE($C48,CI$3),Report_BM!$CQ$6:$CQ$73)</f>
        <v>0</v>
      </c>
      <c r="CD48" s="39">
        <f>SUMIF(Report_BM!$CY$6:$CY$73,CONCATENATE($C48,CI$3),Report_BM!$CR$6:$CR$73)</f>
        <v>0</v>
      </c>
      <c r="CE48" s="39">
        <f>SUMIF(Report_BM!$CY$6:$CY$73,CONCATENATE($C48,CI$3),Report_BM!$CS$6:$CS$73)</f>
        <v>18500000</v>
      </c>
      <c r="CF48" s="39">
        <f ca="1">SUMIF(Report_BM!$CY$6:$CY$73,CONCATENATE($C48,CI$3),Report_BM!$CT$6:$CT$73)</f>
        <v>-1850000</v>
      </c>
      <c r="CG48" s="46">
        <f>SUMIF(Report_BM!$CY$6:$CY$73,CONCATENATE($C48,CI$3),Report_BM!$CU$6:$CU$73)</f>
        <v>0</v>
      </c>
      <c r="CH48" s="45">
        <f>SUMIF(Report_BM!$CY$6:$CY$73,CONCATENATE($C48,CI$3),Report_BM!$CV$6:$CV$73)</f>
        <v>0</v>
      </c>
      <c r="CI48" s="39" t="e">
        <f ca="1">SUMIF(Report_BM!$CY$6:$CY$73,CONCATENATE($C48,CI$3),Report_BM!$CW$6:$CW$73)</f>
        <v>#VALUE!</v>
      </c>
      <c r="CJ48" s="103"/>
      <c r="CK48" s="104"/>
      <c r="CL48" s="104"/>
      <c r="CM48" s="104"/>
      <c r="CN48" s="104"/>
      <c r="CO48" s="104"/>
      <c r="CP48" s="45">
        <f>SUMIF(Report_BM!$DP$6:$DP$73,CONCATENATE($C48,CX$3),Report_BM!$DB$6:$DB$73)+SUMIF(Report_BM!$DP$6:$DP$73,CONCATENATE($C48,CX$3),Report_BM!$DE$6:$DE$73)</f>
        <v>0</v>
      </c>
      <c r="CQ48" s="46" t="e">
        <f ca="1">SUMIF(Report_BM!$DP$6:$DP$73,CONCATENATE($C48,$CX$3),Report_BM!$DC$6:$DC$73)+SUMIF(Report_BM!$DP$6:$DP$73,CONCATENATE($C48,$CX$3),Report_BM!$DF$6:$DF$73)</f>
        <v>#VALUE!</v>
      </c>
      <c r="CR48" s="45">
        <f>SUMIF(Report_BM!$DP$6:$DP$73,CONCATENATE($C48,CX$3),Report_BM!$DH$6:$DH$73)</f>
        <v>0</v>
      </c>
      <c r="CS48" s="39">
        <f>SUMIF(Report_BM!$DP$6:$DP$73,CONCATENATE($C48,CX$3),Report_BM!$DI$6:$DI$73)</f>
        <v>0</v>
      </c>
      <c r="CT48" s="39">
        <f>SUMIF(Report_BM!$DP$6:$DP$73,CONCATENATE($C48,CX$3),Report_BM!$DJ$6:$DJ$73)</f>
        <v>18500000</v>
      </c>
      <c r="CU48" s="39">
        <f>SUMIF(Report_BM!$DP$6:$DP$73,CONCATENATE($C48,CX$3),Report_BM!$DK$6:$DK$73)</f>
        <v>-1850000</v>
      </c>
      <c r="CV48" s="46">
        <f>SUMIF(Master_Data!$AK$152:$AK$864,CONCATENATE($C48,CX$3),Master_Data!$T$152:$T$864)</f>
        <v>0</v>
      </c>
      <c r="CW48" s="45">
        <f>SUMIF(Report_BM!$DP$6:$DP$73,CONCATENATE($C48,CX$3),Report_BM!$DM$6:$DM$73)</f>
        <v>0</v>
      </c>
      <c r="CX48" s="39" t="e">
        <f ca="1">SUMIF(Report_BM!$DP$6:$DP$73,CONCATENATE($C48,CX$3),Report_BM!$DN$6:$DN$73)</f>
        <v>#VALUE!</v>
      </c>
      <c r="CY48" s="103"/>
      <c r="CZ48" s="104"/>
      <c r="DA48" s="104"/>
      <c r="DB48" s="104"/>
      <c r="DC48" s="104"/>
      <c r="DD48" s="104"/>
      <c r="DE48" s="45">
        <f>SUMIF(Report_BM!$EG$6:$EG$73,CONCATENATE($C48,DM$3),Report_BM!$DS$6:$DS$73)+SUMIF(Report_BM!$EG$6:$EG$73,CONCATENATE($C48,DM$3),Report_BM!$DV$6:$DV$73)</f>
        <v>0</v>
      </c>
      <c r="DF48" s="46" t="e">
        <f ca="1">SUMIF(Report_BM!$EG$6:$EG$73,CONCATENATE($C48,$DM$3),Report_BM!$DT$6:$DT$73)+SUMIF(Report_BM!$EG$6:$EG$73,CONCATENATE($C48,$DM$3),Report_BM!$DW$6:$DW$73)</f>
        <v>#VALUE!</v>
      </c>
      <c r="DG48" s="45">
        <f>SUMIF(Report_BM!$EG$6:$EG$73,CONCATENATE($C48,DM$3),Report_BM!$DY$6:$DY$73)</f>
        <v>0</v>
      </c>
      <c r="DH48" s="39">
        <f>SUMIF(Report_BM!EG$6:EG$73,CONCATENATE($C48,DM$3),Report_BM!DZ$6:DZ$73)</f>
        <v>0</v>
      </c>
      <c r="DI48" s="39">
        <f>SUMIF(Report_BM!EG$6:EG$73,CONCATENATE($C48,DM$3),Report_BM!$EA$6:$EA$73)</f>
        <v>18500000</v>
      </c>
      <c r="DJ48" s="39">
        <f>SUMIF(Report_BM!EG$6:EG$73,CONCATENATE($C48,DM$3),Report_BM!$EB$6:$EB$73)</f>
        <v>-1850000</v>
      </c>
      <c r="DK48" s="46">
        <f>SUMIF(Master_Data!$AK$152:$AK$864,CONCATENATE($C48,DM$3),Master_Data!$T$152:$T$864)</f>
        <v>0</v>
      </c>
      <c r="DL48" s="45">
        <f>SUMIF(Report_BM!EG$6:EG$73,CONCATENATE($C48,DM$3),Report_BM!ED$6:ED$73)</f>
        <v>0</v>
      </c>
      <c r="DM48" s="39" t="e">
        <f ca="1">SUMIF(Report_BM!EG$6:EG$73,CONCATENATE($C48,DM$3),Report_BM!EE$6:EE$73)</f>
        <v>#VALUE!</v>
      </c>
      <c r="DN48" s="103"/>
      <c r="DO48" s="104"/>
      <c r="DP48" s="104"/>
      <c r="DQ48" s="104"/>
      <c r="DR48" s="104"/>
      <c r="DS48" s="104"/>
      <c r="DT48" s="45">
        <f>SUMIF(Report_BM!$EX$6:$EX$73,CONCATENATE($C48,EB$3),Report_BM!$EJ$6:$EJ$73)+SUMIF(Report_BM!$EX$6:$EX$73,CONCATENATE($C48,EB$3),Report_BM!$EM$6:$EM$73)</f>
        <v>0</v>
      </c>
      <c r="DU48" s="46" t="e">
        <f ca="1">SUMIF(Report_BM!$EX$6:$EX$73,CONCATENATE($C48,$EB$3),Report_BM!$EK$6:$EK$73)+SUMIF(Report_BM!$EX$6:$EX$73,CONCATENATE($C48,$EB$3),Report_BM!$EN$6:$EN$73)</f>
        <v>#VALUE!</v>
      </c>
      <c r="DV48" s="45">
        <f>SUMIF(Report_BM!$EX$6:$EX$73,CONCATENATE($C48,EB$3),Report_BM!$EP$6:$EP$73)</f>
        <v>0</v>
      </c>
      <c r="DW48" s="39">
        <f>SUMIF(Report_BM!$EX$6:$EX$73,CONCATENATE($C48,EB$3),Report_BM!$EQ$6:$EQ$73)</f>
        <v>0</v>
      </c>
      <c r="DX48" s="39">
        <f>SUMIF(Report_BM!$EX$6:$EX$73,CONCATENATE($C48,EB$3),Report_BM!$ER$6:$ER$73)</f>
        <v>6166666.6699999999</v>
      </c>
      <c r="DY48" s="39">
        <f>SUMIF(Report_BM!$EX$6:$EX$73,CONCATENATE($C48,EB$3),Report_BM!$ES$6:$ES$73)</f>
        <v>0</v>
      </c>
      <c r="DZ48" s="46">
        <f>SUMIF(Master_Data!$AK$152:$AK$864,CONCATENATE($C48,EB$3),Master_Data!$T$152:$T$864)</f>
        <v>0</v>
      </c>
      <c r="EA48" s="45">
        <f>SUMIF(Report_BM!EX$6:EX$73,CONCATENATE($C48,EB$3),Report_BM!EU$6:EU$73)</f>
        <v>0</v>
      </c>
      <c r="EB48" s="39">
        <f>SUMIF(Report_BM!EX$6:EX$73,CONCATENATE($C48,EB$3),Report_BM!EV$6:EV$73)</f>
        <v>0</v>
      </c>
      <c r="EC48" s="103"/>
      <c r="ED48" s="104"/>
      <c r="EE48" s="104"/>
      <c r="EF48" s="104"/>
      <c r="EG48" s="104"/>
      <c r="EH48" s="104"/>
      <c r="EI48" s="45">
        <f>SUMIF(Report_BM!$FO$6:$FO$73,CONCATENATE($C48,EQ$3),Report_BM!$FA$6:$FA$73)+SUMIF(Report_BM!$FO$6:$FO$73,CONCATENATE($C48,EQ$3),Report_BM!$FD$6:$FD$73)</f>
        <v>0</v>
      </c>
      <c r="EJ48" s="46" t="e">
        <f>SUMIF(Report_BM!$FO$6:$FO$73,CONCATENATE($C48,$EQ$3),Report_BM!$FB$6:$FB$73)+SUMIF(Report_BM!$FO$6:$FO$73,CONCATENATE($C48,$EQ$3),Report_BM!$FE$6:$FE$73)</f>
        <v>#VALUE!</v>
      </c>
      <c r="EK48" s="45">
        <f>SUMIF(Report_BM!$FO$6:$FO$73,CONCATENATE($C48,EQ$3),Report_BM!$FG$6:$FG$73)</f>
        <v>0</v>
      </c>
      <c r="EL48" s="39">
        <f>SUMIF(Report_BM!$FO$6:$FO$73,CONCATENATE($C48,EQ$3),Report_BM!$FH$6:$FH$73)</f>
        <v>0</v>
      </c>
      <c r="EM48" s="39">
        <f>SUMIF(Report_BM!$FO$6:$FO$73,CONCATENATE($C48,EQ$3),Report_BM!$FI$6:$FI$73)</f>
        <v>0</v>
      </c>
      <c r="EN48" s="39">
        <f>SUMIF(Report_BM!$FO$6:$FO$73,CONCATENATE($C48,EQ$3),Report_BM!$FJ$6:$FJ$73)</f>
        <v>0</v>
      </c>
      <c r="EO48" s="46">
        <f>SUMIF(Master_Data!$AK$152:$AK$864,CONCATENATE($C48,EQ$3),Master_Data!$T$152:$T$864)</f>
        <v>0</v>
      </c>
      <c r="EP48" s="45">
        <f>SUMIF(Report_BM!FO$6:FO$73,CONCATENATE($C48,EQ$3),Report_BM!FL$6:FL$73)</f>
        <v>0</v>
      </c>
      <c r="EQ48" s="39" t="e">
        <f>SUMIF(Report_BM!FO$6:FO$73,CONCATENATE($C48,EQ$3),Report_BM!FM$6:FM$73)</f>
        <v>#VALUE!</v>
      </c>
      <c r="ER48" s="103"/>
      <c r="ES48" s="104"/>
      <c r="ET48" s="104"/>
      <c r="EU48" s="104"/>
      <c r="EV48" s="104"/>
      <c r="EW48" s="104"/>
      <c r="EX48" s="45">
        <f>SUMIF(Report_BM!$GF$6:$GF$73,CONCATENATE($C48,FF$3),Report_BM!$FR$6:$FR$73)+SUMIF(Report_BM!$GF$6:$GF$73,CONCATENATE($C48,FF$3),Report_BM!$FU$6:$FU$73)</f>
        <v>0</v>
      </c>
      <c r="EY48" s="46" t="e">
        <f>SUMIF(Report_BM!$GF$6:$GF$73,CONCATENATE($C48,$FF$3),Report_BM!$FS$6:$FS$73)+SUMIF(Report_BM!$GF$6:$GF$73,CONCATENATE($C48,$FF$3),Report_BM!$FV$6:$FV$73)</f>
        <v>#VALUE!</v>
      </c>
      <c r="EZ48" s="45">
        <f>SUMIF(Report_BM!$GF$6:$GF$73,CONCATENATE($C48,FF$3),Report_BM!$FX$6:$FX$73)</f>
        <v>0</v>
      </c>
      <c r="FA48" s="39">
        <f>SUMIF(Report_BM!$GF$6:$GF$73,CONCATENATE($C48,FF$3),Report_BM!$FY$6:$FY$73)</f>
        <v>0</v>
      </c>
      <c r="FB48" s="39">
        <f>SUMIF(Report_BM!$GF$6:$GF$73,CONCATENATE($C48,FF$3),Report_BM!$FZ$6:$FZ$73)</f>
        <v>18500000</v>
      </c>
      <c r="FC48" s="39">
        <f>SUMIF(Report_BM!$GF$6:$GF$73,CONCATENATE($C48,FF$3),Report_BM!$GA$6:$GA$73)</f>
        <v>-1850000</v>
      </c>
      <c r="FD48" s="46">
        <f>SUMIF(Master_Data!$AK$152:$AK$864,CONCATENATE($C48,FF$3),Master_Data!$T$152:$T$864)</f>
        <v>0</v>
      </c>
      <c r="FE48" s="45">
        <f>SUMIF(Report_BM!GF$6:GF$73,CONCATENATE($C48,FF$3),Report_BM!GC$6:GC$73)</f>
        <v>0</v>
      </c>
      <c r="FF48" s="39" t="e">
        <f>SUMIF(Report_BM!GF$6:GF$73,CONCATENATE($C48,FF$3),Report_BM!GD$6:GD$73)</f>
        <v>#VALUE!</v>
      </c>
      <c r="FG48" s="103"/>
      <c r="FH48" s="104"/>
      <c r="FI48" s="104"/>
      <c r="FJ48" s="104"/>
      <c r="FK48" s="104"/>
      <c r="FL48" s="104"/>
      <c r="FM48" s="45">
        <f>SUMIF(Report_BM!$GW$6:$GW$73,CONCATENATE($C48,FU$3),Report_BM!$GI$6:$GI$73)+SUMIF(Report_BM!$GW$6:$GW$73,CONCATENATE($C48,FU$3),Report_BM!$GL$6:$GL$73)</f>
        <v>0</v>
      </c>
      <c r="FN48" s="46" t="e">
        <f>SUMIF(Report_BM!$GW$6:$GW$73,CONCATENATE($C48,$FU$3),Report_BM!$GJ$6:$GJ$73)+SUMIF(Report_BM!$GW$6:$GW$73,CONCATENATE($C48,$FU$3),Report_BM!$GM$6:$GM$73)</f>
        <v>#VALUE!</v>
      </c>
      <c r="FO48" s="45">
        <f>SUMIF(Report_BM!$GW$6:$GW$73,CONCATENATE($C48,FU$3),Report_BM!$GO$6:$GO$73)</f>
        <v>0</v>
      </c>
      <c r="FP48" s="39">
        <f>SUMIF(Report_BM!$GW$6:$GW$73,CONCATENATE($C48,FU$3),Report_BM!$GP$6:$GP$73)</f>
        <v>0</v>
      </c>
      <c r="FQ48" s="39">
        <f>SUMIF(Report_BM!$GW$6:$GW$73,CONCATENATE($C48,FU$3),Report_BM!$GQ$6:$GQ$73)</f>
        <v>0</v>
      </c>
      <c r="FR48" s="39">
        <f>SUMIF(Report_BM!$GW$6:$GW$73,CONCATENATE($C48,FU$3),Report_BM!$GR$6:$GR$73)</f>
        <v>0</v>
      </c>
      <c r="FS48" s="46">
        <f>SUMIF(Master_Data!$AK$152:$AK$864,CONCATENATE($C48,FU$3),Master_Data!$T$152:$T$864)</f>
        <v>0</v>
      </c>
      <c r="FT48" s="45">
        <f>SUMIF(Report_BM!GW$6:GW$73,CONCATENATE($C48,FU$3),Report_BM!GT$6:GT$73)</f>
        <v>0</v>
      </c>
      <c r="FU48" s="39" t="e">
        <f>SUMIF(Report_BM!GW$6:GW$73,CONCATENATE($C48,FU$3),Report_BM!GU$6:GU$73)</f>
        <v>#VALUE!</v>
      </c>
      <c r="FV48" s="103"/>
      <c r="FW48" s="104"/>
      <c r="FX48" s="104"/>
      <c r="FY48" s="104"/>
      <c r="FZ48" s="104"/>
      <c r="GA48" s="104"/>
    </row>
    <row r="49" spans="1:183" s="40" customFormat="1" ht="14.1" customHeight="1">
      <c r="A49" s="9">
        <v>43</v>
      </c>
      <c r="B49" s="21" t="s">
        <v>2190</v>
      </c>
      <c r="C49" s="8" t="s">
        <v>1621</v>
      </c>
      <c r="D49" s="45">
        <f>SUMIF(Report_BM!$B$6:$B$73,CONCATENATE($C49,L$3),Report_BM!$E$6:$E$73)+SUMIF(Report_BM!$B$6:$B$73,CONCATENATE($C49,L$3),Report_BM!$H$6:$H$73)</f>
        <v>0</v>
      </c>
      <c r="E49" s="276">
        <f>SUMIF(Report_BM!$B$6:$B$73,CONCATENATE($C49,L$3),Report_BM!$F$6:$F$73)+SUMIF(Report_BM!$B$6:$B$73,CONCATENATE($C49,L$3),Report_BM!$I$6:$I$73)</f>
        <v>0</v>
      </c>
      <c r="F49" s="45">
        <f>SUMIF(Report_BM!$B$6:$B$73,CONCATENATE($C49,L$3),Report_BM!$K$6:$K$73)</f>
        <v>0</v>
      </c>
      <c r="G49" s="39">
        <f>SUMIF(Report_BM!$B$6:$B$73,CONCATENATE($C49,$L$3),Report_BM!$L$6:$L$73)</f>
        <v>0</v>
      </c>
      <c r="H49" s="39">
        <f>SUMIF(Report_BM!$B$6:$B$73,CONCATENATE($C49,$L$3),Report_BM!$M$6:$M$73)</f>
        <v>0</v>
      </c>
      <c r="I49" s="39">
        <f>SUMIF(Report_BM!$B$6:$B$73,CONCATENATE($C49,$L$3),Report_BM!$N$6:$N$73)</f>
        <v>0</v>
      </c>
      <c r="J49" s="46">
        <f>SUMIF(Report_BM!$B$6:$B$73,CONCATENATE($C49,$L$3),Report_BM!$O$6:$O$73)</f>
        <v>0</v>
      </c>
      <c r="K49" s="45">
        <f>SUMIF(Report_BM!$B$6:$B$73,CONCATENATE($C49,$L$3),Report_BM!$P$6:$P$73)</f>
        <v>0</v>
      </c>
      <c r="L49" s="39">
        <f>SUMIF(Report_BM!$B$6:$B$73,CONCATENATE($C49,$L$3),Report_BM!$Q$6:$Q$73)</f>
        <v>0</v>
      </c>
      <c r="M49" s="103"/>
      <c r="N49" s="104"/>
      <c r="O49" s="104"/>
      <c r="P49" s="104"/>
      <c r="Q49" s="104"/>
      <c r="R49" s="104"/>
      <c r="S49" s="45">
        <f>SUMIF(Report_BM!$AI$8:$AI$72,CONCATENATE($C49,AA$3),Report_BM!$U$8:$U$72)+SUMIF(Report_BM!$AI$8:$AI$72,CONCATENATE($C49,AA$3),Report_BM!$X$8:$X$72)</f>
        <v>0</v>
      </c>
      <c r="T49" s="276">
        <f>SUMIF(Report_BM!$AI$8:$AI$72,CONCATENATE($C49,AA$3),Report_BM!$V$8:$V$72)+SUMIF(Report_BM!$AI$8:$AI$72,CONCATENATE($C49,AA$3),Report_BM!$Y$8:$Y$72)</f>
        <v>0</v>
      </c>
      <c r="U49" s="45">
        <f>SUMIF(Report_BM!$AI$8:$AI$72,CONCATENATE($C49,AA$3),Report_BM!$AA$8:$AB$72)</f>
        <v>0</v>
      </c>
      <c r="V49" s="39">
        <f>SUMIF(Report_BM!$AI$8:$AI$72,CONCATENATE($C49,$AA$3),Report_BM!$AB$8:$AB$72)</f>
        <v>0</v>
      </c>
      <c r="W49" s="39">
        <f>SUMIF(Report_BM!$AI$8:$AI$72,CONCATENATE($C49,$AA$3),Report_BM!$AC$8:$AC$72)</f>
        <v>0</v>
      </c>
      <c r="X49" s="39">
        <f ca="1">SUMIF(Report_BM!$AI$7:$AI$73,CONCATENATE($C49,$AA$3),Report_BM!$AD$7:$AD$73)</f>
        <v>0</v>
      </c>
      <c r="Y49" s="46">
        <f>SUMIF(Master_Data!$AK$152:$AK$864,CONCATENATE($C49,AA$3),Master_Data!$T$152:$T$864)</f>
        <v>0</v>
      </c>
      <c r="Z49" s="45">
        <f>SUMIF(Report_BM!$AI$8:$AI$72,CONCATENATE($C49,$AA$3),Report_BM!$AF$8:$AF$72)</f>
        <v>0</v>
      </c>
      <c r="AA49" s="39">
        <f ca="1">SUMIF(Report_BM!$AI$8:$AI$72,CONCATENATE($C49,$AA$3),Report_BM!$AG$8:$AG$72)</f>
        <v>0</v>
      </c>
      <c r="AB49" s="103"/>
      <c r="AC49" s="104"/>
      <c r="AD49" s="104"/>
      <c r="AE49" s="104"/>
      <c r="AF49" s="104"/>
      <c r="AG49" s="104"/>
      <c r="AH49" s="45">
        <f>SUMIF(Report_BM!$AZ$5:$AZ$72,CONCATENATE($C49,AP$3),Report_BM!$AL$5:$AL$72)+SUMIF(Report_BM!$AZ$5:$AZ$72,CONCATENATE($C49,AP$3),Report_BM!$AO$5:$AO$72)</f>
        <v>0</v>
      </c>
      <c r="AI49" s="46">
        <f ca="1">SUMIF(Report_BM!$AZ$5:$AZ$72,CONCATENATE($C49,$AP$3),Report_BM!$AM$5:$AM$72)+SUMIF(Report_BM!$AZ$5:$AZ$72,CONCATENATE($C49,$AP$3),Report_BM!$AP$5:$AP$72)</f>
        <v>0</v>
      </c>
      <c r="AJ49" s="45">
        <f>SUMIF(Report_BM!$AZ$5:$AZ$72,CONCATENATE($C49,$AP$3),Report_BM!$AR$5:$AR$72)</f>
        <v>0</v>
      </c>
      <c r="AK49" s="39">
        <f>SUMIF(Report_BM!$AZ$5:$AZ$72,CONCATENATE($C49,$AP$3),Report_BM!$AS$5:$AS$72)</f>
        <v>0</v>
      </c>
      <c r="AL49" s="39">
        <f>SUMIF(Report_BM!$AZ$5:$AZ$72,CONCATENATE($C49,$AP$3),Report_BM!$AT$5:$AT$72)</f>
        <v>0</v>
      </c>
      <c r="AM49" s="39">
        <f ca="1">SUMIF(Report_BM!$AZ$5:$AZ$72,CONCATENATE($C49,$AP$3),Report_BM!$AU$5:$AU$72)</f>
        <v>0</v>
      </c>
      <c r="AN49" s="46">
        <f>SUMIF(Master_Data!$AK$152:$AK$915,CONCATENATE($C49,AP$3),Master_Data!$T$152:$T$915)</f>
        <v>0</v>
      </c>
      <c r="AO49" s="45">
        <f>SUMIF(Report_BM!$AZ$5:$AZ$72,CONCATENATE($C49,$AP$3),Report_BM!$AW$5:$AW$72)</f>
        <v>0</v>
      </c>
      <c r="AP49" s="39">
        <f ca="1">SUMIF(Report_BM!$AZ$5:$AZ$72,CONCATENATE($C49,$AP$3),Report_BM!$AX$5:$AX$72)</f>
        <v>0</v>
      </c>
      <c r="AQ49" s="103"/>
      <c r="AR49" s="104"/>
      <c r="AS49" s="104"/>
      <c r="AT49" s="104"/>
      <c r="AU49" s="104"/>
      <c r="AV49" s="104"/>
      <c r="AW49" s="45">
        <f>SUMIF(Report_BM!$BQ$6:$BQ$73,CONCATENATE($C49,BE$3),Report_BM!$BC$6:$BC$73)+SUMIF(Report_BM!$BQ$6:$BQ$73,CONCATENATE($C49,BE$3),Report_BM!$BF$6:$BF$73)</f>
        <v>0</v>
      </c>
      <c r="AX49" s="46">
        <f ca="1">SUMIF(Report_BM!$BQ$6:$BQ$73,CONCATENATE($C49,$BE$3),Report_BM!$BD$6:$BD$73)+SUMIF(Report_BM!$BQ$6:$BQ$73,CONCATENATE($C49,$BE$3),Report_BM!$BG$6:$BG$73)</f>
        <v>0</v>
      </c>
      <c r="AY49" s="45">
        <f>SUMIF(Report_BM!$BQ$6:$BQ$73,CONCATENATE($C49,BE$3),Report_BM!$BI$6:$BI$73)</f>
        <v>0</v>
      </c>
      <c r="AZ49" s="39">
        <f>SUMIF(Report_BM!$BQ$6:$BQ$73,CONCATENATE($C49,BE$3),Report_BM!$BJ$6:$BJ$73)</f>
        <v>0</v>
      </c>
      <c r="BA49" s="39">
        <f>SUMIF(Report_BM!$BQ$6:$BQ$73,CONCATENATE($C49,BE$3),Report_BM!$BK$6:$BK$73)</f>
        <v>0</v>
      </c>
      <c r="BB49" s="39">
        <f>SUMIF(Report_BM!$BQ$6:$BQ$73,CONCATENATE($C49,BE$3),Report_BM!$BL$6:$BL$73)</f>
        <v>0</v>
      </c>
      <c r="BC49" s="46">
        <f>SUMIF(Master_Data!$AK$152:$AK$864,CONCATENATE($C49,BE$3),Master_Data!$T$152:$T$864)</f>
        <v>0</v>
      </c>
      <c r="BD49" s="45">
        <f>SUMIF(Report_BM!$BQ$6:$BQ$73,CONCATENATE($C49,BE$3),Report_BM!$BN$6:$BN$73)</f>
        <v>0</v>
      </c>
      <c r="BE49" s="39">
        <f ca="1">SUMIF(Report_BM!$BQ$6:$BQ$73,CONCATENATE($C49,BE$3),Report_BM!$BO$6:$BO$73)</f>
        <v>0</v>
      </c>
      <c r="BF49" s="103"/>
      <c r="BG49" s="104"/>
      <c r="BH49" s="104"/>
      <c r="BI49" s="104"/>
      <c r="BJ49" s="104"/>
      <c r="BK49" s="104"/>
      <c r="BL49" s="45">
        <f>SUMIF(Report_BM!$CH$6:$CH$73,CONCATENATE($C49,BT$3),Report_BM!$BT$6:$BT$73)+SUMIF(Report_BM!$CH$6:$CH$73,CONCATENATE($C49,BT$3),Report_BM!$BW$6:$BW$73)</f>
        <v>0</v>
      </c>
      <c r="BM49" s="46">
        <f ca="1">SUMIF(Report_BM!$CH$6:$CH$73,CONCATENATE($C49,$BT$3),Report_BM!$BU$6:$BU$73)+SUMIF(Report_BM!$CH$6:$CH$73,CONCATENATE($C49,$BT$3),Report_BM!$BX$6:$BX$73)</f>
        <v>0</v>
      </c>
      <c r="BN49" s="45">
        <f>SUMIF(Report_BM!$CH$6:$CH$73,CONCATENATE($C49,BT$3),Report_BM!$BZ$6:$BZ$73)</f>
        <v>0</v>
      </c>
      <c r="BO49" s="39">
        <f>SUMIF(Report_BM!$CH$6:$CH$73,CONCATENATE($C49,BT$3),Report_BM!$CA$6:$CA$73)</f>
        <v>0</v>
      </c>
      <c r="BP49" s="39">
        <f>SUMIF(Report_BM!$CH$6:$CH$73,CONCATENATE($C49,BT$3),Report_BM!$CB$6:$CB$73)</f>
        <v>0</v>
      </c>
      <c r="BQ49" s="39">
        <f>SUMIF(Report_BM!$CH$6:$CH$73,CONCATENATE($C49,BT$3),Report_BM!$CC$6:$CC$73)</f>
        <v>0</v>
      </c>
      <c r="BR49" s="46">
        <f>SUMIF(Master_Data!$AK$152:$AK$864,CONCATENATE($C49,BT$3),Master_Data!$T$152:$T$864)</f>
        <v>0</v>
      </c>
      <c r="BS49" s="45">
        <f>SUMIF(Report_BM!$CH$6:$CH$73,CONCATENATE($C49,BT$3),Report_BM!$CE$6:$CE$73)</f>
        <v>0</v>
      </c>
      <c r="BT49" s="39">
        <f ca="1">SUMIF(Report_BM!$CH$6:$CH$73,CONCATENATE($C49,BT$3),Report_BM!$CF$6:$CF$73)</f>
        <v>0</v>
      </c>
      <c r="BU49" s="103"/>
      <c r="BV49" s="104"/>
      <c r="BW49" s="104"/>
      <c r="BX49" s="104"/>
      <c r="BY49" s="104"/>
      <c r="BZ49" s="104"/>
      <c r="CA49" s="45">
        <f>SUMIF(Report_BM!$CY$6:$CY$73,CONCATENATE($C49,CI$3),Report_BM!$CK$6:$CK$73)+SUMIF(Report_BM!$CY$6:$CY$73,CONCATENATE($C49,CI$3),Report_BM!$CN$6:$CN$73)</f>
        <v>0</v>
      </c>
      <c r="CB49" s="46">
        <f ca="1">SUMIF(Report_BM!$CY$6:$CY$73,CONCATENATE($C49,$CI$3),Report_BM!$CL$6:$CL$73)+SUMIF(Report_BM!$CY$6:$CY$73,CONCATENATE($C49,$CI$3),Report_BM!$CO$6:$CO$73)</f>
        <v>0</v>
      </c>
      <c r="CC49" s="45">
        <f>SUMIF(Report_BM!$CY$6:$CY$73,CONCATENATE($C49,CI$3),Report_BM!$CQ$6:$CQ$73)</f>
        <v>0</v>
      </c>
      <c r="CD49" s="39">
        <f>SUMIF(Report_BM!$CY$6:$CY$73,CONCATENATE($C49,CI$3),Report_BM!$CR$6:$CR$73)</f>
        <v>0</v>
      </c>
      <c r="CE49" s="39">
        <f>SUMIF(Report_BM!$CY$6:$CY$73,CONCATENATE($C49,CI$3),Report_BM!$CS$6:$CS$73)</f>
        <v>0</v>
      </c>
      <c r="CF49" s="39">
        <f ca="1">SUMIF(Report_BM!$CY$6:$CY$73,CONCATENATE($C49,CI$3),Report_BM!$CT$6:$CT$73)</f>
        <v>0</v>
      </c>
      <c r="CG49" s="46">
        <f>SUMIF(Report_BM!$CY$6:$CY$73,CONCATENATE($C49,CI$3),Report_BM!$CU$6:$CU$73)</f>
        <v>0</v>
      </c>
      <c r="CH49" s="45">
        <f>SUMIF(Report_BM!$CY$6:$CY$73,CONCATENATE($C49,CI$3),Report_BM!$CV$6:$CV$73)</f>
        <v>0</v>
      </c>
      <c r="CI49" s="39">
        <f ca="1">SUMIF(Report_BM!$CY$6:$CY$73,CONCATENATE($C49,CI$3),Report_BM!$CW$6:$CW$73)</f>
        <v>0</v>
      </c>
      <c r="CJ49" s="103"/>
      <c r="CK49" s="104"/>
      <c r="CL49" s="104"/>
      <c r="CM49" s="104"/>
      <c r="CN49" s="104"/>
      <c r="CO49" s="104"/>
      <c r="CP49" s="45">
        <f>SUMIF(Report_BM!$DP$6:$DP$73,CONCATENATE($C49,CX$3),Report_BM!$DB$6:$DB$73)+SUMIF(Report_BM!$DP$6:$DP$73,CONCATENATE($C49,CX$3),Report_BM!$DE$6:$DE$73)</f>
        <v>0</v>
      </c>
      <c r="CQ49" s="46">
        <f ca="1">SUMIF(Report_BM!$DP$6:$DP$73,CONCATENATE($C49,$CX$3),Report_BM!$DC$6:$DC$73)+SUMIF(Report_BM!$DP$6:$DP$73,CONCATENATE($C49,$CX$3),Report_BM!$DF$6:$DF$73)</f>
        <v>0</v>
      </c>
      <c r="CR49" s="45">
        <f>SUMIF(Report_BM!$DP$6:$DP$73,CONCATENATE($C49,CX$3),Report_BM!$DH$6:$DH$73)</f>
        <v>0</v>
      </c>
      <c r="CS49" s="39">
        <f>SUMIF(Report_BM!$DP$6:$DP$73,CONCATENATE($C49,CX$3),Report_BM!$DI$6:$DI$73)</f>
        <v>0</v>
      </c>
      <c r="CT49" s="39">
        <f>SUMIF(Report_BM!$DP$6:$DP$73,CONCATENATE($C49,CX$3),Report_BM!$DJ$6:$DJ$73)</f>
        <v>0</v>
      </c>
      <c r="CU49" s="39">
        <f>SUMIF(Report_BM!$DP$6:$DP$73,CONCATENATE($C49,CX$3),Report_BM!$DK$6:$DK$73)</f>
        <v>0</v>
      </c>
      <c r="CV49" s="46">
        <f>SUMIF(Master_Data!$AK$152:$AK$864,CONCATENATE($C49,CX$3),Master_Data!$T$152:$T$864)</f>
        <v>0</v>
      </c>
      <c r="CW49" s="45">
        <f>SUMIF(Report_BM!$DP$6:$DP$73,CONCATENATE($C49,CX$3),Report_BM!$DM$6:$DM$73)</f>
        <v>0</v>
      </c>
      <c r="CX49" s="39">
        <f ca="1">SUMIF(Report_BM!$DP$6:$DP$73,CONCATENATE($C49,CX$3),Report_BM!$DN$6:$DN$73)</f>
        <v>0</v>
      </c>
      <c r="CY49" s="103"/>
      <c r="CZ49" s="104"/>
      <c r="DA49" s="104"/>
      <c r="DB49" s="104"/>
      <c r="DC49" s="104"/>
      <c r="DD49" s="104"/>
      <c r="DE49" s="45">
        <f>SUMIF(Report_BM!$EG$6:$EG$73,CONCATENATE($C49,DM$3),Report_BM!$DS$6:$DS$73)+SUMIF(Report_BM!$EG$6:$EG$73,CONCATENATE($C49,DM$3),Report_BM!$DV$6:$DV$73)</f>
        <v>0</v>
      </c>
      <c r="DF49" s="46">
        <f ca="1">SUMIF(Report_BM!$EG$6:$EG$73,CONCATENATE($C49,$DM$3),Report_BM!$DT$6:$DT$73)+SUMIF(Report_BM!$EG$6:$EG$73,CONCATENATE($C49,$DM$3),Report_BM!$DW$6:$DW$73)</f>
        <v>0</v>
      </c>
      <c r="DG49" s="45">
        <f>SUMIF(Report_BM!$EG$6:$EG$73,CONCATENATE($C49,DM$3),Report_BM!$DY$6:$DY$73)</f>
        <v>0</v>
      </c>
      <c r="DH49" s="39">
        <f>SUMIF(Report_BM!EG$6:EG$73,CONCATENATE($C49,DM$3),Report_BM!DZ$6:DZ$73)</f>
        <v>0</v>
      </c>
      <c r="DI49" s="39">
        <f>SUMIF(Report_BM!EG$6:EG$73,CONCATENATE($C49,DM$3),Report_BM!$EA$6:$EA$73)</f>
        <v>0</v>
      </c>
      <c r="DJ49" s="39">
        <f>SUMIF(Report_BM!EG$6:EG$73,CONCATENATE($C49,DM$3),Report_BM!$EB$6:$EB$73)</f>
        <v>0</v>
      </c>
      <c r="DK49" s="46">
        <f>SUMIF(Master_Data!$AK$152:$AK$864,CONCATENATE($C49,DM$3),Master_Data!$T$152:$T$864)</f>
        <v>0</v>
      </c>
      <c r="DL49" s="45">
        <f>SUMIF(Report_BM!EG$6:EG$73,CONCATENATE($C49,DM$3),Report_BM!ED$6:ED$73)</f>
        <v>0</v>
      </c>
      <c r="DM49" s="39">
        <f ca="1">SUMIF(Report_BM!EG$6:EG$73,CONCATENATE($C49,DM$3),Report_BM!EE$6:EE$73)</f>
        <v>0</v>
      </c>
      <c r="DN49" s="103"/>
      <c r="DO49" s="104"/>
      <c r="DP49" s="104"/>
      <c r="DQ49" s="104"/>
      <c r="DR49" s="104"/>
      <c r="DS49" s="104"/>
      <c r="DT49" s="45">
        <f>SUMIF(Report_BM!$EX$6:$EX$73,CONCATENATE($C49,EB$3),Report_BM!$EJ$6:$EJ$73)+SUMIF(Report_BM!$EX$6:$EX$73,CONCATENATE($C49,EB$3),Report_BM!$EM$6:$EM$73)</f>
        <v>0</v>
      </c>
      <c r="DU49" s="46">
        <f ca="1">SUMIF(Report_BM!$EX$6:$EX$73,CONCATENATE($C49,$EB$3),Report_BM!$EK$6:$EK$73)+SUMIF(Report_BM!$EX$6:$EX$73,CONCATENATE($C49,$EB$3),Report_BM!$EN$6:$EN$73)</f>
        <v>0</v>
      </c>
      <c r="DV49" s="45">
        <f>SUMIF(Report_BM!$EX$6:$EX$73,CONCATENATE($C49,EB$3),Report_BM!$EP$6:$EP$73)</f>
        <v>0</v>
      </c>
      <c r="DW49" s="39">
        <f>SUMIF(Report_BM!$EX$6:$EX$73,CONCATENATE($C49,EB$3),Report_BM!$EQ$6:$EQ$73)</f>
        <v>0</v>
      </c>
      <c r="DX49" s="39">
        <f>SUMIF(Report_BM!$EX$6:$EX$73,CONCATENATE($C49,EB$3),Report_BM!$ER$6:$ER$73)</f>
        <v>0</v>
      </c>
      <c r="DY49" s="39">
        <f>SUMIF(Report_BM!$EX$6:$EX$73,CONCATENATE($C49,EB$3),Report_BM!$ES$6:$ES$73)</f>
        <v>0</v>
      </c>
      <c r="DZ49" s="46">
        <f>SUMIF(Master_Data!$AK$152:$AK$864,CONCATENATE($C49,EB$3),Master_Data!$T$152:$T$864)</f>
        <v>0</v>
      </c>
      <c r="EA49" s="45">
        <f>SUMIF(Report_BM!EX$6:EX$73,CONCATENATE($C49,EB$3),Report_BM!EU$6:EU$73)</f>
        <v>0</v>
      </c>
      <c r="EB49" s="39">
        <f>SUMIF(Report_BM!EX$6:EX$73,CONCATENATE($C49,EB$3),Report_BM!EV$6:EV$73)</f>
        <v>0</v>
      </c>
      <c r="EC49" s="103"/>
      <c r="ED49" s="104"/>
      <c r="EE49" s="104"/>
      <c r="EF49" s="104"/>
      <c r="EG49" s="104"/>
      <c r="EH49" s="104"/>
      <c r="EI49" s="45">
        <f>SUMIF(Report_BM!$FO$6:$FO$73,CONCATENATE($C49,EQ$3),Report_BM!$FA$6:$FA$73)+SUMIF(Report_BM!$FO$6:$FO$73,CONCATENATE($C49,EQ$3),Report_BM!$FD$6:$FD$73)</f>
        <v>0</v>
      </c>
      <c r="EJ49" s="46">
        <f>SUMIF(Report_BM!$FO$6:$FO$73,CONCATENATE($C49,$EQ$3),Report_BM!$FB$6:$FB$73)+SUMIF(Report_BM!$FO$6:$FO$73,CONCATENATE($C49,$EQ$3),Report_BM!$FE$6:$FE$73)</f>
        <v>0</v>
      </c>
      <c r="EK49" s="45">
        <f>SUMIF(Report_BM!$FO$6:$FO$73,CONCATENATE($C49,EQ$3),Report_BM!$FG$6:$FG$73)</f>
        <v>0</v>
      </c>
      <c r="EL49" s="39">
        <f>SUMIF(Report_BM!$FO$6:$FO$73,CONCATENATE($C49,EQ$3),Report_BM!$FH$6:$FH$73)</f>
        <v>0</v>
      </c>
      <c r="EM49" s="39">
        <f>SUMIF(Report_BM!$FO$6:$FO$73,CONCATENATE($C49,EQ$3),Report_BM!$FI$6:$FI$73)</f>
        <v>0</v>
      </c>
      <c r="EN49" s="39">
        <f>SUMIF(Report_BM!$FO$6:$FO$73,CONCATENATE($C49,EQ$3),Report_BM!$FJ$6:$FJ$73)</f>
        <v>0</v>
      </c>
      <c r="EO49" s="46">
        <f>SUMIF(Master_Data!$AK$152:$AK$864,CONCATENATE($C49,EQ$3),Master_Data!$T$152:$T$864)</f>
        <v>0</v>
      </c>
      <c r="EP49" s="45">
        <f>SUMIF(Report_BM!FO$6:FO$73,CONCATENATE($C49,EQ$3),Report_BM!FL$6:FL$73)</f>
        <v>0</v>
      </c>
      <c r="EQ49" s="39">
        <f>SUMIF(Report_BM!FO$6:FO$73,CONCATENATE($C49,EQ$3),Report_BM!FM$6:FM$73)</f>
        <v>0</v>
      </c>
      <c r="ER49" s="103"/>
      <c r="ES49" s="104"/>
      <c r="ET49" s="104"/>
      <c r="EU49" s="104"/>
      <c r="EV49" s="104"/>
      <c r="EW49" s="104"/>
      <c r="EX49" s="45">
        <f>SUMIF(Report_BM!$GF$6:$GF$73,CONCATENATE($C49,FF$3),Report_BM!$FR$6:$FR$73)+SUMIF(Report_BM!$GF$6:$GF$73,CONCATENATE($C49,FF$3),Report_BM!$FU$6:$FU$73)</f>
        <v>0</v>
      </c>
      <c r="EY49" s="46">
        <f>SUMIF(Report_BM!$GF$6:$GF$73,CONCATENATE($C49,$FF$3),Report_BM!$FS$6:$FS$73)+SUMIF(Report_BM!$GF$6:$GF$73,CONCATENATE($C49,$FF$3),Report_BM!$FV$6:$FV$73)</f>
        <v>0</v>
      </c>
      <c r="EZ49" s="45">
        <f>SUMIF(Report_BM!$GF$6:$GF$73,CONCATENATE($C49,FF$3),Report_BM!$FX$6:$FX$73)</f>
        <v>0</v>
      </c>
      <c r="FA49" s="39">
        <f>SUMIF(Report_BM!$GF$6:$GF$73,CONCATENATE($C49,FF$3),Report_BM!$FY$6:$FY$73)</f>
        <v>0</v>
      </c>
      <c r="FB49" s="39">
        <f>SUMIF(Report_BM!$GF$6:$GF$73,CONCATENATE($C49,FF$3),Report_BM!$FZ$6:$FZ$73)</f>
        <v>0</v>
      </c>
      <c r="FC49" s="39">
        <f>SUMIF(Report_BM!$GF$6:$GF$73,CONCATENATE($C49,FF$3),Report_BM!$GA$6:$GA$73)</f>
        <v>0</v>
      </c>
      <c r="FD49" s="46">
        <f>SUMIF(Master_Data!$AK$152:$AK$864,CONCATENATE($C49,FF$3),Master_Data!$T$152:$T$864)</f>
        <v>0</v>
      </c>
      <c r="FE49" s="45">
        <f>SUMIF(Report_BM!GF$6:GF$73,CONCATENATE($C49,FF$3),Report_BM!GC$6:GC$73)</f>
        <v>0</v>
      </c>
      <c r="FF49" s="39">
        <f>SUMIF(Report_BM!GF$6:GF$73,CONCATENATE($C49,FF$3),Report_BM!GD$6:GD$73)</f>
        <v>0</v>
      </c>
      <c r="FG49" s="103"/>
      <c r="FH49" s="104"/>
      <c r="FI49" s="104"/>
      <c r="FJ49" s="104"/>
      <c r="FK49" s="104"/>
      <c r="FL49" s="104"/>
      <c r="FM49" s="45">
        <f>SUMIF(Report_BM!$GW$6:$GW$73,CONCATENATE($C49,FU$3),Report_BM!$GI$6:$GI$73)+SUMIF(Report_BM!$GW$6:$GW$73,CONCATENATE($C49,FU$3),Report_BM!$GL$6:$GL$73)</f>
        <v>0</v>
      </c>
      <c r="FN49" s="46">
        <f>SUMIF(Report_BM!$GW$6:$GW$73,CONCATENATE($C49,$FU$3),Report_BM!$GJ$6:$GJ$73)+SUMIF(Report_BM!$GW$6:$GW$73,CONCATENATE($C49,$FU$3),Report_BM!$GM$6:$GM$73)</f>
        <v>0</v>
      </c>
      <c r="FO49" s="45">
        <f>SUMIF(Report_BM!$GW$6:$GW$73,CONCATENATE($C49,FU$3),Report_BM!$GO$6:$GO$73)</f>
        <v>0</v>
      </c>
      <c r="FP49" s="39">
        <f>SUMIF(Report_BM!$GW$6:$GW$73,CONCATENATE($C49,FU$3),Report_BM!$GP$6:$GP$73)</f>
        <v>0</v>
      </c>
      <c r="FQ49" s="39">
        <f>SUMIF(Report_BM!$GW$6:$GW$73,CONCATENATE($C49,FU$3),Report_BM!$GQ$6:$GQ$73)</f>
        <v>0</v>
      </c>
      <c r="FR49" s="39">
        <f>SUMIF(Report_BM!$GW$6:$GW$73,CONCATENATE($C49,FU$3),Report_BM!$GR$6:$GR$73)</f>
        <v>0</v>
      </c>
      <c r="FS49" s="46">
        <f>SUMIF(Master_Data!$AK$152:$AK$864,CONCATENATE($C49,FU$3),Master_Data!$T$152:$T$864)</f>
        <v>0</v>
      </c>
      <c r="FT49" s="45">
        <f>SUMIF(Report_BM!GW$6:GW$73,CONCATENATE($C49,FU$3),Report_BM!GT$6:GT$73)</f>
        <v>0</v>
      </c>
      <c r="FU49" s="39">
        <f>SUMIF(Report_BM!GW$6:GW$73,CONCATENATE($C49,FU$3),Report_BM!GU$6:GU$73)</f>
        <v>0</v>
      </c>
      <c r="FV49" s="103"/>
      <c r="FW49" s="104"/>
      <c r="FX49" s="104"/>
      <c r="FY49" s="104"/>
      <c r="FZ49" s="104"/>
      <c r="GA49" s="104"/>
    </row>
    <row r="50" spans="1:183" s="40" customFormat="1" ht="14.1" customHeight="1">
      <c r="A50" s="9">
        <v>44</v>
      </c>
      <c r="B50" s="328" t="s">
        <v>14</v>
      </c>
      <c r="C50" s="8" t="s">
        <v>762</v>
      </c>
      <c r="D50" s="45">
        <f>SUMIF(Report_BM!$B$6:$B$73,CONCATENATE($C50,L$3),Report_BM!$E$6:$E$73)+SUMIF(Report_BM!$B$6:$B$73,CONCATENATE($C50,L$3),Report_BM!$H$6:$H$73)</f>
        <v>0</v>
      </c>
      <c r="E50" s="276">
        <f>SUMIF(Report_BM!$B$6:$B$73,CONCATENATE($C50,L$3),Report_BM!$F$6:$F$73)+SUMIF(Report_BM!$B$6:$B$73,CONCATENATE($C50,L$3),Report_BM!$I$6:$I$73)</f>
        <v>0</v>
      </c>
      <c r="F50" s="45">
        <f>SUMIF(Report_BM!$B$6:$B$73,CONCATENATE($C50,L$3),Report_BM!$K$6:$K$73)</f>
        <v>0</v>
      </c>
      <c r="G50" s="39">
        <f>SUMIF(Report_BM!$B$6:$B$73,CONCATENATE($C50,$L$3),Report_BM!$L$6:$L$73)</f>
        <v>0</v>
      </c>
      <c r="H50" s="39">
        <f>SUMIF(Report_BM!$B$6:$B$73,CONCATENATE($C50,$L$3),Report_BM!$M$6:$M$73)</f>
        <v>0</v>
      </c>
      <c r="I50" s="39">
        <f>SUMIF(Report_BM!$B$6:$B$73,CONCATENATE($C50,$L$3),Report_BM!$N$6:$N$73)</f>
        <v>0</v>
      </c>
      <c r="J50" s="46">
        <f>SUMIF(Report_BM!$B$6:$B$73,CONCATENATE($C50,$L$3),Report_BM!$O$6:$O$73)</f>
        <v>0</v>
      </c>
      <c r="K50" s="45">
        <f>SUMIF(Report_BM!$B$6:$B$73,CONCATENATE($C50,$L$3),Report_BM!$P$6:$P$73)</f>
        <v>0</v>
      </c>
      <c r="L50" s="39">
        <f>SUMIF(Report_BM!$B$6:$B$73,CONCATENATE($C50,$L$3),Report_BM!$Q$6:$Q$73)</f>
        <v>0</v>
      </c>
      <c r="M50" s="103"/>
      <c r="N50" s="104"/>
      <c r="O50" s="104"/>
      <c r="P50" s="104"/>
      <c r="Q50" s="104"/>
      <c r="R50" s="104"/>
      <c r="S50" s="45">
        <f>SUMIF(Report_BM!$AI$8:$AI$72,CONCATENATE($C50,AA$3),Report_BM!$U$8:$U$72)+SUMIF(Report_BM!$AI$8:$AI$72,CONCATENATE($C50,AA$3),Report_BM!$X$8:$X$72)</f>
        <v>0</v>
      </c>
      <c r="T50" s="276">
        <f>SUMIF(Report_BM!$AI$8:$AI$72,CONCATENATE($C50,AA$3),Report_BM!$V$8:$V$72)+SUMIF(Report_BM!$AI$8:$AI$72,CONCATENATE($C50,AA$3),Report_BM!$Y$8:$Y$72)</f>
        <v>0</v>
      </c>
      <c r="U50" s="45">
        <f>SUMIF(Report_BM!$AI$8:$AI$72,CONCATENATE($C50,AA$3),Report_BM!$AA$8:$AB$72)</f>
        <v>0</v>
      </c>
      <c r="V50" s="39">
        <f>SUMIF(Report_BM!$AI$8:$AI$72,CONCATENATE($C50,$AA$3),Report_BM!$AB$8:$AB$72)</f>
        <v>0</v>
      </c>
      <c r="W50" s="39">
        <f>SUMIF(Report_BM!$AI$8:$AI$72,CONCATENATE($C50,$AA$3),Report_BM!$AC$8:$AC$72)</f>
        <v>0</v>
      </c>
      <c r="X50" s="39">
        <f ca="1">SUMIF(Report_BM!$AI$7:$AI$73,CONCATENATE($C50,$AA$3),Report_BM!$AD$7:$AD$73)</f>
        <v>0</v>
      </c>
      <c r="Y50" s="46">
        <f>SUMIF(Master_Data!$AK$152:$AK$864,CONCATENATE($C50,AA$3),Master_Data!$T$152:$T$864)</f>
        <v>0</v>
      </c>
      <c r="Z50" s="45">
        <f>SUMIF(Report_BM!$AI$8:$AI$72,CONCATENATE($C50,$AA$3),Report_BM!$AF$8:$AF$72)</f>
        <v>0</v>
      </c>
      <c r="AA50" s="39">
        <f ca="1">SUMIF(Report_BM!$AI$8:$AI$72,CONCATENATE($C50,$AA$3),Report_BM!$AG$8:$AG$72)</f>
        <v>0</v>
      </c>
      <c r="AB50" s="103"/>
      <c r="AC50" s="104"/>
      <c r="AD50" s="104"/>
      <c r="AE50" s="104"/>
      <c r="AF50" s="104"/>
      <c r="AG50" s="104"/>
      <c r="AH50" s="45">
        <f>SUMIF(Report_BM!$AZ$5:$AZ$72,CONCATENATE($C50,AP$3),Report_BM!$AL$5:$AL$72)+SUMIF(Report_BM!$AZ$5:$AZ$72,CONCATENATE($C50,AP$3),Report_BM!$AO$5:$AO$72)</f>
        <v>0</v>
      </c>
      <c r="AI50" s="46">
        <f ca="1">SUMIF(Report_BM!$AZ$5:$AZ$72,CONCATENATE($C50,$AP$3),Report_BM!$AM$5:$AM$72)+SUMIF(Report_BM!$AZ$5:$AZ$72,CONCATENATE($C50,$AP$3),Report_BM!$AP$5:$AP$72)</f>
        <v>0</v>
      </c>
      <c r="AJ50" s="45">
        <f>SUMIF(Report_BM!$AZ$5:$AZ$72,CONCATENATE($C50,$AP$3),Report_BM!$AR$5:$AR$72)</f>
        <v>0</v>
      </c>
      <c r="AK50" s="39">
        <f>SUMIF(Report_BM!$AZ$5:$AZ$72,CONCATENATE($C50,$AP$3),Report_BM!$AS$5:$AS$72)</f>
        <v>0</v>
      </c>
      <c r="AL50" s="39">
        <f>SUMIF(Report_BM!$AZ$5:$AZ$72,CONCATENATE($C50,$AP$3),Report_BM!$AT$5:$AT$72)</f>
        <v>0</v>
      </c>
      <c r="AM50" s="39">
        <f ca="1">SUMIF(Report_BM!$AZ$5:$AZ$72,CONCATENATE($C50,$AP$3),Report_BM!$AU$5:$AU$72)</f>
        <v>0</v>
      </c>
      <c r="AN50" s="46">
        <f>SUMIF(Master_Data!$AK$152:$AK$915,CONCATENATE($C50,AP$3),Master_Data!$T$152:$T$915)</f>
        <v>0</v>
      </c>
      <c r="AO50" s="45">
        <f>SUMIF(Report_BM!$AZ$5:$AZ$72,CONCATENATE($C50,$AP$3),Report_BM!$AW$5:$AW$72)</f>
        <v>0</v>
      </c>
      <c r="AP50" s="39">
        <f ca="1">SUMIF(Report_BM!$AZ$5:$AZ$72,CONCATENATE($C50,$AP$3),Report_BM!$AX$5:$AX$72)</f>
        <v>0</v>
      </c>
      <c r="AQ50" s="103"/>
      <c r="AR50" s="104"/>
      <c r="AS50" s="104"/>
      <c r="AT50" s="104"/>
      <c r="AU50" s="104"/>
      <c r="AV50" s="104"/>
      <c r="AW50" s="45">
        <f>SUMIF(Report_BM!$BQ$6:$BQ$73,CONCATENATE($C50,BE$3),Report_BM!$BC$6:$BC$73)+SUMIF(Report_BM!$BQ$6:$BQ$73,CONCATENATE($C50,BE$3),Report_BM!$BF$6:$BF$73)</f>
        <v>0</v>
      </c>
      <c r="AX50" s="46">
        <f ca="1">SUMIF(Report_BM!$BQ$6:$BQ$73,CONCATENATE($C50,$BE$3),Report_BM!$BD$6:$BD$73)+SUMIF(Report_BM!$BQ$6:$BQ$73,CONCATENATE($C50,$BE$3),Report_BM!$BG$6:$BG$73)</f>
        <v>0</v>
      </c>
      <c r="AY50" s="45">
        <f>SUMIF(Report_BM!$BQ$6:$BQ$73,CONCATENATE($C50,BE$3),Report_BM!$BI$6:$BI$73)</f>
        <v>0</v>
      </c>
      <c r="AZ50" s="39">
        <f>SUMIF(Report_BM!$BQ$6:$BQ$73,CONCATENATE($C50,BE$3),Report_BM!$BJ$6:$BJ$73)</f>
        <v>0</v>
      </c>
      <c r="BA50" s="39">
        <f>SUMIF(Report_BM!$BQ$6:$BQ$73,CONCATENATE($C50,BE$3),Report_BM!$BK$6:$BK$73)</f>
        <v>0</v>
      </c>
      <c r="BB50" s="39">
        <f>SUMIF(Report_BM!$BQ$6:$BQ$73,CONCATENATE($C50,BE$3),Report_BM!$BL$6:$BL$73)</f>
        <v>0</v>
      </c>
      <c r="BC50" s="46">
        <f>SUMIF(Master_Data!$AK$152:$AK$864,CONCATENATE($C50,BE$3),Master_Data!$T$152:$T$864)</f>
        <v>0</v>
      </c>
      <c r="BD50" s="45">
        <f>SUMIF(Report_BM!$BQ$6:$BQ$73,CONCATENATE($C50,BE$3),Report_BM!$BN$6:$BN$73)</f>
        <v>0</v>
      </c>
      <c r="BE50" s="39">
        <f ca="1">SUMIF(Report_BM!$BQ$6:$BQ$73,CONCATENATE($C50,BE$3),Report_BM!$BO$6:$BO$73)</f>
        <v>0</v>
      </c>
      <c r="BF50" s="103"/>
      <c r="BG50" s="104"/>
      <c r="BH50" s="104"/>
      <c r="BI50" s="104"/>
      <c r="BJ50" s="104"/>
      <c r="BK50" s="104"/>
      <c r="BL50" s="45">
        <f>SUMIF(Report_BM!$CH$6:$CH$73,CONCATENATE($C50,BT$3),Report_BM!$BT$6:$BT$73)+SUMIF(Report_BM!$CH$6:$CH$73,CONCATENATE($C50,BT$3),Report_BM!$BW$6:$BW$73)</f>
        <v>0</v>
      </c>
      <c r="BM50" s="46">
        <f ca="1">SUMIF(Report_BM!$CH$6:$CH$73,CONCATENATE($C50,$BT$3),Report_BM!$BU$6:$BU$73)+SUMIF(Report_BM!$CH$6:$CH$73,CONCATENATE($C50,$BT$3),Report_BM!$BX$6:$BX$73)</f>
        <v>0</v>
      </c>
      <c r="BN50" s="45">
        <f>SUMIF(Report_BM!$CH$6:$CH$73,CONCATENATE($C50,BT$3),Report_BM!$BZ$6:$BZ$73)</f>
        <v>0</v>
      </c>
      <c r="BO50" s="39">
        <f>SUMIF(Report_BM!$CH$6:$CH$73,CONCATENATE($C50,BT$3),Report_BM!$CA$6:$CA$73)</f>
        <v>0</v>
      </c>
      <c r="BP50" s="39">
        <f>SUMIF(Report_BM!$CH$6:$CH$73,CONCATENATE($C50,BT$3),Report_BM!$CB$6:$CB$73)</f>
        <v>0</v>
      </c>
      <c r="BQ50" s="39">
        <f>SUMIF(Report_BM!$CH$6:$CH$73,CONCATENATE($C50,BT$3),Report_BM!$CC$6:$CC$73)</f>
        <v>0</v>
      </c>
      <c r="BR50" s="46">
        <f>SUMIF(Master_Data!$AK$152:$AK$864,CONCATENATE($C50,BT$3),Master_Data!$T$152:$T$864)</f>
        <v>0</v>
      </c>
      <c r="BS50" s="45">
        <f>SUMIF(Report_BM!$CH$6:$CH$73,CONCATENATE($C50,BT$3),Report_BM!$CE$6:$CE$73)</f>
        <v>0</v>
      </c>
      <c r="BT50" s="39">
        <f ca="1">SUMIF(Report_BM!$CH$6:$CH$73,CONCATENATE($C50,BT$3),Report_BM!$CF$6:$CF$73)</f>
        <v>0</v>
      </c>
      <c r="BU50" s="103"/>
      <c r="BV50" s="104"/>
      <c r="BW50" s="104"/>
      <c r="BX50" s="104"/>
      <c r="BY50" s="104"/>
      <c r="BZ50" s="104"/>
      <c r="CA50" s="45">
        <f>SUMIF(Report_BM!$CY$6:$CY$73,CONCATENATE($C50,CI$3),Report_BM!$CK$6:$CK$73)+SUMIF(Report_BM!$CY$6:$CY$73,CONCATENATE($C50,CI$3),Report_BM!$CN$6:$CN$73)</f>
        <v>0</v>
      </c>
      <c r="CB50" s="46">
        <f ca="1">SUMIF(Report_BM!$CY$6:$CY$73,CONCATENATE($C50,$CI$3),Report_BM!$CL$6:$CL$73)+SUMIF(Report_BM!$CY$6:$CY$73,CONCATENATE($C50,$CI$3),Report_BM!$CO$6:$CO$73)</f>
        <v>0</v>
      </c>
      <c r="CC50" s="45">
        <f>SUMIF(Report_BM!$CY$6:$CY$73,CONCATENATE($C50,CI$3),Report_BM!$CQ$6:$CQ$73)</f>
        <v>0</v>
      </c>
      <c r="CD50" s="39">
        <f>SUMIF(Report_BM!$CY$6:$CY$73,CONCATENATE($C50,CI$3),Report_BM!$CR$6:$CR$73)</f>
        <v>0</v>
      </c>
      <c r="CE50" s="39">
        <f>SUMIF(Report_BM!$CY$6:$CY$73,CONCATENATE($C50,CI$3),Report_BM!$CS$6:$CS$73)</f>
        <v>0</v>
      </c>
      <c r="CF50" s="39">
        <f ca="1">SUMIF(Report_BM!$CY$6:$CY$73,CONCATENATE($C50,CI$3),Report_BM!$CT$6:$CT$73)</f>
        <v>0</v>
      </c>
      <c r="CG50" s="46">
        <f>SUMIF(Report_BM!$CY$6:$CY$73,CONCATENATE($C50,CI$3),Report_BM!$CU$6:$CU$73)</f>
        <v>0</v>
      </c>
      <c r="CH50" s="45">
        <f>SUMIF(Report_BM!$CY$6:$CY$73,CONCATENATE($C50,CI$3),Report_BM!$CV$6:$CV$73)</f>
        <v>0</v>
      </c>
      <c r="CI50" s="39">
        <f ca="1">SUMIF(Report_BM!$CY$6:$CY$73,CONCATENATE($C50,CI$3),Report_BM!$CW$6:$CW$73)</f>
        <v>0</v>
      </c>
      <c r="CJ50" s="103"/>
      <c r="CK50" s="104"/>
      <c r="CL50" s="104"/>
      <c r="CM50" s="104"/>
      <c r="CN50" s="104"/>
      <c r="CO50" s="104"/>
      <c r="CP50" s="45">
        <f>SUMIF(Report_BM!$DP$6:$DP$73,CONCATENATE($C50,CX$3),Report_BM!$DB$6:$DB$73)+SUMIF(Report_BM!$DP$6:$DP$73,CONCATENATE($C50,CX$3),Report_BM!$DE$6:$DE$73)</f>
        <v>0</v>
      </c>
      <c r="CQ50" s="46">
        <f ca="1">SUMIF(Report_BM!$DP$6:$DP$73,CONCATENATE($C50,$CX$3),Report_BM!$DC$6:$DC$73)+SUMIF(Report_BM!$DP$6:$DP$73,CONCATENATE($C50,$CX$3),Report_BM!$DF$6:$DF$73)</f>
        <v>0</v>
      </c>
      <c r="CR50" s="45">
        <f>SUMIF(Report_BM!$DP$6:$DP$73,CONCATENATE($C50,CX$3),Report_BM!$DH$6:$DH$73)</f>
        <v>0</v>
      </c>
      <c r="CS50" s="39">
        <f>SUMIF(Report_BM!$DP$6:$DP$73,CONCATENATE($C50,CX$3),Report_BM!$DI$6:$DI$73)</f>
        <v>0</v>
      </c>
      <c r="CT50" s="39">
        <f>SUMIF(Report_BM!$DP$6:$DP$73,CONCATENATE($C50,CX$3),Report_BM!$DJ$6:$DJ$73)</f>
        <v>0</v>
      </c>
      <c r="CU50" s="39">
        <f>SUMIF(Report_BM!$DP$6:$DP$73,CONCATENATE($C50,CX$3),Report_BM!$DK$6:$DK$73)</f>
        <v>0</v>
      </c>
      <c r="CV50" s="46">
        <f>SUMIF(Master_Data!$AK$152:$AK$864,CONCATENATE($C50,CX$3),Master_Data!$T$152:$T$864)</f>
        <v>0</v>
      </c>
      <c r="CW50" s="45">
        <f>SUMIF(Report_BM!$DP$6:$DP$73,CONCATENATE($C50,CX$3),Report_BM!$DM$6:$DM$73)</f>
        <v>0</v>
      </c>
      <c r="CX50" s="39">
        <f ca="1">SUMIF(Report_BM!$DP$6:$DP$73,CONCATENATE($C50,CX$3),Report_BM!$DN$6:$DN$73)</f>
        <v>0</v>
      </c>
      <c r="CY50" s="103"/>
      <c r="CZ50" s="104"/>
      <c r="DA50" s="104"/>
      <c r="DB50" s="104"/>
      <c r="DC50" s="104"/>
      <c r="DD50" s="104"/>
      <c r="DE50" s="45"/>
      <c r="DF50" s="46"/>
      <c r="DG50" s="45"/>
      <c r="DH50" s="39"/>
      <c r="DI50" s="39"/>
      <c r="DJ50" s="39">
        <f>SUMIF(Report_BM!EG$6:EG$73,CONCATENATE($C50,DM$3),Report_BM!$EB$6:$EB$73)</f>
        <v>0</v>
      </c>
      <c r="DK50" s="46">
        <f>SUMIF(Master_Data!$AK$152:$AK$864,CONCATENATE($C50,DM$3),Master_Data!$T$152:$T$864)</f>
        <v>0</v>
      </c>
      <c r="DL50" s="45"/>
      <c r="DM50" s="39"/>
      <c r="DN50" s="103"/>
      <c r="DO50" s="104"/>
      <c r="DP50" s="104"/>
      <c r="DQ50" s="104"/>
      <c r="DR50" s="104"/>
      <c r="DS50" s="104"/>
      <c r="DT50" s="45"/>
      <c r="DU50" s="46"/>
      <c r="DV50" s="45"/>
      <c r="DW50" s="39"/>
      <c r="DX50" s="39"/>
      <c r="DY50" s="39">
        <f>SUMIF(Report_BM!$EX$6:$EX$73,CONCATENATE($C50,EB$3),Report_BM!$ES$6:$ES$73)</f>
        <v>0</v>
      </c>
      <c r="DZ50" s="46">
        <f>SUMIF(Master_Data!$AK$152:$AK$864,CONCATENATE($C50,EB$3),Master_Data!$T$152:$T$864)</f>
        <v>0</v>
      </c>
      <c r="EA50" s="45"/>
      <c r="EB50" s="39"/>
      <c r="EC50" s="103"/>
      <c r="ED50" s="104"/>
      <c r="EE50" s="104"/>
      <c r="EF50" s="104"/>
      <c r="EG50" s="104"/>
      <c r="EH50" s="104"/>
      <c r="EI50" s="45">
        <f>SUMIF(Report_BM!$FO$6:$FO$73,CONCATENATE($C50,EQ$3),Report_BM!$FA$6:$FA$73)+SUMIF(Report_BM!$FO$6:$FO$73,CONCATENATE($C50,EQ$3),Report_BM!$FD$6:$FD$73)</f>
        <v>0</v>
      </c>
      <c r="EJ50" s="46">
        <f>SUMIF(Report_BM!$FO$6:$FO$73,CONCATENATE($C50,$EQ$3),Report_BM!$FB$6:$FB$73)+SUMIF(Report_BM!$FO$6:$FO$73,CONCATENATE($C50,$EQ$3),Report_BM!$FE$6:$FE$73)</f>
        <v>0</v>
      </c>
      <c r="EK50" s="45">
        <f>SUMIF(Report_BM!$FO$6:$FO$73,CONCATENATE($C50,EQ$3),Report_BM!$FG$6:$FG$73)</f>
        <v>0</v>
      </c>
      <c r="EL50" s="39">
        <f>SUMIF(Report_BM!$FO$6:$FO$73,CONCATENATE($C50,EQ$3),Report_BM!$FH$6:$FH$73)</f>
        <v>0</v>
      </c>
      <c r="EM50" s="39">
        <f>SUMIF(Report_BM!$FO$6:$FO$73,CONCATENATE($C50,EQ$3),Report_BM!$FI$6:$FI$73)</f>
        <v>0</v>
      </c>
      <c r="EN50" s="39">
        <f>SUMIF(Report_BM!$FO$6:$FO$73,CONCATENATE($C50,EQ$3),Report_BM!$FJ$6:$FJ$73)</f>
        <v>0</v>
      </c>
      <c r="EO50" s="46">
        <f>SUMIF(Master_Data!$AK$152:$AK$864,CONCATENATE($C50,EQ$3),Master_Data!$T$152:$T$864)</f>
        <v>0</v>
      </c>
      <c r="EP50" s="45">
        <f>SUMIF(Report_BM!FO$6:FO$73,CONCATENATE($C50,EQ$3),Report_BM!FL$6:FL$73)</f>
        <v>0</v>
      </c>
      <c r="EQ50" s="39">
        <f>SUMIF(Report_BM!FO$6:FO$73,CONCATENATE($C50,EQ$3),Report_BM!FM$6:FM$73)</f>
        <v>0</v>
      </c>
      <c r="ER50" s="103"/>
      <c r="ES50" s="104"/>
      <c r="ET50" s="104"/>
      <c r="EU50" s="104"/>
      <c r="EV50" s="104"/>
      <c r="EW50" s="104"/>
      <c r="EX50" s="45">
        <f>SUMIF(Report_BM!$GF$6:$GF$73,CONCATENATE($C50,FF$3),Report_BM!$FR$6:$FR$73)+SUMIF(Report_BM!$GF$6:$GF$73,CONCATENATE($C50,FF$3),Report_BM!$FU$6:$FU$73)</f>
        <v>0</v>
      </c>
      <c r="EY50" s="46">
        <f>SUMIF(Report_BM!$GF$6:$GF$73,CONCATENATE($C50,$FF$3),Report_BM!$FS$6:$FS$73)+SUMIF(Report_BM!$GF$6:$GF$73,CONCATENATE($C50,$FF$3),Report_BM!$FV$6:$FV$73)</f>
        <v>0</v>
      </c>
      <c r="EZ50" s="45">
        <f>SUMIF(Report_BM!$GF$6:$GF$73,CONCATENATE($C50,FF$3),Report_BM!$FX$6:$FX$73)</f>
        <v>0</v>
      </c>
      <c r="FA50" s="39">
        <f>SUMIF(Report_BM!$GF$6:$GF$73,CONCATENATE($C50,FF$3),Report_BM!$FY$6:$FY$73)</f>
        <v>0</v>
      </c>
      <c r="FB50" s="39">
        <f>SUMIF(Report_BM!$GF$6:$GF$73,CONCATENATE($C50,FF$3),Report_BM!$FZ$6:$FZ$73)</f>
        <v>0</v>
      </c>
      <c r="FC50" s="39">
        <f>SUMIF(Report_BM!$GF$6:$GF$73,CONCATENATE($C50,FF$3),Report_BM!$GA$6:$GA$73)</f>
        <v>0</v>
      </c>
      <c r="FD50" s="46">
        <f>SUMIF(Master_Data!$AK$152:$AK$864,CONCATENATE($C50,FF$3),Master_Data!$T$152:$T$864)</f>
        <v>0</v>
      </c>
      <c r="FE50" s="45">
        <f>SUMIF(Report_BM!GF$6:GF$73,CONCATENATE($C50,FF$3),Report_BM!GC$6:GC$73)</f>
        <v>0</v>
      </c>
      <c r="FF50" s="39">
        <f>SUMIF(Report_BM!GF$6:GF$73,CONCATENATE($C50,FF$3),Report_BM!GD$6:GD$73)</f>
        <v>0</v>
      </c>
      <c r="FG50" s="103"/>
      <c r="FH50" s="104"/>
      <c r="FI50" s="104"/>
      <c r="FJ50" s="104"/>
      <c r="FK50" s="104"/>
      <c r="FL50" s="104"/>
      <c r="FM50" s="45">
        <f>SUMIF(Report_BM!$GW$6:$GW$73,CONCATENATE($C50,FU$3),Report_BM!$GI$6:$GI$73)+SUMIF(Report_BM!$GW$6:$GW$73,CONCATENATE($C50,FU$3),Report_BM!$GL$6:$GL$73)</f>
        <v>0</v>
      </c>
      <c r="FN50" s="46">
        <f>SUMIF(Report_BM!$GW$6:$GW$73,CONCATENATE($C50,$FU$3),Report_BM!$GJ$6:$GJ$73)+SUMIF(Report_BM!$GW$6:$GW$73,CONCATENATE($C50,$FU$3),Report_BM!$GM$6:$GM$73)</f>
        <v>0</v>
      </c>
      <c r="FO50" s="45">
        <f>SUMIF(Report_BM!$GW$6:$GW$73,CONCATENATE($C50,FU$3),Report_BM!$GO$6:$GO$73)</f>
        <v>0</v>
      </c>
      <c r="FP50" s="39">
        <f>SUMIF(Report_BM!$GW$6:$GW$73,CONCATENATE($C50,FU$3),Report_BM!$GP$6:$GP$73)</f>
        <v>0</v>
      </c>
      <c r="FQ50" s="39">
        <f>SUMIF(Report_BM!$GW$6:$GW$73,CONCATENATE($C50,FU$3),Report_BM!$GQ$6:$GQ$73)</f>
        <v>0</v>
      </c>
      <c r="FR50" s="39">
        <f>SUMIF(Report_BM!$GW$6:$GW$73,CONCATENATE($C50,FU$3),Report_BM!$GR$6:$GR$73)</f>
        <v>0</v>
      </c>
      <c r="FS50" s="46">
        <f>SUMIF(Master_Data!$AK$152:$AK$864,CONCATENATE($C50,FU$3),Master_Data!$T$152:$T$864)</f>
        <v>0</v>
      </c>
      <c r="FT50" s="45">
        <f>SUMIF(Report_BM!GW$6:GW$73,CONCATENATE($C50,FU$3),Report_BM!GT$6:GT$73)</f>
        <v>0</v>
      </c>
      <c r="FU50" s="39">
        <f>SUMIF(Report_BM!GW$6:GW$73,CONCATENATE($C50,FU$3),Report_BM!GU$6:GU$73)</f>
        <v>0</v>
      </c>
      <c r="FV50" s="103"/>
      <c r="FW50" s="104"/>
      <c r="FX50" s="104"/>
      <c r="FY50" s="104"/>
      <c r="FZ50" s="104"/>
      <c r="GA50" s="104"/>
    </row>
    <row r="51" spans="1:183" s="40" customFormat="1" ht="14.1" customHeight="1">
      <c r="A51" s="9">
        <v>45</v>
      </c>
      <c r="B51" s="783" t="s">
        <v>114</v>
      </c>
      <c r="C51" s="8" t="s">
        <v>760</v>
      </c>
      <c r="D51" s="45">
        <f>SUMIF(Report_BM!$B$6:$B$73,CONCATENATE($C51,L$3),Report_BM!$E$6:$E$73)+SUMIF(Report_BM!$B$6:$B$73,CONCATENATE($C51,L$3),Report_BM!$H$6:$H$73)</f>
        <v>0</v>
      </c>
      <c r="E51" s="276">
        <f>SUMIF(Report_BM!$B$6:$B$73,CONCATENATE($C51,L$3),Report_BM!$F$6:$F$73)+SUMIF(Report_BM!$B$6:$B$73,CONCATENATE($C51,L$3),Report_BM!$I$6:$I$73)</f>
        <v>0</v>
      </c>
      <c r="F51" s="45">
        <f>SUMIF(Report_BM!$B$6:$B$73,CONCATENATE($C51,L$3),Report_BM!$K$6:$K$73)</f>
        <v>0</v>
      </c>
      <c r="G51" s="39">
        <f>SUMIF(Report_BM!$B$6:$B$73,CONCATENATE($C51,$L$3),Report_BM!$L$6:$L$73)</f>
        <v>0</v>
      </c>
      <c r="H51" s="39">
        <f>SUMIF(Report_BM!$B$6:$B$73,CONCATENATE($C51,$L$3),Report_BM!$M$6:$M$73)</f>
        <v>0</v>
      </c>
      <c r="I51" s="39">
        <f>SUMIF(Report_BM!$B$6:$B$73,CONCATENATE($C51,$L$3),Report_BM!$N$6:$N$73)</f>
        <v>0</v>
      </c>
      <c r="J51" s="46">
        <f>SUMIF(Report_BM!$B$6:$B$73,CONCATENATE($C51,$L$3),Report_BM!$O$6:$O$73)</f>
        <v>0</v>
      </c>
      <c r="K51" s="45">
        <f>SUMIF(Report_BM!$B$6:$B$73,CONCATENATE($C51,$L$3),Report_BM!$P$6:$P$73)</f>
        <v>0</v>
      </c>
      <c r="L51" s="39">
        <f>SUMIF(Report_BM!$B$6:$B$73,CONCATENATE($C51,$L$3),Report_BM!$Q$6:$Q$73)</f>
        <v>0</v>
      </c>
      <c r="M51" s="103"/>
      <c r="N51" s="104"/>
      <c r="O51" s="104"/>
      <c r="P51" s="104"/>
      <c r="Q51" s="104"/>
      <c r="R51" s="104"/>
      <c r="S51" s="45">
        <f>SUMIF(Report_BM!$AI$8:$AI$72,CONCATENATE($C51,AA$3),Report_BM!$U$8:$U$72)+SUMIF(Report_BM!$AI$8:$AI$72,CONCATENATE($C51,AA$3),Report_BM!$X$8:$X$72)</f>
        <v>0</v>
      </c>
      <c r="T51" s="276">
        <f>SUMIF(Report_BM!$AI$8:$AI$72,CONCATENATE($C51,AA$3),Report_BM!$V$8:$V$72)+SUMIF(Report_BM!$AI$8:$AI$72,CONCATENATE($C51,AA$3),Report_BM!$Y$8:$Y$72)</f>
        <v>0</v>
      </c>
      <c r="U51" s="45">
        <f>SUMIF(Report_BM!$AI$8:$AI$72,CONCATENATE($C51,AA$3),Report_BM!$AA$8:$AB$72)</f>
        <v>0</v>
      </c>
      <c r="V51" s="39">
        <f>SUMIF(Report_BM!$AI$8:$AI$72,CONCATENATE($C51,$AA$3),Report_BM!$AB$8:$AB$72)</f>
        <v>0</v>
      </c>
      <c r="W51" s="39">
        <f>SUMIF(Report_BM!$AI$8:$AI$72,CONCATENATE($C51,$AA$3),Report_BM!$AC$8:$AC$72)</f>
        <v>0</v>
      </c>
      <c r="X51" s="39">
        <f ca="1">SUMIF(Report_BM!$AI$7:$AI$73,CONCATENATE($C51,$AA$3),Report_BM!$AD$7:$AD$73)</f>
        <v>0</v>
      </c>
      <c r="Y51" s="46">
        <f>SUMIF(Master_Data!$AK$152:$AK$864,CONCATENATE($C51,AA$3),Master_Data!$T$152:$T$864)</f>
        <v>0</v>
      </c>
      <c r="Z51" s="45">
        <f>SUMIF(Report_BM!$AI$8:$AI$72,CONCATENATE($C51,$AA$3),Report_BM!$AF$8:$AF$72)</f>
        <v>0</v>
      </c>
      <c r="AA51" s="39">
        <f ca="1">SUMIF(Report_BM!$AI$8:$AI$72,CONCATENATE($C51,$AA$3),Report_BM!$AG$8:$AG$72)</f>
        <v>0</v>
      </c>
      <c r="AB51" s="103"/>
      <c r="AC51" s="104"/>
      <c r="AD51" s="104"/>
      <c r="AE51" s="104"/>
      <c r="AF51" s="104"/>
      <c r="AG51" s="104"/>
      <c r="AH51" s="45">
        <f>SUMIF(Report_BM!$AZ$5:$AZ$72,CONCATENATE($C51,AP$3),Report_BM!$AL$5:$AL$72)+SUMIF(Report_BM!$AZ$5:$AZ$72,CONCATENATE($C51,AP$3),Report_BM!$AO$5:$AO$72)</f>
        <v>0</v>
      </c>
      <c r="AI51" s="46">
        <f ca="1">SUMIF(Report_BM!$AZ$5:$AZ$72,CONCATENATE($C51,$AP$3),Report_BM!$AM$5:$AM$72)+SUMIF(Report_BM!$AZ$5:$AZ$72,CONCATENATE($C51,$AP$3),Report_BM!$AP$5:$AP$72)</f>
        <v>0</v>
      </c>
      <c r="AJ51" s="45">
        <f>SUMIF(Report_BM!$AZ$5:$AZ$72,CONCATENATE($C51,$AP$3),Report_BM!$AR$5:$AR$72)</f>
        <v>0</v>
      </c>
      <c r="AK51" s="39">
        <f>SUMIF(Report_BM!$AZ$5:$AZ$72,CONCATENATE($C51,$AP$3),Report_BM!$AS$5:$AS$72)</f>
        <v>0</v>
      </c>
      <c r="AL51" s="39">
        <f>SUMIF(Report_BM!$AZ$5:$AZ$72,CONCATENATE($C51,$AP$3),Report_BM!$AT$5:$AT$72)</f>
        <v>0</v>
      </c>
      <c r="AM51" s="39">
        <f ca="1">SUMIF(Report_BM!$AZ$5:$AZ$72,CONCATENATE($C51,$AP$3),Report_BM!$AU$5:$AU$72)</f>
        <v>0</v>
      </c>
      <c r="AN51" s="46">
        <f>SUMIF(Master_Data!$AK$152:$AK$915,CONCATENATE($C51,AP$3),Master_Data!$T$152:$T$915)</f>
        <v>0</v>
      </c>
      <c r="AO51" s="45">
        <f>SUMIF(Report_BM!$AZ$5:$AZ$72,CONCATENATE($C51,$AP$3),Report_BM!$AW$5:$AW$72)</f>
        <v>0</v>
      </c>
      <c r="AP51" s="39">
        <f ca="1">SUMIF(Report_BM!$AZ$5:$AZ$72,CONCATENATE($C51,$AP$3),Report_BM!$AX$5:$AX$72)</f>
        <v>0</v>
      </c>
      <c r="AQ51" s="103"/>
      <c r="AR51" s="104"/>
      <c r="AS51" s="104"/>
      <c r="AT51" s="104"/>
      <c r="AU51" s="104"/>
      <c r="AV51" s="104"/>
      <c r="AW51" s="45">
        <f>SUMIF(Report_BM!$BQ$6:$BQ$73,CONCATENATE($C51,BE$3),Report_BM!$BC$6:$BC$73)+SUMIF(Report_BM!$BQ$6:$BQ$73,CONCATENATE($C51,BE$3),Report_BM!$BF$6:$BF$73)</f>
        <v>0</v>
      </c>
      <c r="AX51" s="46">
        <f ca="1">SUMIF(Report_BM!$BQ$6:$BQ$73,CONCATENATE($C51,$BE$3),Report_BM!$BD$6:$BD$73)+SUMIF(Report_BM!$BQ$6:$BQ$73,CONCATENATE($C51,$BE$3),Report_BM!$BG$6:$BG$73)</f>
        <v>0</v>
      </c>
      <c r="AY51" s="45">
        <f>SUMIF(Report_BM!$BQ$6:$BQ$73,CONCATENATE($C51,BE$3),Report_BM!$BI$6:$BI$73)</f>
        <v>0</v>
      </c>
      <c r="AZ51" s="39">
        <f>SUMIF(Report_BM!$BQ$6:$BQ$73,CONCATENATE($C51,BE$3),Report_BM!$BJ$6:$BJ$73)</f>
        <v>0</v>
      </c>
      <c r="BA51" s="39">
        <f>SUMIF(Report_BM!$BQ$6:$BQ$73,CONCATENATE($C51,BE$3),Report_BM!$BK$6:$BK$73)</f>
        <v>0</v>
      </c>
      <c r="BB51" s="39">
        <f>SUMIF(Report_BM!$BQ$6:$BQ$73,CONCATENATE($C51,BE$3),Report_BM!$BL$6:$BL$73)</f>
        <v>0</v>
      </c>
      <c r="BC51" s="46">
        <f>SUMIF(Master_Data!$AK$152:$AK$864,CONCATENATE($C51,BE$3),Master_Data!$T$152:$T$864)</f>
        <v>0</v>
      </c>
      <c r="BD51" s="45">
        <f>SUMIF(Report_BM!$BQ$6:$BQ$73,CONCATENATE($C51,BE$3),Report_BM!$BN$6:$BN$73)</f>
        <v>0</v>
      </c>
      <c r="BE51" s="39">
        <f ca="1">SUMIF(Report_BM!$BQ$6:$BQ$73,CONCATENATE($C51,BE$3),Report_BM!$BO$6:$BO$73)</f>
        <v>0</v>
      </c>
      <c r="BF51" s="103"/>
      <c r="BG51" s="104"/>
      <c r="BH51" s="104"/>
      <c r="BI51" s="104"/>
      <c r="BJ51" s="104"/>
      <c r="BK51" s="104"/>
      <c r="BL51" s="45">
        <f>SUMIF(Report_BM!$CH$6:$CH$73,CONCATENATE($C51,BT$3),Report_BM!$BT$6:$BT$73)+SUMIF(Report_BM!$CH$6:$CH$73,CONCATENATE($C51,BT$3),Report_BM!$BW$6:$BW$73)</f>
        <v>0</v>
      </c>
      <c r="BM51" s="46">
        <f ca="1">SUMIF(Report_BM!$CH$6:$CH$73,CONCATENATE($C51,$BT$3),Report_BM!$BU$6:$BU$73)+SUMIF(Report_BM!$CH$6:$CH$73,CONCATENATE($C51,$BT$3),Report_BM!$BX$6:$BX$73)</f>
        <v>0</v>
      </c>
      <c r="BN51" s="45">
        <f>SUMIF(Report_BM!$CH$6:$CH$73,CONCATENATE($C51,BT$3),Report_BM!$BZ$6:$BZ$73)</f>
        <v>0</v>
      </c>
      <c r="BO51" s="39">
        <f>SUMIF(Report_BM!$CH$6:$CH$73,CONCATENATE($C51,BT$3),Report_BM!$CA$6:$CA$73)</f>
        <v>0</v>
      </c>
      <c r="BP51" s="39">
        <f>SUMIF(Report_BM!$CH$6:$CH$73,CONCATENATE($C51,BT$3),Report_BM!$CB$6:$CB$73)</f>
        <v>0</v>
      </c>
      <c r="BQ51" s="39">
        <f>SUMIF(Report_BM!$CH$6:$CH$73,CONCATENATE($C51,BT$3),Report_BM!$CC$6:$CC$73)</f>
        <v>0</v>
      </c>
      <c r="BR51" s="46">
        <f>SUMIF(Master_Data!$AK$152:$AK$864,CONCATENATE($C51,BT$3),Master_Data!$T$152:$T$864)</f>
        <v>0</v>
      </c>
      <c r="BS51" s="45">
        <f>SUMIF(Report_BM!$CH$6:$CH$73,CONCATENATE($C51,BT$3),Report_BM!$CE$6:$CE$73)</f>
        <v>0</v>
      </c>
      <c r="BT51" s="39">
        <f ca="1">SUMIF(Report_BM!$CH$6:$CH$73,CONCATENATE($C51,BT$3),Report_BM!$CF$6:$CF$73)</f>
        <v>0</v>
      </c>
      <c r="BU51" s="103"/>
      <c r="BV51" s="104"/>
      <c r="BW51" s="104"/>
      <c r="BX51" s="104"/>
      <c r="BY51" s="104"/>
      <c r="BZ51" s="104"/>
      <c r="CA51" s="45">
        <f>SUMIF(Report_BM!$CY$6:$CY$73,CONCATENATE($C51,CI$3),Report_BM!$CK$6:$CK$73)+SUMIF(Report_BM!$CY$6:$CY$73,CONCATENATE($C51,CI$3),Report_BM!$CN$6:$CN$73)</f>
        <v>0</v>
      </c>
      <c r="CB51" s="46">
        <f ca="1">SUMIF(Report_BM!$CY$6:$CY$73,CONCATENATE($C51,$CI$3),Report_BM!$CL$6:$CL$73)+SUMIF(Report_BM!$CY$6:$CY$73,CONCATENATE($C51,$CI$3),Report_BM!$CO$6:$CO$73)</f>
        <v>0</v>
      </c>
      <c r="CC51" s="45">
        <f>SUMIF(Report_BM!$CY$6:$CY$73,CONCATENATE($C51,CI$3),Report_BM!$CQ$6:$CQ$73)</f>
        <v>0</v>
      </c>
      <c r="CD51" s="39">
        <f>SUMIF(Report_BM!$CY$6:$CY$73,CONCATENATE($C51,CI$3),Report_BM!$CR$6:$CR$73)</f>
        <v>0</v>
      </c>
      <c r="CE51" s="39">
        <f>SUMIF(Report_BM!$CY$6:$CY$73,CONCATENATE($C51,CI$3),Report_BM!$CS$6:$CS$73)</f>
        <v>0</v>
      </c>
      <c r="CF51" s="39">
        <f ca="1">SUMIF(Report_BM!$CY$6:$CY$73,CONCATENATE($C51,CI$3),Report_BM!$CT$6:$CT$73)</f>
        <v>0</v>
      </c>
      <c r="CG51" s="46">
        <f>SUMIF(Report_BM!$CY$6:$CY$73,CONCATENATE($C51,CI$3),Report_BM!$CU$6:$CU$73)</f>
        <v>0</v>
      </c>
      <c r="CH51" s="45">
        <f>SUMIF(Report_BM!$CY$6:$CY$73,CONCATENATE($C51,CI$3),Report_BM!$CV$6:$CV$73)</f>
        <v>0</v>
      </c>
      <c r="CI51" s="39">
        <f ca="1">SUMIF(Report_BM!$CY$6:$CY$73,CONCATENATE($C51,CI$3),Report_BM!$CW$6:$CW$73)</f>
        <v>0</v>
      </c>
      <c r="CJ51" s="103"/>
      <c r="CK51" s="104"/>
      <c r="CL51" s="104"/>
      <c r="CM51" s="104"/>
      <c r="CN51" s="104"/>
      <c r="CO51" s="104"/>
      <c r="CP51" s="45">
        <f>SUMIF(Report_BM!$DP$6:$DP$73,CONCATENATE($C51,CX$3),Report_BM!$DB$6:$DB$73)+SUMIF(Report_BM!$DP$6:$DP$73,CONCATENATE($C51,CX$3),Report_BM!$DE$6:$DE$73)</f>
        <v>0</v>
      </c>
      <c r="CQ51" s="46">
        <f ca="1">SUMIF(Report_BM!$DP$6:$DP$73,CONCATENATE($C51,$CX$3),Report_BM!$DC$6:$DC$73)+SUMIF(Report_BM!$DP$6:$DP$73,CONCATENATE($C51,$CX$3),Report_BM!$DF$6:$DF$73)</f>
        <v>0</v>
      </c>
      <c r="CR51" s="45">
        <f>SUMIF(Report_BM!$DP$6:$DP$73,CONCATENATE($C51,CX$3),Report_BM!$DH$6:$DH$73)</f>
        <v>0</v>
      </c>
      <c r="CS51" s="39">
        <f>SUMIF(Report_BM!$DP$6:$DP$73,CONCATENATE($C51,CX$3),Report_BM!$DI$6:$DI$73)</f>
        <v>0</v>
      </c>
      <c r="CT51" s="39">
        <f>SUMIF(Report_BM!$DP$6:$DP$73,CONCATENATE($C51,CX$3),Report_BM!$DJ$6:$DJ$73)</f>
        <v>0</v>
      </c>
      <c r="CU51" s="39">
        <f>SUMIF(Report_BM!$DP$6:$DP$73,CONCATENATE($C51,CX$3),Report_BM!$DK$6:$DK$73)</f>
        <v>0</v>
      </c>
      <c r="CV51" s="46">
        <f>SUMIF(Master_Data!$AK$152:$AK$864,CONCATENATE($C51,CX$3),Master_Data!$T$152:$T$864)</f>
        <v>0</v>
      </c>
      <c r="CW51" s="45">
        <f>SUMIF(Report_BM!$DP$6:$DP$73,CONCATENATE($C51,CX$3),Report_BM!$DM$6:$DM$73)</f>
        <v>0</v>
      </c>
      <c r="CX51" s="39">
        <f ca="1">SUMIF(Report_BM!$DP$6:$DP$73,CONCATENATE($C51,CX$3),Report_BM!$DN$6:$DN$73)</f>
        <v>0</v>
      </c>
      <c r="CY51" s="103"/>
      <c r="CZ51" s="104"/>
      <c r="DA51" s="104"/>
      <c r="DB51" s="104"/>
      <c r="DC51" s="104"/>
      <c r="DD51" s="104"/>
      <c r="DE51" s="45"/>
      <c r="DF51" s="46"/>
      <c r="DG51" s="45"/>
      <c r="DH51" s="39"/>
      <c r="DI51" s="39"/>
      <c r="DJ51" s="39">
        <f>SUMIF(Report_BM!EG$6:EG$73,CONCATENATE($C51,DM$3),Report_BM!$EB$6:$EB$73)</f>
        <v>0</v>
      </c>
      <c r="DK51" s="46">
        <f>SUMIF(Master_Data!$AK$152:$AK$864,CONCATENATE($C51,DM$3),Master_Data!$T$152:$T$864)</f>
        <v>0</v>
      </c>
      <c r="DL51" s="45"/>
      <c r="DM51" s="39"/>
      <c r="DN51" s="103"/>
      <c r="DO51" s="104"/>
      <c r="DP51" s="104"/>
      <c r="DQ51" s="104"/>
      <c r="DR51" s="104"/>
      <c r="DS51" s="104"/>
      <c r="DT51" s="45"/>
      <c r="DU51" s="46"/>
      <c r="DV51" s="45"/>
      <c r="DW51" s="39"/>
      <c r="DX51" s="39"/>
      <c r="DY51" s="39">
        <f>SUMIF(Report_BM!$EX$6:$EX$73,CONCATENATE($C51,EB$3),Report_BM!$ES$6:$ES$73)</f>
        <v>0</v>
      </c>
      <c r="DZ51" s="46">
        <f>SUMIF(Master_Data!$AK$152:$AK$864,CONCATENATE($C51,EB$3),Master_Data!$T$152:$T$864)</f>
        <v>0</v>
      </c>
      <c r="EA51" s="45"/>
      <c r="EB51" s="39"/>
      <c r="EC51" s="103"/>
      <c r="ED51" s="104"/>
      <c r="EE51" s="104"/>
      <c r="EF51" s="104"/>
      <c r="EG51" s="104"/>
      <c r="EH51" s="104"/>
      <c r="EI51" s="45">
        <f>SUMIF(Report_BM!$FO$6:$FO$73,CONCATENATE($C51,EQ$3),Report_BM!$FA$6:$FA$73)+SUMIF(Report_BM!$FO$6:$FO$73,CONCATENATE($C51,EQ$3),Report_BM!$FD$6:$FD$73)</f>
        <v>0</v>
      </c>
      <c r="EJ51" s="46">
        <f>SUMIF(Report_BM!$FO$6:$FO$73,CONCATENATE($C51,$EQ$3),Report_BM!$FB$6:$FB$73)+SUMIF(Report_BM!$FO$6:$FO$73,CONCATENATE($C51,$EQ$3),Report_BM!$FE$6:$FE$73)</f>
        <v>0</v>
      </c>
      <c r="EK51" s="45">
        <f>SUMIF(Report_BM!$FO$6:$FO$73,CONCATENATE($C51,EQ$3),Report_BM!$FG$6:$FG$73)</f>
        <v>0</v>
      </c>
      <c r="EL51" s="39">
        <f>SUMIF(Report_BM!$FO$6:$FO$73,CONCATENATE($C51,EQ$3),Report_BM!$FH$6:$FH$73)</f>
        <v>0</v>
      </c>
      <c r="EM51" s="39">
        <f>SUMIF(Report_BM!$FO$6:$FO$73,CONCATENATE($C51,EQ$3),Report_BM!$FI$6:$FI$73)</f>
        <v>0</v>
      </c>
      <c r="EN51" s="39">
        <f>SUMIF(Report_BM!$FO$6:$FO$73,CONCATENATE($C51,EQ$3),Report_BM!$FJ$6:$FJ$73)</f>
        <v>0</v>
      </c>
      <c r="EO51" s="46">
        <f>SUMIF(Master_Data!$AK$152:$AK$864,CONCATENATE($C51,EQ$3),Master_Data!$T$152:$T$864)</f>
        <v>0</v>
      </c>
      <c r="EP51" s="45">
        <f>SUMIF(Report_BM!FO$6:FO$73,CONCATENATE($C51,EQ$3),Report_BM!FL$6:FL$73)</f>
        <v>0</v>
      </c>
      <c r="EQ51" s="39">
        <f>SUMIF(Report_BM!FO$6:FO$73,CONCATENATE($C51,EQ$3),Report_BM!FM$6:FM$73)</f>
        <v>0</v>
      </c>
      <c r="ER51" s="103"/>
      <c r="ES51" s="104"/>
      <c r="ET51" s="104"/>
      <c r="EU51" s="104"/>
      <c r="EV51" s="104"/>
      <c r="EW51" s="104"/>
      <c r="EX51" s="45">
        <f>SUMIF(Report_BM!$GF$6:$GF$73,CONCATENATE($C51,FF$3),Report_BM!$FR$6:$FR$73)+SUMIF(Report_BM!$GF$6:$GF$73,CONCATENATE($C51,FF$3),Report_BM!$FU$6:$FU$73)</f>
        <v>0</v>
      </c>
      <c r="EY51" s="46">
        <f>SUMIF(Report_BM!$GF$6:$GF$73,CONCATENATE($C51,$FF$3),Report_BM!$FS$6:$FS$73)+SUMIF(Report_BM!$GF$6:$GF$73,CONCATENATE($C51,$FF$3),Report_BM!$FV$6:$FV$73)</f>
        <v>0</v>
      </c>
      <c r="EZ51" s="45">
        <f>SUMIF(Report_BM!$GF$6:$GF$73,CONCATENATE($C51,FF$3),Report_BM!$FX$6:$FX$73)</f>
        <v>0</v>
      </c>
      <c r="FA51" s="39">
        <f>SUMIF(Report_BM!$GF$6:$GF$73,CONCATENATE($C51,FF$3),Report_BM!$FY$6:$FY$73)</f>
        <v>0</v>
      </c>
      <c r="FB51" s="39">
        <f>SUMIF(Report_BM!$GF$6:$GF$73,CONCATENATE($C51,FF$3),Report_BM!$FZ$6:$FZ$73)</f>
        <v>0</v>
      </c>
      <c r="FC51" s="39">
        <f>SUMIF(Report_BM!$GF$6:$GF$73,CONCATENATE($C51,FF$3),Report_BM!$GA$6:$GA$73)</f>
        <v>0</v>
      </c>
      <c r="FD51" s="46">
        <f>SUMIF(Master_Data!$AK$152:$AK$864,CONCATENATE($C51,FF$3),Master_Data!$T$152:$T$864)</f>
        <v>0</v>
      </c>
      <c r="FE51" s="45">
        <f>SUMIF(Report_BM!GF$6:GF$73,CONCATENATE($C51,FF$3),Report_BM!GC$6:GC$73)</f>
        <v>0</v>
      </c>
      <c r="FF51" s="39">
        <f>SUMIF(Report_BM!GF$6:GF$73,CONCATENATE($C51,FF$3),Report_BM!GD$6:GD$73)</f>
        <v>0</v>
      </c>
      <c r="FG51" s="103"/>
      <c r="FH51" s="104"/>
      <c r="FI51" s="104"/>
      <c r="FJ51" s="104"/>
      <c r="FK51" s="104"/>
      <c r="FL51" s="104"/>
      <c r="FM51" s="45">
        <f>SUMIF(Report_BM!$GW$6:$GW$73,CONCATENATE($C51,FU$3),Report_BM!$GI$6:$GI$73)+SUMIF(Report_BM!$GW$6:$GW$73,CONCATENATE($C51,FU$3),Report_BM!$GL$6:$GL$73)</f>
        <v>0</v>
      </c>
      <c r="FN51" s="46">
        <f>SUMIF(Report_BM!$GW$6:$GW$73,CONCATENATE($C51,$FU$3),Report_BM!$GJ$6:$GJ$73)+SUMIF(Report_BM!$GW$6:$GW$73,CONCATENATE($C51,$FU$3),Report_BM!$GM$6:$GM$73)</f>
        <v>0</v>
      </c>
      <c r="FO51" s="45">
        <f>SUMIF(Report_BM!$GW$6:$GW$73,CONCATENATE($C51,FU$3),Report_BM!$GO$6:$GO$73)</f>
        <v>0</v>
      </c>
      <c r="FP51" s="39">
        <f>SUMIF(Report_BM!$GW$6:$GW$73,CONCATENATE($C51,FU$3),Report_BM!$GP$6:$GP$73)</f>
        <v>0</v>
      </c>
      <c r="FQ51" s="39">
        <f>SUMIF(Report_BM!$GW$6:$GW$73,CONCATENATE($C51,FU$3),Report_BM!$GQ$6:$GQ$73)</f>
        <v>0</v>
      </c>
      <c r="FR51" s="39">
        <f>SUMIF(Report_BM!$GW$6:$GW$73,CONCATENATE($C51,FU$3),Report_BM!$GR$6:$GR$73)</f>
        <v>0</v>
      </c>
      <c r="FS51" s="46">
        <f>SUMIF(Master_Data!$AK$152:$AK$864,CONCATENATE($C51,FU$3),Master_Data!$T$152:$T$864)</f>
        <v>0</v>
      </c>
      <c r="FT51" s="45">
        <f>SUMIF(Report_BM!GW$6:GW$73,CONCATENATE($C51,FU$3),Report_BM!GT$6:GT$73)</f>
        <v>0</v>
      </c>
      <c r="FU51" s="39">
        <f>SUMIF(Report_BM!GW$6:GW$73,CONCATENATE($C51,FU$3),Report_BM!GU$6:GU$73)</f>
        <v>0</v>
      </c>
      <c r="FV51" s="103"/>
      <c r="FW51" s="104"/>
      <c r="FX51" s="104"/>
      <c r="FY51" s="104"/>
      <c r="FZ51" s="104"/>
      <c r="GA51" s="104"/>
    </row>
    <row r="52" spans="1:183" s="40" customFormat="1" ht="14.1" customHeight="1">
      <c r="A52" s="9">
        <v>46</v>
      </c>
      <c r="B52" s="328" t="s">
        <v>123</v>
      </c>
      <c r="C52" s="323" t="s">
        <v>396</v>
      </c>
      <c r="D52" s="45">
        <f>SUMIF(Report_BM!$B$6:$B$73,CONCATENATE($C52,L$3),Report_BM!$E$6:$E$73)+SUMIF(Report_BM!$B$6:$B$73,CONCATENATE($C52,L$3),Report_BM!$H$6:$H$73)</f>
        <v>0</v>
      </c>
      <c r="E52" s="276">
        <f>SUMIF(Report_BM!$B$6:$B$73,CONCATENATE($C52,L$3),Report_BM!$F$6:$F$73)+SUMIF(Report_BM!$B$6:$B$73,CONCATENATE($C52,L$3),Report_BM!$I$6:$I$73)</f>
        <v>0</v>
      </c>
      <c r="F52" s="45">
        <f>SUMIF(Report_BM!$B$6:$B$73,CONCATENATE($C52,L$3),Report_BM!$K$6:$K$73)</f>
        <v>0</v>
      </c>
      <c r="G52" s="39">
        <f>SUMIF(Report_BM!$B$6:$B$73,CONCATENATE($C52,$L$3),Report_BM!$L$6:$L$73)</f>
        <v>0</v>
      </c>
      <c r="H52" s="39">
        <f>SUMIF(Report_BM!$B$6:$B$73,CONCATENATE($C52,$L$3),Report_BM!$M$6:$M$73)</f>
        <v>0</v>
      </c>
      <c r="I52" s="39">
        <f>SUMIF(Report_BM!$B$6:$B$73,CONCATENATE($C52,$L$3),Report_BM!$N$6:$N$73)</f>
        <v>0</v>
      </c>
      <c r="J52" s="46">
        <f>SUMIF(Report_BM!$B$6:$B$73,CONCATENATE($C52,$L$3),Report_BM!$O$6:$O$73)</f>
        <v>0</v>
      </c>
      <c r="K52" s="45">
        <f>SUMIF(Report_BM!$B$6:$B$73,CONCATENATE($C52,$L$3),Report_BM!$P$6:$P$73)</f>
        <v>0</v>
      </c>
      <c r="L52" s="39">
        <f>SUMIF(Report_BM!$B$6:$B$73,CONCATENATE($C52,$L$3),Report_BM!$Q$6:$Q$73)</f>
        <v>0</v>
      </c>
      <c r="M52" s="103"/>
      <c r="N52" s="104"/>
      <c r="O52" s="104"/>
      <c r="P52" s="104"/>
      <c r="Q52" s="104"/>
      <c r="R52" s="104"/>
      <c r="S52" s="45">
        <f>SUMIF(Report_BM!$AI$8:$AI$72,CONCATENATE($C52,AA$3),Report_BM!$U$8:$U$72)+SUMIF(Report_BM!$AI$8:$AI$72,CONCATENATE($C52,AA$3),Report_BM!$X$8:$X$72)</f>
        <v>0</v>
      </c>
      <c r="T52" s="276">
        <f>SUMIF(Report_BM!$AI$8:$AI$72,CONCATENATE($C52,AA$3),Report_BM!$V$8:$V$72)+SUMIF(Report_BM!$AI$8:$AI$72,CONCATENATE($C52,AA$3),Report_BM!$Y$8:$Y$72)</f>
        <v>0</v>
      </c>
      <c r="U52" s="45">
        <f>SUMIF(Report_BM!$AI$8:$AI$72,CONCATENATE($C52,AA$3),Report_BM!$AA$8:$AB$72)</f>
        <v>0</v>
      </c>
      <c r="V52" s="39">
        <f>SUMIF(Report_BM!$AI$8:$AI$72,CONCATENATE($C52,$AA$3),Report_BM!$AB$8:$AB$72)</f>
        <v>0</v>
      </c>
      <c r="W52" s="39">
        <f>SUMIF(Report_BM!$AI$8:$AI$72,CONCATENATE($C52,$AA$3),Report_BM!$AC$8:$AC$72)</f>
        <v>0</v>
      </c>
      <c r="X52" s="39">
        <f ca="1">SUMIF(Report_BM!$AI$7:$AI$73,CONCATENATE($C52,$AA$3),Report_BM!$AD$7:$AD$73)</f>
        <v>0</v>
      </c>
      <c r="Y52" s="46">
        <f>SUMIF(Master_Data!$AK$152:$AK$864,CONCATENATE($C52,AA$3),Master_Data!$T$152:$T$864)</f>
        <v>0</v>
      </c>
      <c r="Z52" s="45">
        <f>SUMIF(Report_BM!$AI$8:$AI$72,CONCATENATE($C52,$AA$3),Report_BM!$AF$8:$AF$72)</f>
        <v>0</v>
      </c>
      <c r="AA52" s="39">
        <f ca="1">SUMIF(Report_BM!$AI$8:$AI$72,CONCATENATE($C52,$AA$3),Report_BM!$AG$8:$AG$72)</f>
        <v>0</v>
      </c>
      <c r="AB52" s="103"/>
      <c r="AC52" s="104"/>
      <c r="AD52" s="104"/>
      <c r="AE52" s="104"/>
      <c r="AF52" s="104"/>
      <c r="AG52" s="104"/>
      <c r="AH52" s="45">
        <f>SUMIF(Report_BM!$AZ$5:$AZ$72,CONCATENATE($C52,AP$3),Report_BM!$AL$5:$AL$72)+SUMIF(Report_BM!$AZ$5:$AZ$72,CONCATENATE($C52,AP$3),Report_BM!$AO$5:$AO$72)</f>
        <v>0</v>
      </c>
      <c r="AI52" s="46">
        <f ca="1">SUMIF(Report_BM!$AZ$5:$AZ$72,CONCATENATE($C52,$AP$3),Report_BM!$AM$5:$AM$72)+SUMIF(Report_BM!$AZ$5:$AZ$72,CONCATENATE($C52,$AP$3),Report_BM!$AP$5:$AP$72)</f>
        <v>0</v>
      </c>
      <c r="AJ52" s="45">
        <f>SUMIF(Report_BM!$AZ$5:$AZ$72,CONCATENATE($C52,$AP$3),Report_BM!$AR$5:$AR$72)</f>
        <v>0</v>
      </c>
      <c r="AK52" s="39">
        <f>SUMIF(Report_BM!$AZ$5:$AZ$72,CONCATENATE($C52,$AP$3),Report_BM!$AS$5:$AS$72)</f>
        <v>0</v>
      </c>
      <c r="AL52" s="39">
        <f>SUMIF(Report_BM!$AZ$5:$AZ$72,CONCATENATE($C52,$AP$3),Report_BM!$AT$5:$AT$72)</f>
        <v>0</v>
      </c>
      <c r="AM52" s="39">
        <f ca="1">SUMIF(Report_BM!$AZ$5:$AZ$72,CONCATENATE($C52,$AP$3),Report_BM!$AU$5:$AU$72)</f>
        <v>0</v>
      </c>
      <c r="AN52" s="46">
        <f>SUMIF(Master_Data!$AK$152:$AK$915,CONCATENATE($C52,AP$3),Master_Data!$T$152:$T$915)</f>
        <v>0</v>
      </c>
      <c r="AO52" s="45">
        <f>SUMIF(Report_BM!$AZ$5:$AZ$72,CONCATENATE($C52,$AP$3),Report_BM!$AW$5:$AW$72)</f>
        <v>0</v>
      </c>
      <c r="AP52" s="39">
        <f ca="1">SUMIF(Report_BM!$AZ$5:$AZ$72,CONCATENATE($C52,$AP$3),Report_BM!$AX$5:$AX$72)</f>
        <v>0</v>
      </c>
      <c r="AQ52" s="103"/>
      <c r="AR52" s="104"/>
      <c r="AS52" s="104"/>
      <c r="AT52" s="104"/>
      <c r="AU52" s="104"/>
      <c r="AV52" s="104"/>
      <c r="AW52" s="45">
        <f>SUMIF(Report_BM!$BQ$6:$BQ$73,CONCATENATE($C52,BE$3),Report_BM!$BC$6:$BC$73)+SUMIF(Report_BM!$BQ$6:$BQ$73,CONCATENATE($C52,BE$3),Report_BM!$BF$6:$BF$73)</f>
        <v>0</v>
      </c>
      <c r="AX52" s="46" t="e">
        <f ca="1">SUMIF(Report_BM!$BQ$6:$BQ$73,CONCATENATE($C52,$BE$3),Report_BM!$BD$6:$BD$73)+SUMIF(Report_BM!$BQ$6:$BQ$73,CONCATENATE($C52,$BE$3),Report_BM!$BG$6:$BG$73)</f>
        <v>#VALUE!</v>
      </c>
      <c r="AY52" s="45">
        <f>SUMIF(Report_BM!$BQ$6:$BQ$73,CONCATENATE($C52,BE$3),Report_BM!$BI$6:$BI$73)</f>
        <v>0</v>
      </c>
      <c r="AZ52" s="39">
        <f>SUMIF(Report_BM!$BQ$6:$BQ$73,CONCATENATE($C52,BE$3),Report_BM!$BJ$6:$BJ$73)</f>
        <v>0</v>
      </c>
      <c r="BA52" s="39">
        <f>SUMIF(Report_BM!$BQ$6:$BQ$73,CONCATENATE($C52,BE$3),Report_BM!$BK$6:$BK$73)</f>
        <v>0</v>
      </c>
      <c r="BB52" s="39">
        <f>SUMIF(Report_BM!$BQ$6:$BQ$73,CONCATENATE($C52,BE$3),Report_BM!$BL$6:$BL$73)</f>
        <v>0</v>
      </c>
      <c r="BC52" s="46">
        <f>SUMIF(Master_Data!$AK$152:$AK$864,CONCATENATE($C52,BE$3),Master_Data!$T$152:$T$864)</f>
        <v>0</v>
      </c>
      <c r="BD52" s="45">
        <f>SUMIF(Report_BM!$BQ$6:$BQ$73,CONCATENATE($C52,BE$3),Report_BM!$BN$6:$BN$73)</f>
        <v>0</v>
      </c>
      <c r="BE52" s="39" t="e">
        <f ca="1">SUMIF(Report_BM!$BQ$6:$BQ$73,CONCATENATE($C52,BE$3),Report_BM!$BO$6:$BO$73)</f>
        <v>#VALUE!</v>
      </c>
      <c r="BF52" s="103"/>
      <c r="BG52" s="104"/>
      <c r="BH52" s="104"/>
      <c r="BI52" s="104"/>
      <c r="BJ52" s="104"/>
      <c r="BK52" s="104"/>
      <c r="BL52" s="45">
        <f>SUMIF(Report_BM!$CH$6:$CH$73,CONCATENATE($C52,BT$3),Report_BM!$BT$6:$BT$73)+SUMIF(Report_BM!$CH$6:$CH$73,CONCATENATE($C52,BT$3),Report_BM!$BW$6:$BW$73)</f>
        <v>0</v>
      </c>
      <c r="BM52" s="46" t="e">
        <f ca="1">SUMIF(Report_BM!$CH$6:$CH$73,CONCATENATE($C52,$BT$3),Report_BM!$BU$6:$BU$73)+SUMIF(Report_BM!$CH$6:$CH$73,CONCATENATE($C52,$BT$3),Report_BM!$BX$6:$BX$73)</f>
        <v>#VALUE!</v>
      </c>
      <c r="BN52" s="45">
        <f>SUMIF(Report_BM!$CH$6:$CH$73,CONCATENATE($C52,BT$3),Report_BM!$BZ$6:$BZ$73)</f>
        <v>0</v>
      </c>
      <c r="BO52" s="39">
        <f>SUMIF(Report_BM!$CH$6:$CH$73,CONCATENATE($C52,BT$3),Report_BM!$CA$6:$CA$73)</f>
        <v>0</v>
      </c>
      <c r="BP52" s="39">
        <f>SUMIF(Report_BM!$CH$6:$CH$73,CONCATENATE($C52,BT$3),Report_BM!$CB$6:$CB$73)</f>
        <v>0</v>
      </c>
      <c r="BQ52" s="39">
        <f>SUMIF(Report_BM!$CH$6:$CH$73,CONCATENATE($C52,BT$3),Report_BM!$CC$6:$CC$73)</f>
        <v>0</v>
      </c>
      <c r="BR52" s="46">
        <f>SUMIF(Master_Data!$AK$152:$AK$864,CONCATENATE($C52,BT$3),Master_Data!$T$152:$T$864)</f>
        <v>0</v>
      </c>
      <c r="BS52" s="45">
        <f>SUMIF(Report_BM!$CH$6:$CH$73,CONCATENATE($C52,BT$3),Report_BM!$CE$6:$CE$73)</f>
        <v>0</v>
      </c>
      <c r="BT52" s="39" t="e">
        <f ca="1">SUMIF(Report_BM!$CH$6:$CH$73,CONCATENATE($C52,BT$3),Report_BM!$CF$6:$CF$73)</f>
        <v>#VALUE!</v>
      </c>
      <c r="BU52" s="103"/>
      <c r="BV52" s="104"/>
      <c r="BW52" s="104"/>
      <c r="BX52" s="104"/>
      <c r="BY52" s="104"/>
      <c r="BZ52" s="104"/>
      <c r="CA52" s="45">
        <f>SUMIF(Report_BM!$CY$6:$CY$73,CONCATENATE($C52,CI$3),Report_BM!$CK$6:$CK$73)+SUMIF(Report_BM!$CY$6:$CY$73,CONCATENATE($C52,CI$3),Report_BM!$CN$6:$CN$73)</f>
        <v>0</v>
      </c>
      <c r="CB52" s="46" t="e">
        <f ca="1">SUMIF(Report_BM!$CY$6:$CY$73,CONCATENATE($C52,$CI$3),Report_BM!$CL$6:$CL$73)+SUMIF(Report_BM!$CY$6:$CY$73,CONCATENATE($C52,$CI$3),Report_BM!$CO$6:$CO$73)</f>
        <v>#VALUE!</v>
      </c>
      <c r="CC52" s="45">
        <f>SUMIF(Report_BM!$CY$6:$CY$73,CONCATENATE($C52,CI$3),Report_BM!$CQ$6:$CQ$73)</f>
        <v>0</v>
      </c>
      <c r="CD52" s="39">
        <f>SUMIF(Report_BM!$CY$6:$CY$73,CONCATENATE($C52,CI$3),Report_BM!$CR$6:$CR$73)</f>
        <v>0</v>
      </c>
      <c r="CE52" s="39">
        <f>SUMIF(Report_BM!$CY$6:$CY$73,CONCATENATE($C52,CI$3),Report_BM!$CS$6:$CS$73)</f>
        <v>0</v>
      </c>
      <c r="CF52" s="39">
        <f ca="1">SUMIF(Report_BM!$CY$6:$CY$73,CONCATENATE($C52,CI$3),Report_BM!$CT$6:$CT$73)</f>
        <v>0</v>
      </c>
      <c r="CG52" s="46">
        <f>SUMIF(Report_BM!$CY$6:$CY$73,CONCATENATE($C52,CI$3),Report_BM!$CU$6:$CU$73)</f>
        <v>0</v>
      </c>
      <c r="CH52" s="45">
        <f>SUMIF(Report_BM!$CY$6:$CY$73,CONCATENATE($C52,CI$3),Report_BM!$CV$6:$CV$73)</f>
        <v>0</v>
      </c>
      <c r="CI52" s="39" t="e">
        <f ca="1">SUMIF(Report_BM!$CY$6:$CY$73,CONCATENATE($C52,CI$3),Report_BM!$CW$6:$CW$73)</f>
        <v>#VALUE!</v>
      </c>
      <c r="CJ52" s="103"/>
      <c r="CK52" s="104"/>
      <c r="CL52" s="104"/>
      <c r="CM52" s="104"/>
      <c r="CN52" s="104"/>
      <c r="CO52" s="104"/>
      <c r="CP52" s="45">
        <f>SUMIF(Report_BM!$DP$6:$DP$73,CONCATENATE($C52,CX$3),Report_BM!$DB$6:$DB$73)+SUMIF(Report_BM!$DP$6:$DP$73,CONCATENATE($C52,CX$3),Report_BM!$DE$6:$DE$73)</f>
        <v>0</v>
      </c>
      <c r="CQ52" s="46" t="e">
        <f ca="1">SUMIF(Report_BM!$DP$6:$DP$73,CONCATENATE($C52,$CX$3),Report_BM!$DC$6:$DC$73)+SUMIF(Report_BM!$DP$6:$DP$73,CONCATENATE($C52,$CX$3),Report_BM!$DF$6:$DF$73)</f>
        <v>#VALUE!</v>
      </c>
      <c r="CR52" s="45">
        <f>SUMIF(Report_BM!$DP$6:$DP$73,CONCATENATE($C52,CX$3),Report_BM!$DH$6:$DH$73)</f>
        <v>0</v>
      </c>
      <c r="CS52" s="39">
        <f>SUMIF(Report_BM!$DP$6:$DP$73,CONCATENATE($C52,CX$3),Report_BM!$DI$6:$DI$73)</f>
        <v>0</v>
      </c>
      <c r="CT52" s="39">
        <f>SUMIF(Report_BM!$DP$6:$DP$73,CONCATENATE($C52,CX$3),Report_BM!$DJ$6:$DJ$73)</f>
        <v>60000000</v>
      </c>
      <c r="CU52" s="39">
        <f>SUMIF(Report_BM!$DP$6:$DP$73,CONCATENATE($C52,CX$3),Report_BM!$DK$6:$DK$73)</f>
        <v>0</v>
      </c>
      <c r="CV52" s="46">
        <f>SUMIF(Master_Data!$AK$152:$AK$864,CONCATENATE($C52,CX$3),Master_Data!$T$152:$T$864)</f>
        <v>0</v>
      </c>
      <c r="CW52" s="45">
        <f>SUMIF(Report_BM!$DP$6:$DP$73,CONCATENATE($C52,CX$3),Report_BM!$DM$6:$DM$73)</f>
        <v>0</v>
      </c>
      <c r="CX52" s="39" t="e">
        <f ca="1">SUMIF(Report_BM!$DP$6:$DP$73,CONCATENATE($C52,CX$3),Report_BM!$DN$6:$DN$73)</f>
        <v>#VALUE!</v>
      </c>
      <c r="CY52" s="103"/>
      <c r="CZ52" s="104"/>
      <c r="DA52" s="104"/>
      <c r="DB52" s="104"/>
      <c r="DC52" s="104"/>
      <c r="DD52" s="104"/>
      <c r="DE52" s="45">
        <f>SUMIF(Report_BM!$EG$6:$EG$73,CONCATENATE($C52,DM$3),Report_BM!$DS$6:$DS$73)+SUMIF(Report_BM!$EG$6:$EG$73,CONCATENATE($C52,DM$3),Report_BM!$DV$6:$DV$73)</f>
        <v>0</v>
      </c>
      <c r="DF52" s="46" t="e">
        <f ca="1">SUMIF(Report_BM!$EG$6:$EG$73,CONCATENATE($C52,$DM$3),Report_BM!$DT$6:$DT$73)+SUMIF(Report_BM!$EG$6:$EG$73,CONCATENATE($C52,$DM$3),Report_BM!$DW$6:$DW$73)</f>
        <v>#VALUE!</v>
      </c>
      <c r="DG52" s="45">
        <f>SUMIF(Report_BM!$EG$6:$EG$73,CONCATENATE($C52,DM$3),Report_BM!$DY$6:$DY$73)</f>
        <v>0</v>
      </c>
      <c r="DH52" s="39">
        <f>SUMIF(Report_BM!EG$6:EG$73,CONCATENATE($C52,DM$3),Report_BM!DZ$6:DZ$73)</f>
        <v>0</v>
      </c>
      <c r="DI52" s="39">
        <f>SUMIF(Report_BM!EG$6:EG$73,CONCATENATE($C52,DM$3),Report_BM!$EA$6:$EA$73)</f>
        <v>220500000</v>
      </c>
      <c r="DJ52" s="39">
        <f>SUMIF(Report_BM!EG$6:EG$73,CONCATENATE($C52,DM$3),Report_BM!$EB$6:$EB$73)</f>
        <v>0</v>
      </c>
      <c r="DK52" s="46">
        <f>SUMIF(Master_Data!$AK$152:$AK$864,CONCATENATE($C52,DM$3),Master_Data!$T$152:$T$864)</f>
        <v>-4500000.0000999998</v>
      </c>
      <c r="DL52" s="45">
        <f>SUMIF(Report_BM!EG$6:EG$73,CONCATENATE($C52,DM$3),Report_BM!ED$6:ED$73)</f>
        <v>0</v>
      </c>
      <c r="DM52" s="39" t="e">
        <f ca="1">SUMIF(Report_BM!EG$6:EG$73,CONCATENATE($C52,DM$3),Report_BM!EE$6:EE$73)</f>
        <v>#VALUE!</v>
      </c>
      <c r="DN52" s="103"/>
      <c r="DO52" s="104"/>
      <c r="DP52" s="104"/>
      <c r="DQ52" s="104"/>
      <c r="DR52" s="104"/>
      <c r="DS52" s="104"/>
      <c r="DT52" s="45">
        <f>SUMIF(Report_BM!$EX$6:$EX$73,CONCATENATE($C52,EB$3),Report_BM!$EJ$6:$EJ$73)+SUMIF(Report_BM!$EX$6:$EX$73,CONCATENATE($C52,EB$3),Report_BM!$EM$6:$EM$73)</f>
        <v>0</v>
      </c>
      <c r="DU52" s="46" t="e">
        <f ca="1">SUMIF(Report_BM!$EX$6:$EX$73,CONCATENATE($C52,$EB$3),Report_BM!$EK$6:$EK$73)+SUMIF(Report_BM!$EX$6:$EX$73,CONCATENATE($C52,$EB$3),Report_BM!$EN$6:$EN$73)</f>
        <v>#VALUE!</v>
      </c>
      <c r="DV52" s="45">
        <f>SUMIF(Report_BM!$EX$6:$EX$73,CONCATENATE($C52,EB$3),Report_BM!$EP$6:$EP$73)</f>
        <v>0</v>
      </c>
      <c r="DW52" s="39">
        <f>SUMIF(Report_BM!$EX$6:$EX$73,CONCATENATE($C52,EB$3),Report_BM!$EQ$6:$EQ$73)</f>
        <v>0</v>
      </c>
      <c r="DX52" s="39">
        <f>SUMIF(Report_BM!$EX$6:$EX$73,CONCATENATE($C52,EB$3),Report_BM!$ER$6:$ER$73)</f>
        <v>0</v>
      </c>
      <c r="DY52" s="39">
        <f>SUMIF(Report_BM!$EX$6:$EX$73,CONCATENATE($C52,EB$3),Report_BM!$ES$6:$ES$73)</f>
        <v>0</v>
      </c>
      <c r="DZ52" s="46">
        <f>SUMIF(Master_Data!$AK$152:$AK$864,CONCATENATE($C52,EB$3),Master_Data!$T$152:$T$864)</f>
        <v>0</v>
      </c>
      <c r="EA52" s="45">
        <f>SUMIF(Report_BM!EX$6:EX$73,CONCATENATE($C52,EB$3),Report_BM!EU$6:EU$73)</f>
        <v>0</v>
      </c>
      <c r="EB52" s="39">
        <f>SUMIF(Report_BM!EX$6:EX$73,CONCATENATE($C52,EB$3),Report_BM!EV$6:EV$73)</f>
        <v>0</v>
      </c>
      <c r="EC52" s="103"/>
      <c r="ED52" s="104"/>
      <c r="EE52" s="104"/>
      <c r="EF52" s="104"/>
      <c r="EG52" s="104"/>
      <c r="EH52" s="104"/>
      <c r="EI52" s="45">
        <f>SUMIF(Report_BM!$FO$6:$FO$73,CONCATENATE($C52,EQ$3),Report_BM!$FA$6:$FA$73)+SUMIF(Report_BM!$FO$6:$FO$73,CONCATENATE($C52,EQ$3),Report_BM!$FD$6:$FD$73)</f>
        <v>0</v>
      </c>
      <c r="EJ52" s="46">
        <f>SUMIF(Report_BM!$FO$6:$FO$73,CONCATENATE($C52,$EQ$3),Report_BM!$FB$6:$FB$73)+SUMIF(Report_BM!$FO$6:$FO$73,CONCATENATE($C52,$EQ$3),Report_BM!$FE$6:$FE$73)</f>
        <v>0</v>
      </c>
      <c r="EK52" s="45">
        <f>SUMIF(Report_BM!$FO$6:$FO$73,CONCATENATE($C52,EQ$3),Report_BM!$FG$6:$FG$73)</f>
        <v>0</v>
      </c>
      <c r="EL52" s="39">
        <f>SUMIF(Report_BM!$FO$6:$FO$73,CONCATENATE($C52,EQ$3),Report_BM!$FH$6:$FH$73)</f>
        <v>0</v>
      </c>
      <c r="EM52" s="39">
        <f>SUMIF(Report_BM!$FO$6:$FO$73,CONCATENATE($C52,EQ$3),Report_BM!$FI$6:$FI$73)</f>
        <v>0</v>
      </c>
      <c r="EN52" s="39">
        <f>SUMIF(Report_BM!$FO$6:$FO$73,CONCATENATE($C52,EQ$3),Report_BM!$FJ$6:$FJ$73)</f>
        <v>0</v>
      </c>
      <c r="EO52" s="46">
        <f>SUMIF(Master_Data!$AK$152:$AK$864,CONCATENATE($C52,EQ$3),Master_Data!$T$152:$T$864)</f>
        <v>0</v>
      </c>
      <c r="EP52" s="45">
        <f>SUMIF(Report_BM!FO$6:FO$73,CONCATENATE($C52,EQ$3),Report_BM!FL$6:FL$73)</f>
        <v>0</v>
      </c>
      <c r="EQ52" s="39">
        <f>SUMIF(Report_BM!FO$6:FO$73,CONCATENATE($C52,EQ$3),Report_BM!FM$6:FM$73)</f>
        <v>0</v>
      </c>
      <c r="ER52" s="103"/>
      <c r="ES52" s="104"/>
      <c r="ET52" s="104"/>
      <c r="EU52" s="104"/>
      <c r="EV52" s="104"/>
      <c r="EW52" s="104"/>
      <c r="EX52" s="45">
        <f>SUMIF(Report_BM!$GF$6:$GF$73,CONCATENATE($C52,FF$3),Report_BM!$FR$6:$FR$73)+SUMIF(Report_BM!$GF$6:$GF$73,CONCATENATE($C52,FF$3),Report_BM!$FU$6:$FU$73)</f>
        <v>0</v>
      </c>
      <c r="EY52" s="46">
        <f>SUMIF(Report_BM!$GF$6:$GF$73,CONCATENATE($C52,$FF$3),Report_BM!$FS$6:$FS$73)+SUMIF(Report_BM!$GF$6:$GF$73,CONCATENATE($C52,$FF$3),Report_BM!$FV$6:$FV$73)</f>
        <v>0</v>
      </c>
      <c r="EZ52" s="45">
        <f>SUMIF(Report_BM!$GF$6:$GF$73,CONCATENATE($C52,FF$3),Report_BM!$FX$6:$FX$73)</f>
        <v>0</v>
      </c>
      <c r="FA52" s="39">
        <f>SUMIF(Report_BM!$GF$6:$GF$73,CONCATENATE($C52,FF$3),Report_BM!$FY$6:$FY$73)</f>
        <v>0</v>
      </c>
      <c r="FB52" s="39">
        <f>SUMIF(Report_BM!$GF$6:$GF$73,CONCATENATE($C52,FF$3),Report_BM!$FZ$6:$FZ$73)</f>
        <v>0</v>
      </c>
      <c r="FC52" s="39">
        <f>SUMIF(Report_BM!$GF$6:$GF$73,CONCATENATE($C52,FF$3),Report_BM!$GA$6:$GA$73)</f>
        <v>0</v>
      </c>
      <c r="FD52" s="46">
        <f>SUMIF(Master_Data!$AK$152:$AK$864,CONCATENATE($C52,FF$3),Master_Data!$T$152:$T$864)</f>
        <v>0</v>
      </c>
      <c r="FE52" s="45">
        <f>SUMIF(Report_BM!GF$6:GF$73,CONCATENATE($C52,FF$3),Report_BM!GC$6:GC$73)</f>
        <v>0</v>
      </c>
      <c r="FF52" s="39">
        <f>SUMIF(Report_BM!GF$6:GF$73,CONCATENATE($C52,FF$3),Report_BM!GD$6:GD$73)</f>
        <v>0</v>
      </c>
      <c r="FG52" s="103"/>
      <c r="FH52" s="104"/>
      <c r="FI52" s="104"/>
      <c r="FJ52" s="104"/>
      <c r="FK52" s="104"/>
      <c r="FL52" s="104"/>
      <c r="FM52" s="45">
        <f>SUMIF(Report_BM!$GW$6:$GW$73,CONCATENATE($C52,FU$3),Report_BM!$GI$6:$GI$73)+SUMIF(Report_BM!$GW$6:$GW$73,CONCATENATE($C52,FU$3),Report_BM!$GL$6:$GL$73)</f>
        <v>0</v>
      </c>
      <c r="FN52" s="46">
        <f>SUMIF(Report_BM!$GW$6:$GW$73,CONCATENATE($C52,$FU$3),Report_BM!$GJ$6:$GJ$73)+SUMIF(Report_BM!$GW$6:$GW$73,CONCATENATE($C52,$FU$3),Report_BM!$GM$6:$GM$73)</f>
        <v>0</v>
      </c>
      <c r="FO52" s="45">
        <f>SUMIF(Report_BM!$GW$6:$GW$73,CONCATENATE($C52,FU$3),Report_BM!$GO$6:$GO$73)</f>
        <v>0</v>
      </c>
      <c r="FP52" s="39">
        <f>SUMIF(Report_BM!$GW$6:$GW$73,CONCATENATE($C52,FU$3),Report_BM!$GP$6:$GP$73)</f>
        <v>0</v>
      </c>
      <c r="FQ52" s="39">
        <f>SUMIF(Report_BM!$GW$6:$GW$73,CONCATENATE($C52,FU$3),Report_BM!$GQ$6:$GQ$73)</f>
        <v>0</v>
      </c>
      <c r="FR52" s="39">
        <f>SUMIF(Report_BM!$GW$6:$GW$73,CONCATENATE($C52,FU$3),Report_BM!$GR$6:$GR$73)</f>
        <v>0</v>
      </c>
      <c r="FS52" s="46">
        <f>SUMIF(Master_Data!$AK$152:$AK$864,CONCATENATE($C52,FU$3),Master_Data!$T$152:$T$864)</f>
        <v>0</v>
      </c>
      <c r="FT52" s="45">
        <f>SUMIF(Report_BM!GW$6:GW$73,CONCATENATE($C52,FU$3),Report_BM!GT$6:GT$73)</f>
        <v>0</v>
      </c>
      <c r="FU52" s="39">
        <f>SUMIF(Report_BM!GW$6:GW$73,CONCATENATE($C52,FU$3),Report_BM!GU$6:GU$73)</f>
        <v>0</v>
      </c>
      <c r="FV52" s="103"/>
      <c r="FW52" s="104"/>
      <c r="FX52" s="104"/>
      <c r="FY52" s="104"/>
      <c r="FZ52" s="104"/>
      <c r="GA52" s="104"/>
    </row>
    <row r="53" spans="1:183" s="40" customFormat="1" ht="14.1" customHeight="1">
      <c r="A53" s="9">
        <v>47</v>
      </c>
      <c r="B53" s="328" t="s">
        <v>107</v>
      </c>
      <c r="C53" s="323" t="s">
        <v>211</v>
      </c>
      <c r="D53" s="45">
        <f>SUMIF(Report_BM!$B$6:$B$73,CONCATENATE($C53,L$3),Report_BM!$E$6:$E$73)+SUMIF(Report_BM!$B$6:$B$73,CONCATENATE($C53,L$3),Report_BM!$H$6:$H$73)</f>
        <v>0</v>
      </c>
      <c r="E53" s="276">
        <f>SUMIF(Report_BM!$B$6:$B$73,CONCATENATE($C53,L$3),Report_BM!$F$6:$F$73)+SUMIF(Report_BM!$B$6:$B$73,CONCATENATE($C53,L$3),Report_BM!$I$6:$I$73)</f>
        <v>0</v>
      </c>
      <c r="F53" s="45">
        <f>SUMIF(Report_BM!$B$6:$B$73,CONCATENATE($C53,L$3),Report_BM!$K$6:$K$73)</f>
        <v>0</v>
      </c>
      <c r="G53" s="39">
        <f>SUMIF(Report_BM!$B$6:$B$73,CONCATENATE($C53,$L$3),Report_BM!$L$6:$L$73)</f>
        <v>0</v>
      </c>
      <c r="H53" s="39">
        <f>SUMIF(Report_BM!$B$6:$B$73,CONCATENATE($C53,$L$3),Report_BM!$M$6:$M$73)</f>
        <v>0</v>
      </c>
      <c r="I53" s="39">
        <f>SUMIF(Report_BM!$B$6:$B$73,CONCATENATE($C53,$L$3),Report_BM!$N$6:$N$73)</f>
        <v>0</v>
      </c>
      <c r="J53" s="46">
        <f>SUMIF(Report_BM!$B$6:$B$73,CONCATENATE($C53,$L$3),Report_BM!$O$6:$O$73)</f>
        <v>0</v>
      </c>
      <c r="K53" s="45">
        <f>SUMIF(Report_BM!$B$6:$B$73,CONCATENATE($C53,$L$3),Report_BM!$P$6:$P$73)</f>
        <v>0</v>
      </c>
      <c r="L53" s="39">
        <f>SUMIF(Report_BM!$B$6:$B$73,CONCATENATE($C53,$L$3),Report_BM!$Q$6:$Q$73)</f>
        <v>0</v>
      </c>
      <c r="M53" s="103"/>
      <c r="N53" s="104"/>
      <c r="O53" s="104"/>
      <c r="P53" s="104"/>
      <c r="Q53" s="104"/>
      <c r="R53" s="104"/>
      <c r="S53" s="45">
        <f>SUMIF(Report_BM!$AI$8:$AI$72,CONCATENATE($C53,AA$3),Report_BM!$U$8:$U$72)+SUMIF(Report_BM!$AI$8:$AI$72,CONCATENATE($C53,AA$3),Report_BM!$X$8:$X$72)</f>
        <v>0</v>
      </c>
      <c r="T53" s="276">
        <f>SUMIF(Report_BM!$AI$8:$AI$72,CONCATENATE($C53,AA$3),Report_BM!$V$8:$V$72)+SUMIF(Report_BM!$AI$8:$AI$72,CONCATENATE($C53,AA$3),Report_BM!$Y$8:$Y$72)</f>
        <v>0</v>
      </c>
      <c r="U53" s="45">
        <f>SUMIF(Report_BM!$AI$8:$AI$72,CONCATENATE($C53,AA$3),Report_BM!$AA$8:$AB$72)</f>
        <v>0</v>
      </c>
      <c r="V53" s="39">
        <f>SUMIF(Report_BM!$AI$8:$AI$72,CONCATENATE($C53,$AA$3),Report_BM!$AB$8:$AB$72)</f>
        <v>0</v>
      </c>
      <c r="W53" s="39">
        <f>SUMIF(Report_BM!$AI$8:$AI$72,CONCATENATE($C53,$AA$3),Report_BM!$AC$8:$AC$72)</f>
        <v>0</v>
      </c>
      <c r="X53" s="39">
        <f ca="1">SUMIF(Report_BM!$AI$7:$AI$73,CONCATENATE($C53,$AA$3),Report_BM!$AD$7:$AD$73)</f>
        <v>0</v>
      </c>
      <c r="Y53" s="46">
        <f>SUMIF(Master_Data!$AK$152:$AK$864,CONCATENATE($C53,AA$3),Master_Data!$T$152:$T$864)</f>
        <v>0</v>
      </c>
      <c r="Z53" s="45">
        <f>SUMIF(Report_BM!$AI$8:$AI$72,CONCATENATE($C53,$AA$3),Report_BM!$AF$8:$AF$72)</f>
        <v>0</v>
      </c>
      <c r="AA53" s="39">
        <f ca="1">SUMIF(Report_BM!$AI$8:$AI$72,CONCATENATE($C53,$AA$3),Report_BM!$AG$8:$AG$72)</f>
        <v>0</v>
      </c>
      <c r="AB53" s="103"/>
      <c r="AC53" s="104"/>
      <c r="AD53" s="104"/>
      <c r="AE53" s="104"/>
      <c r="AF53" s="104"/>
      <c r="AG53" s="104"/>
      <c r="AH53" s="45">
        <f>SUMIF(Report_BM!$AZ$5:$AZ$72,CONCATENATE($C53,AP$3),Report_BM!$AL$5:$AL$72)+SUMIF(Report_BM!$AZ$5:$AZ$72,CONCATENATE($C53,AP$3),Report_BM!$AO$5:$AO$72)</f>
        <v>0</v>
      </c>
      <c r="AI53" s="46">
        <f ca="1">SUMIF(Report_BM!$AZ$5:$AZ$72,CONCATENATE($C53,$AP$3),Report_BM!$AM$5:$AM$72)+SUMIF(Report_BM!$AZ$5:$AZ$72,CONCATENATE($C53,$AP$3),Report_BM!$AP$5:$AP$72)</f>
        <v>0</v>
      </c>
      <c r="AJ53" s="45">
        <f>SUMIF(Report_BM!$AZ$5:$AZ$72,CONCATENATE($C53,$AP$3),Report_BM!$AR$5:$AR$72)</f>
        <v>0</v>
      </c>
      <c r="AK53" s="39">
        <f>SUMIF(Report_BM!$AZ$5:$AZ$72,CONCATENATE($C53,$AP$3),Report_BM!$AS$5:$AS$72)</f>
        <v>0</v>
      </c>
      <c r="AL53" s="39">
        <f>SUMIF(Report_BM!$AZ$5:$AZ$72,CONCATENATE($C53,$AP$3),Report_BM!$AT$5:$AT$72)</f>
        <v>0</v>
      </c>
      <c r="AM53" s="39">
        <f ca="1">SUMIF(Report_BM!$AZ$5:$AZ$72,CONCATENATE($C53,$AP$3),Report_BM!$AU$5:$AU$72)</f>
        <v>0</v>
      </c>
      <c r="AN53" s="46">
        <f>SUMIF(Master_Data!$AK$152:$AK$915,CONCATENATE($C53,AP$3),Master_Data!$T$152:$T$915)</f>
        <v>0</v>
      </c>
      <c r="AO53" s="45">
        <f>SUMIF(Report_BM!$AZ$5:$AZ$72,CONCATENATE($C53,$AP$3),Report_BM!$AW$5:$AW$72)</f>
        <v>0</v>
      </c>
      <c r="AP53" s="39">
        <f ca="1">SUMIF(Report_BM!$AZ$5:$AZ$72,CONCATENATE($C53,$AP$3),Report_BM!$AX$5:$AX$72)</f>
        <v>0</v>
      </c>
      <c r="AQ53" s="103"/>
      <c r="AR53" s="104"/>
      <c r="AS53" s="104"/>
      <c r="AT53" s="104"/>
      <c r="AU53" s="104"/>
      <c r="AV53" s="104"/>
      <c r="AW53" s="45">
        <f>SUMIF(Report_BM!$BQ$6:$BQ$73,CONCATENATE($C53,BE$3),Report_BM!$BC$6:$BC$73)+SUMIF(Report_BM!$BQ$6:$BQ$73,CONCATENATE($C53,BE$3),Report_BM!$BF$6:$BF$73)</f>
        <v>0</v>
      </c>
      <c r="AX53" s="46">
        <f ca="1">SUMIF(Report_BM!$BQ$6:$BQ$73,CONCATENATE($C53,$BE$3),Report_BM!$BD$6:$BD$73)+SUMIF(Report_BM!$BQ$6:$BQ$73,CONCATENATE($C53,$BE$3),Report_BM!$BG$6:$BG$73)</f>
        <v>0</v>
      </c>
      <c r="AY53" s="45">
        <f>SUMIF(Report_BM!$BQ$6:$BQ$73,CONCATENATE($C53,BE$3),Report_BM!$BI$6:$BI$73)</f>
        <v>0</v>
      </c>
      <c r="AZ53" s="39">
        <f>SUMIF(Report_BM!$BQ$6:$BQ$73,CONCATENATE($C53,BE$3),Report_BM!$BJ$6:$BJ$73)</f>
        <v>0</v>
      </c>
      <c r="BA53" s="39">
        <f>SUMIF(Report_BM!$BQ$6:$BQ$73,CONCATENATE($C53,BE$3),Report_BM!$BK$6:$BK$73)</f>
        <v>0</v>
      </c>
      <c r="BB53" s="39">
        <f>SUMIF(Report_BM!$BQ$6:$BQ$73,CONCATENATE($C53,BE$3),Report_BM!$BL$6:$BL$73)</f>
        <v>0</v>
      </c>
      <c r="BC53" s="46">
        <f>SUMIF(Master_Data!$AK$152:$AK$864,CONCATENATE($C53,BE$3),Master_Data!$T$152:$T$864)</f>
        <v>0</v>
      </c>
      <c r="BD53" s="45">
        <f>SUMIF(Report_BM!$BQ$6:$BQ$73,CONCATENATE($C53,BE$3),Report_BM!$BN$6:$BN$73)</f>
        <v>0</v>
      </c>
      <c r="BE53" s="39">
        <f ca="1">SUMIF(Report_BM!$BQ$6:$BQ$73,CONCATENATE($C53,BE$3),Report_BM!$BO$6:$BO$73)</f>
        <v>0</v>
      </c>
      <c r="BF53" s="103"/>
      <c r="BG53" s="104"/>
      <c r="BH53" s="104"/>
      <c r="BI53" s="104"/>
      <c r="BJ53" s="104"/>
      <c r="BK53" s="104"/>
      <c r="BL53" s="45">
        <f>SUMIF(Report_BM!$CH$6:$CH$73,CONCATENATE($C53,BT$3),Report_BM!$BT$6:$BT$73)+SUMIF(Report_BM!$CH$6:$CH$73,CONCATENATE($C53,BT$3),Report_BM!$BW$6:$BW$73)</f>
        <v>0</v>
      </c>
      <c r="BM53" s="46">
        <f ca="1">SUMIF(Report_BM!$CH$6:$CH$73,CONCATENATE($C53,$BT$3),Report_BM!$BU$6:$BU$73)+SUMIF(Report_BM!$CH$6:$CH$73,CONCATENATE($C53,$BT$3),Report_BM!$BX$6:$BX$73)</f>
        <v>0</v>
      </c>
      <c r="BN53" s="45">
        <f>SUMIF(Report_BM!$CH$6:$CH$73,CONCATENATE($C53,BT$3),Report_BM!$BZ$6:$BZ$73)</f>
        <v>0</v>
      </c>
      <c r="BO53" s="39">
        <f>SUMIF(Report_BM!$CH$6:$CH$73,CONCATENATE($C53,BT$3),Report_BM!$CA$6:$CA$73)</f>
        <v>0</v>
      </c>
      <c r="BP53" s="39">
        <f>SUMIF(Report_BM!$CH$6:$CH$73,CONCATENATE($C53,BT$3),Report_BM!$CB$6:$CB$73)</f>
        <v>0</v>
      </c>
      <c r="BQ53" s="39">
        <f>SUMIF(Report_BM!$CH$6:$CH$73,CONCATENATE($C53,BT$3),Report_BM!$CC$6:$CC$73)</f>
        <v>0</v>
      </c>
      <c r="BR53" s="46">
        <f>SUMIF(Master_Data!$AK$152:$AK$864,CONCATENATE($C53,BT$3),Master_Data!$T$152:$T$864)</f>
        <v>0</v>
      </c>
      <c r="BS53" s="45">
        <f>SUMIF(Report_BM!$CH$6:$CH$73,CONCATENATE($C53,BT$3),Report_BM!$CE$6:$CE$73)</f>
        <v>0</v>
      </c>
      <c r="BT53" s="39">
        <f ca="1">SUMIF(Report_BM!$CH$6:$CH$73,CONCATENATE($C53,BT$3),Report_BM!$CF$6:$CF$73)</f>
        <v>0</v>
      </c>
      <c r="BU53" s="103"/>
      <c r="BV53" s="104"/>
      <c r="BW53" s="104"/>
      <c r="BX53" s="104"/>
      <c r="BY53" s="104"/>
      <c r="BZ53" s="104"/>
      <c r="CA53" s="45">
        <f>SUMIF(Report_BM!$CY$6:$CY$73,CONCATENATE($C53,CI$3),Report_BM!$CK$6:$CK$73)+SUMIF(Report_BM!$CY$6:$CY$73,CONCATENATE($C53,CI$3),Report_BM!$CN$6:$CN$73)</f>
        <v>0</v>
      </c>
      <c r="CB53" s="46">
        <f ca="1">SUMIF(Report_BM!$CY$6:$CY$73,CONCATENATE($C53,$CI$3),Report_BM!$CL$6:$CL$73)+SUMIF(Report_BM!$CY$6:$CY$73,CONCATENATE($C53,$CI$3),Report_BM!$CO$6:$CO$73)</f>
        <v>0</v>
      </c>
      <c r="CC53" s="45">
        <f>SUMIF(Report_BM!$CY$6:$CY$73,CONCATENATE($C53,CI$3),Report_BM!$CQ$6:$CQ$73)</f>
        <v>0</v>
      </c>
      <c r="CD53" s="39">
        <f>SUMIF(Report_BM!$CY$6:$CY$73,CONCATENATE($C53,CI$3),Report_BM!$CR$6:$CR$73)</f>
        <v>0</v>
      </c>
      <c r="CE53" s="39">
        <f>SUMIF(Report_BM!$CY$6:$CY$73,CONCATENATE($C53,CI$3),Report_BM!$CS$6:$CS$73)</f>
        <v>0</v>
      </c>
      <c r="CF53" s="39">
        <f ca="1">SUMIF(Report_BM!$CY$6:$CY$73,CONCATENATE($C53,CI$3),Report_BM!$CT$6:$CT$73)</f>
        <v>0</v>
      </c>
      <c r="CG53" s="46">
        <f>SUMIF(Report_BM!$CY$6:$CY$73,CONCATENATE($C53,CI$3),Report_BM!$CU$6:$CU$73)</f>
        <v>0</v>
      </c>
      <c r="CH53" s="45">
        <f>SUMIF(Report_BM!$CY$6:$CY$73,CONCATENATE($C53,CI$3),Report_BM!$CV$6:$CV$73)</f>
        <v>0</v>
      </c>
      <c r="CI53" s="39">
        <f ca="1">SUMIF(Report_BM!$CY$6:$CY$73,CONCATENATE($C53,CI$3),Report_BM!$CW$6:$CW$73)</f>
        <v>0</v>
      </c>
      <c r="CJ53" s="103"/>
      <c r="CK53" s="104"/>
      <c r="CL53" s="104"/>
      <c r="CM53" s="104"/>
      <c r="CN53" s="104"/>
      <c r="CO53" s="104"/>
      <c r="CP53" s="45">
        <f>SUMIF(Report_BM!$DP$6:$DP$73,CONCATENATE($C53,CX$3),Report_BM!$DB$6:$DB$73)+SUMIF(Report_BM!$DP$6:$DP$73,CONCATENATE($C53,CX$3),Report_BM!$DE$6:$DE$73)</f>
        <v>0</v>
      </c>
      <c r="CQ53" s="46">
        <f ca="1">SUMIF(Report_BM!$DP$6:$DP$73,CONCATENATE($C53,$CX$3),Report_BM!$DC$6:$DC$73)+SUMIF(Report_BM!$DP$6:$DP$73,CONCATENATE($C53,$CX$3),Report_BM!$DF$6:$DF$73)</f>
        <v>0</v>
      </c>
      <c r="CR53" s="45">
        <f>SUMIF(Report_BM!$DP$6:$DP$73,CONCATENATE($C53,CX$3),Report_BM!$DH$6:$DH$73)</f>
        <v>0</v>
      </c>
      <c r="CS53" s="39">
        <f>SUMIF(Report_BM!$DP$6:$DP$73,CONCATENATE($C53,CX$3),Report_BM!$DI$6:$DI$73)</f>
        <v>0</v>
      </c>
      <c r="CT53" s="39">
        <f>SUMIF(Report_BM!$DP$6:$DP$73,CONCATENATE($C53,CX$3),Report_BM!$DJ$6:$DJ$73)</f>
        <v>0</v>
      </c>
      <c r="CU53" s="39">
        <f>SUMIF(Report_BM!$DP$6:$DP$73,CONCATENATE($C53,CX$3),Report_BM!$DK$6:$DK$73)</f>
        <v>0</v>
      </c>
      <c r="CV53" s="46">
        <f>SUMIF(Master_Data!$AK$152:$AK$864,CONCATENATE($C53,CX$3),Master_Data!$T$152:$T$864)</f>
        <v>0</v>
      </c>
      <c r="CW53" s="45">
        <f>SUMIF(Report_BM!$DP$6:$DP$73,CONCATENATE($C53,CX$3),Report_BM!$DM$6:$DM$73)</f>
        <v>0</v>
      </c>
      <c r="CX53" s="39">
        <f ca="1">SUMIF(Report_BM!$DP$6:$DP$73,CONCATENATE($C53,CX$3),Report_BM!$DN$6:$DN$73)</f>
        <v>0</v>
      </c>
      <c r="CY53" s="103"/>
      <c r="CZ53" s="104"/>
      <c r="DA53" s="104"/>
      <c r="DB53" s="104"/>
      <c r="DC53" s="104"/>
      <c r="DD53" s="104"/>
      <c r="DE53" s="45">
        <f>SUMIF(Report_BM!$EG$6:$EG$73,CONCATENATE($C53,DM$3),Report_BM!$DS$6:$DS$73)+SUMIF(Report_BM!$EG$6:$EG$73,CONCATENATE($C53,DM$3),Report_BM!$DV$6:$DV$73)</f>
        <v>0</v>
      </c>
      <c r="DF53" s="46">
        <f ca="1">SUMIF(Report_BM!$EG$6:$EG$73,CONCATENATE($C53,$DM$3),Report_BM!$DT$6:$DT$73)+SUMIF(Report_BM!$EG$6:$EG$73,CONCATENATE($C53,$DM$3),Report_BM!$DW$6:$DW$73)</f>
        <v>0</v>
      </c>
      <c r="DG53" s="45">
        <f>SUMIF(Report_BM!$EG$6:$EG$73,CONCATENATE($C53,DM$3),Report_BM!$DY$6:$DY$73)</f>
        <v>0</v>
      </c>
      <c r="DH53" s="39">
        <f>SUMIF(Report_BM!EG$6:EG$73,CONCATENATE($C53,DM$3),Report_BM!DZ$6:DZ$73)</f>
        <v>0</v>
      </c>
      <c r="DI53" s="39">
        <f>SUMIF(Report_BM!EG$6:EG$73,CONCATENATE($C53,DM$3),Report_BM!$EA$6:$EA$73)</f>
        <v>0</v>
      </c>
      <c r="DJ53" s="39">
        <f>SUMIF(Report_BM!EG$6:EG$73,CONCATENATE($C53,DM$3),Report_BM!$EB$6:$EB$73)</f>
        <v>0</v>
      </c>
      <c r="DK53" s="46">
        <f>SUMIF(Master_Data!$AK$152:$AK$864,CONCATENATE($C53,DM$3),Master_Data!$T$152:$T$864)</f>
        <v>0</v>
      </c>
      <c r="DL53" s="45">
        <f>SUMIF(Report_BM!EG$6:EG$73,CONCATENATE($C53,DM$3),Report_BM!ED$6:ED$73)</f>
        <v>0</v>
      </c>
      <c r="DM53" s="39">
        <f ca="1">SUMIF(Report_BM!EG$6:EG$73,CONCATENATE($C53,DM$3),Report_BM!EE$6:EE$73)</f>
        <v>0</v>
      </c>
      <c r="DN53" s="103"/>
      <c r="DO53" s="104"/>
      <c r="DP53" s="104"/>
      <c r="DQ53" s="104"/>
      <c r="DR53" s="104"/>
      <c r="DS53" s="104"/>
      <c r="DT53" s="45">
        <f>SUMIF(Report_BM!$EX$6:$EX$73,CONCATENATE($C53,EB$3),Report_BM!$EJ$6:$EJ$73)+SUMIF(Report_BM!$EX$6:$EX$73,CONCATENATE($C53,EB$3),Report_BM!$EM$6:$EM$73)</f>
        <v>0</v>
      </c>
      <c r="DU53" s="46">
        <f ca="1">SUMIF(Report_BM!$EX$6:$EX$73,CONCATENATE($C53,$EB$3),Report_BM!$EK$6:$EK$73)+SUMIF(Report_BM!$EX$6:$EX$73,CONCATENATE($C53,$EB$3),Report_BM!$EN$6:$EN$73)</f>
        <v>0</v>
      </c>
      <c r="DV53" s="45">
        <f>SUMIF(Report_BM!$EX$6:$EX$73,CONCATENATE($C53,EB$3),Report_BM!$EP$6:$EP$73)</f>
        <v>0</v>
      </c>
      <c r="DW53" s="39">
        <f>SUMIF(Report_BM!$EX$6:$EX$73,CONCATENATE($C53,EB$3),Report_BM!$EQ$6:$EQ$73)</f>
        <v>0</v>
      </c>
      <c r="DX53" s="39">
        <f>SUMIF(Report_BM!$EX$6:$EX$73,CONCATENATE($C53,EB$3),Report_BM!$ER$6:$ER$73)</f>
        <v>0</v>
      </c>
      <c r="DY53" s="39">
        <f>SUMIF(Report_BM!$EX$6:$EX$73,CONCATENATE($C53,EB$3),Report_BM!$ES$6:$ES$73)</f>
        <v>0</v>
      </c>
      <c r="DZ53" s="46">
        <f>SUMIF(Master_Data!$AK$152:$AK$864,CONCATENATE($C53,EB$3),Master_Data!$T$152:$T$864)</f>
        <v>0</v>
      </c>
      <c r="EA53" s="45">
        <f>SUMIF(Report_BM!EX$6:EX$73,CONCATENATE($C53,EB$3),Report_BM!EU$6:EU$73)</f>
        <v>0</v>
      </c>
      <c r="EB53" s="39">
        <f>SUMIF(Report_BM!EX$6:EX$73,CONCATENATE($C53,EB$3),Report_BM!EV$6:EV$73)</f>
        <v>0</v>
      </c>
      <c r="EC53" s="103"/>
      <c r="ED53" s="104"/>
      <c r="EE53" s="104"/>
      <c r="EF53" s="104"/>
      <c r="EG53" s="104"/>
      <c r="EH53" s="104"/>
      <c r="EI53" s="45">
        <f>SUMIF(Report_BM!$FO$6:$FO$73,CONCATENATE($C53,EQ$3),Report_BM!$FA$6:$FA$73)+SUMIF(Report_BM!$FO$6:$FO$73,CONCATENATE($C53,EQ$3),Report_BM!$FD$6:$FD$73)</f>
        <v>0</v>
      </c>
      <c r="EJ53" s="46">
        <f>SUMIF(Report_BM!$FO$6:$FO$73,CONCATENATE($C53,$EQ$3),Report_BM!$FB$6:$FB$73)+SUMIF(Report_BM!$FO$6:$FO$73,CONCATENATE($C53,$EQ$3),Report_BM!$FE$6:$FE$73)</f>
        <v>0</v>
      </c>
      <c r="EK53" s="45">
        <f>SUMIF(Report_BM!$FO$6:$FO$73,CONCATENATE($C53,EQ$3),Report_BM!$FG$6:$FG$73)</f>
        <v>0</v>
      </c>
      <c r="EL53" s="39">
        <f>SUMIF(Report_BM!$FO$6:$FO$73,CONCATENATE($C53,EQ$3),Report_BM!$FH$6:$FH$73)</f>
        <v>0</v>
      </c>
      <c r="EM53" s="39">
        <f>SUMIF(Report_BM!$FO$6:$FO$73,CONCATENATE($C53,EQ$3),Report_BM!$FI$6:$FI$73)</f>
        <v>0</v>
      </c>
      <c r="EN53" s="39">
        <f>SUMIF(Report_BM!$FO$6:$FO$73,CONCATENATE($C53,EQ$3),Report_BM!$FJ$6:$FJ$73)</f>
        <v>0</v>
      </c>
      <c r="EO53" s="46">
        <f>SUMIF(Master_Data!$AK$152:$AK$864,CONCATENATE($C53,EQ$3),Master_Data!$T$152:$T$864)</f>
        <v>0</v>
      </c>
      <c r="EP53" s="45">
        <f>SUMIF(Report_BM!FO$6:FO$73,CONCATENATE($C53,EQ$3),Report_BM!FL$6:FL$73)</f>
        <v>0</v>
      </c>
      <c r="EQ53" s="39">
        <f>SUMIF(Report_BM!FO$6:FO$73,CONCATENATE($C53,EQ$3),Report_BM!FM$6:FM$73)</f>
        <v>0</v>
      </c>
      <c r="ER53" s="103"/>
      <c r="ES53" s="104"/>
      <c r="ET53" s="104"/>
      <c r="EU53" s="104"/>
      <c r="EV53" s="104"/>
      <c r="EW53" s="104"/>
      <c r="EX53" s="45">
        <f>SUMIF(Report_BM!$GF$6:$GF$73,CONCATENATE($C53,FF$3),Report_BM!$FR$6:$FR$73)+SUMIF(Report_BM!$GF$6:$GF$73,CONCATENATE($C53,FF$3),Report_BM!$FU$6:$FU$73)</f>
        <v>0</v>
      </c>
      <c r="EY53" s="46">
        <f>SUMIF(Report_BM!$GF$6:$GF$73,CONCATENATE($C53,$FF$3),Report_BM!$FS$6:$FS$73)+SUMIF(Report_BM!$GF$6:$GF$73,CONCATENATE($C53,$FF$3),Report_BM!$FV$6:$FV$73)</f>
        <v>0</v>
      </c>
      <c r="EZ53" s="45">
        <f>SUMIF(Report_BM!$GF$6:$GF$73,CONCATENATE($C53,FF$3),Report_BM!$FX$6:$FX$73)</f>
        <v>0</v>
      </c>
      <c r="FA53" s="39">
        <f>SUMIF(Report_BM!$GF$6:$GF$73,CONCATENATE($C53,FF$3),Report_BM!$FY$6:$FY$73)</f>
        <v>0</v>
      </c>
      <c r="FB53" s="39">
        <f>SUMIF(Report_BM!$GF$6:$GF$73,CONCATENATE($C53,FF$3),Report_BM!$FZ$6:$FZ$73)</f>
        <v>0</v>
      </c>
      <c r="FC53" s="39">
        <f>SUMIF(Report_BM!$GF$6:$GF$73,CONCATENATE($C53,FF$3),Report_BM!$GA$6:$GA$73)</f>
        <v>0</v>
      </c>
      <c r="FD53" s="46">
        <f>SUMIF(Master_Data!$AK$152:$AK$864,CONCATENATE($C53,FF$3),Master_Data!$T$152:$T$864)</f>
        <v>0</v>
      </c>
      <c r="FE53" s="45">
        <f>SUMIF(Report_BM!GF$6:GF$73,CONCATENATE($C53,FF$3),Report_BM!GC$6:GC$73)</f>
        <v>0</v>
      </c>
      <c r="FF53" s="39">
        <f>SUMIF(Report_BM!GF$6:GF$73,CONCATENATE($C53,FF$3),Report_BM!GD$6:GD$73)</f>
        <v>0</v>
      </c>
      <c r="FG53" s="103"/>
      <c r="FH53" s="104"/>
      <c r="FI53" s="104"/>
      <c r="FJ53" s="104"/>
      <c r="FK53" s="104"/>
      <c r="FL53" s="104"/>
      <c r="FM53" s="45">
        <f>SUMIF(Report_BM!$GW$6:$GW$73,CONCATENATE($C53,FU$3),Report_BM!$GI$6:$GI$73)+SUMIF(Report_BM!$GW$6:$GW$73,CONCATENATE($C53,FU$3),Report_BM!$GL$6:$GL$73)</f>
        <v>0</v>
      </c>
      <c r="FN53" s="46">
        <f>SUMIF(Report_BM!$GW$6:$GW$73,CONCATENATE($C53,$FU$3),Report_BM!$GJ$6:$GJ$73)+SUMIF(Report_BM!$GW$6:$GW$73,CONCATENATE($C53,$FU$3),Report_BM!$GM$6:$GM$73)</f>
        <v>0</v>
      </c>
      <c r="FO53" s="45">
        <f>SUMIF(Report_BM!$GW$6:$GW$73,CONCATENATE($C53,FU$3),Report_BM!$GO$6:$GO$73)</f>
        <v>0</v>
      </c>
      <c r="FP53" s="39">
        <f>SUMIF(Report_BM!$GW$6:$GW$73,CONCATENATE($C53,FU$3),Report_BM!$GP$6:$GP$73)</f>
        <v>0</v>
      </c>
      <c r="FQ53" s="39">
        <f>SUMIF(Report_BM!$GW$6:$GW$73,CONCATENATE($C53,FU$3),Report_BM!$GQ$6:$GQ$73)</f>
        <v>0</v>
      </c>
      <c r="FR53" s="39">
        <f>SUMIF(Report_BM!$GW$6:$GW$73,CONCATENATE($C53,FU$3),Report_BM!$GR$6:$GR$73)</f>
        <v>0</v>
      </c>
      <c r="FS53" s="46">
        <f>SUMIF(Master_Data!$AK$152:$AK$864,CONCATENATE($C53,FU$3),Master_Data!$T$152:$T$864)</f>
        <v>0</v>
      </c>
      <c r="FT53" s="45">
        <f>SUMIF(Report_BM!GW$6:GW$73,CONCATENATE($C53,FU$3),Report_BM!GT$6:GT$73)</f>
        <v>0</v>
      </c>
      <c r="FU53" s="39">
        <f>SUMIF(Report_BM!GW$6:GW$73,CONCATENATE($C53,FU$3),Report_BM!GU$6:GU$73)</f>
        <v>0</v>
      </c>
      <c r="FV53" s="103"/>
      <c r="FW53" s="104"/>
      <c r="FX53" s="104"/>
      <c r="FY53" s="104"/>
      <c r="FZ53" s="104"/>
      <c r="GA53" s="104"/>
    </row>
    <row r="54" spans="1:183" s="40" customFormat="1" ht="14.1" customHeight="1">
      <c r="A54" s="9">
        <v>48</v>
      </c>
      <c r="B54" s="812" t="s">
        <v>2195</v>
      </c>
      <c r="C54" s="323" t="s">
        <v>2194</v>
      </c>
      <c r="D54" s="45">
        <f>SUMIF(Report_BM!$B$6:$B$73,CONCATENATE($C54,L$3),Report_BM!$E$6:$E$73)+SUMIF(Report_BM!$B$6:$B$73,CONCATENATE($C54,L$3),Report_BM!$H$6:$H$73)</f>
        <v>0</v>
      </c>
      <c r="E54" s="276">
        <f>SUMIF(Report_BM!$B$6:$B$73,CONCATENATE($C54,L$3),Report_BM!$F$6:$F$73)+SUMIF(Report_BM!$B$6:$B$73,CONCATENATE($C54,L$3),Report_BM!$I$6:$I$73)</f>
        <v>0</v>
      </c>
      <c r="F54" s="45">
        <f>SUMIF(Report_BM!$B$6:$B$73,CONCATENATE($C54,L$3),Report_BM!$K$6:$K$73)</f>
        <v>0</v>
      </c>
      <c r="G54" s="39">
        <f>SUMIF(Report_BM!$B$6:$B$73,CONCATENATE($C54,$L$3),Report_BM!$L$6:$L$73)</f>
        <v>0</v>
      </c>
      <c r="H54" s="39">
        <f>SUMIF(Report_BM!$B$6:$B$73,CONCATENATE($C54,$L$3),Report_BM!$M$6:$M$73)</f>
        <v>0</v>
      </c>
      <c r="I54" s="39">
        <f>SUMIF(Report_BM!$B$6:$B$73,CONCATENATE($C54,$L$3),Report_BM!$N$6:$N$73)</f>
        <v>0</v>
      </c>
      <c r="J54" s="46">
        <f>SUMIF(Report_BM!$B$6:$B$73,CONCATENATE($C54,$L$3),Report_BM!$O$6:$O$73)</f>
        <v>0</v>
      </c>
      <c r="K54" s="45">
        <f>SUMIF(Report_BM!$B$6:$B$73,CONCATENATE($C54,$L$3),Report_BM!$P$6:$P$73)</f>
        <v>0</v>
      </c>
      <c r="L54" s="39">
        <f>SUMIF(Report_BM!$B$6:$B$73,CONCATENATE($C54,$L$3),Report_BM!$Q$6:$Q$73)</f>
        <v>0</v>
      </c>
      <c r="M54" s="103"/>
      <c r="N54" s="104"/>
      <c r="O54" s="104"/>
      <c r="P54" s="104"/>
      <c r="Q54" s="104"/>
      <c r="R54" s="104"/>
      <c r="S54" s="45">
        <f>SUMIF(Report_BM!$AI$8:$AI$72,CONCATENATE($C54,AA$3),Report_BM!$U$8:$U$72)+SUMIF(Report_BM!$AI$8:$AI$72,CONCATENATE($C54,AA$3),Report_BM!$X$8:$X$72)</f>
        <v>0</v>
      </c>
      <c r="T54" s="276" t="e">
        <f>SUMIF(Report_BM!$AI$8:$AI$72,CONCATENATE($C54,AA$3),Report_BM!$V$8:$V$72)+SUMIF(Report_BM!$AI$8:$AI$72,CONCATENATE($C54,AA$3),Report_BM!$Y$8:$Y$72)</f>
        <v>#VALUE!</v>
      </c>
      <c r="U54" s="45">
        <f>SUMIF(Report_BM!$AI$8:$AI$72,CONCATENATE($C54,AA$3),Report_BM!$AA$8:$AB$72)</f>
        <v>0</v>
      </c>
      <c r="V54" s="39">
        <f>SUMIF(Report_BM!$AI$8:$AI$72,CONCATENATE($C54,$AA$3),Report_BM!$AB$8:$AB$72)</f>
        <v>0</v>
      </c>
      <c r="W54" s="39">
        <f>SUMIF(Report_BM!$AI$8:$AI$72,CONCATENATE($C54,$AA$3),Report_BM!$AC$8:$AC$72)</f>
        <v>0</v>
      </c>
      <c r="X54" s="39">
        <f ca="1">SUMIF(Report_BM!$AI$7:$AI$73,CONCATENATE($C54,$AA$3),Report_BM!$AD$7:$AD$73)</f>
        <v>0</v>
      </c>
      <c r="Y54" s="46">
        <f>SUMIF(Master_Data!$AK$152:$AK$864,CONCATENATE($C54,AA$3),Master_Data!$T$152:$T$864)</f>
        <v>0</v>
      </c>
      <c r="Z54" s="45">
        <f>SUMIF(Report_BM!$AI$8:$AI$72,CONCATENATE($C54,$AA$3),Report_BM!$AF$8:$AF$72)</f>
        <v>0</v>
      </c>
      <c r="AA54" s="39" t="e">
        <f ca="1">SUMIF(Report_BM!$AI$8:$AI$72,CONCATENATE($C54,$AA$3),Report_BM!$AG$8:$AG$72)</f>
        <v>#VALUE!</v>
      </c>
      <c r="AB54" s="103"/>
      <c r="AC54" s="104"/>
      <c r="AD54" s="104"/>
      <c r="AE54" s="104"/>
      <c r="AF54" s="104"/>
      <c r="AG54" s="104"/>
      <c r="AH54" s="45">
        <f>SUMIF(Report_BM!$AZ$5:$AZ$72,CONCATENATE($C54,AP$3),Report_BM!$AL$5:$AL$72)+SUMIF(Report_BM!$AZ$5:$AZ$72,CONCATENATE($C54,AP$3),Report_BM!$AO$5:$AO$72)</f>
        <v>0</v>
      </c>
      <c r="AI54" s="46" t="e">
        <f ca="1">SUMIF(Report_BM!$AZ$5:$AZ$72,CONCATENATE($C54,$AP$3),Report_BM!$AM$5:$AM$72)+SUMIF(Report_BM!$AZ$5:$AZ$72,CONCATENATE($C54,$AP$3),Report_BM!$AP$5:$AP$72)</f>
        <v>#VALUE!</v>
      </c>
      <c r="AJ54" s="45">
        <f>SUMIF(Report_BM!$AZ$5:$AZ$72,CONCATENATE($C54,$AP$3),Report_BM!$AR$5:$AR$72)</f>
        <v>0</v>
      </c>
      <c r="AK54" s="39">
        <f>SUMIF(Report_BM!$AZ$5:$AZ$72,CONCATENATE($C54,$AP$3),Report_BM!$AS$5:$AS$72)</f>
        <v>0</v>
      </c>
      <c r="AL54" s="39">
        <f>SUMIF(Report_BM!$AZ$5:$AZ$72,CONCATENATE($C54,$AP$3),Report_BM!$AT$5:$AT$72)</f>
        <v>7700000</v>
      </c>
      <c r="AM54" s="39">
        <f ca="1">SUMIF(Report_BM!$AZ$5:$AZ$72,CONCATENATE($C54,$AP$3),Report_BM!$AU$5:$AU$72)</f>
        <v>0</v>
      </c>
      <c r="AN54" s="46">
        <f>SUMIF(Master_Data!$AK$152:$AK$915,CONCATENATE($C54,AP$3),Master_Data!$T$152:$T$915)</f>
        <v>0</v>
      </c>
      <c r="AO54" s="45">
        <f>SUMIF(Report_BM!$AZ$5:$AZ$72,CONCATENATE($C54,$AP$3),Report_BM!$AW$5:$AW$72)</f>
        <v>0</v>
      </c>
      <c r="AP54" s="39" t="e">
        <f ca="1">SUMIF(Report_BM!$AZ$5:$AZ$72,CONCATENATE($C54,$AP$3),Report_BM!$AX$5:$AX$72)</f>
        <v>#VALUE!</v>
      </c>
      <c r="AQ54" s="103"/>
      <c r="AR54" s="104"/>
      <c r="AS54" s="104"/>
      <c r="AT54" s="104"/>
      <c r="AU54" s="104"/>
      <c r="AV54" s="104"/>
      <c r="AW54" s="45">
        <f>SUMIF(Report_BM!$BQ$6:$BQ$73,CONCATENATE($C54,BE$3),Report_BM!$BC$6:$BC$73)+SUMIF(Report_BM!$BQ$6:$BQ$73,CONCATENATE($C54,BE$3),Report_BM!$BF$6:$BF$73)</f>
        <v>0</v>
      </c>
      <c r="AX54" s="46" t="e">
        <f ca="1">SUMIF(Report_BM!$BQ$6:$BQ$73,CONCATENATE($C54,$BE$3),Report_BM!$BD$6:$BD$73)+SUMIF(Report_BM!$BQ$6:$BQ$73,CONCATENATE($C54,$BE$3),Report_BM!$BG$6:$BG$73)</f>
        <v>#VALUE!</v>
      </c>
      <c r="AY54" s="45">
        <f>SUMIF(Report_BM!$BQ$6:$BQ$73,CONCATENATE($C54,BE$3),Report_BM!$BI$6:$BI$73)</f>
        <v>0</v>
      </c>
      <c r="AZ54" s="39">
        <f>SUMIF(Report_BM!$BQ$6:$BQ$73,CONCATENATE($C54,BE$3),Report_BM!$BJ$6:$BJ$73)</f>
        <v>0</v>
      </c>
      <c r="BA54" s="39">
        <f>SUMIF(Report_BM!$BQ$6:$BQ$73,CONCATENATE($C54,BE$3),Report_BM!$BK$6:$BK$73)</f>
        <v>0</v>
      </c>
      <c r="BB54" s="39">
        <f>SUMIF(Report_BM!$BQ$6:$BQ$73,CONCATENATE($C54,BE$3),Report_BM!$BL$6:$BL$73)</f>
        <v>0</v>
      </c>
      <c r="BC54" s="46">
        <f>SUMIF(Master_Data!$AK$152:$AK$864,CONCATENATE($C54,BE$3),Master_Data!$T$152:$T$864)</f>
        <v>0</v>
      </c>
      <c r="BD54" s="45">
        <f>SUMIF(Report_BM!$BQ$6:$BQ$73,CONCATENATE($C54,BE$3),Report_BM!$BN$6:$BN$73)</f>
        <v>0</v>
      </c>
      <c r="BE54" s="39" t="e">
        <f ca="1">SUMIF(Report_BM!$BQ$6:$BQ$73,CONCATENATE($C54,BE$3),Report_BM!$BO$6:$BO$73)</f>
        <v>#VALUE!</v>
      </c>
      <c r="BF54" s="103"/>
      <c r="BG54" s="104"/>
      <c r="BH54" s="104"/>
      <c r="BI54" s="104"/>
      <c r="BJ54" s="104"/>
      <c r="BK54" s="104"/>
      <c r="BL54" s="45">
        <f>SUMIF(Report_BM!$CH$6:$CH$73,CONCATENATE($C54,BT$3),Report_BM!$BT$6:$BT$73)+SUMIF(Report_BM!$CH$6:$CH$73,CONCATENATE($C54,BT$3),Report_BM!$BW$6:$BW$73)</f>
        <v>0</v>
      </c>
      <c r="BM54" s="46" t="e">
        <f ca="1">SUMIF(Report_BM!$CH$6:$CH$73,CONCATENATE($C54,$BT$3),Report_BM!$BU$6:$BU$73)+SUMIF(Report_BM!$CH$6:$CH$73,CONCATENATE($C54,$BT$3),Report_BM!$BX$6:$BX$73)</f>
        <v>#VALUE!</v>
      </c>
      <c r="BN54" s="45">
        <f>SUMIF(Report_BM!$CH$6:$CH$73,CONCATENATE($C54,BT$3),Report_BM!$BZ$6:$BZ$73)</f>
        <v>0</v>
      </c>
      <c r="BO54" s="39">
        <f>SUMIF(Report_BM!$CH$6:$CH$73,CONCATENATE($C54,BT$3),Report_BM!$CA$6:$CA$73)</f>
        <v>0</v>
      </c>
      <c r="BP54" s="39">
        <f>SUMIF(Report_BM!$CH$6:$CH$73,CONCATENATE($C54,BT$3),Report_BM!$CB$6:$CB$73)</f>
        <v>0</v>
      </c>
      <c r="BQ54" s="39">
        <f>SUMIF(Report_BM!$CH$6:$CH$73,CONCATENATE($C54,BT$3),Report_BM!$CC$6:$CC$73)</f>
        <v>0</v>
      </c>
      <c r="BR54" s="46">
        <f>SUMIF(Master_Data!$AK$152:$AK$864,CONCATENATE($C54,BT$3),Master_Data!$T$152:$T$864)</f>
        <v>0</v>
      </c>
      <c r="BS54" s="45">
        <f>SUMIF(Report_BM!$CH$6:$CH$73,CONCATENATE($C54,BT$3),Report_BM!$CE$6:$CE$73)</f>
        <v>0</v>
      </c>
      <c r="BT54" s="39" t="e">
        <f ca="1">SUMIF(Report_BM!$CH$6:$CH$73,CONCATENATE($C54,BT$3),Report_BM!$CF$6:$CF$73)</f>
        <v>#VALUE!</v>
      </c>
      <c r="BU54" s="103"/>
      <c r="BV54" s="104"/>
      <c r="BW54" s="104"/>
      <c r="BX54" s="104"/>
      <c r="BY54" s="104"/>
      <c r="BZ54" s="104"/>
      <c r="CA54" s="45">
        <f>SUMIF(Report_BM!$CY$6:$CY$73,CONCATENATE($C54,CI$3),Report_BM!$CK$6:$CK$73)+SUMIF(Report_BM!$CY$6:$CY$73,CONCATENATE($C54,CI$3),Report_BM!$CN$6:$CN$73)</f>
        <v>0</v>
      </c>
      <c r="CB54" s="46" t="e">
        <f ca="1">SUMIF(Report_BM!$CY$6:$CY$73,CONCATENATE($C54,$CI$3),Report_BM!$CL$6:$CL$73)+SUMIF(Report_BM!$CY$6:$CY$73,CONCATENATE($C54,$CI$3),Report_BM!$CO$6:$CO$73)</f>
        <v>#VALUE!</v>
      </c>
      <c r="CC54" s="45">
        <f>SUMIF(Report_BM!$CY$6:$CY$73,CONCATENATE($C54,CI$3),Report_BM!$CQ$6:$CQ$73)</f>
        <v>0</v>
      </c>
      <c r="CD54" s="39">
        <f>SUMIF(Report_BM!$CY$6:$CY$73,CONCATENATE($C54,CI$3),Report_BM!$CR$6:$CR$73)</f>
        <v>0</v>
      </c>
      <c r="CE54" s="39">
        <f>SUMIF(Report_BM!$CY$6:$CY$73,CONCATENATE($C54,CI$3),Report_BM!$CS$6:$CS$73)</f>
        <v>0</v>
      </c>
      <c r="CF54" s="39">
        <f ca="1">SUMIF(Report_BM!$CY$6:$CY$73,CONCATENATE($C54,CI$3),Report_BM!$CT$6:$CT$73)</f>
        <v>0</v>
      </c>
      <c r="CG54" s="46">
        <f>SUMIF(Report_BM!$CY$6:$CY$73,CONCATENATE($C54,CI$3),Report_BM!$CU$6:$CU$73)</f>
        <v>0</v>
      </c>
      <c r="CH54" s="45">
        <f>SUMIF(Report_BM!$CY$6:$CY$73,CONCATENATE($C54,CI$3),Report_BM!$CV$6:$CV$73)</f>
        <v>0</v>
      </c>
      <c r="CI54" s="39" t="e">
        <f ca="1">SUMIF(Report_BM!$CY$6:$CY$73,CONCATENATE($C54,CI$3),Report_BM!$CW$6:$CW$73)</f>
        <v>#VALUE!</v>
      </c>
      <c r="CJ54" s="103"/>
      <c r="CK54" s="104"/>
      <c r="CL54" s="104"/>
      <c r="CM54" s="104"/>
      <c r="CN54" s="104"/>
      <c r="CO54" s="104"/>
      <c r="CP54" s="45">
        <f>SUMIF(Report_BM!$DP$6:$DP$73,CONCATENATE($C54,CX$3),Report_BM!$DB$6:$DB$73)+SUMIF(Report_BM!$DP$6:$DP$73,CONCATENATE($C54,CX$3),Report_BM!$DE$6:$DE$73)</f>
        <v>0</v>
      </c>
      <c r="CQ54" s="46" t="e">
        <f ca="1">SUMIF(Report_BM!$DP$6:$DP$73,CONCATENATE($C54,$CX$3),Report_BM!$DC$6:$DC$73)+SUMIF(Report_BM!$DP$6:$DP$73,CONCATENATE($C54,$CX$3),Report_BM!$DF$6:$DF$73)</f>
        <v>#VALUE!</v>
      </c>
      <c r="CR54" s="45">
        <f>SUMIF(Report_BM!$DP$6:$DP$73,CONCATENATE($C54,CX$3),Report_BM!$DH$6:$DH$73)</f>
        <v>0</v>
      </c>
      <c r="CS54" s="39">
        <f>SUMIF(Report_BM!$DP$6:$DP$73,CONCATENATE($C54,CX$3),Report_BM!$DI$6:$DI$73)</f>
        <v>0</v>
      </c>
      <c r="CT54" s="39">
        <f>SUMIF(Report_BM!$DP$6:$DP$73,CONCATENATE($C54,CX$3),Report_BM!$DJ$6:$DJ$73)</f>
        <v>0</v>
      </c>
      <c r="CU54" s="39">
        <f>SUMIF(Report_BM!$DP$6:$DP$73,CONCATENATE($C54,CX$3),Report_BM!$DK$6:$DK$73)</f>
        <v>0</v>
      </c>
      <c r="CV54" s="46">
        <f>SUMIF(Master_Data!$AK$152:$AK$864,CONCATENATE($C54,CX$3),Master_Data!$T$152:$T$864)</f>
        <v>0</v>
      </c>
      <c r="CW54" s="45">
        <f>SUMIF(Report_BM!$DP$6:$DP$73,CONCATENATE($C54,CX$3),Report_BM!$DM$6:$DM$73)</f>
        <v>0</v>
      </c>
      <c r="CX54" s="39" t="e">
        <f ca="1">SUMIF(Report_BM!$DP$6:$DP$73,CONCATENATE($C54,CX$3),Report_BM!$DN$6:$DN$73)</f>
        <v>#VALUE!</v>
      </c>
      <c r="CY54" s="103"/>
      <c r="CZ54" s="104"/>
      <c r="DA54" s="104"/>
      <c r="DB54" s="104"/>
      <c r="DC54" s="104"/>
      <c r="DD54" s="104"/>
      <c r="DE54" s="45"/>
      <c r="DF54" s="46"/>
      <c r="DG54" s="45"/>
      <c r="DH54" s="39"/>
      <c r="DI54" s="39"/>
      <c r="DJ54" s="39"/>
      <c r="DK54" s="46"/>
      <c r="DL54" s="45"/>
      <c r="DM54" s="39"/>
      <c r="DN54" s="103"/>
      <c r="DO54" s="104"/>
      <c r="DP54" s="104"/>
      <c r="DQ54" s="104"/>
      <c r="DR54" s="104"/>
      <c r="DS54" s="104"/>
      <c r="DT54" s="45"/>
      <c r="DU54" s="46"/>
      <c r="DV54" s="45"/>
      <c r="DW54" s="39"/>
      <c r="DX54" s="39"/>
      <c r="DY54" s="39"/>
      <c r="DZ54" s="46"/>
      <c r="EA54" s="45"/>
      <c r="EB54" s="39"/>
      <c r="EC54" s="103"/>
      <c r="ED54" s="104"/>
      <c r="EE54" s="104"/>
      <c r="EF54" s="104"/>
      <c r="EG54" s="104"/>
      <c r="EH54" s="104"/>
      <c r="EI54" s="45"/>
      <c r="EJ54" s="46"/>
      <c r="EK54" s="45"/>
      <c r="EL54" s="39"/>
      <c r="EM54" s="39"/>
      <c r="EN54" s="39"/>
      <c r="EO54" s="46"/>
      <c r="EP54" s="45"/>
      <c r="EQ54" s="39"/>
      <c r="ER54" s="103"/>
      <c r="ES54" s="104"/>
      <c r="ET54" s="104"/>
      <c r="EU54" s="104"/>
      <c r="EV54" s="104"/>
      <c r="EW54" s="104"/>
      <c r="EX54" s="45"/>
      <c r="EY54" s="46"/>
      <c r="EZ54" s="45"/>
      <c r="FA54" s="39"/>
      <c r="FB54" s="39"/>
      <c r="FC54" s="39"/>
      <c r="FD54" s="46"/>
      <c r="FE54" s="45"/>
      <c r="FF54" s="39"/>
      <c r="FG54" s="103"/>
      <c r="FH54" s="104"/>
      <c r="FI54" s="104"/>
      <c r="FJ54" s="104"/>
      <c r="FK54" s="104"/>
      <c r="FL54" s="104"/>
      <c r="FM54" s="45"/>
      <c r="FN54" s="46"/>
      <c r="FO54" s="45"/>
      <c r="FP54" s="39"/>
      <c r="FQ54" s="39"/>
      <c r="FR54" s="39"/>
      <c r="FS54" s="46"/>
      <c r="FT54" s="45"/>
      <c r="FU54" s="39"/>
      <c r="FV54" s="103"/>
      <c r="FW54" s="104"/>
      <c r="FX54" s="104"/>
      <c r="FY54" s="104"/>
      <c r="FZ54" s="104"/>
      <c r="GA54" s="104"/>
    </row>
    <row r="55" spans="1:183" s="40" customFormat="1" ht="14.1" customHeight="1">
      <c r="A55" s="9">
        <v>49</v>
      </c>
      <c r="B55" s="328" t="s">
        <v>107</v>
      </c>
      <c r="C55" s="325" t="s">
        <v>108</v>
      </c>
      <c r="D55" s="45">
        <f>SUMIF(Report_BM!$B$6:$B$73,CONCATENATE($C55,L$3),Report_BM!$E$6:$E$73)+SUMIF(Report_BM!$B$6:$B$73,CONCATENATE($C55,L$3),Report_BM!$H$6:$H$73)</f>
        <v>0</v>
      </c>
      <c r="E55" s="276" t="e">
        <f>SUMIF(Report_BM!$B$6:$B$73,CONCATENATE($C55,L$3),Report_BM!$F$6:$F$73)+SUMIF(Report_BM!$B$6:$B$73,CONCATENATE($C55,L$3),Report_BM!$I$6:$I$73)</f>
        <v>#VALUE!</v>
      </c>
      <c r="F55" s="45">
        <f>SUMIF(Report_BM!$B$6:$B$73,CONCATENATE($C55,L$3),Report_BM!$K$6:$K$73)</f>
        <v>0</v>
      </c>
      <c r="G55" s="39">
        <f>SUMIF(Report_BM!$B$6:$B$73,CONCATENATE($C55,$L$3),Report_BM!$L$6:$L$73)</f>
        <v>0</v>
      </c>
      <c r="H55" s="39">
        <f>SUMIF(Report_BM!$B$6:$B$73,CONCATENATE($C55,$L$3),Report_BM!$M$6:$M$73)</f>
        <v>23760000</v>
      </c>
      <c r="I55" s="39">
        <f>SUMIF(Report_BM!$B$6:$B$73,CONCATENATE($C55,$L$3),Report_BM!$N$6:$N$73)</f>
        <v>0</v>
      </c>
      <c r="J55" s="46">
        <f>SUMIF(Report_BM!$B$6:$B$73,CONCATENATE($C55,$L$3),Report_BM!$O$6:$O$73)</f>
        <v>-440000</v>
      </c>
      <c r="K55" s="45">
        <f>SUMIF(Report_BM!$B$6:$B$73,CONCATENATE($C55,$L$3),Report_BM!$P$6:$P$73)</f>
        <v>0</v>
      </c>
      <c r="L55" s="39" t="e">
        <f>SUMIF(Report_BM!$B$6:$B$73,CONCATENATE($C55,$L$3),Report_BM!$Q$6:$Q$73)</f>
        <v>#VALUE!</v>
      </c>
      <c r="M55" s="103"/>
      <c r="N55" s="104"/>
      <c r="O55" s="104"/>
      <c r="P55" s="104"/>
      <c r="Q55" s="104"/>
      <c r="R55" s="104"/>
      <c r="S55" s="45">
        <f>SUMIF(Report_BM!$AI$8:$AI$72,CONCATENATE($C55,AA$3),Report_BM!$U$8:$U$72)+SUMIF(Report_BM!$AI$8:$AI$72,CONCATENATE($C55,AA$3),Report_BM!$X$8:$X$72)</f>
        <v>0</v>
      </c>
      <c r="T55" s="276" t="e">
        <f>SUMIF(Report_BM!$AI$8:$AI$72,CONCATENATE($C55,AA$3),Report_BM!$V$8:$V$72)+SUMIF(Report_BM!$AI$8:$AI$72,CONCATENATE($C55,AA$3),Report_BM!$Y$8:$Y$72)</f>
        <v>#VALUE!</v>
      </c>
      <c r="U55" s="45">
        <f>SUMIF(Report_BM!$AI$8:$AI$72,CONCATENATE($C55,AA$3),Report_BM!$AA$8:$AB$72)</f>
        <v>0</v>
      </c>
      <c r="V55" s="39">
        <f>SUMIF(Report_BM!$AI$8:$AI$72,CONCATENATE($C55,$AA$3),Report_BM!$AB$8:$AB$72)</f>
        <v>0</v>
      </c>
      <c r="W55" s="39">
        <f>SUMIF(Report_BM!$AI$8:$AI$72,CONCATENATE($C55,$AA$3),Report_BM!$AC$8:$AC$72)</f>
        <v>23760000</v>
      </c>
      <c r="X55" s="39">
        <f ca="1">SUMIF(Report_BM!$AI$7:$AI$73,CONCATENATE($C55,$AA$3),Report_BM!$AD$7:$AD$73)</f>
        <v>0</v>
      </c>
      <c r="Y55" s="46">
        <f>SUMIF(Master_Data!$AK$152:$AK$864,CONCATENATE($C55,AA$3),Master_Data!$T$152:$T$864)</f>
        <v>-440000</v>
      </c>
      <c r="Z55" s="45">
        <f>SUMIF(Report_BM!$AI$8:$AI$72,CONCATENATE($C55,$AA$3),Report_BM!$AF$8:$AF$72)</f>
        <v>0</v>
      </c>
      <c r="AA55" s="39" t="e">
        <f ca="1">SUMIF(Report_BM!$AI$8:$AI$72,CONCATENATE($C55,$AA$3),Report_BM!$AG$8:$AG$72)</f>
        <v>#VALUE!</v>
      </c>
      <c r="AB55" s="103"/>
      <c r="AC55" s="104"/>
      <c r="AD55" s="104"/>
      <c r="AE55" s="104"/>
      <c r="AF55" s="104"/>
      <c r="AG55" s="104"/>
      <c r="AH55" s="45">
        <f>SUMIF(Report_BM!$AZ$5:$AZ$72,CONCATENATE($C55,AP$3),Report_BM!$AL$5:$AL$72)+SUMIF(Report_BM!$AZ$5:$AZ$72,CONCATENATE($C55,AP$3),Report_BM!$AO$5:$AO$72)</f>
        <v>0</v>
      </c>
      <c r="AI55" s="46" t="e">
        <f ca="1">SUMIF(Report_BM!$AZ$5:$AZ$72,CONCATENATE($C55,$AP$3),Report_BM!$AM$5:$AM$72)+SUMIF(Report_BM!$AZ$5:$AZ$72,CONCATENATE($C55,$AP$3),Report_BM!$AP$5:$AP$72)</f>
        <v>#VALUE!</v>
      </c>
      <c r="AJ55" s="45">
        <f>SUMIF(Report_BM!$AZ$5:$AZ$72,CONCATENATE($C55,$AP$3),Report_BM!$AR$5:$AR$72)</f>
        <v>0</v>
      </c>
      <c r="AK55" s="39">
        <f>SUMIF(Report_BM!$AZ$5:$AZ$72,CONCATENATE($C55,$AP$3),Report_BM!$AS$5:$AS$72)</f>
        <v>0</v>
      </c>
      <c r="AL55" s="39">
        <f>SUMIF(Report_BM!$AZ$5:$AZ$72,CONCATENATE($C55,$AP$3),Report_BM!$AT$5:$AT$72)</f>
        <v>23760000</v>
      </c>
      <c r="AM55" s="39">
        <f ca="1">SUMIF(Report_BM!$AZ$5:$AZ$72,CONCATENATE($C55,$AP$3),Report_BM!$AU$5:$AU$72)</f>
        <v>0</v>
      </c>
      <c r="AN55" s="46">
        <f>SUMIF(Master_Data!$AK$152:$AK$915,CONCATENATE($C55,AP$3),Master_Data!$T$152:$T$915)</f>
        <v>-440000</v>
      </c>
      <c r="AO55" s="45">
        <f>SUMIF(Report_BM!$AZ$5:$AZ$72,CONCATENATE($C55,$AP$3),Report_BM!$AW$5:$AW$72)</f>
        <v>0</v>
      </c>
      <c r="AP55" s="39" t="e">
        <f ca="1">SUMIF(Report_BM!$AZ$5:$AZ$72,CONCATENATE($C55,$AP$3),Report_BM!$AX$5:$AX$72)</f>
        <v>#VALUE!</v>
      </c>
      <c r="AQ55" s="103"/>
      <c r="AR55" s="104"/>
      <c r="AS55" s="104"/>
      <c r="AT55" s="104"/>
      <c r="AU55" s="104"/>
      <c r="AV55" s="104"/>
      <c r="AW55" s="45">
        <f>SUMIF(Report_BM!$BQ$6:$BQ$73,CONCATENATE($C55,BE$3),Report_BM!$BC$6:$BC$73)+SUMIF(Report_BM!$BQ$6:$BQ$73,CONCATENATE($C55,BE$3),Report_BM!$BF$6:$BF$73)</f>
        <v>0</v>
      </c>
      <c r="AX55" s="46" t="e">
        <f ca="1">SUMIF(Report_BM!$BQ$6:$BQ$73,CONCATENATE($C55,$BE$3),Report_BM!$BD$6:$BD$73)+SUMIF(Report_BM!$BQ$6:$BQ$73,CONCATENATE($C55,$BE$3),Report_BM!$BG$6:$BG$73)</f>
        <v>#VALUE!</v>
      </c>
      <c r="AY55" s="45">
        <f>SUMIF(Report_BM!$BQ$6:$BQ$73,CONCATENATE($C55,BE$3),Report_BM!$BI$6:$BI$73)</f>
        <v>0</v>
      </c>
      <c r="AZ55" s="39">
        <f>SUMIF(Report_BM!$BQ$6:$BQ$73,CONCATENATE($C55,BE$3),Report_BM!$BJ$6:$BJ$73)</f>
        <v>0</v>
      </c>
      <c r="BA55" s="39">
        <f>SUMIF(Report_BM!$BQ$6:$BQ$73,CONCATENATE($C55,BE$3),Report_BM!$BK$6:$BK$73)</f>
        <v>47520000</v>
      </c>
      <c r="BB55" s="39">
        <f>SUMIF(Report_BM!$BQ$6:$BQ$73,CONCATENATE($C55,BE$3),Report_BM!$BL$6:$BL$73)</f>
        <v>0</v>
      </c>
      <c r="BC55" s="46">
        <f>SUMIF(Master_Data!$AK$152:$AK$864,CONCATENATE($C55,BE$3),Master_Data!$T$152:$T$864)</f>
        <v>-880000</v>
      </c>
      <c r="BD55" s="45">
        <f>SUMIF(Report_BM!$BQ$6:$BQ$73,CONCATENATE($C55,BE$3),Report_BM!$BN$6:$BN$73)</f>
        <v>0</v>
      </c>
      <c r="BE55" s="39" t="e">
        <f ca="1">SUMIF(Report_BM!$BQ$6:$BQ$73,CONCATENATE($C55,BE$3),Report_BM!$BO$6:$BO$73)</f>
        <v>#VALUE!</v>
      </c>
      <c r="BF55" s="103"/>
      <c r="BG55" s="104"/>
      <c r="BH55" s="104"/>
      <c r="BI55" s="104"/>
      <c r="BJ55" s="104"/>
      <c r="BK55" s="104"/>
      <c r="BL55" s="45">
        <f>SUMIF(Report_BM!$CH$6:$CH$73,CONCATENATE($C55,BT$3),Report_BM!$BT$6:$BT$73)+SUMIF(Report_BM!$CH$6:$CH$73,CONCATENATE($C55,BT$3),Report_BM!$BW$6:$BW$73)</f>
        <v>0</v>
      </c>
      <c r="BM55" s="46" t="e">
        <f ca="1">SUMIF(Report_BM!$CH$6:$CH$73,CONCATENATE($C55,$BT$3),Report_BM!$BU$6:$BU$73)+SUMIF(Report_BM!$CH$6:$CH$73,CONCATENATE($C55,$BT$3),Report_BM!$BX$6:$BX$73)</f>
        <v>#VALUE!</v>
      </c>
      <c r="BN55" s="45">
        <f>SUMIF(Report_BM!$CH$6:$CH$73,CONCATENATE($C55,BT$3),Report_BM!$BZ$6:$BZ$73)</f>
        <v>0</v>
      </c>
      <c r="BO55" s="39">
        <f>SUMIF(Report_BM!$CH$6:$CH$73,CONCATENATE($C55,BT$3),Report_BM!$CA$6:$CA$73)</f>
        <v>0</v>
      </c>
      <c r="BP55" s="39">
        <f>SUMIF(Report_BM!$CH$6:$CH$73,CONCATENATE($C55,BT$3),Report_BM!$CB$6:$CB$73)</f>
        <v>0</v>
      </c>
      <c r="BQ55" s="39">
        <f>SUMIF(Report_BM!$CH$6:$CH$73,CONCATENATE($C55,BT$3),Report_BM!$CC$6:$CC$73)</f>
        <v>0</v>
      </c>
      <c r="BR55" s="46">
        <f>SUMIF(Master_Data!$AK$152:$AK$864,CONCATENATE($C55,BT$3),Master_Data!$T$152:$T$864)</f>
        <v>0</v>
      </c>
      <c r="BS55" s="45">
        <f>SUMIF(Report_BM!$CH$6:$CH$73,CONCATENATE($C55,BT$3),Report_BM!$CE$6:$CE$73)</f>
        <v>0</v>
      </c>
      <c r="BT55" s="39" t="e">
        <f ca="1">SUMIF(Report_BM!$CH$6:$CH$73,CONCATENATE($C55,BT$3),Report_BM!$CF$6:$CF$73)</f>
        <v>#VALUE!</v>
      </c>
      <c r="BU55" s="103"/>
      <c r="BV55" s="104"/>
      <c r="BW55" s="104"/>
      <c r="BX55" s="104"/>
      <c r="BY55" s="104"/>
      <c r="BZ55" s="104"/>
      <c r="CA55" s="45">
        <f>SUMIF(Report_BM!$CY$6:$CY$73,CONCATENATE($C55,CI$3),Report_BM!$CK$6:$CK$73)+SUMIF(Report_BM!$CY$6:$CY$73,CONCATENATE($C55,CI$3),Report_BM!$CN$6:$CN$73)</f>
        <v>0</v>
      </c>
      <c r="CB55" s="46" t="e">
        <f ca="1">SUMIF(Report_BM!$CY$6:$CY$73,CONCATENATE($C55,$CI$3),Report_BM!$CL$6:$CL$73)+SUMIF(Report_BM!$CY$6:$CY$73,CONCATENATE($C55,$CI$3),Report_BM!$CO$6:$CO$73)</f>
        <v>#VALUE!</v>
      </c>
      <c r="CC55" s="45">
        <f>SUMIF(Report_BM!$CY$6:$CY$73,CONCATENATE($C55,CI$3),Report_BM!$CQ$6:$CQ$73)</f>
        <v>0</v>
      </c>
      <c r="CD55" s="39">
        <f>SUMIF(Report_BM!$CY$6:$CY$73,CONCATENATE($C55,CI$3),Report_BM!$CR$6:$CR$73)</f>
        <v>0</v>
      </c>
      <c r="CE55" s="39">
        <f>SUMIF(Report_BM!$CY$6:$CY$73,CONCATENATE($C55,CI$3),Report_BM!$CS$6:$CS$73)</f>
        <v>20592000</v>
      </c>
      <c r="CF55" s="39">
        <f ca="1">SUMIF(Report_BM!$CY$6:$CY$73,CONCATENATE($C55,CI$3),Report_BM!$CT$6:$CT$73)</f>
        <v>0</v>
      </c>
      <c r="CG55" s="46">
        <f>SUMIF(Report_BM!$CY$6:$CY$73,CONCATENATE($C55,CI$3),Report_BM!$CU$6:$CU$73)</f>
        <v>-381333.33340000006</v>
      </c>
      <c r="CH55" s="45">
        <f>SUMIF(Report_BM!$CY$6:$CY$73,CONCATENATE($C55,CI$3),Report_BM!$CV$6:$CV$73)</f>
        <v>0</v>
      </c>
      <c r="CI55" s="39" t="e">
        <f ca="1">SUMIF(Report_BM!$CY$6:$CY$73,CONCATENATE($C55,CI$3),Report_BM!$CW$6:$CW$73)</f>
        <v>#VALUE!</v>
      </c>
      <c r="CJ55" s="103"/>
      <c r="CK55" s="104"/>
      <c r="CL55" s="104"/>
      <c r="CM55" s="104"/>
      <c r="CN55" s="104"/>
      <c r="CO55" s="104"/>
      <c r="CP55" s="45">
        <f>SUMIF(Report_BM!$DP$6:$DP$73,CONCATENATE($C55,CX$3),Report_BM!$DB$6:$DB$73)+SUMIF(Report_BM!$DP$6:$DP$73,CONCATENATE($C55,CX$3),Report_BM!$DE$6:$DE$73)</f>
        <v>0</v>
      </c>
      <c r="CQ55" s="46" t="e">
        <f ca="1">SUMIF(Report_BM!$DP$6:$DP$73,CONCATENATE($C55,$CX$3),Report_BM!$DC$6:$DC$73)+SUMIF(Report_BM!$DP$6:$DP$73,CONCATENATE($C55,$CX$3),Report_BM!$DF$6:$DF$73)</f>
        <v>#VALUE!</v>
      </c>
      <c r="CR55" s="45">
        <f>SUMIF(Report_BM!$DP$6:$DP$73,CONCATENATE($C55,CX$3),Report_BM!$DH$6:$DH$73)</f>
        <v>0</v>
      </c>
      <c r="CS55" s="39">
        <f>SUMIF(Report_BM!$DP$6:$DP$73,CONCATENATE($C55,CX$3),Report_BM!$DI$6:$DI$73)</f>
        <v>0</v>
      </c>
      <c r="CT55" s="39">
        <f>SUMIF(Report_BM!$DP$6:$DP$73,CONCATENATE($C55,CX$3),Report_BM!$DJ$6:$DJ$73)</f>
        <v>0</v>
      </c>
      <c r="CU55" s="39">
        <f>SUMIF(Report_BM!$DP$6:$DP$73,CONCATENATE($C55,CX$3),Report_BM!$DK$6:$DK$73)</f>
        <v>0</v>
      </c>
      <c r="CV55" s="46">
        <f>SUMIF(Master_Data!$AK$152:$AK$864,CONCATENATE($C55,CX$3),Master_Data!$T$152:$T$864)</f>
        <v>0</v>
      </c>
      <c r="CW55" s="45">
        <f>SUMIF(Report_BM!$DP$6:$DP$73,CONCATENATE($C55,CX$3),Report_BM!$DM$6:$DM$73)</f>
        <v>0</v>
      </c>
      <c r="CX55" s="39" t="e">
        <f ca="1">SUMIF(Report_BM!$DP$6:$DP$73,CONCATENATE($C55,CX$3),Report_BM!$DN$6:$DN$73)</f>
        <v>#VALUE!</v>
      </c>
      <c r="CY55" s="103"/>
      <c r="CZ55" s="104"/>
      <c r="DA55" s="104"/>
      <c r="DB55" s="104"/>
      <c r="DC55" s="104"/>
      <c r="DD55" s="104"/>
      <c r="DE55" s="45">
        <f>SUMIF(Report_BM!$EG$6:$EG$73,CONCATENATE($C55,DM$3),Report_BM!$DS$6:$DS$73)+SUMIF(Report_BM!$EG$6:$EG$73,CONCATENATE($C55,DM$3),Report_BM!$DV$6:$DV$73)</f>
        <v>0</v>
      </c>
      <c r="DF55" s="46" t="e">
        <f ca="1">SUMIF(Report_BM!$EG$6:$EG$73,CONCATENATE($C55,$DM$3),Report_BM!$DT$6:$DT$73)+SUMIF(Report_BM!$EG$6:$EG$73,CONCATENATE($C55,$DM$3),Report_BM!$DW$6:$DW$73)</f>
        <v>#VALUE!</v>
      </c>
      <c r="DG55" s="45">
        <f>SUMIF(Report_BM!$EG$6:$EG$73,CONCATENATE($C55,DM$3),Report_BM!$DY$6:$DY$73)</f>
        <v>0</v>
      </c>
      <c r="DH55" s="39">
        <f>SUMIF(Report_BM!EG$6:EG$73,CONCATENATE($C55,DM$3),Report_BM!DZ$6:DZ$73)</f>
        <v>0</v>
      </c>
      <c r="DI55" s="39">
        <f>SUMIF(Report_BM!EG$6:EG$73,CONCATENATE($C55,DM$3),Report_BM!$EA$6:$EA$73)</f>
        <v>47520000</v>
      </c>
      <c r="DJ55" s="39">
        <f>SUMIF(Report_BM!EG$6:EG$73,CONCATENATE($C55,DM$3),Report_BM!$EB$6:$EB$73)</f>
        <v>0</v>
      </c>
      <c r="DK55" s="46">
        <f>SUMIF(Master_Data!$AK$152:$AK$864,CONCATENATE($C55,DM$3),Master_Data!$T$152:$T$864)</f>
        <v>-880000</v>
      </c>
      <c r="DL55" s="45">
        <f>SUMIF(Report_BM!EG$6:EG$73,CONCATENATE($C55,DM$3),Report_BM!ED$6:ED$73)</f>
        <v>0</v>
      </c>
      <c r="DM55" s="39" t="e">
        <f ca="1">SUMIF(Report_BM!EG$6:EG$73,CONCATENATE($C55,DM$3),Report_BM!EE$6:EE$73)</f>
        <v>#VALUE!</v>
      </c>
      <c r="DN55" s="103"/>
      <c r="DO55" s="104"/>
      <c r="DP55" s="104"/>
      <c r="DQ55" s="104"/>
      <c r="DR55" s="104"/>
      <c r="DS55" s="104"/>
      <c r="DT55" s="45">
        <f>SUMIF(Report_BM!$EX$6:$EX$73,CONCATENATE($C55,EB$3),Report_BM!$EJ$6:$EJ$73)+SUMIF(Report_BM!$EX$6:$EX$73,CONCATENATE($C55,EB$3),Report_BM!$EM$6:$EM$73)</f>
        <v>0</v>
      </c>
      <c r="DU55" s="46" t="e">
        <f ca="1">SUMIF(Report_BM!$EX$6:$EX$73,CONCATENATE($C55,$EB$3),Report_BM!$EK$6:$EK$73)+SUMIF(Report_BM!$EX$6:$EX$73,CONCATENATE($C55,$EB$3),Report_BM!$EN$6:$EN$73)</f>
        <v>#VALUE!</v>
      </c>
      <c r="DV55" s="45">
        <f>SUMIF(Report_BM!$EX$6:$EX$73,CONCATENATE($C55,EB$3),Report_BM!$EP$6:$EP$73)</f>
        <v>0</v>
      </c>
      <c r="DW55" s="39">
        <f>SUMIF(Report_BM!$EX$6:$EX$73,CONCATENATE($C55,EB$3),Report_BM!$EQ$6:$EQ$73)</f>
        <v>0</v>
      </c>
      <c r="DX55" s="39">
        <f>SUMIF(Report_BM!$EX$6:$EX$73,CONCATENATE($C55,EB$3),Report_BM!$ER$6:$ER$73)</f>
        <v>23760000</v>
      </c>
      <c r="DY55" s="39">
        <f>SUMIF(Report_BM!$EX$6:$EX$73,CONCATENATE($C55,EB$3),Report_BM!$ES$6:$ES$73)</f>
        <v>0</v>
      </c>
      <c r="DZ55" s="46">
        <f>SUMIF(Master_Data!$AK$152:$AK$864,CONCATENATE($C55,EB$3),Master_Data!$T$152:$T$864)</f>
        <v>-440000</v>
      </c>
      <c r="EA55" s="45">
        <f>SUMIF(Report_BM!EX$6:EX$73,CONCATENATE($C55,EB$3),Report_BM!EU$6:EU$73)</f>
        <v>0</v>
      </c>
      <c r="EB55" s="39">
        <f>SUMIF(Report_BM!EX$6:EX$73,CONCATENATE($C55,EB$3),Report_BM!EV$6:EV$73)</f>
        <v>0</v>
      </c>
      <c r="EC55" s="103"/>
      <c r="ED55" s="104"/>
      <c r="EE55" s="104"/>
      <c r="EF55" s="104"/>
      <c r="EG55" s="104"/>
      <c r="EH55" s="104"/>
      <c r="EI55" s="45">
        <f>SUMIF(Report_BM!$FO$6:$FO$73,CONCATENATE($C55,EQ$3),Report_BM!$FA$6:$FA$73)+SUMIF(Report_BM!$FO$6:$FO$73,CONCATENATE($C55,EQ$3),Report_BM!$FD$6:$FD$73)</f>
        <v>0</v>
      </c>
      <c r="EJ55" s="46" t="e">
        <f>SUMIF(Report_BM!$FO$6:$FO$73,CONCATENATE($C55,$EQ$3),Report_BM!$FB$6:$FB$73)+SUMIF(Report_BM!$FO$6:$FO$73,CONCATENATE($C55,$EQ$3),Report_BM!$FE$6:$FE$73)</f>
        <v>#VALUE!</v>
      </c>
      <c r="EK55" s="45">
        <f>SUMIF(Report_BM!$FO$6:$FO$73,CONCATENATE($C55,EQ$3),Report_BM!$FG$6:$FG$73)</f>
        <v>0</v>
      </c>
      <c r="EL55" s="39">
        <f>SUMIF(Report_BM!$FO$6:$FO$73,CONCATENATE($C55,EQ$3),Report_BM!$FH$6:$FH$73)</f>
        <v>0</v>
      </c>
      <c r="EM55" s="39">
        <f>SUMIF(Report_BM!$FO$6:$FO$73,CONCATENATE($C55,EQ$3),Report_BM!$FI$6:$FI$73)</f>
        <v>23760000</v>
      </c>
      <c r="EN55" s="39">
        <f>SUMIF(Report_BM!$FO$6:$FO$73,CONCATENATE($C55,EQ$3),Report_BM!$FJ$6:$FJ$73)</f>
        <v>0</v>
      </c>
      <c r="EO55" s="46">
        <f>SUMIF(Master_Data!$AK$152:$AK$864,CONCATENATE($C55,EQ$3),Master_Data!$T$152:$T$864)</f>
        <v>-440000</v>
      </c>
      <c r="EP55" s="45">
        <f>SUMIF(Report_BM!FO$6:FO$73,CONCATENATE($C55,EQ$3),Report_BM!FL$6:FL$73)</f>
        <v>0</v>
      </c>
      <c r="EQ55" s="39" t="e">
        <f>SUMIF(Report_BM!FO$6:FO$73,CONCATENATE($C55,EQ$3),Report_BM!FM$6:FM$73)</f>
        <v>#VALUE!</v>
      </c>
      <c r="ER55" s="103"/>
      <c r="ES55" s="104"/>
      <c r="ET55" s="104"/>
      <c r="EU55" s="104"/>
      <c r="EV55" s="104"/>
      <c r="EW55" s="104"/>
      <c r="EX55" s="45">
        <f>SUMIF(Report_BM!$GF$6:$GF$73,CONCATENATE($C55,FF$3),Report_BM!$FR$6:$FR$73)+SUMIF(Report_BM!$GF$6:$GF$73,CONCATENATE($C55,FF$3),Report_BM!$FU$6:$FU$73)</f>
        <v>0</v>
      </c>
      <c r="EY55" s="46" t="e">
        <f>SUMIF(Report_BM!$GF$6:$GF$73,CONCATENATE($C55,$FF$3),Report_BM!$FS$6:$FS$73)+SUMIF(Report_BM!$GF$6:$GF$73,CONCATENATE($C55,$FF$3),Report_BM!$FV$6:$FV$73)</f>
        <v>#VALUE!</v>
      </c>
      <c r="EZ55" s="45">
        <f>SUMIF(Report_BM!$GF$6:$GF$73,CONCATENATE($C55,FF$3),Report_BM!$FX$6:$FX$73)</f>
        <v>0</v>
      </c>
      <c r="FA55" s="39">
        <f>SUMIF(Report_BM!$GF$6:$GF$73,CONCATENATE($C55,FF$3),Report_BM!$FY$6:$FY$73)</f>
        <v>0</v>
      </c>
      <c r="FB55" s="39">
        <f>SUMIF(Report_BM!$GF$6:$GF$73,CONCATENATE($C55,FF$3),Report_BM!$FZ$6:$FZ$73)</f>
        <v>23760000</v>
      </c>
      <c r="FC55" s="39">
        <f>SUMIF(Report_BM!$GF$6:$GF$73,CONCATENATE($C55,FF$3),Report_BM!$GA$6:$GA$73)</f>
        <v>0</v>
      </c>
      <c r="FD55" s="46">
        <f>SUMIF(Master_Data!$AK$152:$AK$864,CONCATENATE($C55,FF$3),Master_Data!$T$152:$T$864)</f>
        <v>-440000</v>
      </c>
      <c r="FE55" s="45">
        <f>SUMIF(Report_BM!GF$6:GF$73,CONCATENATE($C55,FF$3),Report_BM!GC$6:GC$73)</f>
        <v>0</v>
      </c>
      <c r="FF55" s="39" t="e">
        <f>SUMIF(Report_BM!GF$6:GF$73,CONCATENATE($C55,FF$3),Report_BM!GD$6:GD$73)</f>
        <v>#VALUE!</v>
      </c>
      <c r="FG55" s="103"/>
      <c r="FH55" s="104"/>
      <c r="FI55" s="104"/>
      <c r="FJ55" s="104"/>
      <c r="FK55" s="104"/>
      <c r="FL55" s="104"/>
      <c r="FM55" s="45">
        <f>SUMIF(Report_BM!$GW$6:$GW$73,CONCATENATE($C55,FU$3),Report_BM!$GI$6:$GI$73)+SUMIF(Report_BM!$GW$6:$GW$73,CONCATENATE($C55,FU$3),Report_BM!$GL$6:$GL$73)</f>
        <v>0</v>
      </c>
      <c r="FN55" s="46" t="e">
        <f>SUMIF(Report_BM!$GW$6:$GW$73,CONCATENATE($C55,$FU$3),Report_BM!$GJ$6:$GJ$73)+SUMIF(Report_BM!$GW$6:$GW$73,CONCATENATE($C55,$FU$3),Report_BM!$GM$6:$GM$73)</f>
        <v>#VALUE!</v>
      </c>
      <c r="FO55" s="45">
        <f>SUMIF(Report_BM!$GW$6:$GW$73,CONCATENATE($C55,FU$3),Report_BM!$GO$6:$GO$73)</f>
        <v>0</v>
      </c>
      <c r="FP55" s="39">
        <f>SUMIF(Report_BM!$GW$6:$GW$73,CONCATENATE($C55,FU$3),Report_BM!$GP$6:$GP$73)</f>
        <v>0</v>
      </c>
      <c r="FQ55" s="39">
        <f>SUMIF(Report_BM!$GW$6:$GW$73,CONCATENATE($C55,FU$3),Report_BM!$GQ$6:$GQ$73)</f>
        <v>23760000</v>
      </c>
      <c r="FR55" s="39">
        <f>SUMIF(Report_BM!$GW$6:$GW$73,CONCATENATE($C55,FU$3),Report_BM!$GR$6:$GR$73)</f>
        <v>0</v>
      </c>
      <c r="FS55" s="46">
        <f>SUMIF(Master_Data!$AK$152:$AK$864,CONCATENATE($C55,FU$3),Master_Data!$T$152:$T$864)</f>
        <v>-440000</v>
      </c>
      <c r="FT55" s="45">
        <f>SUMIF(Report_BM!GW$6:GW$73,CONCATENATE($C55,FU$3),Report_BM!GT$6:GT$73)</f>
        <v>0</v>
      </c>
      <c r="FU55" s="39" t="e">
        <f>SUMIF(Report_BM!GW$6:GW$73,CONCATENATE($C55,FU$3),Report_BM!GU$6:GU$73)</f>
        <v>#VALUE!</v>
      </c>
      <c r="FV55" s="103"/>
      <c r="FW55" s="104"/>
      <c r="FX55" s="104"/>
      <c r="FY55" s="104"/>
      <c r="FZ55" s="104"/>
      <c r="GA55" s="104"/>
    </row>
    <row r="56" spans="1:183" s="40" customFormat="1" ht="14.1" customHeight="1">
      <c r="A56" s="9">
        <v>50</v>
      </c>
      <c r="B56" s="328" t="s">
        <v>608</v>
      </c>
      <c r="C56" s="11" t="s">
        <v>606</v>
      </c>
      <c r="D56" s="45">
        <f>SUMIF(Report_BM!$B$6:$B$73,CONCATENATE($C56,L$3),Report_BM!$E$6:$E$73)+SUMIF(Report_BM!$B$6:$B$73,CONCATENATE($C56,L$3),Report_BM!$H$6:$H$73)</f>
        <v>0</v>
      </c>
      <c r="E56" s="276" t="e">
        <f>SUMIF(Report_BM!$B$6:$B$73,CONCATENATE($C56,L$3),Report_BM!$F$6:$F$73)+SUMIF(Report_BM!$B$6:$B$73,CONCATENATE($C56,L$3),Report_BM!$I$6:$I$73)</f>
        <v>#VALUE!</v>
      </c>
      <c r="F56" s="45">
        <f>SUMIF(Report_BM!$B$6:$B$73,CONCATENATE($C56,L$3),Report_BM!$K$6:$K$73)</f>
        <v>0</v>
      </c>
      <c r="G56" s="39">
        <f>SUMIF(Report_BM!$B$6:$B$73,CONCATENATE($C56,$L$3),Report_BM!$L$6:$L$73)</f>
        <v>0</v>
      </c>
      <c r="H56" s="39">
        <f>SUMIF(Report_BM!$B$6:$B$73,CONCATENATE($C56,$L$3),Report_BM!$M$6:$M$73)</f>
        <v>0</v>
      </c>
      <c r="I56" s="39">
        <f>SUMIF(Report_BM!$B$6:$B$73,CONCATENATE($C56,$L$3),Report_BM!$N$6:$N$73)</f>
        <v>0</v>
      </c>
      <c r="J56" s="46">
        <f>SUMIF(Report_BM!$B$6:$B$73,CONCATENATE($C56,$L$3),Report_BM!$O$6:$O$73)</f>
        <v>0</v>
      </c>
      <c r="K56" s="45">
        <f>SUMIF(Report_BM!$B$6:$B$73,CONCATENATE($C56,$L$3),Report_BM!$P$6:$P$73)</f>
        <v>0</v>
      </c>
      <c r="L56" s="39" t="e">
        <f>SUMIF(Report_BM!$B$6:$B$73,CONCATENATE($C56,$L$3),Report_BM!$Q$6:$Q$73)</f>
        <v>#VALUE!</v>
      </c>
      <c r="M56" s="103"/>
      <c r="N56" s="104"/>
      <c r="O56" s="104"/>
      <c r="P56" s="104"/>
      <c r="Q56" s="104"/>
      <c r="R56" s="104"/>
      <c r="S56" s="45">
        <f>SUMIF(Report_BM!$AI$8:$AI$72,CONCATENATE($C56,AA$3),Report_BM!$U$8:$U$72)+SUMIF(Report_BM!$AI$8:$AI$72,CONCATENATE($C56,AA$3),Report_BM!$X$8:$X$72)</f>
        <v>0</v>
      </c>
      <c r="T56" s="276" t="e">
        <f>SUMIF(Report_BM!$AI$8:$AI$72,CONCATENATE($C56,AA$3),Report_BM!$V$8:$V$72)+SUMIF(Report_BM!$AI$8:$AI$72,CONCATENATE($C56,AA$3),Report_BM!$Y$8:$Y$72)</f>
        <v>#VALUE!</v>
      </c>
      <c r="U56" s="45">
        <f>SUMIF(Report_BM!$AI$8:$AI$72,CONCATENATE($C56,AA$3),Report_BM!$AA$8:$AB$72)</f>
        <v>0</v>
      </c>
      <c r="V56" s="39">
        <f>SUMIF(Report_BM!$AI$8:$AI$72,CONCATENATE($C56,$AA$3),Report_BM!$AB$8:$AB$72)</f>
        <v>0</v>
      </c>
      <c r="W56" s="39">
        <f>SUMIF(Report_BM!$AI$8:$AI$72,CONCATENATE($C56,$AA$3),Report_BM!$AC$8:$AC$72)</f>
        <v>78498700</v>
      </c>
      <c r="X56" s="39">
        <f ca="1">SUMIF(Report_BM!$AI$7:$AI$73,CONCATENATE($C56,$AA$3),Report_BM!$AD$7:$AD$73)</f>
        <v>0</v>
      </c>
      <c r="Y56" s="46">
        <f>SUMIF(Master_Data!$AK$152:$AK$864,CONCATENATE($C56,AA$3),Master_Data!$T$152:$T$864)</f>
        <v>0</v>
      </c>
      <c r="Z56" s="45">
        <f>SUMIF(Report_BM!$AI$8:$AI$72,CONCATENATE($C56,$AA$3),Report_BM!$AF$8:$AF$72)</f>
        <v>0</v>
      </c>
      <c r="AA56" s="39" t="e">
        <f ca="1">SUMIF(Report_BM!$AI$8:$AI$72,CONCATENATE($C56,$AA$3),Report_BM!$AG$8:$AG$72)</f>
        <v>#VALUE!</v>
      </c>
      <c r="AB56" s="103"/>
      <c r="AC56" s="104"/>
      <c r="AD56" s="104"/>
      <c r="AE56" s="104"/>
      <c r="AF56" s="104"/>
      <c r="AG56" s="104"/>
      <c r="AH56" s="45">
        <f>SUMIF(Report_BM!$AZ$5:$AZ$72,CONCATENATE($C56,AP$3),Report_BM!$AL$5:$AL$72)+SUMIF(Report_BM!$AZ$5:$AZ$72,CONCATENATE($C56,AP$3),Report_BM!$AO$5:$AO$72)</f>
        <v>0</v>
      </c>
      <c r="AI56" s="46" t="e">
        <f ca="1">SUMIF(Report_BM!$AZ$5:$AZ$72,CONCATENATE($C56,$AP$3),Report_BM!$AM$5:$AM$72)+SUMIF(Report_BM!$AZ$5:$AZ$72,CONCATENATE($C56,$AP$3),Report_BM!$AP$5:$AP$72)</f>
        <v>#VALUE!</v>
      </c>
      <c r="AJ56" s="45">
        <f>SUMIF(Report_BM!$AZ$5:$AZ$72,CONCATENATE($C56,$AP$3),Report_BM!$AR$5:$AR$72)</f>
        <v>0</v>
      </c>
      <c r="AK56" s="39">
        <f>SUMIF(Report_BM!$AZ$5:$AZ$72,CONCATENATE($C56,$AP$3),Report_BM!$AS$5:$AS$72)</f>
        <v>0</v>
      </c>
      <c r="AL56" s="39">
        <f>SUMIF(Report_BM!$AZ$5:$AZ$72,CONCATENATE($C56,$AP$3),Report_BM!$AT$5:$AT$72)</f>
        <v>0</v>
      </c>
      <c r="AM56" s="39">
        <f ca="1">SUMIF(Report_BM!$AZ$5:$AZ$72,CONCATENATE($C56,$AP$3),Report_BM!$AU$5:$AU$72)</f>
        <v>0</v>
      </c>
      <c r="AN56" s="46">
        <f>SUMIF(Master_Data!$AK$152:$AK$915,CONCATENATE($C56,AP$3),Master_Data!$T$152:$T$915)</f>
        <v>0</v>
      </c>
      <c r="AO56" s="45">
        <f>SUMIF(Report_BM!$AZ$5:$AZ$72,CONCATENATE($C56,$AP$3),Report_BM!$AW$5:$AW$72)</f>
        <v>0</v>
      </c>
      <c r="AP56" s="39" t="e">
        <f ca="1">SUMIF(Report_BM!$AZ$5:$AZ$72,CONCATENATE($C56,$AP$3),Report_BM!$AX$5:$AX$72)</f>
        <v>#VALUE!</v>
      </c>
      <c r="AQ56" s="103"/>
      <c r="AR56" s="104"/>
      <c r="AS56" s="104"/>
      <c r="AT56" s="104"/>
      <c r="AU56" s="104"/>
      <c r="AV56" s="104"/>
      <c r="AW56" s="45">
        <f>SUMIF(Report_BM!$BQ$6:$BQ$73,CONCATENATE($C56,BE$3),Report_BM!$BC$6:$BC$73)+SUMIF(Report_BM!$BQ$6:$BQ$73,CONCATENATE($C56,BE$3),Report_BM!$BF$6:$BF$73)</f>
        <v>0</v>
      </c>
      <c r="AX56" s="46" t="e">
        <f ca="1">SUMIF(Report_BM!$BQ$6:$BQ$73,CONCATENATE($C56,$BE$3),Report_BM!$BD$6:$BD$73)+SUMIF(Report_BM!$BQ$6:$BQ$73,CONCATENATE($C56,$BE$3),Report_BM!$BG$6:$BG$73)</f>
        <v>#VALUE!</v>
      </c>
      <c r="AY56" s="45">
        <f>SUMIF(Report_BM!$BQ$6:$BQ$73,CONCATENATE($C56,BE$3),Report_BM!$BI$6:$BI$73)</f>
        <v>0</v>
      </c>
      <c r="AZ56" s="39">
        <f>SUMIF(Report_BM!$BQ$6:$BQ$73,CONCATENATE($C56,BE$3),Report_BM!$BJ$6:$BJ$73)</f>
        <v>0</v>
      </c>
      <c r="BA56" s="39">
        <f>SUMIF(Report_BM!$BQ$6:$BQ$73,CONCATENATE($C56,BE$3),Report_BM!$BK$6:$BK$73)</f>
        <v>0</v>
      </c>
      <c r="BB56" s="39">
        <f>SUMIF(Report_BM!$BQ$6:$BQ$73,CONCATENATE($C56,BE$3),Report_BM!$BL$6:$BL$73)</f>
        <v>0</v>
      </c>
      <c r="BC56" s="46">
        <f>SUMIF(Master_Data!$AK$152:$AK$864,CONCATENATE($C56,BE$3),Master_Data!$T$152:$T$864)</f>
        <v>0</v>
      </c>
      <c r="BD56" s="45">
        <f>SUMIF(Report_BM!$BQ$6:$BQ$73,CONCATENATE($C56,BE$3),Report_BM!$BN$6:$BN$73)</f>
        <v>0</v>
      </c>
      <c r="BE56" s="39" t="e">
        <f ca="1">SUMIF(Report_BM!$BQ$6:$BQ$73,CONCATENATE($C56,BE$3),Report_BM!$BO$6:$BO$73)</f>
        <v>#VALUE!</v>
      </c>
      <c r="BF56" s="103"/>
      <c r="BG56" s="104"/>
      <c r="BH56" s="104"/>
      <c r="BI56" s="104"/>
      <c r="BJ56" s="104"/>
      <c r="BK56" s="104"/>
      <c r="BL56" s="45">
        <f>SUMIF(Report_BM!$CH$6:$CH$73,CONCATENATE($C56,BT$3),Report_BM!$BT$6:$BT$73)+SUMIF(Report_BM!$CH$6:$CH$73,CONCATENATE($C56,BT$3),Report_BM!$BW$6:$BW$73)</f>
        <v>0</v>
      </c>
      <c r="BM56" s="46" t="e">
        <f ca="1">SUMIF(Report_BM!$CH$6:$CH$73,CONCATENATE($C56,$BT$3),Report_BM!$BU$6:$BU$73)+SUMIF(Report_BM!$CH$6:$CH$73,CONCATENATE($C56,$BT$3),Report_BM!$BX$6:$BX$73)</f>
        <v>#VALUE!</v>
      </c>
      <c r="BN56" s="45">
        <f>SUMIF(Report_BM!$CH$6:$CH$73,CONCATENATE($C56,BT$3),Report_BM!$BZ$6:$BZ$73)</f>
        <v>0</v>
      </c>
      <c r="BO56" s="39">
        <f>SUMIF(Report_BM!$CH$6:$CH$73,CONCATENATE($C56,BT$3),Report_BM!$CA$6:$CA$73)</f>
        <v>0</v>
      </c>
      <c r="BP56" s="39">
        <f>SUMIF(Report_BM!$CH$6:$CH$73,CONCATENATE($C56,BT$3),Report_BM!$CB$6:$CB$73)</f>
        <v>0</v>
      </c>
      <c r="BQ56" s="39">
        <f>SUMIF(Report_BM!$CH$6:$CH$73,CONCATENATE($C56,BT$3),Report_BM!$CC$6:$CC$73)</f>
        <v>0</v>
      </c>
      <c r="BR56" s="46">
        <f>SUMIF(Master_Data!$AK$152:$AK$864,CONCATENATE($C56,BT$3),Master_Data!$T$152:$T$864)</f>
        <v>0</v>
      </c>
      <c r="BS56" s="45">
        <f>SUMIF(Report_BM!$CH$6:$CH$73,CONCATENATE($C56,BT$3),Report_BM!$CE$6:$CE$73)</f>
        <v>0</v>
      </c>
      <c r="BT56" s="39" t="e">
        <f ca="1">SUMIF(Report_BM!$CH$6:$CH$73,CONCATENATE($C56,BT$3),Report_BM!$CF$6:$CF$73)</f>
        <v>#VALUE!</v>
      </c>
      <c r="BU56" s="103"/>
      <c r="BV56" s="104"/>
      <c r="BW56" s="104"/>
      <c r="BX56" s="104"/>
      <c r="BY56" s="104"/>
      <c r="BZ56" s="104"/>
      <c r="CA56" s="45">
        <f>SUMIF(Report_BM!$CY$6:$CY$73,CONCATENATE($C56,CI$3),Report_BM!$CK$6:$CK$73)+SUMIF(Report_BM!$CY$6:$CY$73,CONCATENATE($C56,CI$3),Report_BM!$CN$6:$CN$73)</f>
        <v>0</v>
      </c>
      <c r="CB56" s="46" t="e">
        <f ca="1">SUMIF(Report_BM!$CY$6:$CY$73,CONCATENATE($C56,$CI$3),Report_BM!$CL$6:$CL$73)+SUMIF(Report_BM!$CY$6:$CY$73,CONCATENATE($C56,$CI$3),Report_BM!$CO$6:$CO$73)</f>
        <v>#VALUE!</v>
      </c>
      <c r="CC56" s="45">
        <f>SUMIF(Report_BM!$CY$6:$CY$73,CONCATENATE($C56,CI$3),Report_BM!$CQ$6:$CQ$73)</f>
        <v>0</v>
      </c>
      <c r="CD56" s="39">
        <f>SUMIF(Report_BM!$CY$6:$CY$73,CONCATENATE($C56,CI$3),Report_BM!$CR$6:$CR$73)</f>
        <v>0</v>
      </c>
      <c r="CE56" s="39">
        <f>SUMIF(Report_BM!$CY$6:$CY$73,CONCATENATE($C56,CI$3),Report_BM!$CS$6:$CS$73)</f>
        <v>0</v>
      </c>
      <c r="CF56" s="39">
        <f ca="1">SUMIF(Report_BM!$CY$6:$CY$73,CONCATENATE($C56,CI$3),Report_BM!$CT$6:$CT$73)</f>
        <v>0</v>
      </c>
      <c r="CG56" s="46">
        <f>SUMIF(Report_BM!$CY$6:$CY$73,CONCATENATE($C56,CI$3),Report_BM!$CU$6:$CU$73)</f>
        <v>0</v>
      </c>
      <c r="CH56" s="45">
        <f>SUMIF(Report_BM!$CY$6:$CY$73,CONCATENATE($C56,CI$3),Report_BM!$CV$6:$CV$73)</f>
        <v>0</v>
      </c>
      <c r="CI56" s="39" t="e">
        <f ca="1">SUMIF(Report_BM!$CY$6:$CY$73,CONCATENATE($C56,CI$3),Report_BM!$CW$6:$CW$73)</f>
        <v>#VALUE!</v>
      </c>
      <c r="CJ56" s="103"/>
      <c r="CK56" s="104"/>
      <c r="CL56" s="104"/>
      <c r="CM56" s="104"/>
      <c r="CN56" s="104"/>
      <c r="CO56" s="104"/>
      <c r="CP56" s="45">
        <f>SUMIF(Report_BM!$DP$6:$DP$73,CONCATENATE($C56,CX$3),Report_BM!$DB$6:$DB$73)+SUMIF(Report_BM!$DP$6:$DP$73,CONCATENATE($C56,CX$3),Report_BM!$DE$6:$DE$73)</f>
        <v>0</v>
      </c>
      <c r="CQ56" s="46" t="e">
        <f ca="1">SUMIF(Report_BM!$DP$6:$DP$73,CONCATENATE($C56,$CX$3),Report_BM!$DC$6:$DC$73)+SUMIF(Report_BM!$DP$6:$DP$73,CONCATENATE($C56,$CX$3),Report_BM!$DF$6:$DF$73)</f>
        <v>#VALUE!</v>
      </c>
      <c r="CR56" s="45">
        <f>SUMIF(Report_BM!$DP$6:$DP$73,CONCATENATE($C56,CX$3),Report_BM!$DH$6:$DH$73)</f>
        <v>0</v>
      </c>
      <c r="CS56" s="39">
        <f>SUMIF(Report_BM!$DP$6:$DP$73,CONCATENATE($C56,CX$3),Report_BM!$DI$6:$DI$73)</f>
        <v>0</v>
      </c>
      <c r="CT56" s="39">
        <f>SUMIF(Report_BM!$DP$6:$DP$73,CONCATENATE($C56,CX$3),Report_BM!$DJ$6:$DJ$73)</f>
        <v>0</v>
      </c>
      <c r="CU56" s="39">
        <f>SUMIF(Report_BM!$DP$6:$DP$73,CONCATENATE($C56,CX$3),Report_BM!$DK$6:$DK$73)</f>
        <v>0</v>
      </c>
      <c r="CV56" s="46">
        <f>SUMIF(Master_Data!$AK$152:$AK$864,CONCATENATE($C56,CX$3),Master_Data!$T$152:$T$864)</f>
        <v>0</v>
      </c>
      <c r="CW56" s="45">
        <f>SUMIF(Report_BM!$DP$6:$DP$73,CONCATENATE($C56,CX$3),Report_BM!$DM$6:$DM$73)</f>
        <v>0</v>
      </c>
      <c r="CX56" s="39" t="e">
        <f ca="1">SUMIF(Report_BM!$DP$6:$DP$73,CONCATENATE($C56,CX$3),Report_BM!$DN$6:$DN$73)</f>
        <v>#VALUE!</v>
      </c>
      <c r="CY56" s="103"/>
      <c r="CZ56" s="104"/>
      <c r="DA56" s="104"/>
      <c r="DB56" s="104"/>
      <c r="DC56" s="104"/>
      <c r="DD56" s="104"/>
      <c r="DE56" s="45">
        <f>SUMIF(Report_BM!$EG$6:$EG$73,CONCATENATE($C56,DM$3),Report_BM!$DS$6:$DS$73)+SUMIF(Report_BM!$EG$6:$EG$73,CONCATENATE($C56,DM$3),Report_BM!$DV$6:$DV$73)</f>
        <v>0</v>
      </c>
      <c r="DF56" s="46" t="e">
        <f ca="1">SUMIF(Report_BM!$EG$6:$EG$73,CONCATENATE($C56,$DM$3),Report_BM!$DT$6:$DT$73)+SUMIF(Report_BM!$EG$6:$EG$73,CONCATENATE($C56,$DM$3),Report_BM!$DW$6:$DW$73)</f>
        <v>#VALUE!</v>
      </c>
      <c r="DG56" s="45">
        <f>SUMIF(Report_BM!$EG$6:$EG$73,CONCATENATE($C56,DM$3),Report_BM!$DY$6:$DY$73)</f>
        <v>0</v>
      </c>
      <c r="DH56" s="39">
        <f>SUMIF(Report_BM!EG$6:EG$73,CONCATENATE($C56,DM$3),Report_BM!DZ$6:DZ$73)</f>
        <v>0</v>
      </c>
      <c r="DI56" s="39">
        <f>SUMIF(Report_BM!EG$6:EG$73,CONCATENATE($C56,DM$3),Report_BM!$EA$6:$EA$73)</f>
        <v>0</v>
      </c>
      <c r="DJ56" s="39">
        <f>SUMIF(Report_BM!EG$6:EG$73,CONCATENATE($C56,DM$3),Report_BM!$EB$6:$EB$73)</f>
        <v>0</v>
      </c>
      <c r="DK56" s="46">
        <f>SUMIF(Master_Data!$AK$152:$AK$864,CONCATENATE($C56,DM$3),Master_Data!$T$152:$T$864)</f>
        <v>0</v>
      </c>
      <c r="DL56" s="45">
        <f>SUMIF(Report_BM!EG$6:EG$73,CONCATENATE($C56,DM$3),Report_BM!ED$6:ED$73)</f>
        <v>0</v>
      </c>
      <c r="DM56" s="39" t="e">
        <f ca="1">SUMIF(Report_BM!EG$6:EG$73,CONCATENATE($C56,DM$3),Report_BM!EE$6:EE$73)</f>
        <v>#VALUE!</v>
      </c>
      <c r="DN56" s="103"/>
      <c r="DO56" s="104"/>
      <c r="DP56" s="104"/>
      <c r="DQ56" s="104"/>
      <c r="DR56" s="104"/>
      <c r="DS56" s="104"/>
      <c r="DT56" s="45">
        <f>SUMIF(Report_BM!$EX$6:$EX$73,CONCATENATE($C56,EB$3),Report_BM!$EJ$6:$EJ$73)+SUMIF(Report_BM!$EX$6:$EX$73,CONCATENATE($C56,EB$3),Report_BM!$EM$6:$EM$73)</f>
        <v>0</v>
      </c>
      <c r="DU56" s="46" t="e">
        <f ca="1">SUMIF(Report_BM!$EX$6:$EX$73,CONCATENATE($C56,$EB$3),Report_BM!$EK$6:$EK$73)+SUMIF(Report_BM!$EX$6:$EX$73,CONCATENATE($C56,$EB$3),Report_BM!$EN$6:$EN$73)</f>
        <v>#VALUE!</v>
      </c>
      <c r="DV56" s="45">
        <f>SUMIF(Report_BM!$EX$6:$EX$73,CONCATENATE($C56,EB$3),Report_BM!$EP$6:$EP$73)</f>
        <v>0</v>
      </c>
      <c r="DW56" s="39">
        <f>SUMIF(Report_BM!$EX$6:$EX$73,CONCATENATE($C56,EB$3),Report_BM!$EQ$6:$EQ$73)</f>
        <v>0</v>
      </c>
      <c r="DX56" s="39">
        <f>SUMIF(Report_BM!$EX$6:$EX$73,CONCATENATE($C56,EB$3),Report_BM!$ER$6:$ER$73)</f>
        <v>0</v>
      </c>
      <c r="DY56" s="39">
        <f>SUMIF(Report_BM!$EX$6:$EX$73,CONCATENATE($C56,EB$3),Report_BM!$ES$6:$ES$73)</f>
        <v>0</v>
      </c>
      <c r="DZ56" s="46">
        <f>SUMIF(Master_Data!$AK$152:$AK$864,CONCATENATE($C56,EB$3),Master_Data!$T$152:$T$864)</f>
        <v>0</v>
      </c>
      <c r="EA56" s="45">
        <f>SUMIF(Report_BM!EX$6:EX$73,CONCATENATE($C56,EB$3),Report_BM!EU$6:EU$73)</f>
        <v>0</v>
      </c>
      <c r="EB56" s="39">
        <f>SUMIF(Report_BM!EX$6:EX$73,CONCATENATE($C56,EB$3),Report_BM!EV$6:EV$73)</f>
        <v>0</v>
      </c>
      <c r="EC56" s="103"/>
      <c r="ED56" s="104"/>
      <c r="EE56" s="104"/>
      <c r="EF56" s="104"/>
      <c r="EG56" s="104"/>
      <c r="EH56" s="104"/>
      <c r="EI56" s="45">
        <f>SUMIF(Report_BM!$FO$6:$FO$73,CONCATENATE($C56,EQ$3),Report_BM!$FA$6:$FA$73)+SUMIF(Report_BM!$FO$6:$FO$73,CONCATENATE($C56,EQ$3),Report_BM!$FD$6:$FD$73)</f>
        <v>0</v>
      </c>
      <c r="EJ56" s="46">
        <f>SUMIF(Report_BM!$FO$6:$FO$73,CONCATENATE($C56,$EQ$3),Report_BM!$FB$6:$FB$73)+SUMIF(Report_BM!$FO$6:$FO$73,CONCATENATE($C56,$EQ$3),Report_BM!$FE$6:$FE$73)</f>
        <v>0</v>
      </c>
      <c r="EK56" s="45">
        <f>SUMIF(Report_BM!$FO$6:$FO$73,CONCATENATE($C56,EQ$3),Report_BM!$FG$6:$FG$73)</f>
        <v>0</v>
      </c>
      <c r="EL56" s="39">
        <f>SUMIF(Report_BM!$FO$6:$FO$73,CONCATENATE($C56,EQ$3),Report_BM!$FH$6:$FH$73)</f>
        <v>0</v>
      </c>
      <c r="EM56" s="39">
        <f>SUMIF(Report_BM!$FO$6:$FO$73,CONCATENATE($C56,EQ$3),Report_BM!$FI$6:$FI$73)</f>
        <v>0</v>
      </c>
      <c r="EN56" s="39">
        <f>SUMIF(Report_BM!$FO$6:$FO$73,CONCATENATE($C56,EQ$3),Report_BM!$FJ$6:$FJ$73)</f>
        <v>0</v>
      </c>
      <c r="EO56" s="46">
        <f>SUMIF(Master_Data!$AK$152:$AK$864,CONCATENATE($C56,EQ$3),Master_Data!$T$152:$T$864)</f>
        <v>0</v>
      </c>
      <c r="EP56" s="45">
        <f>SUMIF(Report_BM!FO$6:FO$73,CONCATENATE($C56,EQ$3),Report_BM!FL$6:FL$73)</f>
        <v>0</v>
      </c>
      <c r="EQ56" s="39">
        <f>SUMIF(Report_BM!FO$6:FO$73,CONCATENATE($C56,EQ$3),Report_BM!FM$6:FM$73)</f>
        <v>0</v>
      </c>
      <c r="ER56" s="103"/>
      <c r="ES56" s="104"/>
      <c r="ET56" s="104"/>
      <c r="EU56" s="104"/>
      <c r="EV56" s="104"/>
      <c r="EW56" s="104"/>
      <c r="EX56" s="45">
        <f>SUMIF(Report_BM!$GF$6:$GF$73,CONCATENATE($C56,FF$3),Report_BM!$FR$6:$FR$73)+SUMIF(Report_BM!$GF$6:$GF$73,CONCATENATE($C56,FF$3),Report_BM!$FU$6:$FU$73)</f>
        <v>0</v>
      </c>
      <c r="EY56" s="46">
        <f>SUMIF(Report_BM!$GF$6:$GF$73,CONCATENATE($C56,$FF$3),Report_BM!$FS$6:$FS$73)+SUMIF(Report_BM!$GF$6:$GF$73,CONCATENATE($C56,$FF$3),Report_BM!$FV$6:$FV$73)</f>
        <v>0</v>
      </c>
      <c r="EZ56" s="45">
        <f>SUMIF(Report_BM!$GF$6:$GF$73,CONCATENATE($C56,FF$3),Report_BM!$FX$6:$FX$73)</f>
        <v>0</v>
      </c>
      <c r="FA56" s="39">
        <f>SUMIF(Report_BM!$GF$6:$GF$73,CONCATENATE($C56,FF$3),Report_BM!$FY$6:$FY$73)</f>
        <v>0</v>
      </c>
      <c r="FB56" s="39">
        <f>SUMIF(Report_BM!$GF$6:$GF$73,CONCATENATE($C56,FF$3),Report_BM!$FZ$6:$FZ$73)</f>
        <v>0</v>
      </c>
      <c r="FC56" s="39">
        <f>SUMIF(Report_BM!$GF$6:$GF$73,CONCATENATE($C56,FF$3),Report_BM!$GA$6:$GA$73)</f>
        <v>0</v>
      </c>
      <c r="FD56" s="46">
        <f>SUMIF(Master_Data!$AK$152:$AK$864,CONCATENATE($C56,FF$3),Master_Data!$T$152:$T$864)</f>
        <v>0</v>
      </c>
      <c r="FE56" s="45">
        <f>SUMIF(Report_BM!GF$6:GF$73,CONCATENATE($C56,FF$3),Report_BM!GC$6:GC$73)</f>
        <v>0</v>
      </c>
      <c r="FF56" s="39">
        <f>SUMIF(Report_BM!GF$6:GF$73,CONCATENATE($C56,FF$3),Report_BM!GD$6:GD$73)</f>
        <v>0</v>
      </c>
      <c r="FG56" s="103"/>
      <c r="FH56" s="104"/>
      <c r="FI56" s="104"/>
      <c r="FJ56" s="104"/>
      <c r="FK56" s="104"/>
      <c r="FL56" s="104"/>
      <c r="FM56" s="45">
        <f>SUMIF(Report_BM!$GW$6:$GW$73,CONCATENATE($C56,FU$3),Report_BM!$GI$6:$GI$73)+SUMIF(Report_BM!$GW$6:$GW$73,CONCATENATE($C56,FU$3),Report_BM!$GL$6:$GL$73)</f>
        <v>0</v>
      </c>
      <c r="FN56" s="46">
        <f>SUMIF(Report_BM!$GW$6:$GW$73,CONCATENATE($C56,$FU$3),Report_BM!$GJ$6:$GJ$73)+SUMIF(Report_BM!$GW$6:$GW$73,CONCATENATE($C56,$FU$3),Report_BM!$GM$6:$GM$73)</f>
        <v>0</v>
      </c>
      <c r="FO56" s="45">
        <f>SUMIF(Report_BM!$GW$6:$GW$73,CONCATENATE($C56,FU$3),Report_BM!$GO$6:$GO$73)</f>
        <v>0</v>
      </c>
      <c r="FP56" s="39">
        <f>SUMIF(Report_BM!$GW$6:$GW$73,CONCATENATE($C56,FU$3),Report_BM!$GP$6:$GP$73)</f>
        <v>0</v>
      </c>
      <c r="FQ56" s="39">
        <f>SUMIF(Report_BM!$GW$6:$GW$73,CONCATENATE($C56,FU$3),Report_BM!$GQ$6:$GQ$73)</f>
        <v>0</v>
      </c>
      <c r="FR56" s="39">
        <f>SUMIF(Report_BM!$GW$6:$GW$73,CONCATENATE($C56,FU$3),Report_BM!$GR$6:$GR$73)</f>
        <v>0</v>
      </c>
      <c r="FS56" s="46">
        <f>SUMIF(Master_Data!$AK$152:$AK$864,CONCATENATE($C56,FU$3),Master_Data!$T$152:$T$864)</f>
        <v>0</v>
      </c>
      <c r="FT56" s="45">
        <f>SUMIF(Report_BM!GW$6:GW$73,CONCATENATE($C56,FU$3),Report_BM!GT$6:GT$73)</f>
        <v>0</v>
      </c>
      <c r="FU56" s="39">
        <f>SUMIF(Report_BM!GW$6:GW$73,CONCATENATE($C56,FU$3),Report_BM!GU$6:GU$73)</f>
        <v>0</v>
      </c>
      <c r="FV56" s="103"/>
      <c r="FW56" s="104"/>
      <c r="FX56" s="104"/>
      <c r="FY56" s="104"/>
      <c r="FZ56" s="104"/>
      <c r="GA56" s="104"/>
    </row>
    <row r="57" spans="1:183" s="40" customFormat="1" ht="14.1" customHeight="1">
      <c r="A57" s="9">
        <v>51</v>
      </c>
      <c r="B57" s="328" t="s">
        <v>642</v>
      </c>
      <c r="C57" s="11" t="s">
        <v>639</v>
      </c>
      <c r="D57" s="45">
        <f>SUMIF(Report_BM!$B$6:$B$73,CONCATENATE($C57,L$3),Report_BM!$E$6:$E$73)+SUMIF(Report_BM!$B$6:$B$73,CONCATENATE($C57,L$3),Report_BM!$H$6:$H$73)</f>
        <v>0</v>
      </c>
      <c r="E57" s="276">
        <f>SUMIF(Report_BM!$B$6:$B$73,CONCATENATE($C57,L$3),Report_BM!$F$6:$F$73)+SUMIF(Report_BM!$B$6:$B$73,CONCATENATE($C57,L$3),Report_BM!$I$6:$I$73)</f>
        <v>9784813.5</v>
      </c>
      <c r="F57" s="45">
        <f>SUMIF(Report_BM!$B$6:$B$73,CONCATENATE($C57,L$3),Report_BM!$K$6:$K$73)</f>
        <v>0</v>
      </c>
      <c r="G57" s="39">
        <f>SUMIF(Report_BM!$B$6:$B$73,CONCATENATE($C57,$L$3),Report_BM!$L$6:$L$73)</f>
        <v>0</v>
      </c>
      <c r="H57" s="39">
        <f>SUMIF(Report_BM!$B$6:$B$73,CONCATENATE($C57,$L$3),Report_BM!$M$6:$M$73)</f>
        <v>8895285</v>
      </c>
      <c r="I57" s="39">
        <f>SUMIF(Report_BM!$B$6:$B$73,CONCATENATE($C57,$L$3),Report_BM!$N$6:$N$73)</f>
        <v>-889528.5</v>
      </c>
      <c r="J57" s="46">
        <f>SUMIF(Report_BM!$B$6:$B$73,CONCATENATE($C57,$L$3),Report_BM!$O$6:$O$73)</f>
        <v>0</v>
      </c>
      <c r="K57" s="45">
        <f>SUMIF(Report_BM!$B$6:$B$73,CONCATENATE($C57,$L$3),Report_BM!$P$6:$P$73)</f>
        <v>0</v>
      </c>
      <c r="L57" s="39">
        <f>SUMIF(Report_BM!$B$6:$B$73,CONCATENATE($C57,$L$3),Report_BM!$Q$6:$Q$73)</f>
        <v>0</v>
      </c>
      <c r="M57" s="103"/>
      <c r="N57" s="104"/>
      <c r="O57" s="104"/>
      <c r="P57" s="104"/>
      <c r="Q57" s="104"/>
      <c r="R57" s="104"/>
      <c r="S57" s="45">
        <f>SUMIF(Report_BM!$AI$8:$AI$72,CONCATENATE($C57,AA$3),Report_BM!$U$8:$U$72)+SUMIF(Report_BM!$AI$8:$AI$72,CONCATENATE($C57,AA$3),Report_BM!$X$8:$X$72)</f>
        <v>0</v>
      </c>
      <c r="T57" s="276">
        <f>SUMIF(Report_BM!$AI$8:$AI$72,CONCATENATE($C57,AA$3),Report_BM!$V$8:$V$72)+SUMIF(Report_BM!$AI$8:$AI$72,CONCATENATE($C57,AA$3),Report_BM!$Y$8:$Y$72)</f>
        <v>0</v>
      </c>
      <c r="U57" s="45">
        <f>SUMIF(Report_BM!$AI$8:$AI$72,CONCATENATE($C57,AA$3),Report_BM!$AA$8:$AB$72)</f>
        <v>0</v>
      </c>
      <c r="V57" s="39">
        <f>SUMIF(Report_BM!$AI$8:$AI$72,CONCATENATE($C57,$AA$3),Report_BM!$AB$8:$AB$72)</f>
        <v>0</v>
      </c>
      <c r="W57" s="39">
        <f>SUMIF(Report_BM!$AI$8:$AI$72,CONCATENATE($C57,$AA$3),Report_BM!$AC$8:$AC$72)</f>
        <v>0</v>
      </c>
      <c r="X57" s="39">
        <f ca="1">SUMIF(Report_BM!$AI$7:$AI$73,CONCATENATE($C57,$AA$3),Report_BM!$AD$7:$AD$73)</f>
        <v>0</v>
      </c>
      <c r="Y57" s="46">
        <f>SUMIF(Master_Data!$AK$152:$AK$864,CONCATENATE($C57,AA$3),Master_Data!$T$152:$T$864)</f>
        <v>0</v>
      </c>
      <c r="Z57" s="45">
        <f>SUMIF(Report_BM!$AI$8:$AI$72,CONCATENATE($C57,$AA$3),Report_BM!$AF$8:$AF$72)</f>
        <v>0</v>
      </c>
      <c r="AA57" s="39">
        <f ca="1">SUMIF(Report_BM!$AI$8:$AI$72,CONCATENATE($C57,$AA$3),Report_BM!$AG$8:$AG$72)</f>
        <v>0</v>
      </c>
      <c r="AB57" s="103"/>
      <c r="AC57" s="104"/>
      <c r="AD57" s="104"/>
      <c r="AE57" s="104"/>
      <c r="AF57" s="104"/>
      <c r="AG57" s="104"/>
      <c r="AH57" s="45">
        <f>SUMIF(Report_BM!$AZ$5:$AZ$72,CONCATENATE($C57,AP$3),Report_BM!$AL$5:$AL$72)+SUMIF(Report_BM!$AZ$5:$AZ$72,CONCATENATE($C57,AP$3),Report_BM!$AO$5:$AO$72)</f>
        <v>0</v>
      </c>
      <c r="AI57" s="46">
        <f ca="1">SUMIF(Report_BM!$AZ$5:$AZ$72,CONCATENATE($C57,$AP$3),Report_BM!$AM$5:$AM$72)+SUMIF(Report_BM!$AZ$5:$AZ$72,CONCATENATE($C57,$AP$3),Report_BM!$AP$5:$AP$72)</f>
        <v>0</v>
      </c>
      <c r="AJ57" s="45">
        <f>SUMIF(Report_BM!$AZ$5:$AZ$72,CONCATENATE($C57,$AP$3),Report_BM!$AR$5:$AR$72)</f>
        <v>0</v>
      </c>
      <c r="AK57" s="39">
        <f>SUMIF(Report_BM!$AZ$5:$AZ$72,CONCATENATE($C57,$AP$3),Report_BM!$AS$5:$AS$72)</f>
        <v>0</v>
      </c>
      <c r="AL57" s="39">
        <f>SUMIF(Report_BM!$AZ$5:$AZ$72,CONCATENATE($C57,$AP$3),Report_BM!$AT$5:$AT$72)</f>
        <v>0</v>
      </c>
      <c r="AM57" s="39">
        <f ca="1">SUMIF(Report_BM!$AZ$5:$AZ$72,CONCATENATE($C57,$AP$3),Report_BM!$AU$5:$AU$72)</f>
        <v>0</v>
      </c>
      <c r="AN57" s="46">
        <f>SUMIF(Master_Data!$AK$152:$AK$915,CONCATENATE($C57,AP$3),Master_Data!$T$152:$T$915)</f>
        <v>0</v>
      </c>
      <c r="AO57" s="45">
        <f>SUMIF(Report_BM!$AZ$5:$AZ$72,CONCATENATE($C57,$AP$3),Report_BM!$AW$5:$AW$72)</f>
        <v>0</v>
      </c>
      <c r="AP57" s="39">
        <f ca="1">SUMIF(Report_BM!$AZ$5:$AZ$72,CONCATENATE($C57,$AP$3),Report_BM!$AX$5:$AX$72)</f>
        <v>0</v>
      </c>
      <c r="AQ57" s="103"/>
      <c r="AR57" s="104"/>
      <c r="AS57" s="104"/>
      <c r="AT57" s="104"/>
      <c r="AU57" s="104"/>
      <c r="AV57" s="104"/>
      <c r="AW57" s="45">
        <f>SUMIF(Report_BM!$BQ$6:$BQ$73,CONCATENATE($C57,BE$3),Report_BM!$BC$6:$BC$73)+SUMIF(Report_BM!$BQ$6:$BQ$73,CONCATENATE($C57,BE$3),Report_BM!$BF$6:$BF$73)</f>
        <v>0</v>
      </c>
      <c r="AX57" s="46">
        <f ca="1">SUMIF(Report_BM!$BQ$6:$BQ$73,CONCATENATE($C57,$BE$3),Report_BM!$BD$6:$BD$73)+SUMIF(Report_BM!$BQ$6:$BQ$73,CONCATENATE($C57,$BE$3),Report_BM!$BG$6:$BG$73)</f>
        <v>0</v>
      </c>
      <c r="AY57" s="45">
        <f>SUMIF(Report_BM!$BQ$6:$BQ$73,CONCATENATE($C57,BE$3),Report_BM!$BI$6:$BI$73)</f>
        <v>0</v>
      </c>
      <c r="AZ57" s="39">
        <f>SUMIF(Report_BM!$BQ$6:$BQ$73,CONCATENATE($C57,BE$3),Report_BM!$BJ$6:$BJ$73)</f>
        <v>0</v>
      </c>
      <c r="BA57" s="39">
        <f>SUMIF(Report_BM!$BQ$6:$BQ$73,CONCATENATE($C57,BE$3),Report_BM!$BK$6:$BK$73)</f>
        <v>0</v>
      </c>
      <c r="BB57" s="39">
        <f>SUMIF(Report_BM!$BQ$6:$BQ$73,CONCATENATE($C57,BE$3),Report_BM!$BL$6:$BL$73)</f>
        <v>0</v>
      </c>
      <c r="BC57" s="46">
        <f>SUMIF(Master_Data!$AK$152:$AK$864,CONCATENATE($C57,BE$3),Master_Data!$T$152:$T$864)</f>
        <v>0</v>
      </c>
      <c r="BD57" s="45">
        <f>SUMIF(Report_BM!$BQ$6:$BQ$73,CONCATENATE($C57,BE$3),Report_BM!$BN$6:$BN$73)</f>
        <v>0</v>
      </c>
      <c r="BE57" s="39">
        <f ca="1">SUMIF(Report_BM!$BQ$6:$BQ$73,CONCATENATE($C57,BE$3),Report_BM!$BO$6:$BO$73)</f>
        <v>0</v>
      </c>
      <c r="BF57" s="103"/>
      <c r="BG57" s="104"/>
      <c r="BH57" s="104"/>
      <c r="BI57" s="104"/>
      <c r="BJ57" s="104"/>
      <c r="BK57" s="104"/>
      <c r="BL57" s="45">
        <f>SUMIF(Report_BM!$CH$6:$CH$73,CONCATENATE($C57,BT$3),Report_BM!$BT$6:$BT$73)+SUMIF(Report_BM!$CH$6:$CH$73,CONCATENATE($C57,BT$3),Report_BM!$BW$6:$BW$73)</f>
        <v>0</v>
      </c>
      <c r="BM57" s="46">
        <f ca="1">SUMIF(Report_BM!$CH$6:$CH$73,CONCATENATE($C57,$BT$3),Report_BM!$BU$6:$BU$73)+SUMIF(Report_BM!$CH$6:$CH$73,CONCATENATE($C57,$BT$3),Report_BM!$BX$6:$BX$73)</f>
        <v>0</v>
      </c>
      <c r="BN57" s="45">
        <f>SUMIF(Report_BM!$CH$6:$CH$73,CONCATENATE($C57,BT$3),Report_BM!$BZ$6:$BZ$73)</f>
        <v>0</v>
      </c>
      <c r="BO57" s="39">
        <f>SUMIF(Report_BM!$CH$6:$CH$73,CONCATENATE($C57,BT$3),Report_BM!$CA$6:$CA$73)</f>
        <v>0</v>
      </c>
      <c r="BP57" s="39">
        <f>SUMIF(Report_BM!$CH$6:$CH$73,CONCATENATE($C57,BT$3),Report_BM!$CB$6:$CB$73)</f>
        <v>0</v>
      </c>
      <c r="BQ57" s="39">
        <f>SUMIF(Report_BM!$CH$6:$CH$73,CONCATENATE($C57,BT$3),Report_BM!$CC$6:$CC$73)</f>
        <v>0</v>
      </c>
      <c r="BR57" s="46">
        <f>SUMIF(Master_Data!$AK$152:$AK$864,CONCATENATE($C57,BT$3),Master_Data!$T$152:$T$864)</f>
        <v>0</v>
      </c>
      <c r="BS57" s="45">
        <f>SUMIF(Report_BM!$CH$6:$CH$73,CONCATENATE($C57,BT$3),Report_BM!$CE$6:$CE$73)</f>
        <v>0</v>
      </c>
      <c r="BT57" s="39">
        <f ca="1">SUMIF(Report_BM!$CH$6:$CH$73,CONCATENATE($C57,BT$3),Report_BM!$CF$6:$CF$73)</f>
        <v>0</v>
      </c>
      <c r="BU57" s="103"/>
      <c r="BV57" s="104"/>
      <c r="BW57" s="104"/>
      <c r="BX57" s="104"/>
      <c r="BY57" s="104"/>
      <c r="BZ57" s="104"/>
      <c r="CA57" s="45">
        <f>SUMIF(Report_BM!$CY$6:$CY$73,CONCATENATE($C57,CI$3),Report_BM!$CK$6:$CK$73)+SUMIF(Report_BM!$CY$6:$CY$73,CONCATENATE($C57,CI$3),Report_BM!$CN$6:$CN$73)</f>
        <v>0</v>
      </c>
      <c r="CB57" s="46">
        <f ca="1">SUMIF(Report_BM!$CY$6:$CY$73,CONCATENATE($C57,$CI$3),Report_BM!$CL$6:$CL$73)+SUMIF(Report_BM!$CY$6:$CY$73,CONCATENATE($C57,$CI$3),Report_BM!$CO$6:$CO$73)</f>
        <v>0</v>
      </c>
      <c r="CC57" s="45">
        <f>SUMIF(Report_BM!$CY$6:$CY$73,CONCATENATE($C57,CI$3),Report_BM!$CQ$6:$CQ$73)</f>
        <v>0</v>
      </c>
      <c r="CD57" s="39">
        <f>SUMIF(Report_BM!$CY$6:$CY$73,CONCATENATE($C57,CI$3),Report_BM!$CR$6:$CR$73)</f>
        <v>0</v>
      </c>
      <c r="CE57" s="39">
        <f>SUMIF(Report_BM!$CY$6:$CY$73,CONCATENATE($C57,CI$3),Report_BM!$CS$6:$CS$73)</f>
        <v>0</v>
      </c>
      <c r="CF57" s="39">
        <f ca="1">SUMIF(Report_BM!$CY$6:$CY$73,CONCATENATE($C57,CI$3),Report_BM!$CT$6:$CT$73)</f>
        <v>0</v>
      </c>
      <c r="CG57" s="46">
        <f>SUMIF(Report_BM!$CY$6:$CY$73,CONCATENATE($C57,CI$3),Report_BM!$CU$6:$CU$73)</f>
        <v>0</v>
      </c>
      <c r="CH57" s="45">
        <f>SUMIF(Report_BM!$CY$6:$CY$73,CONCATENATE($C57,CI$3),Report_BM!$CV$6:$CV$73)</f>
        <v>0</v>
      </c>
      <c r="CI57" s="39">
        <f ca="1">SUMIF(Report_BM!$CY$6:$CY$73,CONCATENATE($C57,CI$3),Report_BM!$CW$6:$CW$73)</f>
        <v>0</v>
      </c>
      <c r="CJ57" s="103"/>
      <c r="CK57" s="104"/>
      <c r="CL57" s="104"/>
      <c r="CM57" s="104"/>
      <c r="CN57" s="104"/>
      <c r="CO57" s="104"/>
      <c r="CP57" s="45">
        <f>SUMIF(Report_BM!$DP$6:$DP$73,CONCATENATE($C57,CX$3),Report_BM!$DB$6:$DB$73)+SUMIF(Report_BM!$DP$6:$DP$73,CONCATENATE($C57,CX$3),Report_BM!$DE$6:$DE$73)</f>
        <v>0</v>
      </c>
      <c r="CQ57" s="46">
        <f ca="1">SUMIF(Report_BM!$DP$6:$DP$73,CONCATENATE($C57,$CX$3),Report_BM!$DC$6:$DC$73)+SUMIF(Report_BM!$DP$6:$DP$73,CONCATENATE($C57,$CX$3),Report_BM!$DF$6:$DF$73)</f>
        <v>0</v>
      </c>
      <c r="CR57" s="45">
        <f>SUMIF(Report_BM!$DP$6:$DP$73,CONCATENATE($C57,CX$3),Report_BM!$DH$6:$DH$73)</f>
        <v>0</v>
      </c>
      <c r="CS57" s="39">
        <f>SUMIF(Report_BM!$DP$6:$DP$73,CONCATENATE($C57,CX$3),Report_BM!$DI$6:$DI$73)</f>
        <v>0</v>
      </c>
      <c r="CT57" s="39">
        <f>SUMIF(Report_BM!$DP$6:$DP$73,CONCATENATE($C57,CX$3),Report_BM!$DJ$6:$DJ$73)</f>
        <v>0</v>
      </c>
      <c r="CU57" s="39">
        <f>SUMIF(Report_BM!$DP$6:$DP$73,CONCATENATE($C57,CX$3),Report_BM!$DK$6:$DK$73)</f>
        <v>0</v>
      </c>
      <c r="CV57" s="46">
        <f>SUMIF(Master_Data!$AK$152:$AK$864,CONCATENATE($C57,CX$3),Master_Data!$T$152:$T$864)</f>
        <v>0</v>
      </c>
      <c r="CW57" s="45">
        <f>SUMIF(Report_BM!$DP$6:$DP$73,CONCATENATE($C57,CX$3),Report_BM!$DM$6:$DM$73)</f>
        <v>0</v>
      </c>
      <c r="CX57" s="39">
        <f ca="1">SUMIF(Report_BM!$DP$6:$DP$73,CONCATENATE($C57,CX$3),Report_BM!$DN$6:$DN$73)</f>
        <v>0</v>
      </c>
      <c r="CY57" s="103"/>
      <c r="CZ57" s="104"/>
      <c r="DA57" s="104"/>
      <c r="DB57" s="104"/>
      <c r="DC57" s="104"/>
      <c r="DD57" s="104"/>
      <c r="DE57" s="45"/>
      <c r="DF57" s="46"/>
      <c r="DG57" s="45"/>
      <c r="DH57" s="39"/>
      <c r="DI57" s="39"/>
      <c r="DJ57" s="39">
        <f>SUMIF(Report_BM!EG$6:EG$73,CONCATENATE($C57,DM$3),Report_BM!$EB$6:$EB$73)</f>
        <v>0</v>
      </c>
      <c r="DK57" s="46">
        <f>SUMIF(Master_Data!$AK$152:$AK$864,CONCATENATE($C57,DM$3),Master_Data!$T$152:$T$864)</f>
        <v>0</v>
      </c>
      <c r="DL57" s="45"/>
      <c r="DM57" s="39"/>
      <c r="DN57" s="103"/>
      <c r="DO57" s="104"/>
      <c r="DP57" s="104"/>
      <c r="DQ57" s="104"/>
      <c r="DR57" s="104"/>
      <c r="DS57" s="104"/>
      <c r="DT57" s="45">
        <f>SUMIF(Report_BM!$EX$6:$EX$73,CONCATENATE($C57,EB$3),Report_BM!$EJ$6:$EJ$73)+SUMIF(Report_BM!$EX$6:$EX$73,CONCATENATE($C57,EB$3),Report_BM!$EM$6:$EM$73)</f>
        <v>0</v>
      </c>
      <c r="DU57" s="46">
        <f ca="1">SUMIF(Report_BM!$EX$6:$EX$73,CONCATENATE($C57,$EB$3),Report_BM!$EK$6:$EK$73)+SUMIF(Report_BM!$EX$6:$EX$73,CONCATENATE($C57,$EB$3),Report_BM!$EN$6:$EN$73)</f>
        <v>0</v>
      </c>
      <c r="DV57" s="45">
        <f>SUMIF(Report_BM!$EX$6:$EX$73,CONCATENATE($C57,EB$3),Report_BM!$EP$6:$EP$73)</f>
        <v>0</v>
      </c>
      <c r="DW57" s="39">
        <f>SUMIF(Report_BM!$EX$6:$EX$73,CONCATENATE($C57,EB$3),Report_BM!$EQ$6:$EQ$73)</f>
        <v>0</v>
      </c>
      <c r="DX57" s="39">
        <f>SUMIF(Report_BM!$EX$6:$EX$73,CONCATENATE($C57,EB$3),Report_BM!$ER$6:$ER$73)</f>
        <v>0</v>
      </c>
      <c r="DY57" s="39">
        <f>SUMIF(Report_BM!$EX$6:$EX$73,CONCATENATE($C57,EB$3),Report_BM!$ES$6:$ES$73)</f>
        <v>0</v>
      </c>
      <c r="DZ57" s="46">
        <f>SUMIF(Master_Data!$AK$152:$AK$864,CONCATENATE($C57,EB$3),Master_Data!$T$152:$T$864)</f>
        <v>0</v>
      </c>
      <c r="EA57" s="45">
        <f>SUMIF(Report_BM!EX$6:EX$73,CONCATENATE($C57,EB$3),Report_BM!EU$6:EU$73)</f>
        <v>0</v>
      </c>
      <c r="EB57" s="39">
        <f>SUMIF(Report_BM!EX$6:EX$73,CONCATENATE($C57,EB$3),Report_BM!EV$6:EV$73)</f>
        <v>0</v>
      </c>
      <c r="EC57" s="103"/>
      <c r="ED57" s="104"/>
      <c r="EE57" s="104"/>
      <c r="EF57" s="104"/>
      <c r="EG57" s="104"/>
      <c r="EH57" s="104"/>
      <c r="EI57" s="45">
        <f>SUMIF(Report_BM!$FO$6:$FO$73,CONCATENATE($C57,EQ$3),Report_BM!$FA$6:$FA$73)+SUMIF(Report_BM!$FO$6:$FO$73,CONCATENATE($C57,EQ$3),Report_BM!$FD$6:$FD$73)</f>
        <v>0</v>
      </c>
      <c r="EJ57" s="46">
        <f>SUMIF(Report_BM!$FO$6:$FO$73,CONCATENATE($C57,$EQ$3),Report_BM!$FB$6:$FB$73)+SUMIF(Report_BM!$FO$6:$FO$73,CONCATENATE($C57,$EQ$3),Report_BM!$FE$6:$FE$73)</f>
        <v>0</v>
      </c>
      <c r="EK57" s="45">
        <f>SUMIF(Report_BM!$FO$6:$FO$73,CONCATENATE($C57,EQ$3),Report_BM!$FG$6:$FG$73)</f>
        <v>0</v>
      </c>
      <c r="EL57" s="39">
        <f>SUMIF(Report_BM!$FO$6:$FO$73,CONCATENATE($C57,EQ$3),Report_BM!$FH$6:$FH$73)</f>
        <v>0</v>
      </c>
      <c r="EM57" s="39">
        <f>SUMIF(Report_BM!$FO$6:$FO$73,CONCATENATE($C57,EQ$3),Report_BM!$FI$6:$FI$73)</f>
        <v>0</v>
      </c>
      <c r="EN57" s="39">
        <f>SUMIF(Report_BM!$FO$6:$FO$73,CONCATENATE($C57,EQ$3),Report_BM!$FJ$6:$FJ$73)</f>
        <v>0</v>
      </c>
      <c r="EO57" s="46">
        <f>SUMIF(Master_Data!$AK$152:$AK$864,CONCATENATE($C57,EQ$3),Master_Data!$T$152:$T$864)</f>
        <v>0</v>
      </c>
      <c r="EP57" s="45">
        <f>SUMIF(Report_BM!FO$6:FO$73,CONCATENATE($C57,EQ$3),Report_BM!FL$6:FL$73)</f>
        <v>0</v>
      </c>
      <c r="EQ57" s="39">
        <f>SUMIF(Report_BM!FO$6:FO$73,CONCATENATE($C57,EQ$3),Report_BM!FM$6:FM$73)</f>
        <v>0</v>
      </c>
      <c r="ER57" s="103"/>
      <c r="ES57" s="104"/>
      <c r="ET57" s="104"/>
      <c r="EU57" s="104"/>
      <c r="EV57" s="104"/>
      <c r="EW57" s="104"/>
      <c r="EX57" s="45">
        <f>SUMIF(Report_BM!$GF$6:$GF$73,CONCATENATE($C57,FF$3),Report_BM!$FR$6:$FR$73)+SUMIF(Report_BM!$GF$6:$GF$73,CONCATENATE($C57,FF$3),Report_BM!$FU$6:$FU$73)</f>
        <v>0</v>
      </c>
      <c r="EY57" s="46">
        <f>SUMIF(Report_BM!$GF$6:$GF$73,CONCATENATE($C57,$FF$3),Report_BM!$FS$6:$FS$73)+SUMIF(Report_BM!$GF$6:$GF$73,CONCATENATE($C57,$FF$3),Report_BM!$FV$6:$FV$73)</f>
        <v>0</v>
      </c>
      <c r="EZ57" s="45">
        <f>SUMIF(Report_BM!$GF$6:$GF$73,CONCATENATE($C57,FF$3),Report_BM!$FX$6:$FX$73)</f>
        <v>0</v>
      </c>
      <c r="FA57" s="39">
        <f>SUMIF(Report_BM!$GF$6:$GF$73,CONCATENATE($C57,FF$3),Report_BM!$FY$6:$FY$73)</f>
        <v>0</v>
      </c>
      <c r="FB57" s="39">
        <f>SUMIF(Report_BM!$GF$6:$GF$73,CONCATENATE($C57,FF$3),Report_BM!$FZ$6:$FZ$73)</f>
        <v>0</v>
      </c>
      <c r="FC57" s="39">
        <f>SUMIF(Report_BM!$GF$6:$GF$73,CONCATENATE($C57,FF$3),Report_BM!$GA$6:$GA$73)</f>
        <v>0</v>
      </c>
      <c r="FD57" s="46">
        <f>SUMIF(Master_Data!$AK$152:$AK$864,CONCATENATE($C57,FF$3),Master_Data!$T$152:$T$864)</f>
        <v>0</v>
      </c>
      <c r="FE57" s="45">
        <f>SUMIF(Report_BM!GF$6:GF$73,CONCATENATE($C57,FF$3),Report_BM!GC$6:GC$73)</f>
        <v>0</v>
      </c>
      <c r="FF57" s="39">
        <f>SUMIF(Report_BM!GF$6:GF$73,CONCATENATE($C57,FF$3),Report_BM!GD$6:GD$73)</f>
        <v>0</v>
      </c>
      <c r="FG57" s="103"/>
      <c r="FH57" s="104"/>
      <c r="FI57" s="104"/>
      <c r="FJ57" s="104"/>
      <c r="FK57" s="104"/>
      <c r="FL57" s="104"/>
      <c r="FM57" s="45">
        <f>SUMIF(Report_BM!$GW$6:$GW$73,CONCATENATE($C57,FU$3),Report_BM!$GI$6:$GI$73)+SUMIF(Report_BM!$GW$6:$GW$73,CONCATENATE($C57,FU$3),Report_BM!$GL$6:$GL$73)</f>
        <v>0</v>
      </c>
      <c r="FN57" s="46">
        <f>SUMIF(Report_BM!$GW$6:$GW$73,CONCATENATE($C57,$FU$3),Report_BM!$GJ$6:$GJ$73)+SUMIF(Report_BM!$GW$6:$GW$73,CONCATENATE($C57,$FU$3),Report_BM!$GM$6:$GM$73)</f>
        <v>0</v>
      </c>
      <c r="FO57" s="45">
        <f>SUMIF(Report_BM!$GW$6:$GW$73,CONCATENATE($C57,FU$3),Report_BM!$GO$6:$GO$73)</f>
        <v>0</v>
      </c>
      <c r="FP57" s="39">
        <f>SUMIF(Report_BM!$GW$6:$GW$73,CONCATENATE($C57,FU$3),Report_BM!$GP$6:$GP$73)</f>
        <v>0</v>
      </c>
      <c r="FQ57" s="39">
        <f>SUMIF(Report_BM!$GW$6:$GW$73,CONCATENATE($C57,FU$3),Report_BM!$GQ$6:$GQ$73)</f>
        <v>0</v>
      </c>
      <c r="FR57" s="39">
        <f>SUMIF(Report_BM!$GW$6:$GW$73,CONCATENATE($C57,FU$3),Report_BM!$GR$6:$GR$73)</f>
        <v>0</v>
      </c>
      <c r="FS57" s="46">
        <f>SUMIF(Master_Data!$AK$152:$AK$864,CONCATENATE($C57,FU$3),Master_Data!$T$152:$T$864)</f>
        <v>0</v>
      </c>
      <c r="FT57" s="45">
        <f>SUMIF(Report_BM!GW$6:GW$73,CONCATENATE($C57,FU$3),Report_BM!GT$6:GT$73)</f>
        <v>0</v>
      </c>
      <c r="FU57" s="39">
        <f>SUMIF(Report_BM!GW$6:GW$73,CONCATENATE($C57,FU$3),Report_BM!GU$6:GU$73)</f>
        <v>0</v>
      </c>
      <c r="FV57" s="103"/>
      <c r="FW57" s="104"/>
      <c r="FX57" s="104"/>
      <c r="FY57" s="104"/>
      <c r="FZ57" s="104"/>
      <c r="GA57" s="104"/>
    </row>
    <row r="58" spans="1:183" s="40" customFormat="1" ht="14.1" customHeight="1">
      <c r="A58" s="9">
        <v>52</v>
      </c>
      <c r="B58" s="328" t="s">
        <v>135</v>
      </c>
      <c r="C58" s="323" t="s">
        <v>136</v>
      </c>
      <c r="D58" s="45">
        <f>SUMIF(Report_BM!$B$6:$B$73,CONCATENATE($C58,L$3),Report_BM!$E$6:$E$73)+SUMIF(Report_BM!$B$6:$B$73,CONCATENATE($C58,L$3),Report_BM!$H$6:$H$73)</f>
        <v>0</v>
      </c>
      <c r="E58" s="276" t="e">
        <f>SUMIF(Report_BM!$B$6:$B$73,CONCATENATE($C58,L$3),Report_BM!$F$6:$F$73)+SUMIF(Report_BM!$B$6:$B$73,CONCATENATE($C58,L$3),Report_BM!$I$6:$I$73)</f>
        <v>#VALUE!</v>
      </c>
      <c r="F58" s="45">
        <f>SUMIF(Report_BM!$B$6:$B$73,CONCATENATE($C58,L$3),Report_BM!$K$6:$K$73)</f>
        <v>0</v>
      </c>
      <c r="G58" s="39">
        <f>SUMIF(Report_BM!$B$6:$B$73,CONCATENATE($C58,$L$3),Report_BM!$L$6:$L$73)</f>
        <v>0</v>
      </c>
      <c r="H58" s="39">
        <f>SUMIF(Report_BM!$B$6:$B$73,CONCATENATE($C58,$L$3),Report_BM!$M$6:$M$73)</f>
        <v>189540000</v>
      </c>
      <c r="I58" s="39">
        <f>SUMIF(Report_BM!$B$6:$B$73,CONCATENATE($C58,$L$3),Report_BM!$N$6:$N$73)</f>
        <v>0</v>
      </c>
      <c r="J58" s="46">
        <f>SUMIF(Report_BM!$B$6:$B$73,CONCATENATE($C58,$L$3),Report_BM!$O$6:$O$73)</f>
        <v>-3510000</v>
      </c>
      <c r="K58" s="45">
        <f>SUMIF(Report_BM!$B$6:$B$73,CONCATENATE($C58,$L$3),Report_BM!$P$6:$P$73)</f>
        <v>0</v>
      </c>
      <c r="L58" s="39" t="e">
        <f>SUMIF(Report_BM!$B$6:$B$73,CONCATENATE($C58,$L$3),Report_BM!$Q$6:$Q$73)</f>
        <v>#VALUE!</v>
      </c>
      <c r="M58" s="103"/>
      <c r="N58" s="104"/>
      <c r="O58" s="104"/>
      <c r="P58" s="104"/>
      <c r="Q58" s="104"/>
      <c r="R58" s="104"/>
      <c r="S58" s="45">
        <f>SUMIF(Report_BM!$AI$8:$AI$72,CONCATENATE($C58,AA$3),Report_BM!$U$8:$U$72)+SUMIF(Report_BM!$AI$8:$AI$72,CONCATENATE($C58,AA$3),Report_BM!$X$8:$X$72)</f>
        <v>0</v>
      </c>
      <c r="T58" s="276" t="e">
        <f>SUMIF(Report_BM!$AI$8:$AI$72,CONCATENATE($C58,AA$3),Report_BM!$V$8:$V$72)+SUMIF(Report_BM!$AI$8:$AI$72,CONCATENATE($C58,AA$3),Report_BM!$Y$8:$Y$72)</f>
        <v>#VALUE!</v>
      </c>
      <c r="U58" s="45">
        <f>SUMIF(Report_BM!$AI$8:$AI$72,CONCATENATE($C58,AA$3),Report_BM!$AA$8:$AB$72)</f>
        <v>0</v>
      </c>
      <c r="V58" s="39">
        <f>SUMIF(Report_BM!$AI$8:$AI$72,CONCATENATE($C58,$AA$3),Report_BM!$AB$8:$AB$72)</f>
        <v>0</v>
      </c>
      <c r="W58" s="39">
        <f>SUMIF(Report_BM!$AI$8:$AI$72,CONCATENATE($C58,$AA$3),Report_BM!$AC$8:$AC$72)</f>
        <v>165240000</v>
      </c>
      <c r="X58" s="39">
        <f ca="1">SUMIF(Report_BM!$AI$7:$AI$73,CONCATENATE($C58,$AA$3),Report_BM!$AD$7:$AD$73)</f>
        <v>0</v>
      </c>
      <c r="Y58" s="46">
        <f>SUMIF(Master_Data!$AK$152:$AK$864,CONCATENATE($C58,AA$3),Master_Data!$T$152:$T$864)</f>
        <v>-2520000</v>
      </c>
      <c r="Z58" s="45">
        <f>SUMIF(Report_BM!$AI$8:$AI$72,CONCATENATE($C58,$AA$3),Report_BM!$AF$8:$AF$72)</f>
        <v>0</v>
      </c>
      <c r="AA58" s="39" t="e">
        <f ca="1">SUMIF(Report_BM!$AI$8:$AI$72,CONCATENATE($C58,$AA$3),Report_BM!$AG$8:$AG$72)</f>
        <v>#VALUE!</v>
      </c>
      <c r="AB58" s="103"/>
      <c r="AC58" s="104"/>
      <c r="AD58" s="104"/>
      <c r="AE58" s="104"/>
      <c r="AF58" s="104"/>
      <c r="AG58" s="104"/>
      <c r="AH58" s="45">
        <f>SUMIF(Report_BM!$AZ$5:$AZ$72,CONCATENATE($C58,AP$3),Report_BM!$AL$5:$AL$72)+SUMIF(Report_BM!$AZ$5:$AZ$72,CONCATENATE($C58,AP$3),Report_BM!$AO$5:$AO$72)</f>
        <v>0</v>
      </c>
      <c r="AI58" s="46" t="e">
        <f ca="1">SUMIF(Report_BM!$AZ$5:$AZ$72,CONCATENATE($C58,$AP$3),Report_BM!$AM$5:$AM$72)+SUMIF(Report_BM!$AZ$5:$AZ$72,CONCATENATE($C58,$AP$3),Report_BM!$AP$5:$AP$72)</f>
        <v>#VALUE!</v>
      </c>
      <c r="AJ58" s="45">
        <f>SUMIF(Report_BM!$AZ$5:$AZ$72,CONCATENATE($C58,$AP$3),Report_BM!$AR$5:$AR$72)</f>
        <v>0</v>
      </c>
      <c r="AK58" s="39">
        <f>SUMIF(Report_BM!$AZ$5:$AZ$72,CONCATENATE($C58,$AP$3),Report_BM!$AS$5:$AS$72)</f>
        <v>0</v>
      </c>
      <c r="AL58" s="39">
        <f>SUMIF(Report_BM!$AZ$5:$AZ$72,CONCATENATE($C58,$AP$3),Report_BM!$AT$5:$AT$72)</f>
        <v>136080000</v>
      </c>
      <c r="AM58" s="39">
        <f ca="1">SUMIF(Report_BM!$AZ$5:$AZ$72,CONCATENATE($C58,$AP$3),Report_BM!$AU$5:$AU$72)</f>
        <v>0</v>
      </c>
      <c r="AN58" s="46">
        <f>SUMIF(Master_Data!$AK$152:$AK$915,CONCATENATE($C58,AP$3),Master_Data!$T$152:$T$915)</f>
        <v>-2520000</v>
      </c>
      <c r="AO58" s="45">
        <f>SUMIF(Report_BM!$AZ$5:$AZ$72,CONCATENATE($C58,$AP$3),Report_BM!$AW$5:$AW$72)</f>
        <v>0</v>
      </c>
      <c r="AP58" s="39" t="e">
        <f ca="1">SUMIF(Report_BM!$AZ$5:$AZ$72,CONCATENATE($C58,$AP$3),Report_BM!$AX$5:$AX$72)</f>
        <v>#VALUE!</v>
      </c>
      <c r="AQ58" s="103"/>
      <c r="AR58" s="104"/>
      <c r="AS58" s="104"/>
      <c r="AT58" s="104"/>
      <c r="AU58" s="104"/>
      <c r="AV58" s="104"/>
      <c r="AW58" s="45">
        <f>SUMIF(Report_BM!$BQ$6:$BQ$73,CONCATENATE($C58,BE$3),Report_BM!$BC$6:$BC$73)+SUMIF(Report_BM!$BQ$6:$BQ$73,CONCATENATE($C58,BE$3),Report_BM!$BF$6:$BF$73)</f>
        <v>0</v>
      </c>
      <c r="AX58" s="46" t="e">
        <f ca="1">SUMIF(Report_BM!$BQ$6:$BQ$73,CONCATENATE($C58,$BE$3),Report_BM!$BD$6:$BD$73)+SUMIF(Report_BM!$BQ$6:$BQ$73,CONCATENATE($C58,$BE$3),Report_BM!$BG$6:$BG$73)</f>
        <v>#VALUE!</v>
      </c>
      <c r="AY58" s="45">
        <f>SUMIF(Report_BM!$BQ$6:$BQ$73,CONCATENATE($C58,BE$3),Report_BM!$BI$6:$BI$73)</f>
        <v>0</v>
      </c>
      <c r="AZ58" s="39">
        <f>SUMIF(Report_BM!$BQ$6:$BQ$73,CONCATENATE($C58,BE$3),Report_BM!$BJ$6:$BJ$73)</f>
        <v>0</v>
      </c>
      <c r="BA58" s="39">
        <f>SUMIF(Report_BM!$BQ$6:$BQ$73,CONCATENATE($C58,BE$3),Report_BM!$BK$6:$BK$73)</f>
        <v>136080000</v>
      </c>
      <c r="BB58" s="39">
        <f>SUMIF(Report_BM!$BQ$6:$BQ$73,CONCATENATE($C58,BE$3),Report_BM!$BL$6:$BL$73)</f>
        <v>0</v>
      </c>
      <c r="BC58" s="46">
        <f>SUMIF(Master_Data!$AK$152:$AK$864,CONCATENATE($C58,BE$3),Master_Data!$T$152:$T$864)</f>
        <v>-2520000</v>
      </c>
      <c r="BD58" s="45">
        <f>SUMIF(Report_BM!$BQ$6:$BQ$73,CONCATENATE($C58,BE$3),Report_BM!$BN$6:$BN$73)</f>
        <v>0</v>
      </c>
      <c r="BE58" s="39" t="e">
        <f ca="1">SUMIF(Report_BM!$BQ$6:$BQ$73,CONCATENATE($C58,BE$3),Report_BM!$BO$6:$BO$73)</f>
        <v>#VALUE!</v>
      </c>
      <c r="BF58" s="103"/>
      <c r="BG58" s="104"/>
      <c r="BH58" s="104"/>
      <c r="BI58" s="104"/>
      <c r="BJ58" s="104"/>
      <c r="BK58" s="104"/>
      <c r="BL58" s="45">
        <f>SUMIF(Report_BM!$CH$6:$CH$73,CONCATENATE($C58,BT$3),Report_BM!$BT$6:$BT$73)+SUMIF(Report_BM!$CH$6:$CH$73,CONCATENATE($C58,BT$3),Report_BM!$BW$6:$BW$73)</f>
        <v>0</v>
      </c>
      <c r="BM58" s="46" t="e">
        <f ca="1">SUMIF(Report_BM!$CH$6:$CH$73,CONCATENATE($C58,$BT$3),Report_BM!$BU$6:$BU$73)+SUMIF(Report_BM!$CH$6:$CH$73,CONCATENATE($C58,$BT$3),Report_BM!$BX$6:$BX$73)</f>
        <v>#VALUE!</v>
      </c>
      <c r="BN58" s="45">
        <f>SUMIF(Report_BM!$CH$6:$CH$73,CONCATENATE($C58,BT$3),Report_BM!$BZ$6:$BZ$73)</f>
        <v>0</v>
      </c>
      <c r="BO58" s="39">
        <f>SUMIF(Report_BM!$CH$6:$CH$73,CONCATENATE($C58,BT$3),Report_BM!$CA$6:$CA$73)</f>
        <v>0</v>
      </c>
      <c r="BP58" s="39">
        <f>SUMIF(Report_BM!$CH$6:$CH$73,CONCATENATE($C58,BT$3),Report_BM!$CB$6:$CB$73)</f>
        <v>138240000</v>
      </c>
      <c r="BQ58" s="39">
        <f>SUMIF(Report_BM!$CH$6:$CH$73,CONCATENATE($C58,BT$3),Report_BM!$CC$6:$CC$73)</f>
        <v>0</v>
      </c>
      <c r="BR58" s="46">
        <f>SUMIF(Master_Data!$AK$152:$AK$864,CONCATENATE($C58,BT$3),Master_Data!$T$152:$T$864)</f>
        <v>-2560000</v>
      </c>
      <c r="BS58" s="45">
        <f>SUMIF(Report_BM!$CH$6:$CH$73,CONCATENATE($C58,BT$3),Report_BM!$CE$6:$CE$73)</f>
        <v>0</v>
      </c>
      <c r="BT58" s="39" t="e">
        <f ca="1">SUMIF(Report_BM!$CH$6:$CH$73,CONCATENATE($C58,BT$3),Report_BM!$CF$6:$CF$73)</f>
        <v>#VALUE!</v>
      </c>
      <c r="BU58" s="103"/>
      <c r="BV58" s="104"/>
      <c r="BW58" s="104"/>
      <c r="BX58" s="104"/>
      <c r="BY58" s="104"/>
      <c r="BZ58" s="104"/>
      <c r="CA58" s="45">
        <f>SUMIF(Report_BM!$CY$6:$CY$73,CONCATENATE($C58,CI$3),Report_BM!$CK$6:$CK$73)+SUMIF(Report_BM!$CY$6:$CY$73,CONCATENATE($C58,CI$3),Report_BM!$CN$6:$CN$73)</f>
        <v>0</v>
      </c>
      <c r="CB58" s="46" t="e">
        <f ca="1">SUMIF(Report_BM!$CY$6:$CY$73,CONCATENATE($C58,$CI$3),Report_BM!$CL$6:$CL$73)+SUMIF(Report_BM!$CY$6:$CY$73,CONCATENATE($C58,$CI$3),Report_BM!$CO$6:$CO$73)</f>
        <v>#VALUE!</v>
      </c>
      <c r="CC58" s="45">
        <f>SUMIF(Report_BM!$CY$6:$CY$73,CONCATENATE($C58,CI$3),Report_BM!$CQ$6:$CQ$73)</f>
        <v>0</v>
      </c>
      <c r="CD58" s="39">
        <f>SUMIF(Report_BM!$CY$6:$CY$73,CONCATENATE($C58,CI$3),Report_BM!$CR$6:$CR$73)</f>
        <v>0</v>
      </c>
      <c r="CE58" s="39">
        <f>SUMIF(Report_BM!$CY$6:$CY$73,CONCATENATE($C58,CI$3),Report_BM!$CS$6:$CS$73)</f>
        <v>98010000</v>
      </c>
      <c r="CF58" s="39">
        <f ca="1">SUMIF(Report_BM!$CY$6:$CY$73,CONCATENATE($C58,CI$3),Report_BM!$CT$6:$CT$73)</f>
        <v>0</v>
      </c>
      <c r="CG58" s="46">
        <f>SUMIF(Report_BM!$CY$6:$CY$73,CONCATENATE($C58,CI$3),Report_BM!$CU$6:$CU$73)</f>
        <v>-1815000</v>
      </c>
      <c r="CH58" s="45">
        <f>SUMIF(Report_BM!$CY$6:$CY$73,CONCATENATE($C58,CI$3),Report_BM!$CV$6:$CV$73)</f>
        <v>0</v>
      </c>
      <c r="CI58" s="39" t="e">
        <f ca="1">SUMIF(Report_BM!$CY$6:$CY$73,CONCATENATE($C58,CI$3),Report_BM!$CW$6:$CW$73)</f>
        <v>#VALUE!</v>
      </c>
      <c r="CJ58" s="103"/>
      <c r="CK58" s="104"/>
      <c r="CL58" s="104"/>
      <c r="CM58" s="104"/>
      <c r="CN58" s="104"/>
      <c r="CO58" s="104"/>
      <c r="CP58" s="45">
        <f>SUMIF(Report_BM!$DP$6:$DP$73,CONCATENATE($C58,CX$3),Report_BM!$DB$6:$DB$73)+SUMIF(Report_BM!$DP$6:$DP$73,CONCATENATE($C58,CX$3),Report_BM!$DE$6:$DE$73)</f>
        <v>0</v>
      </c>
      <c r="CQ58" s="46" t="e">
        <f ca="1">SUMIF(Report_BM!$DP$6:$DP$73,CONCATENATE($C58,$CX$3),Report_BM!$DC$6:$DC$73)+SUMIF(Report_BM!$DP$6:$DP$73,CONCATENATE($C58,$CX$3),Report_BM!$DF$6:$DF$73)</f>
        <v>#VALUE!</v>
      </c>
      <c r="CR58" s="45">
        <f>SUMIF(Report_BM!$DP$6:$DP$73,CONCATENATE($C58,CX$3),Report_BM!$DH$6:$DH$73)</f>
        <v>0</v>
      </c>
      <c r="CS58" s="39">
        <f>SUMIF(Report_BM!$DP$6:$DP$73,CONCATENATE($C58,CX$3),Report_BM!$DI$6:$DI$73)</f>
        <v>0</v>
      </c>
      <c r="CT58" s="39">
        <f>SUMIF(Report_BM!$DP$6:$DP$73,CONCATENATE($C58,CX$3),Report_BM!$DJ$6:$DJ$73)</f>
        <v>106920000</v>
      </c>
      <c r="CU58" s="39">
        <f>SUMIF(Report_BM!$DP$6:$DP$73,CONCATENATE($C58,CX$3),Report_BM!$DK$6:$DK$73)</f>
        <v>0</v>
      </c>
      <c r="CV58" s="46">
        <f>SUMIF(Master_Data!$AK$152:$AK$864,CONCATENATE($C58,CX$3),Master_Data!$T$152:$T$864)</f>
        <v>-1980000</v>
      </c>
      <c r="CW58" s="45">
        <f>SUMIF(Report_BM!$DP$6:$DP$73,CONCATENATE($C58,CX$3),Report_BM!$DM$6:$DM$73)</f>
        <v>0</v>
      </c>
      <c r="CX58" s="39" t="e">
        <f ca="1">SUMIF(Report_BM!$DP$6:$DP$73,CONCATENATE($C58,CX$3),Report_BM!$DN$6:$DN$73)</f>
        <v>#VALUE!</v>
      </c>
      <c r="CY58" s="103"/>
      <c r="CZ58" s="104"/>
      <c r="DA58" s="104"/>
      <c r="DB58" s="104"/>
      <c r="DC58" s="104"/>
      <c r="DD58" s="104"/>
      <c r="DE58" s="45">
        <f>SUMIF(Report_BM!$EG$6:$EG$73,CONCATENATE($C58,DM$3),Report_BM!$DS$6:$DS$73)+SUMIF(Report_BM!$EG$6:$EG$73,CONCATENATE($C58,DM$3),Report_BM!$DV$6:$DV$73)</f>
        <v>0</v>
      </c>
      <c r="DF58" s="46" t="e">
        <f ca="1">SUMIF(Report_BM!$EG$6:$EG$73,CONCATENATE($C58,$DM$3),Report_BM!$DT$6:$DT$73)+SUMIF(Report_BM!$EG$6:$EG$73,CONCATENATE($C58,$DM$3),Report_BM!$DW$6:$DW$73)</f>
        <v>#VALUE!</v>
      </c>
      <c r="DG58" s="45">
        <f>SUMIF(Report_BM!$EG$6:$EG$73,CONCATENATE($C58,DM$3),Report_BM!$DY$6:$DY$73)</f>
        <v>0</v>
      </c>
      <c r="DH58" s="39">
        <f>SUMIF(Report_BM!EG$6:EG$73,CONCATENATE($C58,DM$3),Report_BM!DZ$6:DZ$73)</f>
        <v>0</v>
      </c>
      <c r="DI58" s="39">
        <f>SUMIF(Report_BM!EG$6:EG$73,CONCATENATE($C58,DM$3),Report_BM!$EA$6:$EA$73)</f>
        <v>106920000</v>
      </c>
      <c r="DJ58" s="39">
        <f>SUMIF(Report_BM!EG$6:EG$73,CONCATENATE($C58,DM$3),Report_BM!$EB$6:$EB$73)</f>
        <v>0</v>
      </c>
      <c r="DK58" s="46">
        <f>SUMIF(Master_Data!$AK$152:$AK$864,CONCATENATE($C58,DM$3),Master_Data!$T$152:$T$864)</f>
        <v>-1980000</v>
      </c>
      <c r="DL58" s="45">
        <f>SUMIF(Report_BM!EG$6:EG$73,CONCATENATE($C58,DM$3),Report_BM!ED$6:ED$73)</f>
        <v>0</v>
      </c>
      <c r="DM58" s="39" t="e">
        <f ca="1">SUMIF(Report_BM!EG$6:EG$73,CONCATENATE($C58,DM$3),Report_BM!EE$6:EE$73)</f>
        <v>#VALUE!</v>
      </c>
      <c r="DN58" s="103"/>
      <c r="DO58" s="104"/>
      <c r="DP58" s="104"/>
      <c r="DQ58" s="104"/>
      <c r="DR58" s="104"/>
      <c r="DS58" s="104"/>
      <c r="DT58" s="45">
        <f>SUMIF(Report_BM!$EX$6:$EX$73,CONCATENATE($C58,EB$3),Report_BM!$EJ$6:$EJ$73)+SUMIF(Report_BM!$EX$6:$EX$73,CONCATENATE($C58,EB$3),Report_BM!$EM$6:$EM$73)</f>
        <v>0</v>
      </c>
      <c r="DU58" s="46" t="e">
        <f ca="1">SUMIF(Report_BM!$EX$6:$EX$73,CONCATENATE($C58,$EB$3),Report_BM!$EK$6:$EK$73)+SUMIF(Report_BM!$EX$6:$EX$73,CONCATENATE($C58,$EB$3),Report_BM!$EN$6:$EN$73)</f>
        <v>#VALUE!</v>
      </c>
      <c r="DV58" s="45">
        <f>SUMIF(Report_BM!$EX$6:$EX$73,CONCATENATE($C58,EB$3),Report_BM!$EP$6:$EP$73)</f>
        <v>0</v>
      </c>
      <c r="DW58" s="39">
        <f>SUMIF(Report_BM!$EX$6:$EX$73,CONCATENATE($C58,EB$3),Report_BM!$EQ$6:$EQ$73)</f>
        <v>0</v>
      </c>
      <c r="DX58" s="39">
        <f>SUMIF(Report_BM!$EX$6:$EX$73,CONCATENATE($C58,EB$3),Report_BM!$ER$6:$ER$73)</f>
        <v>53460000</v>
      </c>
      <c r="DY58" s="39">
        <f>SUMIF(Report_BM!$EX$6:$EX$73,CONCATENATE($C58,EB$3),Report_BM!$ES$6:$ES$73)</f>
        <v>0</v>
      </c>
      <c r="DZ58" s="46">
        <f>SUMIF(Master_Data!$AK$152:$AK$864,CONCATENATE($C58,EB$3),Master_Data!$T$152:$T$864)</f>
        <v>-990000</v>
      </c>
      <c r="EA58" s="45">
        <f>SUMIF(Report_BM!EX$6:EX$73,CONCATENATE($C58,EB$3),Report_BM!EU$6:EU$73)</f>
        <v>0</v>
      </c>
      <c r="EB58" s="39">
        <f>SUMIF(Report_BM!EX$6:EX$73,CONCATENATE($C58,EB$3),Report_BM!EV$6:EV$73)</f>
        <v>0</v>
      </c>
      <c r="EC58" s="103"/>
      <c r="ED58" s="104"/>
      <c r="EE58" s="104"/>
      <c r="EF58" s="104"/>
      <c r="EG58" s="104"/>
      <c r="EH58" s="104"/>
      <c r="EI58" s="45">
        <f>SUMIF(Report_BM!$FO$6:$FO$73,CONCATENATE($C58,EQ$3),Report_BM!$FA$6:$FA$73)+SUMIF(Report_BM!$FO$6:$FO$73,CONCATENATE($C58,EQ$3),Report_BM!$FD$6:$FD$73)</f>
        <v>0</v>
      </c>
      <c r="EJ58" s="46" t="e">
        <f>SUMIF(Report_BM!$FO$6:$FO$73,CONCATENATE($C58,$EQ$3),Report_BM!$FB$6:$FB$73)+SUMIF(Report_BM!$FO$6:$FO$73,CONCATENATE($C58,$EQ$3),Report_BM!$FE$6:$FE$73)</f>
        <v>#VALUE!</v>
      </c>
      <c r="EK58" s="45">
        <f>SUMIF(Report_BM!$FO$6:$FO$73,CONCATENATE($C58,EQ$3),Report_BM!$FG$6:$FG$73)</f>
        <v>0</v>
      </c>
      <c r="EL58" s="39">
        <f>SUMIF(Report_BM!$FO$6:$FO$73,CONCATENATE($C58,EQ$3),Report_BM!$FH$6:$FH$73)</f>
        <v>0</v>
      </c>
      <c r="EM58" s="39">
        <f>SUMIF(Report_BM!$FO$6:$FO$73,CONCATENATE($C58,EQ$3),Report_BM!$FI$6:$FI$73)</f>
        <v>0</v>
      </c>
      <c r="EN58" s="39">
        <f>SUMIF(Report_BM!$FO$6:$FO$73,CONCATENATE($C58,EQ$3),Report_BM!$FJ$6:$FJ$73)</f>
        <v>0</v>
      </c>
      <c r="EO58" s="46">
        <f>SUMIF(Master_Data!$AK$152:$AK$864,CONCATENATE($C58,EQ$3),Master_Data!$T$152:$T$864)</f>
        <v>0</v>
      </c>
      <c r="EP58" s="45">
        <f>SUMIF(Report_BM!FO$6:FO$73,CONCATENATE($C58,EQ$3),Report_BM!FL$6:FL$73)</f>
        <v>0</v>
      </c>
      <c r="EQ58" s="39" t="e">
        <f>SUMIF(Report_BM!FO$6:FO$73,CONCATENATE($C58,EQ$3),Report_BM!FM$6:FM$73)</f>
        <v>#VALUE!</v>
      </c>
      <c r="ER58" s="103"/>
      <c r="ES58" s="104"/>
      <c r="ET58" s="104"/>
      <c r="EU58" s="104"/>
      <c r="EV58" s="104"/>
      <c r="EW58" s="104"/>
      <c r="EX58" s="45">
        <f>SUMIF(Report_BM!$GF$6:$GF$73,CONCATENATE($C58,FF$3),Report_BM!$FR$6:$FR$73)+SUMIF(Report_BM!$GF$6:$GF$73,CONCATENATE($C58,FF$3),Report_BM!$FU$6:$FU$73)</f>
        <v>0</v>
      </c>
      <c r="EY58" s="46" t="e">
        <f>SUMIF(Report_BM!$GF$6:$GF$73,CONCATENATE($C58,$FF$3),Report_BM!$FS$6:$FS$73)+SUMIF(Report_BM!$GF$6:$GF$73,CONCATENATE($C58,$FF$3),Report_BM!$FV$6:$FV$73)</f>
        <v>#VALUE!</v>
      </c>
      <c r="EZ58" s="45">
        <f>SUMIF(Report_BM!$GF$6:$GF$73,CONCATENATE($C58,FF$3),Report_BM!$FX$6:$FX$73)</f>
        <v>0</v>
      </c>
      <c r="FA58" s="39">
        <f>SUMIF(Report_BM!$GF$6:$GF$73,CONCATENATE($C58,FF$3),Report_BM!$FY$6:$FY$73)</f>
        <v>0</v>
      </c>
      <c r="FB58" s="39">
        <f>SUMIF(Report_BM!$GF$6:$GF$73,CONCATENATE($C58,FF$3),Report_BM!$FZ$6:$FZ$73)</f>
        <v>0</v>
      </c>
      <c r="FC58" s="39">
        <f>SUMIF(Report_BM!$GF$6:$GF$73,CONCATENATE($C58,FF$3),Report_BM!$GA$6:$GA$73)</f>
        <v>0</v>
      </c>
      <c r="FD58" s="46">
        <f>SUMIF(Master_Data!$AK$152:$AK$864,CONCATENATE($C58,FF$3),Master_Data!$T$152:$T$864)</f>
        <v>0</v>
      </c>
      <c r="FE58" s="45">
        <f>SUMIF(Report_BM!GF$6:GF$73,CONCATENATE($C58,FF$3),Report_BM!GC$6:GC$73)</f>
        <v>0</v>
      </c>
      <c r="FF58" s="39" t="e">
        <f>SUMIF(Report_BM!GF$6:GF$73,CONCATENATE($C58,FF$3),Report_BM!GD$6:GD$73)</f>
        <v>#VALUE!</v>
      </c>
      <c r="FG58" s="103"/>
      <c r="FH58" s="104"/>
      <c r="FI58" s="104"/>
      <c r="FJ58" s="104"/>
      <c r="FK58" s="104"/>
      <c r="FL58" s="104"/>
      <c r="FM58" s="45">
        <f>SUMIF(Report_BM!$GW$6:$GW$73,CONCATENATE($C58,FU$3),Report_BM!$GI$6:$GI$73)+SUMIF(Report_BM!$GW$6:$GW$73,CONCATENATE($C58,FU$3),Report_BM!$GL$6:$GL$73)</f>
        <v>0</v>
      </c>
      <c r="FN58" s="46" t="e">
        <f>SUMIF(Report_BM!$GW$6:$GW$73,CONCATENATE($C58,$FU$3),Report_BM!$GJ$6:$GJ$73)+SUMIF(Report_BM!$GW$6:$GW$73,CONCATENATE($C58,$FU$3),Report_BM!$GM$6:$GM$73)</f>
        <v>#VALUE!</v>
      </c>
      <c r="FO58" s="45">
        <f>SUMIF(Report_BM!$GW$6:$GW$73,CONCATENATE($C58,FU$3),Report_BM!$GO$6:$GO$73)</f>
        <v>0</v>
      </c>
      <c r="FP58" s="39">
        <f>SUMIF(Report_BM!$GW$6:$GW$73,CONCATENATE($C58,FU$3),Report_BM!$GP$6:$GP$73)</f>
        <v>0</v>
      </c>
      <c r="FQ58" s="39">
        <f>SUMIF(Report_BM!$GW$6:$GW$73,CONCATENATE($C58,FU$3),Report_BM!$GQ$6:$GQ$73)</f>
        <v>0</v>
      </c>
      <c r="FR58" s="39">
        <f>SUMIF(Report_BM!$GW$6:$GW$73,CONCATENATE($C58,FU$3),Report_BM!$GR$6:$GR$73)</f>
        <v>0</v>
      </c>
      <c r="FS58" s="46">
        <f>SUMIF(Master_Data!$AK$152:$AK$864,CONCATENATE($C58,FU$3),Master_Data!$T$152:$T$864)</f>
        <v>0</v>
      </c>
      <c r="FT58" s="45">
        <f>SUMIF(Report_BM!GW$6:GW$73,CONCATENATE($C58,FU$3),Report_BM!GT$6:GT$73)</f>
        <v>0</v>
      </c>
      <c r="FU58" s="39" t="e">
        <f>SUMIF(Report_BM!GW$6:GW$73,CONCATENATE($C58,FU$3),Report_BM!GU$6:GU$73)</f>
        <v>#VALUE!</v>
      </c>
      <c r="FV58" s="103"/>
      <c r="FW58" s="104"/>
      <c r="FX58" s="104"/>
      <c r="FY58" s="104"/>
      <c r="FZ58" s="104"/>
      <c r="GA58" s="104"/>
    </row>
    <row r="59" spans="1:183" s="40" customFormat="1" ht="14.1" customHeight="1">
      <c r="A59" s="9">
        <v>53</v>
      </c>
      <c r="B59" s="328" t="s">
        <v>73</v>
      </c>
      <c r="C59" s="8" t="s">
        <v>212</v>
      </c>
      <c r="D59" s="45">
        <f>SUMIF(Report_BM!$B$6:$B$73,CONCATENATE($C59,L$3),Report_BM!$E$6:$E$73)+SUMIF(Report_BM!$B$6:$B$73,CONCATENATE($C59,L$3),Report_BM!$H$6:$H$73)</f>
        <v>0</v>
      </c>
      <c r="E59" s="276">
        <f>SUMIF(Report_BM!$B$6:$B$73,CONCATENATE($C59,L$3),Report_BM!$F$6:$F$73)+SUMIF(Report_BM!$B$6:$B$73,CONCATENATE($C59,L$3),Report_BM!$I$6:$I$73)</f>
        <v>33900000</v>
      </c>
      <c r="F59" s="45">
        <f>SUMIF(Report_BM!$B$6:$B$73,CONCATENATE($C59,L$3),Report_BM!$K$6:$K$73)</f>
        <v>0</v>
      </c>
      <c r="G59" s="39">
        <f>SUMIF(Report_BM!$B$6:$B$73,CONCATENATE($C59,$L$3),Report_BM!$L$6:$L$73)</f>
        <v>0</v>
      </c>
      <c r="H59" s="39">
        <f>SUMIF(Report_BM!$B$6:$B$73,CONCATENATE($C59,$L$3),Report_BM!$M$6:$M$73)</f>
        <v>5000000</v>
      </c>
      <c r="I59" s="39">
        <f>SUMIF(Report_BM!$B$6:$B$73,CONCATENATE($C59,$L$3),Report_BM!$N$6:$N$73)</f>
        <v>0</v>
      </c>
      <c r="J59" s="46">
        <f>SUMIF(Report_BM!$B$6:$B$73,CONCATENATE($C59,$L$3),Report_BM!$O$6:$O$73)</f>
        <v>0</v>
      </c>
      <c r="K59" s="45">
        <f>SUMIF(Report_BM!$B$6:$B$73,CONCATENATE($C59,$L$3),Report_BM!$P$6:$P$73)</f>
        <v>0</v>
      </c>
      <c r="L59" s="39">
        <f>SUMIF(Report_BM!$B$6:$B$73,CONCATENATE($C59,$L$3),Report_BM!$Q$6:$Q$73)</f>
        <v>28900000</v>
      </c>
      <c r="M59" s="103"/>
      <c r="N59" s="104"/>
      <c r="O59" s="104"/>
      <c r="P59" s="104"/>
      <c r="Q59" s="104"/>
      <c r="R59" s="104"/>
      <c r="S59" s="45">
        <f>SUMIF(Report_BM!$AI$8:$AI$72,CONCATENATE($C59,AA$3),Report_BM!$U$8:$U$72)+SUMIF(Report_BM!$AI$8:$AI$72,CONCATENATE($C59,AA$3),Report_BM!$X$8:$X$72)</f>
        <v>0</v>
      </c>
      <c r="T59" s="276">
        <f>SUMIF(Report_BM!$AI$8:$AI$72,CONCATENATE($C59,AA$3),Report_BM!$V$8:$V$72)+SUMIF(Report_BM!$AI$8:$AI$72,CONCATENATE($C59,AA$3),Report_BM!$Y$8:$Y$72)</f>
        <v>28900000</v>
      </c>
      <c r="U59" s="45">
        <f>SUMIF(Report_BM!$AI$8:$AI$72,CONCATENATE($C59,AA$3),Report_BM!$AA$8:$AB$72)</f>
        <v>0</v>
      </c>
      <c r="V59" s="39">
        <f>SUMIF(Report_BM!$AI$8:$AI$72,CONCATENATE($C59,$AA$3),Report_BM!$AB$8:$AB$72)</f>
        <v>0</v>
      </c>
      <c r="W59" s="39">
        <f>SUMIF(Report_BM!$AI$8:$AI$72,CONCATENATE($C59,$AA$3),Report_BM!$AC$8:$AC$72)</f>
        <v>5000000</v>
      </c>
      <c r="X59" s="39">
        <f ca="1">SUMIF(Report_BM!$AI$7:$AI$73,CONCATENATE($C59,$AA$3),Report_BM!$AD$7:$AD$73)</f>
        <v>0</v>
      </c>
      <c r="Y59" s="46">
        <f>SUMIF(Master_Data!$AK$152:$AK$864,CONCATENATE($C59,AA$3),Master_Data!$T$152:$T$864)</f>
        <v>0</v>
      </c>
      <c r="Z59" s="45">
        <f>SUMIF(Report_BM!$AI$8:$AI$72,CONCATENATE($C59,$AA$3),Report_BM!$AF$8:$AF$72)</f>
        <v>0</v>
      </c>
      <c r="AA59" s="39">
        <f ca="1">SUMIF(Report_BM!$AI$8:$AI$72,CONCATENATE($C59,$AA$3),Report_BM!$AG$8:$AG$72)</f>
        <v>23900000</v>
      </c>
      <c r="AB59" s="103"/>
      <c r="AC59" s="104"/>
      <c r="AD59" s="104"/>
      <c r="AE59" s="104"/>
      <c r="AF59" s="104"/>
      <c r="AG59" s="104"/>
      <c r="AH59" s="45">
        <f>SUMIF(Report_BM!$AZ$5:$AZ$72,CONCATENATE($C59,AP$3),Report_BM!$AL$5:$AL$72)+SUMIF(Report_BM!$AZ$5:$AZ$72,CONCATENATE($C59,AP$3),Report_BM!$AO$5:$AO$72)</f>
        <v>0</v>
      </c>
      <c r="AI59" s="46">
        <f ca="1">SUMIF(Report_BM!$AZ$5:$AZ$72,CONCATENATE($C59,$AP$3),Report_BM!$AM$5:$AM$72)+SUMIF(Report_BM!$AZ$5:$AZ$72,CONCATENATE($C59,$AP$3),Report_BM!$AP$5:$AP$72)</f>
        <v>23900000</v>
      </c>
      <c r="AJ59" s="45">
        <f>SUMIF(Report_BM!$AZ$5:$AZ$72,CONCATENATE($C59,$AP$3),Report_BM!$AR$5:$AR$72)</f>
        <v>0</v>
      </c>
      <c r="AK59" s="39">
        <f>SUMIF(Report_BM!$AZ$5:$AZ$72,CONCATENATE($C59,$AP$3),Report_BM!$AS$5:$AS$72)</f>
        <v>0</v>
      </c>
      <c r="AL59" s="39">
        <f>SUMIF(Report_BM!$AZ$5:$AZ$72,CONCATENATE($C59,$AP$3),Report_BM!$AT$5:$AT$72)</f>
        <v>10000000</v>
      </c>
      <c r="AM59" s="39">
        <f ca="1">SUMIF(Report_BM!$AZ$5:$AZ$72,CONCATENATE($C59,$AP$3),Report_BM!$AU$5:$AU$72)</f>
        <v>0</v>
      </c>
      <c r="AN59" s="46">
        <f>SUMIF(Master_Data!$AK$152:$AK$915,CONCATENATE($C59,AP$3),Master_Data!$T$152:$T$915)</f>
        <v>0</v>
      </c>
      <c r="AO59" s="45">
        <f>SUMIF(Report_BM!$AZ$5:$AZ$72,CONCATENATE($C59,$AP$3),Report_BM!$AW$5:$AW$72)</f>
        <v>0</v>
      </c>
      <c r="AP59" s="39">
        <f ca="1">SUMIF(Report_BM!$AZ$5:$AZ$72,CONCATENATE($C59,$AP$3),Report_BM!$AX$5:$AX$72)</f>
        <v>13900000</v>
      </c>
      <c r="AQ59" s="103"/>
      <c r="AR59" s="104"/>
      <c r="AS59" s="104"/>
      <c r="AT59" s="104"/>
      <c r="AU59" s="104"/>
      <c r="AV59" s="104"/>
      <c r="AW59" s="45">
        <f>SUMIF(Report_BM!$BQ$6:$BQ$73,CONCATENATE($C59,BE$3),Report_BM!$BC$6:$BC$73)+SUMIF(Report_BM!$BQ$6:$BQ$73,CONCATENATE($C59,BE$3),Report_BM!$BF$6:$BF$73)</f>
        <v>0</v>
      </c>
      <c r="AX59" s="46">
        <f ca="1">SUMIF(Report_BM!$BQ$6:$BQ$73,CONCATENATE($C59,$BE$3),Report_BM!$BD$6:$BD$73)+SUMIF(Report_BM!$BQ$6:$BQ$73,CONCATENATE($C59,$BE$3),Report_BM!$BG$6:$BG$73)</f>
        <v>13900000</v>
      </c>
      <c r="AY59" s="45">
        <f>SUMIF(Report_BM!$BQ$6:$BQ$73,CONCATENATE($C59,BE$3),Report_BM!$BI$6:$BI$73)</f>
        <v>0</v>
      </c>
      <c r="AZ59" s="39">
        <f>SUMIF(Report_BM!$BQ$6:$BQ$73,CONCATENATE($C59,BE$3),Report_BM!$BJ$6:$BJ$73)</f>
        <v>0</v>
      </c>
      <c r="BA59" s="39">
        <f>SUMIF(Report_BM!$BQ$6:$BQ$73,CONCATENATE($C59,BE$3),Report_BM!$BK$6:$BK$73)</f>
        <v>8900000</v>
      </c>
      <c r="BB59" s="39">
        <f>SUMIF(Report_BM!$BQ$6:$BQ$73,CONCATENATE($C59,BE$3),Report_BM!$BL$6:$BL$73)</f>
        <v>0</v>
      </c>
      <c r="BC59" s="46">
        <f>SUMIF(Master_Data!$AK$152:$AK$864,CONCATENATE($C59,BE$3),Master_Data!$T$152:$T$864)</f>
        <v>0</v>
      </c>
      <c r="BD59" s="45">
        <f>SUMIF(Report_BM!$BQ$6:$BQ$73,CONCATENATE($C59,BE$3),Report_BM!$BN$6:$BN$73)</f>
        <v>0</v>
      </c>
      <c r="BE59" s="39">
        <f ca="1">SUMIF(Report_BM!$BQ$6:$BQ$73,CONCATENATE($C59,BE$3),Report_BM!$BO$6:$BO$73)</f>
        <v>5000000</v>
      </c>
      <c r="BF59" s="103"/>
      <c r="BG59" s="104"/>
      <c r="BH59" s="104"/>
      <c r="BI59" s="104"/>
      <c r="BJ59" s="104"/>
      <c r="BK59" s="104"/>
      <c r="BL59" s="45">
        <f>SUMIF(Report_BM!$CH$6:$CH$73,CONCATENATE($C59,BT$3),Report_BM!$BT$6:$BT$73)+SUMIF(Report_BM!$CH$6:$CH$73,CONCATENATE($C59,BT$3),Report_BM!$BW$6:$BW$73)</f>
        <v>0</v>
      </c>
      <c r="BM59" s="46">
        <f ca="1">SUMIF(Report_BM!$CH$6:$CH$73,CONCATENATE($C59,$BT$3),Report_BM!$BU$6:$BU$73)+SUMIF(Report_BM!$CH$6:$CH$73,CONCATENATE($C59,$BT$3),Report_BM!$BX$6:$BX$73)</f>
        <v>5000000</v>
      </c>
      <c r="BN59" s="45">
        <f>SUMIF(Report_BM!$CH$6:$CH$73,CONCATENATE($C59,BT$3),Report_BM!$BZ$6:$BZ$73)</f>
        <v>0</v>
      </c>
      <c r="BO59" s="39">
        <f>SUMIF(Report_BM!$CH$6:$CH$73,CONCATENATE($C59,BT$3),Report_BM!$CA$6:$CA$73)</f>
        <v>0</v>
      </c>
      <c r="BP59" s="39">
        <f>SUMIF(Report_BM!$CH$6:$CH$73,CONCATENATE($C59,BT$3),Report_BM!$CB$6:$CB$73)</f>
        <v>5000000</v>
      </c>
      <c r="BQ59" s="39">
        <f>SUMIF(Report_BM!$CH$6:$CH$73,CONCATENATE($C59,BT$3),Report_BM!$CC$6:$CC$73)</f>
        <v>0</v>
      </c>
      <c r="BR59" s="46">
        <f>SUMIF(Master_Data!$AK$152:$AK$864,CONCATENATE($C59,BT$3),Master_Data!$T$152:$T$864)</f>
        <v>0</v>
      </c>
      <c r="BS59" s="45">
        <f>SUMIF(Report_BM!$CH$6:$CH$73,CONCATENATE($C59,BT$3),Report_BM!$CE$6:$CE$73)</f>
        <v>0</v>
      </c>
      <c r="BT59" s="39">
        <f ca="1">SUMIF(Report_BM!$CH$6:$CH$73,CONCATENATE($C59,BT$3),Report_BM!$CF$6:$CF$73)</f>
        <v>0</v>
      </c>
      <c r="BU59" s="103"/>
      <c r="BV59" s="104"/>
      <c r="BW59" s="104"/>
      <c r="BX59" s="104"/>
      <c r="BY59" s="104"/>
      <c r="BZ59" s="104"/>
      <c r="CA59" s="45">
        <f>SUMIF(Report_BM!$CY$6:$CY$73,CONCATENATE($C59,CI$3),Report_BM!$CK$6:$CK$73)+SUMIF(Report_BM!$CY$6:$CY$73,CONCATENATE($C59,CI$3),Report_BM!$CN$6:$CN$73)</f>
        <v>0</v>
      </c>
      <c r="CB59" s="46">
        <f ca="1">SUMIF(Report_BM!$CY$6:$CY$73,CONCATENATE($C59,$CI$3),Report_BM!$CL$6:$CL$73)+SUMIF(Report_BM!$CY$6:$CY$73,CONCATENATE($C59,$CI$3),Report_BM!$CO$6:$CO$73)</f>
        <v>0</v>
      </c>
      <c r="CC59" s="45">
        <f>SUMIF(Report_BM!$CY$6:$CY$73,CONCATENATE($C59,CI$3),Report_BM!$CQ$6:$CQ$73)</f>
        <v>0</v>
      </c>
      <c r="CD59" s="39">
        <f>SUMIF(Report_BM!$CY$6:$CY$73,CONCATENATE($C59,CI$3),Report_BM!$CR$6:$CR$73)</f>
        <v>0</v>
      </c>
      <c r="CE59" s="39">
        <f>SUMIF(Report_BM!$CY$6:$CY$73,CONCATENATE($C59,CI$3),Report_BM!$CS$6:$CS$73)</f>
        <v>0</v>
      </c>
      <c r="CF59" s="39">
        <f ca="1">SUMIF(Report_BM!$CY$6:$CY$73,CONCATENATE($C59,CI$3),Report_BM!$CT$6:$CT$73)</f>
        <v>0</v>
      </c>
      <c r="CG59" s="46">
        <f>SUMIF(Report_BM!$CY$6:$CY$73,CONCATENATE($C59,CI$3),Report_BM!$CU$6:$CU$73)</f>
        <v>0</v>
      </c>
      <c r="CH59" s="45">
        <f>SUMIF(Report_BM!$CY$6:$CY$73,CONCATENATE($C59,CI$3),Report_BM!$CV$6:$CV$73)</f>
        <v>0</v>
      </c>
      <c r="CI59" s="39">
        <f ca="1">SUMIF(Report_BM!$CY$6:$CY$73,CONCATENATE($C59,CI$3),Report_BM!$CW$6:$CW$73)</f>
        <v>0</v>
      </c>
      <c r="CJ59" s="103"/>
      <c r="CK59" s="104"/>
      <c r="CL59" s="104"/>
      <c r="CM59" s="104"/>
      <c r="CN59" s="104"/>
      <c r="CO59" s="104"/>
      <c r="CP59" s="45">
        <f>SUMIF(Report_BM!$DP$6:$DP$73,CONCATENATE($C59,CX$3),Report_BM!$DB$6:$DB$73)+SUMIF(Report_BM!$DP$6:$DP$73,CONCATENATE($C59,CX$3),Report_BM!$DE$6:$DE$73)</f>
        <v>0</v>
      </c>
      <c r="CQ59" s="46">
        <f ca="1">SUMIF(Report_BM!$DP$6:$DP$73,CONCATENATE($C59,$CX$3),Report_BM!$DC$6:$DC$73)+SUMIF(Report_BM!$DP$6:$DP$73,CONCATENATE($C59,$CX$3),Report_BM!$DF$6:$DF$73)</f>
        <v>0</v>
      </c>
      <c r="CR59" s="45">
        <f>SUMIF(Report_BM!$DP$6:$DP$73,CONCATENATE($C59,CX$3),Report_BM!$DH$6:$DH$73)</f>
        <v>0</v>
      </c>
      <c r="CS59" s="39">
        <f>SUMIF(Report_BM!$DP$6:$DP$73,CONCATENATE($C59,CX$3),Report_BM!$DI$6:$DI$73)</f>
        <v>0</v>
      </c>
      <c r="CT59" s="39">
        <f>SUMIF(Report_BM!$DP$6:$DP$73,CONCATENATE($C59,CX$3),Report_BM!$DJ$6:$DJ$73)</f>
        <v>0</v>
      </c>
      <c r="CU59" s="39">
        <f>SUMIF(Report_BM!$DP$6:$DP$73,CONCATENATE($C59,CX$3),Report_BM!$DK$6:$DK$73)</f>
        <v>0</v>
      </c>
      <c r="CV59" s="46">
        <f>SUMIF(Master_Data!$AK$152:$AK$864,CONCATENATE($C59,CX$3),Master_Data!$T$152:$T$864)</f>
        <v>0</v>
      </c>
      <c r="CW59" s="45">
        <f>SUMIF(Report_BM!$DP$6:$DP$73,CONCATENATE($C59,CX$3),Report_BM!$DM$6:$DM$73)</f>
        <v>0</v>
      </c>
      <c r="CX59" s="39">
        <f ca="1">SUMIF(Report_BM!$DP$6:$DP$73,CONCATENATE($C59,CX$3),Report_BM!$DN$6:$DN$73)</f>
        <v>0</v>
      </c>
      <c r="CY59" s="103"/>
      <c r="CZ59" s="104"/>
      <c r="DA59" s="104"/>
      <c r="DB59" s="104"/>
      <c r="DC59" s="104"/>
      <c r="DD59" s="104"/>
      <c r="DE59" s="45"/>
      <c r="DF59" s="46"/>
      <c r="DG59" s="45"/>
      <c r="DH59" s="39"/>
      <c r="DI59" s="39"/>
      <c r="DJ59" s="39">
        <f>SUMIF(Report_BM!EG$6:EG$73,CONCATENATE($C59,DM$3),Report_BM!$EB$6:$EB$73)</f>
        <v>0</v>
      </c>
      <c r="DK59" s="46">
        <f>SUMIF(Master_Data!$AK$152:$AK$864,CONCATENATE($C59,DM$3),Master_Data!$T$152:$T$864)</f>
        <v>0</v>
      </c>
      <c r="DL59" s="45"/>
      <c r="DM59" s="39"/>
      <c r="DN59" s="103"/>
      <c r="DO59" s="104"/>
      <c r="DP59" s="104"/>
      <c r="DQ59" s="104"/>
      <c r="DR59" s="104"/>
      <c r="DS59" s="104"/>
      <c r="DT59" s="45">
        <f>SUMIF(Report_BM!$EX$6:$EX$73,CONCATENATE($C59,EB$3),Report_BM!$EJ$6:$EJ$73)+SUMIF(Report_BM!$EX$6:$EX$73,CONCATENATE($C59,EB$3),Report_BM!$EM$6:$EM$73)</f>
        <v>0</v>
      </c>
      <c r="DU59" s="46">
        <f ca="1">SUMIF(Report_BM!$EX$6:$EX$73,CONCATENATE($C59,$EB$3),Report_BM!$EK$6:$EK$73)+SUMIF(Report_BM!$EX$6:$EX$73,CONCATENATE($C59,$EB$3),Report_BM!$EN$6:$EN$73)</f>
        <v>0</v>
      </c>
      <c r="DV59" s="45">
        <f>SUMIF(Report_BM!$EX$6:$EX$73,CONCATENATE($C59,EB$3),Report_BM!$EP$6:$EP$73)</f>
        <v>0</v>
      </c>
      <c r="DW59" s="39">
        <f>SUMIF(Report_BM!$EX$6:$EX$73,CONCATENATE($C59,EB$3),Report_BM!$EQ$6:$EQ$73)</f>
        <v>0</v>
      </c>
      <c r="DX59" s="39">
        <f>SUMIF(Report_BM!$EX$6:$EX$73,CONCATENATE($C59,EB$3),Report_BM!$ER$6:$ER$73)</f>
        <v>0</v>
      </c>
      <c r="DY59" s="39">
        <f>SUMIF(Report_BM!$EX$6:$EX$73,CONCATENATE($C59,EB$3),Report_BM!$ES$6:$ES$73)</f>
        <v>0</v>
      </c>
      <c r="DZ59" s="46">
        <f>SUMIF(Master_Data!$AK$152:$AK$864,CONCATENATE($C59,EB$3),Master_Data!$T$152:$T$864)</f>
        <v>0</v>
      </c>
      <c r="EA59" s="45">
        <f>SUMIF(Report_BM!EX$6:EX$73,CONCATENATE($C59,EB$3),Report_BM!EU$6:EU$73)</f>
        <v>0</v>
      </c>
      <c r="EB59" s="39">
        <f>SUMIF(Report_BM!EX$6:EX$73,CONCATENATE($C59,EB$3),Report_BM!EV$6:EV$73)</f>
        <v>0</v>
      </c>
      <c r="EC59" s="103"/>
      <c r="ED59" s="104"/>
      <c r="EE59" s="104"/>
      <c r="EF59" s="104"/>
      <c r="EG59" s="104"/>
      <c r="EH59" s="104"/>
      <c r="EI59" s="45">
        <f>SUMIF(Report_BM!$FO$6:$FO$73,CONCATENATE($C59,EQ$3),Report_BM!$FA$6:$FA$73)+SUMIF(Report_BM!$FO$6:$FO$73,CONCATENATE($C59,EQ$3),Report_BM!$FD$6:$FD$73)</f>
        <v>0</v>
      </c>
      <c r="EJ59" s="46">
        <f>SUMIF(Report_BM!$FO$6:$FO$73,CONCATENATE($C59,$EQ$3),Report_BM!$FB$6:$FB$73)+SUMIF(Report_BM!$FO$6:$FO$73,CONCATENATE($C59,$EQ$3),Report_BM!$FE$6:$FE$73)</f>
        <v>0</v>
      </c>
      <c r="EK59" s="45">
        <f>SUMIF(Report_BM!$FO$6:$FO$73,CONCATENATE($C59,EQ$3),Report_BM!$FG$6:$FG$73)</f>
        <v>0</v>
      </c>
      <c r="EL59" s="39">
        <f>SUMIF(Report_BM!$FO$6:$FO$73,CONCATENATE($C59,EQ$3),Report_BM!$FH$6:$FH$73)</f>
        <v>0</v>
      </c>
      <c r="EM59" s="39">
        <f>SUMIF(Report_BM!$FO$6:$FO$73,CONCATENATE($C59,EQ$3),Report_BM!$FI$6:$FI$73)</f>
        <v>0</v>
      </c>
      <c r="EN59" s="39">
        <f>SUMIF(Report_BM!$FO$6:$FO$73,CONCATENATE($C59,EQ$3),Report_BM!$FJ$6:$FJ$73)</f>
        <v>0</v>
      </c>
      <c r="EO59" s="46">
        <f>SUMIF(Master_Data!$AK$152:$AK$864,CONCATENATE($C59,EQ$3),Master_Data!$T$152:$T$864)</f>
        <v>0</v>
      </c>
      <c r="EP59" s="45">
        <f>SUMIF(Report_BM!FO$6:FO$73,CONCATENATE($C59,EQ$3),Report_BM!FL$6:FL$73)</f>
        <v>0</v>
      </c>
      <c r="EQ59" s="39">
        <f>SUMIF(Report_BM!FO$6:FO$73,CONCATENATE($C59,EQ$3),Report_BM!FM$6:FM$73)</f>
        <v>0</v>
      </c>
      <c r="ER59" s="103"/>
      <c r="ES59" s="104"/>
      <c r="ET59" s="104"/>
      <c r="EU59" s="104"/>
      <c r="EV59" s="104"/>
      <c r="EW59" s="104"/>
      <c r="EX59" s="45">
        <f>SUMIF(Report_BM!$GF$6:$GF$73,CONCATENATE($C59,FF$3),Report_BM!$FR$6:$FR$73)+SUMIF(Report_BM!$GF$6:$GF$73,CONCATENATE($C59,FF$3),Report_BM!$FU$6:$FU$73)</f>
        <v>0</v>
      </c>
      <c r="EY59" s="46">
        <f>SUMIF(Report_BM!$GF$6:$GF$73,CONCATENATE($C59,$FF$3),Report_BM!$FS$6:$FS$73)+SUMIF(Report_BM!$GF$6:$GF$73,CONCATENATE($C59,$FF$3),Report_BM!$FV$6:$FV$73)</f>
        <v>0</v>
      </c>
      <c r="EZ59" s="45">
        <f>SUMIF(Report_BM!$GF$6:$GF$73,CONCATENATE($C59,FF$3),Report_BM!$FX$6:$FX$73)</f>
        <v>0</v>
      </c>
      <c r="FA59" s="39">
        <f>SUMIF(Report_BM!$GF$6:$GF$73,CONCATENATE($C59,FF$3),Report_BM!$FY$6:$FY$73)</f>
        <v>0</v>
      </c>
      <c r="FB59" s="39">
        <f>SUMIF(Report_BM!$GF$6:$GF$73,CONCATENATE($C59,FF$3),Report_BM!$FZ$6:$FZ$73)</f>
        <v>0</v>
      </c>
      <c r="FC59" s="39">
        <f>SUMIF(Report_BM!$GF$6:$GF$73,CONCATENATE($C59,FF$3),Report_BM!$GA$6:$GA$73)</f>
        <v>0</v>
      </c>
      <c r="FD59" s="46">
        <f>SUMIF(Master_Data!$AK$152:$AK$864,CONCATENATE($C59,FF$3),Master_Data!$T$152:$T$864)</f>
        <v>0</v>
      </c>
      <c r="FE59" s="45">
        <f>SUMIF(Report_BM!GF$6:GF$73,CONCATENATE($C59,FF$3),Report_BM!GC$6:GC$73)</f>
        <v>0</v>
      </c>
      <c r="FF59" s="39">
        <f>SUMIF(Report_BM!GF$6:GF$73,CONCATENATE($C59,FF$3),Report_BM!GD$6:GD$73)</f>
        <v>0</v>
      </c>
      <c r="FG59" s="103"/>
      <c r="FH59" s="104"/>
      <c r="FI59" s="104"/>
      <c r="FJ59" s="104"/>
      <c r="FK59" s="104"/>
      <c r="FL59" s="104"/>
      <c r="FM59" s="45">
        <f>SUMIF(Report_BM!$GW$6:$GW$73,CONCATENATE($C59,FU$3),Report_BM!$GI$6:$GI$73)+SUMIF(Report_BM!$GW$6:$GW$73,CONCATENATE($C59,FU$3),Report_BM!$GL$6:$GL$73)</f>
        <v>0</v>
      </c>
      <c r="FN59" s="46">
        <f>SUMIF(Report_BM!$GW$6:$GW$73,CONCATENATE($C59,$FU$3),Report_BM!$GJ$6:$GJ$73)+SUMIF(Report_BM!$GW$6:$GW$73,CONCATENATE($C59,$FU$3),Report_BM!$GM$6:$GM$73)</f>
        <v>0</v>
      </c>
      <c r="FO59" s="45">
        <f>SUMIF(Report_BM!$GW$6:$GW$73,CONCATENATE($C59,FU$3),Report_BM!$GO$6:$GO$73)</f>
        <v>0</v>
      </c>
      <c r="FP59" s="39">
        <f>SUMIF(Report_BM!$GW$6:$GW$73,CONCATENATE($C59,FU$3),Report_BM!$GP$6:$GP$73)</f>
        <v>0</v>
      </c>
      <c r="FQ59" s="39">
        <f>SUMIF(Report_BM!$GW$6:$GW$73,CONCATENATE($C59,FU$3),Report_BM!$GQ$6:$GQ$73)</f>
        <v>0</v>
      </c>
      <c r="FR59" s="39">
        <f>SUMIF(Report_BM!$GW$6:$GW$73,CONCATENATE($C59,FU$3),Report_BM!$GR$6:$GR$73)</f>
        <v>0</v>
      </c>
      <c r="FS59" s="46">
        <f>SUMIF(Master_Data!$AK$152:$AK$864,CONCATENATE($C59,FU$3),Master_Data!$T$152:$T$864)</f>
        <v>0</v>
      </c>
      <c r="FT59" s="45">
        <f>SUMIF(Report_BM!GW$6:GW$73,CONCATENATE($C59,FU$3),Report_BM!GT$6:GT$73)</f>
        <v>0</v>
      </c>
      <c r="FU59" s="39">
        <f>SUMIF(Report_BM!GW$6:GW$73,CONCATENATE($C59,FU$3),Report_BM!GU$6:GU$73)</f>
        <v>0</v>
      </c>
      <c r="FV59" s="103"/>
      <c r="FW59" s="104"/>
      <c r="FX59" s="104"/>
      <c r="FY59" s="104"/>
      <c r="FZ59" s="104"/>
      <c r="GA59" s="104"/>
    </row>
    <row r="60" spans="1:183" s="40" customFormat="1" ht="14.1" customHeight="1">
      <c r="A60" s="9">
        <v>54</v>
      </c>
      <c r="B60" s="328" t="s">
        <v>645</v>
      </c>
      <c r="C60" s="8" t="s">
        <v>764</v>
      </c>
      <c r="D60" s="45">
        <f>SUMIF(Report_BM!$B$6:$B$73,CONCATENATE($C60,L$3),Report_BM!$E$6:$E$73)+SUMIF(Report_BM!$B$6:$B$73,CONCATENATE($C60,L$3),Report_BM!$H$6:$H$73)</f>
        <v>0</v>
      </c>
      <c r="E60" s="276" t="e">
        <f>SUMIF(Report_BM!$B$6:$B$73,CONCATENATE($C60,L$3),Report_BM!$F$6:$F$73)+SUMIF(Report_BM!$B$6:$B$73,CONCATENATE($C60,L$3),Report_BM!$I$6:$I$73)</f>
        <v>#VALUE!</v>
      </c>
      <c r="F60" s="45">
        <f>SUMIF(Report_BM!$B$6:$B$73,CONCATENATE($C60,L$3),Report_BM!$K$6:$K$73)</f>
        <v>0</v>
      </c>
      <c r="G60" s="39">
        <f>SUMIF(Report_BM!$B$6:$B$73,CONCATENATE($C60,$L$3),Report_BM!$L$6:$L$73)</f>
        <v>0</v>
      </c>
      <c r="H60" s="39">
        <f>SUMIF(Report_BM!$B$6:$B$73,CONCATENATE($C60,$L$3),Report_BM!$M$6:$M$73)</f>
        <v>0</v>
      </c>
      <c r="I60" s="39">
        <f>SUMIF(Report_BM!$B$6:$B$73,CONCATENATE($C60,$L$3),Report_BM!$N$6:$N$73)</f>
        <v>0</v>
      </c>
      <c r="J60" s="46">
        <f>SUMIF(Report_BM!$B$6:$B$73,CONCATENATE($C60,$L$3),Report_BM!$O$6:$O$73)</f>
        <v>0</v>
      </c>
      <c r="K60" s="45">
        <f>SUMIF(Report_BM!$B$6:$B$73,CONCATENATE($C60,$L$3),Report_BM!$P$6:$P$73)</f>
        <v>0</v>
      </c>
      <c r="L60" s="39" t="e">
        <f>SUMIF(Report_BM!$B$6:$B$73,CONCATENATE($C60,$L$3),Report_BM!$Q$6:$Q$73)</f>
        <v>#VALUE!</v>
      </c>
      <c r="M60" s="103"/>
      <c r="N60" s="104"/>
      <c r="O60" s="104"/>
      <c r="P60" s="104"/>
      <c r="Q60" s="104"/>
      <c r="R60" s="104"/>
      <c r="S60" s="45">
        <f>SUMIF(Report_BM!$AI$8:$AI$72,CONCATENATE($C60,AA$3),Report_BM!$U$8:$U$72)+SUMIF(Report_BM!$AI$8:$AI$72,CONCATENATE($C60,AA$3),Report_BM!$X$8:$X$72)</f>
        <v>0</v>
      </c>
      <c r="T60" s="276" t="e">
        <f>SUMIF(Report_BM!$AI$8:$AI$72,CONCATENATE($C60,AA$3),Report_BM!$V$8:$V$72)+SUMIF(Report_BM!$AI$8:$AI$72,CONCATENATE($C60,AA$3),Report_BM!$Y$8:$Y$72)</f>
        <v>#VALUE!</v>
      </c>
      <c r="U60" s="45">
        <f>SUMIF(Report_BM!$AI$8:$AI$72,CONCATENATE($C60,AA$3),Report_BM!$AA$8:$AB$72)</f>
        <v>0</v>
      </c>
      <c r="V60" s="39">
        <f>SUMIF(Report_BM!$AI$8:$AI$72,CONCATENATE($C60,$AA$3),Report_BM!$AB$8:$AB$72)</f>
        <v>0</v>
      </c>
      <c r="W60" s="39">
        <f>SUMIF(Report_BM!$AI$8:$AI$72,CONCATENATE($C60,$AA$3),Report_BM!$AC$8:$AC$72)</f>
        <v>74520000</v>
      </c>
      <c r="X60" s="39">
        <f ca="1">SUMIF(Report_BM!$AI$7:$AI$73,CONCATENATE($C60,$AA$3),Report_BM!$AD$7:$AD$73)</f>
        <v>0</v>
      </c>
      <c r="Y60" s="46">
        <f>SUMIF(Master_Data!$AK$152:$AK$864,CONCATENATE($C60,AA$3),Master_Data!$T$152:$T$864)</f>
        <v>-460000</v>
      </c>
      <c r="Z60" s="45">
        <f>SUMIF(Report_BM!$AI$8:$AI$72,CONCATENATE($C60,$AA$3),Report_BM!$AF$8:$AF$72)</f>
        <v>0</v>
      </c>
      <c r="AA60" s="39" t="e">
        <f ca="1">SUMIF(Report_BM!$AI$8:$AI$72,CONCATENATE($C60,$AA$3),Report_BM!$AG$8:$AG$72)</f>
        <v>#VALUE!</v>
      </c>
      <c r="AB60" s="103"/>
      <c r="AC60" s="104"/>
      <c r="AD60" s="104"/>
      <c r="AE60" s="104"/>
      <c r="AF60" s="104"/>
      <c r="AG60" s="104"/>
      <c r="AH60" s="45">
        <f>SUMIF(Report_BM!$AZ$5:$AZ$72,CONCATENATE($C60,AP$3),Report_BM!$AL$5:$AL$72)+SUMIF(Report_BM!$AZ$5:$AZ$72,CONCATENATE($C60,AP$3),Report_BM!$AO$5:$AO$72)</f>
        <v>0</v>
      </c>
      <c r="AI60" s="46" t="e">
        <f ca="1">SUMIF(Report_BM!$AZ$5:$AZ$72,CONCATENATE($C60,$AP$3),Report_BM!$AM$5:$AM$72)+SUMIF(Report_BM!$AZ$5:$AZ$72,CONCATENATE($C60,$AP$3),Report_BM!$AP$5:$AP$72)</f>
        <v>#VALUE!</v>
      </c>
      <c r="AJ60" s="45">
        <f>SUMIF(Report_BM!$AZ$5:$AZ$72,CONCATENATE($C60,$AP$3),Report_BM!$AR$5:$AR$72)</f>
        <v>0</v>
      </c>
      <c r="AK60" s="39">
        <f>SUMIF(Report_BM!$AZ$5:$AZ$72,CONCATENATE($C60,$AP$3),Report_BM!$AS$5:$AS$72)</f>
        <v>0</v>
      </c>
      <c r="AL60" s="39">
        <f>SUMIF(Report_BM!$AZ$5:$AZ$72,CONCATENATE($C60,$AP$3),Report_BM!$AT$5:$AT$72)</f>
        <v>24840000</v>
      </c>
      <c r="AM60" s="39">
        <f ca="1">SUMIF(Report_BM!$AZ$5:$AZ$72,CONCATENATE($C60,$AP$3),Report_BM!$AU$5:$AU$72)</f>
        <v>0</v>
      </c>
      <c r="AN60" s="46">
        <f>SUMIF(Master_Data!$AK$152:$AK$915,CONCATENATE($C60,AP$3),Master_Data!$T$152:$T$915)</f>
        <v>-460000</v>
      </c>
      <c r="AO60" s="45">
        <f>SUMIF(Report_BM!$AZ$5:$AZ$72,CONCATENATE($C60,$AP$3),Report_BM!$AW$5:$AW$72)</f>
        <v>0</v>
      </c>
      <c r="AP60" s="39" t="e">
        <f ca="1">SUMIF(Report_BM!$AZ$5:$AZ$72,CONCATENATE($C60,$AP$3),Report_BM!$AX$5:$AX$72)</f>
        <v>#VALUE!</v>
      </c>
      <c r="AQ60" s="103"/>
      <c r="AR60" s="104"/>
      <c r="AS60" s="104"/>
      <c r="AT60" s="104"/>
      <c r="AU60" s="104"/>
      <c r="AV60" s="104"/>
      <c r="AW60" s="45">
        <f>SUMIF(Report_BM!$BQ$6:$BQ$73,CONCATENATE($C60,BE$3),Report_BM!$BC$6:$BC$73)+SUMIF(Report_BM!$BQ$6:$BQ$73,CONCATENATE($C60,BE$3),Report_BM!$BF$6:$BF$73)</f>
        <v>0</v>
      </c>
      <c r="AX60" s="46" t="e">
        <f ca="1">SUMIF(Report_BM!$BQ$6:$BQ$73,CONCATENATE($C60,$BE$3),Report_BM!$BD$6:$BD$73)+SUMIF(Report_BM!$BQ$6:$BQ$73,CONCATENATE($C60,$BE$3),Report_BM!$BG$6:$BG$73)</f>
        <v>#VALUE!</v>
      </c>
      <c r="AY60" s="45">
        <f>SUMIF(Report_BM!$BQ$6:$BQ$73,CONCATENATE($C60,BE$3),Report_BM!$BI$6:$BI$73)</f>
        <v>0</v>
      </c>
      <c r="AZ60" s="39">
        <f>SUMIF(Report_BM!$BQ$6:$BQ$73,CONCATENATE($C60,BE$3),Report_BM!$BJ$6:$BJ$73)</f>
        <v>0</v>
      </c>
      <c r="BA60" s="39">
        <f>SUMIF(Report_BM!$BQ$6:$BQ$73,CONCATENATE($C60,BE$3),Report_BM!$BK$6:$BK$73)</f>
        <v>24840000</v>
      </c>
      <c r="BB60" s="39">
        <f>SUMIF(Report_BM!$BQ$6:$BQ$73,CONCATENATE($C60,BE$3),Report_BM!$BL$6:$BL$73)</f>
        <v>0</v>
      </c>
      <c r="BC60" s="46">
        <f>SUMIF(Master_Data!$AK$152:$AK$864,CONCATENATE($C60,BE$3),Master_Data!$T$152:$T$864)</f>
        <v>-460000</v>
      </c>
      <c r="BD60" s="45">
        <f>SUMIF(Report_BM!$BQ$6:$BQ$73,CONCATENATE($C60,BE$3),Report_BM!$BN$6:$BN$73)</f>
        <v>0</v>
      </c>
      <c r="BE60" s="39" t="e">
        <f ca="1">SUMIF(Report_BM!$BQ$6:$BQ$73,CONCATENATE($C60,BE$3),Report_BM!$BO$6:$BO$73)</f>
        <v>#VALUE!</v>
      </c>
      <c r="BF60" s="103"/>
      <c r="BG60" s="104"/>
      <c r="BH60" s="104"/>
      <c r="BI60" s="104"/>
      <c r="BJ60" s="104"/>
      <c r="BK60" s="104"/>
      <c r="BL60" s="45">
        <f>SUMIF(Report_BM!$CH$6:$CH$73,CONCATENATE($C60,BT$3),Report_BM!$BT$6:$BT$73)+SUMIF(Report_BM!$CH$6:$CH$73,CONCATENATE($C60,BT$3),Report_BM!$BW$6:$BW$73)</f>
        <v>0</v>
      </c>
      <c r="BM60" s="46" t="e">
        <f ca="1">SUMIF(Report_BM!$CH$6:$CH$73,CONCATENATE($C60,$BT$3),Report_BM!$BU$6:$BU$73)+SUMIF(Report_BM!$CH$6:$CH$73,CONCATENATE($C60,$BT$3),Report_BM!$BX$6:$BX$73)</f>
        <v>#VALUE!</v>
      </c>
      <c r="BN60" s="45">
        <f>SUMIF(Report_BM!$CH$6:$CH$73,CONCATENATE($C60,BT$3),Report_BM!$BZ$6:$BZ$73)</f>
        <v>0</v>
      </c>
      <c r="BO60" s="39">
        <f>SUMIF(Report_BM!$CH$6:$CH$73,CONCATENATE($C60,BT$3),Report_BM!$CA$6:$CA$73)</f>
        <v>0</v>
      </c>
      <c r="BP60" s="39">
        <f>SUMIF(Report_BM!$CH$6:$CH$73,CONCATENATE($C60,BT$3),Report_BM!$CB$6:$CB$73)</f>
        <v>24840000</v>
      </c>
      <c r="BQ60" s="39">
        <f>SUMIF(Report_BM!$CH$6:$CH$73,CONCATENATE($C60,BT$3),Report_BM!$CC$6:$CC$73)</f>
        <v>0</v>
      </c>
      <c r="BR60" s="46">
        <f>SUMIF(Master_Data!$AK$152:$AK$864,CONCATENATE($C60,BT$3),Master_Data!$T$152:$T$864)</f>
        <v>-460000</v>
      </c>
      <c r="BS60" s="45">
        <f>SUMIF(Report_BM!$CH$6:$CH$73,CONCATENATE($C60,BT$3),Report_BM!$CE$6:$CE$73)</f>
        <v>0</v>
      </c>
      <c r="BT60" s="39" t="e">
        <f ca="1">SUMIF(Report_BM!$CH$6:$CH$73,CONCATENATE($C60,BT$3),Report_BM!$CF$6:$CF$73)</f>
        <v>#VALUE!</v>
      </c>
      <c r="BU60" s="103"/>
      <c r="BV60" s="104"/>
      <c r="BW60" s="104"/>
      <c r="BX60" s="104"/>
      <c r="BY60" s="104"/>
      <c r="BZ60" s="104"/>
      <c r="CA60" s="45">
        <f>SUMIF(Report_BM!$CY$6:$CY$73,CONCATENATE($C60,CI$3),Report_BM!$CK$6:$CK$73)+SUMIF(Report_BM!$CY$6:$CY$73,CONCATENATE($C60,CI$3),Report_BM!$CN$6:$CN$73)</f>
        <v>0</v>
      </c>
      <c r="CB60" s="46" t="e">
        <f ca="1">SUMIF(Report_BM!$CY$6:$CY$73,CONCATENATE($C60,$CI$3),Report_BM!$CL$6:$CL$73)+SUMIF(Report_BM!$CY$6:$CY$73,CONCATENATE($C60,$CI$3),Report_BM!$CO$6:$CO$73)</f>
        <v>#VALUE!</v>
      </c>
      <c r="CC60" s="45">
        <f>SUMIF(Report_BM!$CY$6:$CY$73,CONCATENATE($C60,CI$3),Report_BM!$CQ$6:$CQ$73)</f>
        <v>0</v>
      </c>
      <c r="CD60" s="39">
        <f>SUMIF(Report_BM!$CY$6:$CY$73,CONCATENATE($C60,CI$3),Report_BM!$CR$6:$CR$73)</f>
        <v>0</v>
      </c>
      <c r="CE60" s="39">
        <f>SUMIF(Report_BM!$CY$6:$CY$73,CONCATENATE($C60,CI$3),Report_BM!$CS$6:$CS$73)</f>
        <v>24840000</v>
      </c>
      <c r="CF60" s="39">
        <f ca="1">SUMIF(Report_BM!$CY$6:$CY$73,CONCATENATE($C60,CI$3),Report_BM!$CT$6:$CT$73)</f>
        <v>0</v>
      </c>
      <c r="CG60" s="46">
        <f>SUMIF(Report_BM!$CY$6:$CY$73,CONCATENATE($C60,CI$3),Report_BM!$CU$6:$CU$73)</f>
        <v>-460000</v>
      </c>
      <c r="CH60" s="45">
        <f>SUMIF(Report_BM!$CY$6:$CY$73,CONCATENATE($C60,CI$3),Report_BM!$CV$6:$CV$73)</f>
        <v>0</v>
      </c>
      <c r="CI60" s="39" t="e">
        <f ca="1">SUMIF(Report_BM!$CY$6:$CY$73,CONCATENATE($C60,CI$3),Report_BM!$CW$6:$CW$73)</f>
        <v>#VALUE!</v>
      </c>
      <c r="CJ60" s="103"/>
      <c r="CK60" s="104"/>
      <c r="CL60" s="104"/>
      <c r="CM60" s="104"/>
      <c r="CN60" s="104"/>
      <c r="CO60" s="104"/>
      <c r="CP60" s="45">
        <f>SUMIF(Report_BM!$DP$6:$DP$73,CONCATENATE($C60,CX$3),Report_BM!$DB$6:$DB$73)+SUMIF(Report_BM!$DP$6:$DP$73,CONCATENATE($C60,CX$3),Report_BM!$DE$6:$DE$73)</f>
        <v>0</v>
      </c>
      <c r="CQ60" s="46" t="e">
        <f ca="1">SUMIF(Report_BM!$DP$6:$DP$73,CONCATENATE($C60,$CX$3),Report_BM!$DC$6:$DC$73)+SUMIF(Report_BM!$DP$6:$DP$73,CONCATENATE($C60,$CX$3),Report_BM!$DF$6:$DF$73)</f>
        <v>#VALUE!</v>
      </c>
      <c r="CR60" s="45">
        <f>SUMIF(Report_BM!$DP$6:$DP$73,CONCATENATE($C60,CX$3),Report_BM!$DH$6:$DH$73)</f>
        <v>0</v>
      </c>
      <c r="CS60" s="39">
        <f>SUMIF(Report_BM!$DP$6:$DP$73,CONCATENATE($C60,CX$3),Report_BM!$DI$6:$DI$73)</f>
        <v>0</v>
      </c>
      <c r="CT60" s="39">
        <f>SUMIF(Report_BM!$DP$6:$DP$73,CONCATENATE($C60,CX$3),Report_BM!$DJ$6:$DJ$73)</f>
        <v>24840000</v>
      </c>
      <c r="CU60" s="39">
        <f>SUMIF(Report_BM!$DP$6:$DP$73,CONCATENATE($C60,CX$3),Report_BM!$DK$6:$DK$73)</f>
        <v>0</v>
      </c>
      <c r="CV60" s="46">
        <f>SUMIF(Master_Data!$AK$152:$AK$864,CONCATENATE($C60,CX$3),Master_Data!$T$152:$T$864)</f>
        <v>-460000</v>
      </c>
      <c r="CW60" s="45">
        <f>SUMIF(Report_BM!$DP$6:$DP$73,CONCATENATE($C60,CX$3),Report_BM!$DM$6:$DM$73)</f>
        <v>0</v>
      </c>
      <c r="CX60" s="39" t="e">
        <f ca="1">SUMIF(Report_BM!$DP$6:$DP$73,CONCATENATE($C60,CX$3),Report_BM!$DN$6:$DN$73)</f>
        <v>#VALUE!</v>
      </c>
      <c r="CY60" s="103"/>
      <c r="CZ60" s="104"/>
      <c r="DA60" s="104"/>
      <c r="DB60" s="104"/>
      <c r="DC60" s="104"/>
      <c r="DD60" s="104"/>
      <c r="DE60" s="45">
        <f>SUMIF(Report_BM!$EG$6:$EG$73,CONCATENATE($C60,DM$3),Report_BM!$DS$6:$DS$73)+SUMIF(Report_BM!$EG$6:$EG$73,CONCATENATE($C60,DM$3),Report_BM!$DV$6:$DV$73)</f>
        <v>0</v>
      </c>
      <c r="DF60" s="46" t="e">
        <f ca="1">SUMIF(Report_BM!$EG$6:$EG$73,CONCATENATE($C60,$DM$3),Report_BM!$DT$6:$DT$73)+SUMIF(Report_BM!$EG$6:$EG$73,CONCATENATE($C60,$DM$3),Report_BM!$DW$6:$DW$73)</f>
        <v>#VALUE!</v>
      </c>
      <c r="DG60" s="45">
        <f>SUMIF(Report_BM!$EG$6:$EG$73,CONCATENATE($C60,DM$3),Report_BM!$DY$6:$DY$73)</f>
        <v>0</v>
      </c>
      <c r="DH60" s="39">
        <f>SUMIF(Report_BM!EG$6:EG$73,CONCATENATE($C60,DM$3),Report_BM!DZ$6:DZ$73)</f>
        <v>0</v>
      </c>
      <c r="DI60" s="39">
        <f>SUMIF(Report_BM!EG$6:EG$73,CONCATENATE($C60,DM$3),Report_BM!$EA$6:$EA$73)</f>
        <v>24840000</v>
      </c>
      <c r="DJ60" s="39">
        <f>SUMIF(Report_BM!EG$6:EG$73,CONCATENATE($C60,DM$3),Report_BM!$EB$6:$EB$73)</f>
        <v>0</v>
      </c>
      <c r="DK60" s="46">
        <f>SUMIF(Master_Data!$AK$152:$AK$864,CONCATENATE($C60,DM$3),Master_Data!$T$152:$T$864)</f>
        <v>-460000</v>
      </c>
      <c r="DL60" s="45">
        <f>SUMIF(Report_BM!EG$6:EG$73,CONCATENATE($C60,DM$3),Report_BM!ED$6:ED$73)</f>
        <v>0</v>
      </c>
      <c r="DM60" s="39" t="e">
        <f ca="1">SUMIF(Report_BM!EG$6:EG$73,CONCATENATE($C60,DM$3),Report_BM!EE$6:EE$73)</f>
        <v>#VALUE!</v>
      </c>
      <c r="DN60" s="103"/>
      <c r="DO60" s="104"/>
      <c r="DP60" s="104"/>
      <c r="DQ60" s="104"/>
      <c r="DR60" s="104"/>
      <c r="DS60" s="104"/>
      <c r="DT60" s="45">
        <f>SUMIF(Report_BM!$EX$6:$EX$73,CONCATENATE($C60,EB$3),Report_BM!$EJ$6:$EJ$73)+SUMIF(Report_BM!$EX$6:$EX$73,CONCATENATE($C60,EB$3),Report_BM!$EM$6:$EM$73)</f>
        <v>0</v>
      </c>
      <c r="DU60" s="46" t="e">
        <f ca="1">SUMIF(Report_BM!$EX$6:$EX$73,CONCATENATE($C60,$EB$3),Report_BM!$EK$6:$EK$73)+SUMIF(Report_BM!$EX$6:$EX$73,CONCATENATE($C60,$EB$3),Report_BM!$EN$6:$EN$73)</f>
        <v>#VALUE!</v>
      </c>
      <c r="DV60" s="45">
        <f>SUMIF(Report_BM!$EX$6:$EX$73,CONCATENATE($C60,EB$3),Report_BM!$EP$6:$EP$73)</f>
        <v>0</v>
      </c>
      <c r="DW60" s="39">
        <f>SUMIF(Report_BM!$EX$6:$EX$73,CONCATENATE($C60,EB$3),Report_BM!$EQ$6:$EQ$73)</f>
        <v>0</v>
      </c>
      <c r="DX60" s="39">
        <f>SUMIF(Report_BM!$EX$6:$EX$73,CONCATENATE($C60,EB$3),Report_BM!$ER$6:$ER$73)</f>
        <v>37800000</v>
      </c>
      <c r="DY60" s="39">
        <f>SUMIF(Report_BM!$EX$6:$EX$73,CONCATENATE($C60,EB$3),Report_BM!$ES$6:$ES$73)</f>
        <v>0</v>
      </c>
      <c r="DZ60" s="46">
        <f>SUMIF(Master_Data!$AK$152:$AK$864,CONCATENATE($C60,EB$3),Master_Data!$T$152:$T$864)</f>
        <v>-700000</v>
      </c>
      <c r="EA60" s="45">
        <f>SUMIF(Report_BM!EX$6:EX$73,CONCATENATE($C60,EB$3),Report_BM!EU$6:EU$73)</f>
        <v>0</v>
      </c>
      <c r="EB60" s="39">
        <f>SUMIF(Report_BM!EX$6:EX$73,CONCATENATE($C60,EB$3),Report_BM!EV$6:EV$73)</f>
        <v>0</v>
      </c>
      <c r="EC60" s="103"/>
      <c r="ED60" s="104"/>
      <c r="EE60" s="104"/>
      <c r="EF60" s="104"/>
      <c r="EG60" s="104"/>
      <c r="EH60" s="104"/>
      <c r="EI60" s="45">
        <f>SUMIF(Report_BM!$FO$6:$FO$73,CONCATENATE($C60,EQ$3),Report_BM!$FA$6:$FA$73)+SUMIF(Report_BM!$FO$6:$FO$73,CONCATENATE($C60,EQ$3),Report_BM!$FD$6:$FD$73)</f>
        <v>0</v>
      </c>
      <c r="EJ60" s="46" t="e">
        <f>SUMIF(Report_BM!$FO$6:$FO$73,CONCATENATE($C60,$EQ$3),Report_BM!$FB$6:$FB$73)+SUMIF(Report_BM!$FO$6:$FO$73,CONCATENATE($C60,$EQ$3),Report_BM!$FE$6:$FE$73)</f>
        <v>#VALUE!</v>
      </c>
      <c r="EK60" s="45">
        <f>SUMIF(Report_BM!$FO$6:$FO$73,CONCATENATE($C60,EQ$3),Report_BM!$FG$6:$FG$73)</f>
        <v>0</v>
      </c>
      <c r="EL60" s="39">
        <f>SUMIF(Report_BM!$FO$6:$FO$73,CONCATENATE($C60,EQ$3),Report_BM!$FH$6:$FH$73)</f>
        <v>0</v>
      </c>
      <c r="EM60" s="39">
        <f>SUMIF(Report_BM!$FO$6:$FO$73,CONCATENATE($C60,EQ$3),Report_BM!$FI$6:$FI$73)</f>
        <v>0</v>
      </c>
      <c r="EN60" s="39">
        <f>SUMIF(Report_BM!$FO$6:$FO$73,CONCATENATE($C60,EQ$3),Report_BM!$FJ$6:$FJ$73)</f>
        <v>0</v>
      </c>
      <c r="EO60" s="46">
        <f>SUMIF(Master_Data!$AK$152:$AK$864,CONCATENATE($C60,EQ$3),Master_Data!$T$152:$T$864)</f>
        <v>0</v>
      </c>
      <c r="EP60" s="45">
        <f>SUMIF(Report_BM!FO$6:FO$73,CONCATENATE($C60,EQ$3),Report_BM!FL$6:FL$73)</f>
        <v>0</v>
      </c>
      <c r="EQ60" s="39" t="e">
        <f>SUMIF(Report_BM!FO$6:FO$73,CONCATENATE($C60,EQ$3),Report_BM!FM$6:FM$73)</f>
        <v>#VALUE!</v>
      </c>
      <c r="ER60" s="103"/>
      <c r="ES60" s="104"/>
      <c r="ET60" s="104"/>
      <c r="EU60" s="104"/>
      <c r="EV60" s="104"/>
      <c r="EW60" s="104"/>
      <c r="EX60" s="45">
        <f>SUMIF(Report_BM!$GF$6:$GF$73,CONCATENATE($C60,FF$3),Report_BM!$FR$6:$FR$73)+SUMIF(Report_BM!$GF$6:$GF$73,CONCATENATE($C60,FF$3),Report_BM!$FU$6:$FU$73)</f>
        <v>0</v>
      </c>
      <c r="EY60" s="46" t="e">
        <f>SUMIF(Report_BM!$GF$6:$GF$73,CONCATENATE($C60,$FF$3),Report_BM!$FS$6:$FS$73)+SUMIF(Report_BM!$GF$6:$GF$73,CONCATENATE($C60,$FF$3),Report_BM!$FV$6:$FV$73)</f>
        <v>#VALUE!</v>
      </c>
      <c r="EZ60" s="45">
        <f>SUMIF(Report_BM!$GF$6:$GF$73,CONCATENATE($C60,FF$3),Report_BM!$FX$6:$FX$73)</f>
        <v>0</v>
      </c>
      <c r="FA60" s="39">
        <f>SUMIF(Report_BM!$GF$6:$GF$73,CONCATENATE($C60,FF$3),Report_BM!$FY$6:$FY$73)</f>
        <v>0</v>
      </c>
      <c r="FB60" s="39">
        <f>SUMIF(Report_BM!$GF$6:$GF$73,CONCATENATE($C60,FF$3),Report_BM!$FZ$6:$FZ$73)</f>
        <v>0</v>
      </c>
      <c r="FC60" s="39">
        <f>SUMIF(Report_BM!$GF$6:$GF$73,CONCATENATE($C60,FF$3),Report_BM!$GA$6:$GA$73)</f>
        <v>0</v>
      </c>
      <c r="FD60" s="46">
        <f>SUMIF(Master_Data!$AK$152:$AK$864,CONCATENATE($C60,FF$3),Master_Data!$T$152:$T$864)</f>
        <v>0</v>
      </c>
      <c r="FE60" s="45">
        <f>SUMIF(Report_BM!GF$6:GF$73,CONCATENATE($C60,FF$3),Report_BM!GC$6:GC$73)</f>
        <v>0</v>
      </c>
      <c r="FF60" s="39" t="e">
        <f>SUMIF(Report_BM!GF$6:GF$73,CONCATENATE($C60,FF$3),Report_BM!GD$6:GD$73)</f>
        <v>#VALUE!</v>
      </c>
      <c r="FG60" s="103"/>
      <c r="FH60" s="104"/>
      <c r="FI60" s="104"/>
      <c r="FJ60" s="104"/>
      <c r="FK60" s="104"/>
      <c r="FL60" s="104"/>
      <c r="FM60" s="45">
        <f>SUMIF(Report_BM!$GW$6:$GW$73,CONCATENATE($C60,FU$3),Report_BM!$GI$6:$GI$73)+SUMIF(Report_BM!$GW$6:$GW$73,CONCATENATE($C60,FU$3),Report_BM!$GL$6:$GL$73)</f>
        <v>0</v>
      </c>
      <c r="FN60" s="46" t="e">
        <f>SUMIF(Report_BM!$GW$6:$GW$73,CONCATENATE($C60,$FU$3),Report_BM!$GJ$6:$GJ$73)+SUMIF(Report_BM!$GW$6:$GW$73,CONCATENATE($C60,$FU$3),Report_BM!$GM$6:$GM$73)</f>
        <v>#VALUE!</v>
      </c>
      <c r="FO60" s="45">
        <f>SUMIF(Report_BM!$GW$6:$GW$73,CONCATENATE($C60,FU$3),Report_BM!$GO$6:$GO$73)</f>
        <v>0</v>
      </c>
      <c r="FP60" s="39">
        <f>SUMIF(Report_BM!$GW$6:$GW$73,CONCATENATE($C60,FU$3),Report_BM!$GP$6:$GP$73)</f>
        <v>0</v>
      </c>
      <c r="FQ60" s="39">
        <f>SUMIF(Report_BM!$GW$6:$GW$73,CONCATENATE($C60,FU$3),Report_BM!$GQ$6:$GQ$73)</f>
        <v>0</v>
      </c>
      <c r="FR60" s="39">
        <f>SUMIF(Report_BM!$GW$6:$GW$73,CONCATENATE($C60,FU$3),Report_BM!$GR$6:$GR$73)</f>
        <v>0</v>
      </c>
      <c r="FS60" s="46">
        <f>SUMIF(Master_Data!$AK$152:$AK$864,CONCATENATE($C60,FU$3),Master_Data!$T$152:$T$864)</f>
        <v>0</v>
      </c>
      <c r="FT60" s="45">
        <f>SUMIF(Report_BM!GW$6:GW$73,CONCATENATE($C60,FU$3),Report_BM!GT$6:GT$73)</f>
        <v>0</v>
      </c>
      <c r="FU60" s="39" t="e">
        <f>SUMIF(Report_BM!GW$6:GW$73,CONCATENATE($C60,FU$3),Report_BM!GU$6:GU$73)</f>
        <v>#VALUE!</v>
      </c>
      <c r="FV60" s="103"/>
      <c r="FW60" s="104"/>
      <c r="FX60" s="104"/>
      <c r="FY60" s="104"/>
      <c r="FZ60" s="104"/>
      <c r="GA60" s="104"/>
    </row>
    <row r="61" spans="1:183" s="40" customFormat="1" ht="14.1" customHeight="1">
      <c r="A61" s="9">
        <v>55</v>
      </c>
      <c r="B61" s="328" t="s">
        <v>337</v>
      </c>
      <c r="C61" s="323" t="s">
        <v>213</v>
      </c>
      <c r="D61" s="45">
        <f>SUMIF(Report_BM!$B$6:$B$73,CONCATENATE($C61,L$3),Report_BM!$E$6:$E$73)+SUMIF(Report_BM!$B$6:$B$73,CONCATENATE($C61,L$3),Report_BM!$H$6:$H$73)</f>
        <v>0</v>
      </c>
      <c r="E61" s="276">
        <f>SUMIF(Report_BM!$B$6:$B$73,CONCATENATE($C61,L$3),Report_BM!$F$6:$F$73)+SUMIF(Report_BM!$B$6:$B$73,CONCATENATE($C61,L$3),Report_BM!$I$6:$I$73)</f>
        <v>101750000</v>
      </c>
      <c r="F61" s="45">
        <f>SUMIF(Report_BM!$B$6:$B$73,CONCATENATE($C61,L$3),Report_BM!$K$6:$K$73)</f>
        <v>0</v>
      </c>
      <c r="G61" s="39">
        <f>SUMIF(Report_BM!$B$6:$B$73,CONCATENATE($C61,$L$3),Report_BM!$L$6:$L$73)</f>
        <v>0</v>
      </c>
      <c r="H61" s="39">
        <f>SUMIF(Report_BM!$B$6:$B$73,CONCATENATE($C61,$L$3),Report_BM!$M$6:$M$73)</f>
        <v>0</v>
      </c>
      <c r="I61" s="39">
        <f>SUMIF(Report_BM!$B$6:$B$73,CONCATENATE($C61,$L$3),Report_BM!$N$6:$N$73)</f>
        <v>0</v>
      </c>
      <c r="J61" s="46">
        <f>SUMIF(Report_BM!$B$6:$B$73,CONCATENATE($C61,$L$3),Report_BM!$O$6:$O$73)</f>
        <v>0</v>
      </c>
      <c r="K61" s="45">
        <f>SUMIF(Report_BM!$B$6:$B$73,CONCATENATE($C61,$L$3),Report_BM!$P$6:$P$73)</f>
        <v>0</v>
      </c>
      <c r="L61" s="39">
        <f>SUMIF(Report_BM!$B$6:$B$73,CONCATENATE($C61,$L$3),Report_BM!$Q$6:$Q$73)</f>
        <v>101750000</v>
      </c>
      <c r="M61" s="103"/>
      <c r="N61" s="104"/>
      <c r="O61" s="104"/>
      <c r="P61" s="104"/>
      <c r="Q61" s="104"/>
      <c r="R61" s="104"/>
      <c r="S61" s="45">
        <f>SUMIF(Report_BM!$AI$8:$AI$72,CONCATENATE($C61,AA$3),Report_BM!$U$8:$U$72)+SUMIF(Report_BM!$AI$8:$AI$72,CONCATENATE($C61,AA$3),Report_BM!$X$8:$X$72)</f>
        <v>0</v>
      </c>
      <c r="T61" s="276">
        <f>SUMIF(Report_BM!$AI$8:$AI$72,CONCATENATE($C61,AA$3),Report_BM!$V$8:$V$72)+SUMIF(Report_BM!$AI$8:$AI$72,CONCATENATE($C61,AA$3),Report_BM!$Y$8:$Y$72)</f>
        <v>101750000</v>
      </c>
      <c r="U61" s="45">
        <f>SUMIF(Report_BM!$AI$8:$AI$72,CONCATENATE($C61,AA$3),Report_BM!$AA$8:$AB$72)</f>
        <v>0</v>
      </c>
      <c r="V61" s="39">
        <f>SUMIF(Report_BM!$AI$8:$AI$72,CONCATENATE($C61,$AA$3),Report_BM!$AB$8:$AB$72)</f>
        <v>0</v>
      </c>
      <c r="W61" s="39">
        <f>SUMIF(Report_BM!$AI$8:$AI$72,CONCATENATE($C61,$AA$3),Report_BM!$AC$8:$AC$72)</f>
        <v>0</v>
      </c>
      <c r="X61" s="39">
        <f ca="1">SUMIF(Report_BM!$AI$7:$AI$73,CONCATENATE($C61,$AA$3),Report_BM!$AD$7:$AD$73)</f>
        <v>0</v>
      </c>
      <c r="Y61" s="46">
        <f>SUMIF(Master_Data!$AK$152:$AK$864,CONCATENATE($C61,AA$3),Master_Data!$T$152:$T$864)</f>
        <v>0</v>
      </c>
      <c r="Z61" s="45">
        <f>SUMIF(Report_BM!$AI$8:$AI$72,CONCATENATE($C61,$AA$3),Report_BM!$AF$8:$AF$72)</f>
        <v>0</v>
      </c>
      <c r="AA61" s="39">
        <f ca="1">SUMIF(Report_BM!$AI$8:$AI$72,CONCATENATE($C61,$AA$3),Report_BM!$AG$8:$AG$72)</f>
        <v>101750000</v>
      </c>
      <c r="AB61" s="103"/>
      <c r="AC61" s="104"/>
      <c r="AD61" s="104"/>
      <c r="AE61" s="104"/>
      <c r="AF61" s="104"/>
      <c r="AG61" s="104"/>
      <c r="AH61" s="45">
        <f>SUMIF(Report_BM!$AZ$5:$AZ$72,CONCATENATE($C61,AP$3),Report_BM!$AL$5:$AL$72)+SUMIF(Report_BM!$AZ$5:$AZ$72,CONCATENATE($C61,AP$3),Report_BM!$AO$5:$AO$72)</f>
        <v>0</v>
      </c>
      <c r="AI61" s="46">
        <f ca="1">SUMIF(Report_BM!$AZ$5:$AZ$72,CONCATENATE($C61,$AP$3),Report_BM!$AM$5:$AM$72)+SUMIF(Report_BM!$AZ$5:$AZ$72,CONCATENATE($C61,$AP$3),Report_BM!$AP$5:$AP$72)</f>
        <v>101750000</v>
      </c>
      <c r="AJ61" s="45">
        <f>SUMIF(Report_BM!$AZ$5:$AZ$72,CONCATENATE($C61,$AP$3),Report_BM!$AR$5:$AR$72)</f>
        <v>0</v>
      </c>
      <c r="AK61" s="39">
        <f>SUMIF(Report_BM!$AZ$5:$AZ$72,CONCATENATE($C61,$AP$3),Report_BM!$AS$5:$AS$72)</f>
        <v>0</v>
      </c>
      <c r="AL61" s="39">
        <f>SUMIF(Report_BM!$AZ$5:$AZ$72,CONCATENATE($C61,$AP$3),Report_BM!$AT$5:$AT$72)</f>
        <v>0</v>
      </c>
      <c r="AM61" s="39">
        <f ca="1">SUMIF(Report_BM!$AZ$5:$AZ$72,CONCATENATE($C61,$AP$3),Report_BM!$AU$5:$AU$72)</f>
        <v>0</v>
      </c>
      <c r="AN61" s="46">
        <f>SUMIF(Master_Data!$AK$152:$AK$915,CONCATENATE($C61,AP$3),Master_Data!$T$152:$T$915)</f>
        <v>0</v>
      </c>
      <c r="AO61" s="45">
        <f>SUMIF(Report_BM!$AZ$5:$AZ$72,CONCATENATE($C61,$AP$3),Report_BM!$AW$5:$AW$72)</f>
        <v>0</v>
      </c>
      <c r="AP61" s="39">
        <f ca="1">SUMIF(Report_BM!$AZ$5:$AZ$72,CONCATENATE($C61,$AP$3),Report_BM!$AX$5:$AX$72)</f>
        <v>101750000</v>
      </c>
      <c r="AQ61" s="103"/>
      <c r="AR61" s="104"/>
      <c r="AS61" s="104"/>
      <c r="AT61" s="104"/>
      <c r="AU61" s="104"/>
      <c r="AV61" s="104"/>
      <c r="AW61" s="45">
        <f>SUMIF(Report_BM!$BQ$6:$BQ$73,CONCATENATE($C61,BE$3),Report_BM!$BC$6:$BC$73)+SUMIF(Report_BM!$BQ$6:$BQ$73,CONCATENATE($C61,BE$3),Report_BM!$BF$6:$BF$73)</f>
        <v>0</v>
      </c>
      <c r="AX61" s="46">
        <f ca="1">SUMIF(Report_BM!$BQ$6:$BQ$73,CONCATENATE($C61,$BE$3),Report_BM!$BD$6:$BD$73)+SUMIF(Report_BM!$BQ$6:$BQ$73,CONCATENATE($C61,$BE$3),Report_BM!$BG$6:$BG$73)</f>
        <v>101750000</v>
      </c>
      <c r="AY61" s="45">
        <f>SUMIF(Report_BM!$BQ$6:$BQ$73,CONCATENATE($C61,BE$3),Report_BM!$BI$6:$BI$73)</f>
        <v>0</v>
      </c>
      <c r="AZ61" s="39">
        <f>SUMIF(Report_BM!$BQ$6:$BQ$73,CONCATENATE($C61,BE$3),Report_BM!$BJ$6:$BJ$73)</f>
        <v>0</v>
      </c>
      <c r="BA61" s="39">
        <f>SUMIF(Report_BM!$BQ$6:$BQ$73,CONCATENATE($C61,BE$3),Report_BM!$BK$6:$BK$73)</f>
        <v>0</v>
      </c>
      <c r="BB61" s="39">
        <f>SUMIF(Report_BM!$BQ$6:$BQ$73,CONCATENATE($C61,BE$3),Report_BM!$BL$6:$BL$73)</f>
        <v>0</v>
      </c>
      <c r="BC61" s="46">
        <f>SUMIF(Master_Data!$AK$152:$AK$864,CONCATENATE($C61,BE$3),Master_Data!$T$152:$T$864)</f>
        <v>0</v>
      </c>
      <c r="BD61" s="45">
        <f>SUMIF(Report_BM!$BQ$6:$BQ$73,CONCATENATE($C61,BE$3),Report_BM!$BN$6:$BN$73)</f>
        <v>0</v>
      </c>
      <c r="BE61" s="39">
        <f ca="1">SUMIF(Report_BM!$BQ$6:$BQ$73,CONCATENATE($C61,BE$3),Report_BM!$BO$6:$BO$73)</f>
        <v>101750000</v>
      </c>
      <c r="BF61" s="103"/>
      <c r="BG61" s="104"/>
      <c r="BH61" s="104"/>
      <c r="BI61" s="104"/>
      <c r="BJ61" s="104"/>
      <c r="BK61" s="104"/>
      <c r="BL61" s="45">
        <f>SUMIF(Report_BM!$CH$6:$CH$73,CONCATENATE($C61,BT$3),Report_BM!$BT$6:$BT$73)+SUMIF(Report_BM!$CH$6:$CH$73,CONCATENATE($C61,BT$3),Report_BM!$BW$6:$BW$73)</f>
        <v>0</v>
      </c>
      <c r="BM61" s="46">
        <f ca="1">SUMIF(Report_BM!$CH$6:$CH$73,CONCATENATE($C61,$BT$3),Report_BM!$BU$6:$BU$73)+SUMIF(Report_BM!$CH$6:$CH$73,CONCATENATE($C61,$BT$3),Report_BM!$BX$6:$BX$73)</f>
        <v>101750000</v>
      </c>
      <c r="BN61" s="45">
        <f>SUMIF(Report_BM!$CH$6:$CH$73,CONCATENATE($C61,BT$3),Report_BM!$BZ$6:$BZ$73)</f>
        <v>0</v>
      </c>
      <c r="BO61" s="39">
        <f>SUMIF(Report_BM!$CH$6:$CH$73,CONCATENATE($C61,BT$3),Report_BM!$CA$6:$CA$73)</f>
        <v>0</v>
      </c>
      <c r="BP61" s="39">
        <f>SUMIF(Report_BM!$CH$6:$CH$73,CONCATENATE($C61,BT$3),Report_BM!$CB$6:$CB$73)</f>
        <v>0</v>
      </c>
      <c r="BQ61" s="39">
        <f>SUMIF(Report_BM!$CH$6:$CH$73,CONCATENATE($C61,BT$3),Report_BM!$CC$6:$CC$73)</f>
        <v>0</v>
      </c>
      <c r="BR61" s="46">
        <f>SUMIF(Master_Data!$AK$152:$AK$864,CONCATENATE($C61,BT$3),Master_Data!$T$152:$T$864)</f>
        <v>0</v>
      </c>
      <c r="BS61" s="45">
        <f>SUMIF(Report_BM!$CH$6:$CH$73,CONCATENATE($C61,BT$3),Report_BM!$CE$6:$CE$73)</f>
        <v>0</v>
      </c>
      <c r="BT61" s="39">
        <f ca="1">SUMIF(Report_BM!$CH$6:$CH$73,CONCATENATE($C61,BT$3),Report_BM!$CF$6:$CF$73)</f>
        <v>101750000</v>
      </c>
      <c r="BU61" s="103"/>
      <c r="BV61" s="104"/>
      <c r="BW61" s="104"/>
      <c r="BX61" s="104"/>
      <c r="BY61" s="104"/>
      <c r="BZ61" s="104"/>
      <c r="CA61" s="45">
        <f>SUMIF(Report_BM!$CY$6:$CY$73,CONCATENATE($C61,CI$3),Report_BM!$CK$6:$CK$73)+SUMIF(Report_BM!$CY$6:$CY$73,CONCATENATE($C61,CI$3),Report_BM!$CN$6:$CN$73)</f>
        <v>0</v>
      </c>
      <c r="CB61" s="46">
        <f ca="1">SUMIF(Report_BM!$CY$6:$CY$73,CONCATENATE($C61,$CI$3),Report_BM!$CL$6:$CL$73)+SUMIF(Report_BM!$CY$6:$CY$73,CONCATENATE($C61,$CI$3),Report_BM!$CO$6:$CO$73)</f>
        <v>101750000</v>
      </c>
      <c r="CC61" s="45">
        <f>SUMIF(Report_BM!$CY$6:$CY$73,CONCATENATE($C61,CI$3),Report_BM!$CQ$6:$CQ$73)</f>
        <v>0</v>
      </c>
      <c r="CD61" s="39">
        <f>SUMIF(Report_BM!$CY$6:$CY$73,CONCATENATE($C61,CI$3),Report_BM!$CR$6:$CR$73)</f>
        <v>0</v>
      </c>
      <c r="CE61" s="39">
        <f>SUMIF(Report_BM!$CY$6:$CY$73,CONCATENATE($C61,CI$3),Report_BM!$CS$6:$CS$73)</f>
        <v>0</v>
      </c>
      <c r="CF61" s="39">
        <f ca="1">SUMIF(Report_BM!$CY$6:$CY$73,CONCATENATE($C61,CI$3),Report_BM!$CT$6:$CT$73)</f>
        <v>0</v>
      </c>
      <c r="CG61" s="46">
        <f>SUMIF(Report_BM!$CY$6:$CY$73,CONCATENATE($C61,CI$3),Report_BM!$CU$6:$CU$73)</f>
        <v>0</v>
      </c>
      <c r="CH61" s="45">
        <f>SUMIF(Report_BM!$CY$6:$CY$73,CONCATENATE($C61,CI$3),Report_BM!$CV$6:$CV$73)</f>
        <v>0</v>
      </c>
      <c r="CI61" s="39">
        <f ca="1">SUMIF(Report_BM!$CY$6:$CY$73,CONCATENATE($C61,CI$3),Report_BM!$CW$6:$CW$73)</f>
        <v>101750000</v>
      </c>
      <c r="CJ61" s="103"/>
      <c r="CK61" s="104"/>
      <c r="CL61" s="104"/>
      <c r="CM61" s="104"/>
      <c r="CN61" s="104"/>
      <c r="CO61" s="104"/>
      <c r="CP61" s="45">
        <f>SUMIF(Report_BM!$DP$6:$DP$73,CONCATENATE($C61,CX$3),Report_BM!$DB$6:$DB$73)+SUMIF(Report_BM!$DP$6:$DP$73,CONCATENATE($C61,CX$3),Report_BM!$DE$6:$DE$73)</f>
        <v>0</v>
      </c>
      <c r="CQ61" s="46">
        <f ca="1">SUMIF(Report_BM!$DP$6:$DP$73,CONCATENATE($C61,$CX$3),Report_BM!$DC$6:$DC$73)+SUMIF(Report_BM!$DP$6:$DP$73,CONCATENATE($C61,$CX$3),Report_BM!$DF$6:$DF$73)</f>
        <v>101750000</v>
      </c>
      <c r="CR61" s="45">
        <f>SUMIF(Report_BM!$DP$6:$DP$73,CONCATENATE($C61,CX$3),Report_BM!$DH$6:$DH$73)</f>
        <v>0</v>
      </c>
      <c r="CS61" s="39">
        <f>SUMIF(Report_BM!$DP$6:$DP$73,CONCATENATE($C61,CX$3),Report_BM!$DI$6:$DI$73)</f>
        <v>0</v>
      </c>
      <c r="CT61" s="39">
        <f>SUMIF(Report_BM!$DP$6:$DP$73,CONCATENATE($C61,CX$3),Report_BM!$DJ$6:$DJ$73)</f>
        <v>0</v>
      </c>
      <c r="CU61" s="39">
        <f>SUMIF(Report_BM!$DP$6:$DP$73,CONCATENATE($C61,CX$3),Report_BM!$DK$6:$DK$73)</f>
        <v>0</v>
      </c>
      <c r="CV61" s="46">
        <f>SUMIF(Master_Data!$AK$152:$AK$864,CONCATENATE($C61,CX$3),Master_Data!$T$152:$T$864)</f>
        <v>0</v>
      </c>
      <c r="CW61" s="45">
        <f>SUMIF(Report_BM!$DP$6:$DP$73,CONCATENATE($C61,CX$3),Report_BM!$DM$6:$DM$73)</f>
        <v>0</v>
      </c>
      <c r="CX61" s="39">
        <f ca="1">SUMIF(Report_BM!$DP$6:$DP$73,CONCATENATE($C61,CX$3),Report_BM!$DN$6:$DN$73)</f>
        <v>101750000</v>
      </c>
      <c r="CY61" s="103"/>
      <c r="CZ61" s="104"/>
      <c r="DA61" s="104"/>
      <c r="DB61" s="104"/>
      <c r="DC61" s="104"/>
      <c r="DD61" s="104"/>
      <c r="DE61" s="45">
        <f>SUMIF(Report_BM!$EG$6:$EG$73,CONCATENATE($C61,DM$3),Report_BM!$DS$6:$DS$73)+SUMIF(Report_BM!$EG$6:$EG$73,CONCATENATE($C61,DM$3),Report_BM!$DV$6:$DV$73)</f>
        <v>0</v>
      </c>
      <c r="DF61" s="46">
        <f ca="1">SUMIF(Report_BM!$EG$6:$EG$73,CONCATENATE($C61,$DM$3),Report_BM!$DT$6:$DT$73)+SUMIF(Report_BM!$EG$6:$EG$73,CONCATENATE($C61,$DM$3),Report_BM!$DW$6:$DW$73)</f>
        <v>101750000</v>
      </c>
      <c r="DG61" s="45">
        <f>SUMIF(Report_BM!$EG$6:$EG$73,CONCATENATE($C61,DM$3),Report_BM!$DY$6:$DY$73)</f>
        <v>0</v>
      </c>
      <c r="DH61" s="39">
        <f>SUMIF(Report_BM!EG$6:EG$73,CONCATENATE($C61,DM$3),Report_BM!DZ$6:DZ$73)</f>
        <v>0</v>
      </c>
      <c r="DI61" s="39">
        <f>SUMIF(Report_BM!EG$6:EG$73,CONCATENATE($C61,DM$3),Report_BM!$EA$6:$EA$73)</f>
        <v>0</v>
      </c>
      <c r="DJ61" s="39">
        <f>SUMIF(Report_BM!EG$6:EG$73,CONCATENATE($C61,DM$3),Report_BM!$EB$6:$EB$73)</f>
        <v>0</v>
      </c>
      <c r="DK61" s="46">
        <f>SUMIF(Master_Data!$AK$152:$AK$864,CONCATENATE($C61,DM$3),Master_Data!$T$152:$T$864)</f>
        <v>0</v>
      </c>
      <c r="DL61" s="45">
        <f>SUMIF(Report_BM!EG$6:EG$73,CONCATENATE($C61,DM$3),Report_BM!ED$6:ED$73)</f>
        <v>0</v>
      </c>
      <c r="DM61" s="39">
        <f ca="1">SUMIF(Report_BM!EG$6:EG$73,CONCATENATE($C61,DM$3),Report_BM!EE$6:EE$73)</f>
        <v>101750000</v>
      </c>
      <c r="DN61" s="103"/>
      <c r="DO61" s="104"/>
      <c r="DP61" s="104"/>
      <c r="DQ61" s="104"/>
      <c r="DR61" s="104"/>
      <c r="DS61" s="104"/>
      <c r="DT61" s="45">
        <f>SUMIF(Report_BM!$EX$6:$EX$73,CONCATENATE($C61,EB$3),Report_BM!$EJ$6:$EJ$73)+SUMIF(Report_BM!$EX$6:$EX$73,CONCATENATE($C61,EB$3),Report_BM!$EM$6:$EM$73)</f>
        <v>0</v>
      </c>
      <c r="DU61" s="46">
        <f ca="1">SUMIF(Report_BM!$EX$6:$EX$73,CONCATENATE($C61,$EB$3),Report_BM!$EK$6:$EK$73)+SUMIF(Report_BM!$EX$6:$EX$73,CONCATENATE($C61,$EB$3),Report_BM!$EN$6:$EN$73)</f>
        <v>101750000</v>
      </c>
      <c r="DV61" s="45">
        <f>SUMIF(Report_BM!$EX$6:$EX$73,CONCATENATE($C61,EB$3),Report_BM!$EP$6:$EP$73)</f>
        <v>0</v>
      </c>
      <c r="DW61" s="39">
        <f>SUMIF(Report_BM!$EX$6:$EX$73,CONCATENATE($C61,EB$3),Report_BM!$EQ$6:$EQ$73)</f>
        <v>0</v>
      </c>
      <c r="DX61" s="39">
        <f>SUMIF(Report_BM!$EX$6:$EX$73,CONCATENATE($C61,EB$3),Report_BM!$ER$6:$ER$73)</f>
        <v>0</v>
      </c>
      <c r="DY61" s="39">
        <f>SUMIF(Report_BM!$EX$6:$EX$73,CONCATENATE($C61,EB$3),Report_BM!$ES$6:$ES$73)</f>
        <v>0</v>
      </c>
      <c r="DZ61" s="46">
        <f>SUMIF(Master_Data!$AK$152:$AK$864,CONCATENATE($C61,EB$3),Master_Data!$T$152:$T$864)</f>
        <v>0</v>
      </c>
      <c r="EA61" s="45">
        <f>SUMIF(Report_BM!EX$6:EX$73,CONCATENATE($C61,EB$3),Report_BM!EU$6:EU$73)</f>
        <v>0</v>
      </c>
      <c r="EB61" s="39">
        <f>SUMIF(Report_BM!EX$6:EX$73,CONCATENATE($C61,EB$3),Report_BM!EV$6:EV$73)</f>
        <v>0</v>
      </c>
      <c r="EC61" s="103"/>
      <c r="ED61" s="104"/>
      <c r="EE61" s="104"/>
      <c r="EF61" s="104"/>
      <c r="EG61" s="104"/>
      <c r="EH61" s="104"/>
      <c r="EI61" s="45">
        <f>SUMIF(Report_BM!$FO$6:$FO$73,CONCATENATE($C61,EQ$3),Report_BM!$FA$6:$FA$73)+SUMIF(Report_BM!$FO$6:$FO$73,CONCATENATE($C61,EQ$3),Report_BM!$FD$6:$FD$73)</f>
        <v>0</v>
      </c>
      <c r="EJ61" s="46">
        <f>SUMIF(Report_BM!$FO$6:$FO$73,CONCATENATE($C61,$EQ$3),Report_BM!$FB$6:$FB$73)+SUMIF(Report_BM!$FO$6:$FO$73,CONCATENATE($C61,$EQ$3),Report_BM!$FE$6:$FE$73)</f>
        <v>0</v>
      </c>
      <c r="EK61" s="45">
        <f>SUMIF(Report_BM!$FO$6:$FO$73,CONCATENATE($C61,EQ$3),Report_BM!$FG$6:$FG$73)</f>
        <v>0</v>
      </c>
      <c r="EL61" s="39">
        <f>SUMIF(Report_BM!$FO$6:$FO$73,CONCATENATE($C61,EQ$3),Report_BM!$FH$6:$FH$73)</f>
        <v>0</v>
      </c>
      <c r="EM61" s="39">
        <f>SUMIF(Report_BM!$FO$6:$FO$73,CONCATENATE($C61,EQ$3),Report_BM!$FI$6:$FI$73)</f>
        <v>0</v>
      </c>
      <c r="EN61" s="39">
        <f>SUMIF(Report_BM!$FO$6:$FO$73,CONCATENATE($C61,EQ$3),Report_BM!$FJ$6:$FJ$73)</f>
        <v>0</v>
      </c>
      <c r="EO61" s="46">
        <f>SUMIF(Master_Data!$AK$152:$AK$864,CONCATENATE($C61,EQ$3),Master_Data!$T$152:$T$864)</f>
        <v>0</v>
      </c>
      <c r="EP61" s="45">
        <f>SUMIF(Report_BM!FO$6:FO$73,CONCATENATE($C61,EQ$3),Report_BM!FL$6:FL$73)</f>
        <v>0</v>
      </c>
      <c r="EQ61" s="39">
        <f>SUMIF(Report_BM!FO$6:FO$73,CONCATENATE($C61,EQ$3),Report_BM!FM$6:FM$73)</f>
        <v>0</v>
      </c>
      <c r="ER61" s="103"/>
      <c r="ES61" s="104"/>
      <c r="ET61" s="104"/>
      <c r="EU61" s="104"/>
      <c r="EV61" s="104"/>
      <c r="EW61" s="104"/>
      <c r="EX61" s="45">
        <f>SUMIF(Report_BM!$GF$6:$GF$73,CONCATENATE($C61,FF$3),Report_BM!$FR$6:$FR$73)+SUMIF(Report_BM!$GF$6:$GF$73,CONCATENATE($C61,FF$3),Report_BM!$FU$6:$FU$73)</f>
        <v>0</v>
      </c>
      <c r="EY61" s="46">
        <f>SUMIF(Report_BM!$GF$6:$GF$73,CONCATENATE($C61,$FF$3),Report_BM!$FS$6:$FS$73)+SUMIF(Report_BM!$GF$6:$GF$73,CONCATENATE($C61,$FF$3),Report_BM!$FV$6:$FV$73)</f>
        <v>0</v>
      </c>
      <c r="EZ61" s="45">
        <f>SUMIF(Report_BM!$GF$6:$GF$73,CONCATENATE($C61,FF$3),Report_BM!$FX$6:$FX$73)</f>
        <v>0</v>
      </c>
      <c r="FA61" s="39">
        <f>SUMIF(Report_BM!$GF$6:$GF$73,CONCATENATE($C61,FF$3),Report_BM!$FY$6:$FY$73)</f>
        <v>0</v>
      </c>
      <c r="FB61" s="39">
        <f>SUMIF(Report_BM!$GF$6:$GF$73,CONCATENATE($C61,FF$3),Report_BM!$FZ$6:$FZ$73)</f>
        <v>0</v>
      </c>
      <c r="FC61" s="39">
        <f>SUMIF(Report_BM!$GF$6:$GF$73,CONCATENATE($C61,FF$3),Report_BM!$GA$6:$GA$73)</f>
        <v>0</v>
      </c>
      <c r="FD61" s="46">
        <f>SUMIF(Master_Data!$AK$152:$AK$864,CONCATENATE($C61,FF$3),Master_Data!$T$152:$T$864)</f>
        <v>0</v>
      </c>
      <c r="FE61" s="45">
        <f>SUMIF(Report_BM!GF$6:GF$73,CONCATENATE($C61,FF$3),Report_BM!GC$6:GC$73)</f>
        <v>0</v>
      </c>
      <c r="FF61" s="39">
        <f>SUMIF(Report_BM!GF$6:GF$73,CONCATENATE($C61,FF$3),Report_BM!GD$6:GD$73)</f>
        <v>0</v>
      </c>
      <c r="FG61" s="103"/>
      <c r="FH61" s="104"/>
      <c r="FI61" s="104"/>
      <c r="FJ61" s="104"/>
      <c r="FK61" s="104"/>
      <c r="FL61" s="104"/>
      <c r="FM61" s="45">
        <f>SUMIF(Report_BM!$GW$6:$GW$73,CONCATENATE($C61,FU$3),Report_BM!$GI$6:$GI$73)+SUMIF(Report_BM!$GW$6:$GW$73,CONCATENATE($C61,FU$3),Report_BM!$GL$6:$GL$73)</f>
        <v>0</v>
      </c>
      <c r="FN61" s="46">
        <f>SUMIF(Report_BM!$GW$6:$GW$73,CONCATENATE($C61,$FU$3),Report_BM!$GJ$6:$GJ$73)+SUMIF(Report_BM!$GW$6:$GW$73,CONCATENATE($C61,$FU$3),Report_BM!$GM$6:$GM$73)</f>
        <v>0</v>
      </c>
      <c r="FO61" s="45">
        <f>SUMIF(Report_BM!$GW$6:$GW$73,CONCATENATE($C61,FU$3),Report_BM!$GO$6:$GO$73)</f>
        <v>0</v>
      </c>
      <c r="FP61" s="39">
        <f>SUMIF(Report_BM!$GW$6:$GW$73,CONCATENATE($C61,FU$3),Report_BM!$GP$6:$GP$73)</f>
        <v>0</v>
      </c>
      <c r="FQ61" s="39">
        <f>SUMIF(Report_BM!$GW$6:$GW$73,CONCATENATE($C61,FU$3),Report_BM!$GQ$6:$GQ$73)</f>
        <v>0</v>
      </c>
      <c r="FR61" s="39">
        <f>SUMIF(Report_BM!$GW$6:$GW$73,CONCATENATE($C61,FU$3),Report_BM!$GR$6:$GR$73)</f>
        <v>0</v>
      </c>
      <c r="FS61" s="46">
        <f>SUMIF(Master_Data!$AK$152:$AK$864,CONCATENATE($C61,FU$3),Master_Data!$T$152:$T$864)</f>
        <v>0</v>
      </c>
      <c r="FT61" s="45">
        <f>SUMIF(Report_BM!GW$6:GW$73,CONCATENATE($C61,FU$3),Report_BM!GT$6:GT$73)</f>
        <v>0</v>
      </c>
      <c r="FU61" s="39">
        <f>SUMIF(Report_BM!GW$6:GW$73,CONCATENATE($C61,FU$3),Report_BM!GU$6:GU$73)</f>
        <v>0</v>
      </c>
      <c r="FV61" s="103"/>
      <c r="FW61" s="104"/>
      <c r="FX61" s="104"/>
      <c r="FY61" s="104"/>
      <c r="FZ61" s="104"/>
      <c r="GA61" s="104"/>
    </row>
    <row r="62" spans="1:183" s="40" customFormat="1" ht="14.1" customHeight="1">
      <c r="A62" s="9">
        <v>56</v>
      </c>
      <c r="B62" s="328" t="s">
        <v>453</v>
      </c>
      <c r="C62" s="8" t="s">
        <v>445</v>
      </c>
      <c r="D62" s="45">
        <f>SUMIF(Report_BM!$B$6:$B$73,CONCATENATE($C62,L$3),Report_BM!$E$6:$E$73)+SUMIF(Report_BM!$B$6:$B$73,CONCATENATE($C62,L$3),Report_BM!$H$6:$H$73)</f>
        <v>0</v>
      </c>
      <c r="E62" s="276" t="e">
        <f>SUMIF(Report_BM!$B$6:$B$73,CONCATENATE($C62,L$3),Report_BM!$F$6:$F$73)+SUMIF(Report_BM!$B$6:$B$73,CONCATENATE($C62,L$3),Report_BM!$I$6:$I$73)</f>
        <v>#VALUE!</v>
      </c>
      <c r="F62" s="45">
        <f>SUMIF(Report_BM!$B$6:$B$73,CONCATENATE($C62,L$3),Report_BM!$K$6:$K$73)</f>
        <v>0</v>
      </c>
      <c r="G62" s="39">
        <f>SUMIF(Report_BM!$B$6:$B$73,CONCATENATE($C62,$L$3),Report_BM!$L$6:$L$73)</f>
        <v>0</v>
      </c>
      <c r="H62" s="39">
        <f>SUMIF(Report_BM!$B$6:$B$73,CONCATENATE($C62,$L$3),Report_BM!$M$6:$M$73)</f>
        <v>22000000</v>
      </c>
      <c r="I62" s="39">
        <f>SUMIF(Report_BM!$B$6:$B$73,CONCATENATE($C62,$L$3),Report_BM!$N$6:$N$73)</f>
        <v>0</v>
      </c>
      <c r="J62" s="46">
        <f>SUMIF(Report_BM!$B$6:$B$73,CONCATENATE($C62,$L$3),Report_BM!$O$6:$O$73)</f>
        <v>0</v>
      </c>
      <c r="K62" s="45">
        <f>SUMIF(Report_BM!$B$6:$B$73,CONCATENATE($C62,$L$3),Report_BM!$P$6:$P$73)</f>
        <v>0</v>
      </c>
      <c r="L62" s="39" t="e">
        <f>SUMIF(Report_BM!$B$6:$B$73,CONCATENATE($C62,$L$3),Report_BM!$Q$6:$Q$73)</f>
        <v>#VALUE!</v>
      </c>
      <c r="M62" s="103"/>
      <c r="N62" s="104"/>
      <c r="O62" s="104"/>
      <c r="P62" s="104"/>
      <c r="Q62" s="104"/>
      <c r="R62" s="104"/>
      <c r="S62" s="45">
        <f>SUMIF(Report_BM!$AI$8:$AI$72,CONCATENATE($C62,AA$3),Report_BM!$U$8:$U$72)+SUMIF(Report_BM!$AI$8:$AI$72,CONCATENATE($C62,AA$3),Report_BM!$X$8:$X$72)</f>
        <v>0</v>
      </c>
      <c r="T62" s="276" t="e">
        <f>SUMIF(Report_BM!$AI$8:$AI$72,CONCATENATE($C62,AA$3),Report_BM!$V$8:$V$72)+SUMIF(Report_BM!$AI$8:$AI$72,CONCATENATE($C62,AA$3),Report_BM!$Y$8:$Y$72)</f>
        <v>#VALUE!</v>
      </c>
      <c r="U62" s="45">
        <f>SUMIF(Report_BM!$AI$8:$AI$72,CONCATENATE($C62,AA$3),Report_BM!$AA$8:$AB$72)</f>
        <v>0</v>
      </c>
      <c r="V62" s="39">
        <f>SUMIF(Report_BM!$AI$8:$AI$72,CONCATENATE($C62,$AA$3),Report_BM!$AB$8:$AB$72)</f>
        <v>0</v>
      </c>
      <c r="W62" s="39">
        <f>SUMIF(Report_BM!$AI$8:$AI$72,CONCATENATE($C62,$AA$3),Report_BM!$AC$8:$AC$72)</f>
        <v>11000000</v>
      </c>
      <c r="X62" s="39">
        <f ca="1">SUMIF(Report_BM!$AI$7:$AI$73,CONCATENATE($C62,$AA$3),Report_BM!$AD$7:$AD$73)</f>
        <v>0</v>
      </c>
      <c r="Y62" s="46">
        <f>SUMIF(Master_Data!$AK$152:$AK$864,CONCATENATE($C62,AA$3),Master_Data!$T$152:$T$864)</f>
        <v>0</v>
      </c>
      <c r="Z62" s="45">
        <f>SUMIF(Report_BM!$AI$8:$AI$72,CONCATENATE($C62,$AA$3),Report_BM!$AF$8:$AF$72)</f>
        <v>0</v>
      </c>
      <c r="AA62" s="39" t="e">
        <f ca="1">SUMIF(Report_BM!$AI$8:$AI$72,CONCATENATE($C62,$AA$3),Report_BM!$AG$8:$AG$72)</f>
        <v>#VALUE!</v>
      </c>
      <c r="AB62" s="103"/>
      <c r="AC62" s="104"/>
      <c r="AD62" s="104"/>
      <c r="AE62" s="104"/>
      <c r="AF62" s="104"/>
      <c r="AG62" s="104"/>
      <c r="AH62" s="45">
        <f>SUMIF(Report_BM!$AZ$5:$AZ$72,CONCATENATE($C62,AP$3),Report_BM!$AL$5:$AL$72)+SUMIF(Report_BM!$AZ$5:$AZ$72,CONCATENATE($C62,AP$3),Report_BM!$AO$5:$AO$72)</f>
        <v>0</v>
      </c>
      <c r="AI62" s="46" t="e">
        <f ca="1">SUMIF(Report_BM!$AZ$5:$AZ$72,CONCATENATE($C62,$AP$3),Report_BM!$AM$5:$AM$72)+SUMIF(Report_BM!$AZ$5:$AZ$72,CONCATENATE($C62,$AP$3),Report_BM!$AP$5:$AP$72)</f>
        <v>#VALUE!</v>
      </c>
      <c r="AJ62" s="45">
        <f>SUMIF(Report_BM!$AZ$5:$AZ$72,CONCATENATE($C62,$AP$3),Report_BM!$AR$5:$AR$72)</f>
        <v>0</v>
      </c>
      <c r="AK62" s="39">
        <f>SUMIF(Report_BM!$AZ$5:$AZ$72,CONCATENATE($C62,$AP$3),Report_BM!$AS$5:$AS$72)</f>
        <v>0</v>
      </c>
      <c r="AL62" s="39">
        <f>SUMIF(Report_BM!$AZ$5:$AZ$72,CONCATENATE($C62,$AP$3),Report_BM!$AT$5:$AT$72)</f>
        <v>0</v>
      </c>
      <c r="AM62" s="39">
        <f ca="1">SUMIF(Report_BM!$AZ$5:$AZ$72,CONCATENATE($C62,$AP$3),Report_BM!$AU$5:$AU$72)</f>
        <v>0</v>
      </c>
      <c r="AN62" s="46">
        <f>SUMIF(Master_Data!$AK$152:$AK$915,CONCATENATE($C62,AP$3),Master_Data!$T$152:$T$915)</f>
        <v>0</v>
      </c>
      <c r="AO62" s="45">
        <f>SUMIF(Report_BM!$AZ$5:$AZ$72,CONCATENATE($C62,$AP$3),Report_BM!$AW$5:$AW$72)</f>
        <v>0</v>
      </c>
      <c r="AP62" s="39" t="e">
        <f ca="1">SUMIF(Report_BM!$AZ$5:$AZ$72,CONCATENATE($C62,$AP$3),Report_BM!$AX$5:$AX$72)</f>
        <v>#VALUE!</v>
      </c>
      <c r="AQ62" s="103"/>
      <c r="AR62" s="104"/>
      <c r="AS62" s="104"/>
      <c r="AT62" s="104"/>
      <c r="AU62" s="104"/>
      <c r="AV62" s="104"/>
      <c r="AW62" s="45">
        <f>SUMIF(Report_BM!$BQ$6:$BQ$73,CONCATENATE($C62,BE$3),Report_BM!$BC$6:$BC$73)+SUMIF(Report_BM!$BQ$6:$BQ$73,CONCATENATE($C62,BE$3),Report_BM!$BF$6:$BF$73)</f>
        <v>0</v>
      </c>
      <c r="AX62" s="46" t="e">
        <f ca="1">SUMIF(Report_BM!$BQ$6:$BQ$73,CONCATENATE($C62,$BE$3),Report_BM!$BD$6:$BD$73)+SUMIF(Report_BM!$BQ$6:$BQ$73,CONCATENATE($C62,$BE$3),Report_BM!$BG$6:$BG$73)</f>
        <v>#VALUE!</v>
      </c>
      <c r="AY62" s="45">
        <f>SUMIF(Report_BM!$BQ$6:$BQ$73,CONCATENATE($C62,BE$3),Report_BM!$BI$6:$BI$73)</f>
        <v>0</v>
      </c>
      <c r="AZ62" s="39">
        <f>SUMIF(Report_BM!$BQ$6:$BQ$73,CONCATENATE($C62,BE$3),Report_BM!$BJ$6:$BJ$73)</f>
        <v>0</v>
      </c>
      <c r="BA62" s="39">
        <f>SUMIF(Report_BM!$BQ$6:$BQ$73,CONCATENATE($C62,BE$3),Report_BM!$BK$6:$BK$73)</f>
        <v>22000000</v>
      </c>
      <c r="BB62" s="39">
        <f>SUMIF(Report_BM!$BQ$6:$BQ$73,CONCATENATE($C62,BE$3),Report_BM!$BL$6:$BL$73)</f>
        <v>0</v>
      </c>
      <c r="BC62" s="46">
        <f>SUMIF(Master_Data!$AK$152:$AK$864,CONCATENATE($C62,BE$3),Master_Data!$T$152:$T$864)</f>
        <v>0</v>
      </c>
      <c r="BD62" s="45">
        <f>SUMIF(Report_BM!$BQ$6:$BQ$73,CONCATENATE($C62,BE$3),Report_BM!$BN$6:$BN$73)</f>
        <v>0</v>
      </c>
      <c r="BE62" s="39" t="e">
        <f ca="1">SUMIF(Report_BM!$BQ$6:$BQ$73,CONCATENATE($C62,BE$3),Report_BM!$BO$6:$BO$73)</f>
        <v>#VALUE!</v>
      </c>
      <c r="BF62" s="103"/>
      <c r="BG62" s="104"/>
      <c r="BH62" s="104"/>
      <c r="BI62" s="104"/>
      <c r="BJ62" s="104"/>
      <c r="BK62" s="104"/>
      <c r="BL62" s="45">
        <f>SUMIF(Report_BM!$CH$6:$CH$73,CONCATENATE($C62,BT$3),Report_BM!$BT$6:$BT$73)+SUMIF(Report_BM!$CH$6:$CH$73,CONCATENATE($C62,BT$3),Report_BM!$BW$6:$BW$73)</f>
        <v>0</v>
      </c>
      <c r="BM62" s="46" t="e">
        <f ca="1">SUMIF(Report_BM!$CH$6:$CH$73,CONCATENATE($C62,$BT$3),Report_BM!$BU$6:$BU$73)+SUMIF(Report_BM!$CH$6:$CH$73,CONCATENATE($C62,$BT$3),Report_BM!$BX$6:$BX$73)</f>
        <v>#VALUE!</v>
      </c>
      <c r="BN62" s="45">
        <f>SUMIF(Report_BM!$CH$6:$CH$73,CONCATENATE($C62,BT$3),Report_BM!$BZ$6:$BZ$73)</f>
        <v>0</v>
      </c>
      <c r="BO62" s="39">
        <f>SUMIF(Report_BM!$CH$6:$CH$73,CONCATENATE($C62,BT$3),Report_BM!$CA$6:$CA$73)</f>
        <v>0</v>
      </c>
      <c r="BP62" s="39">
        <f>SUMIF(Report_BM!$CH$6:$CH$73,CONCATENATE($C62,BT$3),Report_BM!$CB$6:$CB$73)</f>
        <v>0</v>
      </c>
      <c r="BQ62" s="39">
        <f>SUMIF(Report_BM!$CH$6:$CH$73,CONCATENATE($C62,BT$3),Report_BM!$CC$6:$CC$73)</f>
        <v>0</v>
      </c>
      <c r="BR62" s="46">
        <f>SUMIF(Master_Data!$AK$152:$AK$864,CONCATENATE($C62,BT$3),Master_Data!$T$152:$T$864)</f>
        <v>0</v>
      </c>
      <c r="BS62" s="45">
        <f>SUMIF(Report_BM!$CH$6:$CH$73,CONCATENATE($C62,BT$3),Report_BM!$CE$6:$CE$73)</f>
        <v>0</v>
      </c>
      <c r="BT62" s="39" t="e">
        <f ca="1">SUMIF(Report_BM!$CH$6:$CH$73,CONCATENATE($C62,BT$3),Report_BM!$CF$6:$CF$73)</f>
        <v>#VALUE!</v>
      </c>
      <c r="BU62" s="103"/>
      <c r="BV62" s="104"/>
      <c r="BW62" s="104"/>
      <c r="BX62" s="104"/>
      <c r="BY62" s="104"/>
      <c r="BZ62" s="104"/>
      <c r="CA62" s="45">
        <f>SUMIF(Report_BM!$CY$6:$CY$73,CONCATENATE($C62,CI$3),Report_BM!$CK$6:$CK$73)+SUMIF(Report_BM!$CY$6:$CY$73,CONCATENATE($C62,CI$3),Report_BM!$CN$6:$CN$73)</f>
        <v>0</v>
      </c>
      <c r="CB62" s="46" t="e">
        <f ca="1">SUMIF(Report_BM!$CY$6:$CY$73,CONCATENATE($C62,$CI$3),Report_BM!$CL$6:$CL$73)+SUMIF(Report_BM!$CY$6:$CY$73,CONCATENATE($C62,$CI$3),Report_BM!$CO$6:$CO$73)</f>
        <v>#VALUE!</v>
      </c>
      <c r="CC62" s="45">
        <f>SUMIF(Report_BM!$CY$6:$CY$73,CONCATENATE($C62,CI$3),Report_BM!$CQ$6:$CQ$73)</f>
        <v>0</v>
      </c>
      <c r="CD62" s="39">
        <f>SUMIF(Report_BM!$CY$6:$CY$73,CONCATENATE($C62,CI$3),Report_BM!$CR$6:$CR$73)</f>
        <v>0</v>
      </c>
      <c r="CE62" s="39">
        <f>SUMIF(Report_BM!$CY$6:$CY$73,CONCATENATE($C62,CI$3),Report_BM!$CS$6:$CS$73)</f>
        <v>22000000</v>
      </c>
      <c r="CF62" s="39">
        <f ca="1">SUMIF(Report_BM!$CY$6:$CY$73,CONCATENATE($C62,CI$3),Report_BM!$CT$6:$CT$73)</f>
        <v>0</v>
      </c>
      <c r="CG62" s="46">
        <f>SUMIF(Report_BM!$CY$6:$CY$73,CONCATENATE($C62,CI$3),Report_BM!$CU$6:$CU$73)</f>
        <v>0</v>
      </c>
      <c r="CH62" s="45">
        <f>SUMIF(Report_BM!$CY$6:$CY$73,CONCATENATE($C62,CI$3),Report_BM!$CV$6:$CV$73)</f>
        <v>0</v>
      </c>
      <c r="CI62" s="39" t="e">
        <f ca="1">SUMIF(Report_BM!$CY$6:$CY$73,CONCATENATE($C62,CI$3),Report_BM!$CW$6:$CW$73)</f>
        <v>#VALUE!</v>
      </c>
      <c r="CJ62" s="103"/>
      <c r="CK62" s="104"/>
      <c r="CL62" s="104"/>
      <c r="CM62" s="104"/>
      <c r="CN62" s="104"/>
      <c r="CO62" s="104"/>
      <c r="CP62" s="45">
        <f>SUMIF(Report_BM!$DP$6:$DP$73,CONCATENATE($C62,CX$3),Report_BM!$DB$6:$DB$73)+SUMIF(Report_BM!$DP$6:$DP$73,CONCATENATE($C62,CX$3),Report_BM!$DE$6:$DE$73)</f>
        <v>0</v>
      </c>
      <c r="CQ62" s="46" t="e">
        <f ca="1">SUMIF(Report_BM!$DP$6:$DP$73,CONCATENATE($C62,$CX$3),Report_BM!$DC$6:$DC$73)+SUMIF(Report_BM!$DP$6:$DP$73,CONCATENATE($C62,$CX$3),Report_BM!$DF$6:$DF$73)</f>
        <v>#VALUE!</v>
      </c>
      <c r="CR62" s="45">
        <f>SUMIF(Report_BM!$DP$6:$DP$73,CONCATENATE($C62,CX$3),Report_BM!$DH$6:$DH$73)</f>
        <v>0</v>
      </c>
      <c r="CS62" s="39">
        <f>SUMIF(Report_BM!$DP$6:$DP$73,CONCATENATE($C62,CX$3),Report_BM!$DI$6:$DI$73)</f>
        <v>0</v>
      </c>
      <c r="CT62" s="39">
        <f>SUMIF(Report_BM!$DP$6:$DP$73,CONCATENATE($C62,CX$3),Report_BM!$DJ$6:$DJ$73)</f>
        <v>17966667</v>
      </c>
      <c r="CU62" s="39">
        <f>SUMIF(Report_BM!$DP$6:$DP$73,CONCATENATE($C62,CX$3),Report_BM!$DK$6:$DK$73)</f>
        <v>0</v>
      </c>
      <c r="CV62" s="46">
        <f>SUMIF(Master_Data!$AK$152:$AK$864,CONCATENATE($C62,CX$3),Master_Data!$T$152:$T$864)</f>
        <v>0</v>
      </c>
      <c r="CW62" s="45">
        <f>SUMIF(Report_BM!$DP$6:$DP$73,CONCATENATE($C62,CX$3),Report_BM!$DM$6:$DM$73)</f>
        <v>0</v>
      </c>
      <c r="CX62" s="39" t="e">
        <f ca="1">SUMIF(Report_BM!$DP$6:$DP$73,CONCATENATE($C62,CX$3),Report_BM!$DN$6:$DN$73)</f>
        <v>#VALUE!</v>
      </c>
      <c r="CY62" s="103"/>
      <c r="CZ62" s="104"/>
      <c r="DA62" s="104"/>
      <c r="DB62" s="104"/>
      <c r="DC62" s="104"/>
      <c r="DD62" s="104"/>
      <c r="DE62" s="45"/>
      <c r="DF62" s="46"/>
      <c r="DG62" s="45"/>
      <c r="DH62" s="39"/>
      <c r="DI62" s="39"/>
      <c r="DJ62" s="39">
        <f>SUMIF(Report_BM!EG$6:EG$73,CONCATENATE($C62,DM$3),Report_BM!$EB$6:$EB$73)</f>
        <v>0</v>
      </c>
      <c r="DK62" s="46">
        <f>SUMIF(Master_Data!$AK$152:$AK$864,CONCATENATE($C62,DM$3),Master_Data!$T$152:$T$864)</f>
        <v>0</v>
      </c>
      <c r="DL62" s="45"/>
      <c r="DM62" s="39"/>
      <c r="DN62" s="103"/>
      <c r="DO62" s="104"/>
      <c r="DP62" s="104"/>
      <c r="DQ62" s="104"/>
      <c r="DR62" s="104"/>
      <c r="DS62" s="104"/>
      <c r="DT62" s="45"/>
      <c r="DU62" s="46"/>
      <c r="DV62" s="45"/>
      <c r="DW62" s="39"/>
      <c r="DX62" s="39"/>
      <c r="DY62" s="39">
        <f>SUMIF(Report_BM!$EX$6:$EX$73,CONCATENATE($C62,EB$3),Report_BM!$ES$6:$ES$73)</f>
        <v>0</v>
      </c>
      <c r="DZ62" s="46">
        <f>SUMIF(Master_Data!$AK$152:$AK$864,CONCATENATE($C62,EB$3),Master_Data!$T$152:$T$864)</f>
        <v>0</v>
      </c>
      <c r="EA62" s="45"/>
      <c r="EB62" s="39"/>
      <c r="EC62" s="103"/>
      <c r="ED62" s="104"/>
      <c r="EE62" s="104"/>
      <c r="EF62" s="104"/>
      <c r="EG62" s="104"/>
      <c r="EH62" s="104"/>
      <c r="EI62" s="45"/>
      <c r="EJ62" s="46"/>
      <c r="EK62" s="45"/>
      <c r="EL62" s="39"/>
      <c r="EM62" s="39"/>
      <c r="EN62" s="39">
        <f>SUMIF(Report_BM!$FO$6:$FO$73,CONCATENATE($C62,EQ$3),Report_BM!$FJ$6:$FJ$73)</f>
        <v>0</v>
      </c>
      <c r="EO62" s="46">
        <f>SUMIF(Master_Data!$AK$152:$AK$864,CONCATENATE($C62,EQ$3),Master_Data!$T$152:$T$864)</f>
        <v>0</v>
      </c>
      <c r="EP62" s="45"/>
      <c r="EQ62" s="39"/>
      <c r="ER62" s="103"/>
      <c r="ES62" s="104"/>
      <c r="ET62" s="104"/>
      <c r="EU62" s="104"/>
      <c r="EV62" s="104"/>
      <c r="EW62" s="104"/>
      <c r="EX62" s="45">
        <f>SUMIF(Report_BM!$GF$6:$GF$73,CONCATENATE($C62,FF$3),Report_BM!$FR$6:$FR$73)+SUMIF(Report_BM!$GF$6:$GF$73,CONCATENATE($C62,FF$3),Report_BM!$FU$6:$FU$73)</f>
        <v>0</v>
      </c>
      <c r="EY62" s="46" t="e">
        <f>SUMIF(Report_BM!$GF$6:$GF$73,CONCATENATE($C62,$FF$3),Report_BM!$FS$6:$FS$73)+SUMIF(Report_BM!$GF$6:$GF$73,CONCATENATE($C62,$FF$3),Report_BM!$FV$6:$FV$73)</f>
        <v>#VALUE!</v>
      </c>
      <c r="EZ62" s="45">
        <f>SUMIF(Report_BM!$GF$6:$GF$73,CONCATENATE($C62,FF$3),Report_BM!$FX$6:$FX$73)</f>
        <v>0</v>
      </c>
      <c r="FA62" s="39">
        <f>SUMIF(Report_BM!$GF$6:$GF$73,CONCATENATE($C62,FF$3),Report_BM!$FY$6:$FY$73)</f>
        <v>0</v>
      </c>
      <c r="FB62" s="39">
        <f>SUMIF(Report_BM!$GF$6:$GF$73,CONCATENATE($C62,FF$3),Report_BM!$FZ$6:$FZ$73)</f>
        <v>11000000</v>
      </c>
      <c r="FC62" s="39">
        <f>SUMIF(Report_BM!$GF$6:$GF$73,CONCATENATE($C62,FF$3),Report_BM!$GA$6:$GA$73)</f>
        <v>0</v>
      </c>
      <c r="FD62" s="46">
        <f>SUMIF(Master_Data!$AK$152:$AK$864,CONCATENATE($C62,FF$3),Master_Data!$T$152:$T$864)</f>
        <v>0</v>
      </c>
      <c r="FE62" s="45">
        <f>SUMIF(Report_BM!GF$6:GF$73,CONCATENATE($C62,FF$3),Report_BM!GC$6:GC$73)</f>
        <v>0</v>
      </c>
      <c r="FF62" s="39" t="e">
        <f>SUMIF(Report_BM!GF$6:GF$73,CONCATENATE($C62,FF$3),Report_BM!GD$6:GD$73)</f>
        <v>#VALUE!</v>
      </c>
      <c r="FG62" s="103"/>
      <c r="FH62" s="104"/>
      <c r="FI62" s="104"/>
      <c r="FJ62" s="104"/>
      <c r="FK62" s="104"/>
      <c r="FL62" s="104"/>
      <c r="FM62" s="45">
        <f>SUMIF(Report_BM!$GW$6:$GW$73,CONCATENATE($C62,FU$3),Report_BM!$GI$6:$GI$73)+SUMIF(Report_BM!$GW$6:$GW$73,CONCATENATE($C62,FU$3),Report_BM!$GL$6:$GL$73)</f>
        <v>0</v>
      </c>
      <c r="FN62" s="46" t="e">
        <f>SUMIF(Report_BM!$GW$6:$GW$73,CONCATENATE($C62,$FU$3),Report_BM!$GJ$6:$GJ$73)+SUMIF(Report_BM!$GW$6:$GW$73,CONCATENATE($C62,$FU$3),Report_BM!$GM$6:$GM$73)</f>
        <v>#VALUE!</v>
      </c>
      <c r="FO62" s="45">
        <f>SUMIF(Report_BM!$GW$6:$GW$73,CONCATENATE($C62,FU$3),Report_BM!$GO$6:$GO$73)</f>
        <v>0</v>
      </c>
      <c r="FP62" s="39">
        <f>SUMIF(Report_BM!$GW$6:$GW$73,CONCATENATE($C62,FU$3),Report_BM!$GP$6:$GP$73)</f>
        <v>0</v>
      </c>
      <c r="FQ62" s="39">
        <f>SUMIF(Report_BM!$GW$6:$GW$73,CONCATENATE($C62,FU$3),Report_BM!$GQ$6:$GQ$73)</f>
        <v>0</v>
      </c>
      <c r="FR62" s="39">
        <f>SUMIF(Report_BM!$GW$6:$GW$73,CONCATENATE($C62,FU$3),Report_BM!$GR$6:$GR$73)</f>
        <v>0</v>
      </c>
      <c r="FS62" s="46">
        <f>SUMIF(Master_Data!$AK$152:$AK$864,CONCATENATE($C62,FU$3),Master_Data!$T$152:$T$864)</f>
        <v>0</v>
      </c>
      <c r="FT62" s="45">
        <f>SUMIF(Report_BM!GW$6:GW$73,CONCATENATE($C62,FU$3),Report_BM!GT$6:GT$73)</f>
        <v>0</v>
      </c>
      <c r="FU62" s="39" t="e">
        <f>SUMIF(Report_BM!GW$6:GW$73,CONCATENATE($C62,FU$3),Report_BM!GU$6:GU$73)</f>
        <v>#VALUE!</v>
      </c>
      <c r="FV62" s="103"/>
      <c r="FW62" s="104"/>
      <c r="FX62" s="104"/>
      <c r="FY62" s="104"/>
      <c r="FZ62" s="104"/>
      <c r="GA62" s="104"/>
    </row>
    <row r="63" spans="1:183" s="40" customFormat="1" ht="14.1" customHeight="1">
      <c r="A63" s="9">
        <v>57</v>
      </c>
      <c r="B63" s="328" t="s">
        <v>1664</v>
      </c>
      <c r="C63" s="8" t="s">
        <v>1623</v>
      </c>
      <c r="D63" s="45">
        <f>SUMIF(Report_BM!$B$6:$B$73,CONCATENATE($C63,L$3),Report_BM!$E$6:$E$73)+SUMIF(Report_BM!$B$6:$B$73,CONCATENATE($C63,L$3),Report_BM!$H$6:$H$73)</f>
        <v>0</v>
      </c>
      <c r="E63" s="276" t="e">
        <f>SUMIF(Report_BM!$B$6:$B$73,CONCATENATE($C63,L$3),Report_BM!$F$6:$F$73)+SUMIF(Report_BM!$B$6:$B$73,CONCATENATE($C63,L$3),Report_BM!$I$6:$I$73)</f>
        <v>#VALUE!</v>
      </c>
      <c r="F63" s="45">
        <f>SUMIF(Report_BM!$B$6:$B$73,CONCATENATE($C63,L$3),Report_BM!$K$6:$K$73)</f>
        <v>0</v>
      </c>
      <c r="G63" s="39">
        <f>SUMIF(Report_BM!$B$6:$B$73,CONCATENATE($C63,$L$3),Report_BM!$L$6:$L$73)</f>
        <v>0</v>
      </c>
      <c r="H63" s="39">
        <f>SUMIF(Report_BM!$B$6:$B$73,CONCATENATE($C63,$L$3),Report_BM!$M$6:$M$73)</f>
        <v>64800000</v>
      </c>
      <c r="I63" s="39">
        <f>SUMIF(Report_BM!$B$6:$B$73,CONCATENATE($C63,$L$3),Report_BM!$N$6:$N$73)</f>
        <v>0</v>
      </c>
      <c r="J63" s="46">
        <f>SUMIF(Report_BM!$B$6:$B$73,CONCATENATE($C63,$L$3),Report_BM!$O$6:$O$73)</f>
        <v>-1200000</v>
      </c>
      <c r="K63" s="45">
        <f>SUMIF(Report_BM!$B$6:$B$73,CONCATENATE($C63,$L$3),Report_BM!$P$6:$P$73)</f>
        <v>0</v>
      </c>
      <c r="L63" s="39" t="e">
        <f>SUMIF(Report_BM!$B$6:$B$73,CONCATENATE($C63,$L$3),Report_BM!$Q$6:$Q$73)</f>
        <v>#VALUE!</v>
      </c>
      <c r="M63" s="103"/>
      <c r="N63" s="104"/>
      <c r="O63" s="104"/>
      <c r="P63" s="104"/>
      <c r="Q63" s="104"/>
      <c r="R63" s="104"/>
      <c r="S63" s="45">
        <f>SUMIF(Report_BM!$AI$8:$AI$72,CONCATENATE($C63,AA$3),Report_BM!$U$8:$U$72)+SUMIF(Report_BM!$AI$8:$AI$72,CONCATENATE($C63,AA$3),Report_BM!$X$8:$X$72)</f>
        <v>0</v>
      </c>
      <c r="T63" s="276" t="e">
        <f>SUMIF(Report_BM!$AI$8:$AI$72,CONCATENATE($C63,AA$3),Report_BM!$V$8:$V$72)+SUMIF(Report_BM!$AI$8:$AI$72,CONCATENATE($C63,AA$3),Report_BM!$Y$8:$Y$72)</f>
        <v>#VALUE!</v>
      </c>
      <c r="U63" s="45">
        <f>SUMIF(Report_BM!$AI$8:$AI$72,CONCATENATE($C63,AA$3),Report_BM!$AA$8:$AB$72)</f>
        <v>0</v>
      </c>
      <c r="V63" s="39">
        <f>SUMIF(Report_BM!$AI$8:$AI$72,CONCATENATE($C63,$AA$3),Report_BM!$AB$8:$AB$72)</f>
        <v>0</v>
      </c>
      <c r="W63" s="39">
        <f>SUMIF(Report_BM!$AI$8:$AI$72,CONCATENATE($C63,$AA$3),Report_BM!$AC$8:$AC$72)</f>
        <v>0</v>
      </c>
      <c r="X63" s="39">
        <f ca="1">SUMIF(Report_BM!$AI$7:$AI$73,CONCATENATE($C63,$AA$3),Report_BM!$AD$7:$AD$73)</f>
        <v>0</v>
      </c>
      <c r="Y63" s="46">
        <f>SUMIF(Master_Data!$AK$152:$AK$864,CONCATENATE($C63,AA$3),Master_Data!$T$152:$T$864)</f>
        <v>0</v>
      </c>
      <c r="Z63" s="45">
        <f>SUMIF(Report_BM!$AI$8:$AI$72,CONCATENATE($C63,$AA$3),Report_BM!$AF$8:$AF$72)</f>
        <v>0</v>
      </c>
      <c r="AA63" s="39" t="e">
        <f ca="1">SUMIF(Report_BM!$AI$8:$AI$72,CONCATENATE($C63,$AA$3),Report_BM!$AG$8:$AG$72)</f>
        <v>#VALUE!</v>
      </c>
      <c r="AB63" s="103"/>
      <c r="AC63" s="104"/>
      <c r="AD63" s="104"/>
      <c r="AE63" s="104"/>
      <c r="AF63" s="104"/>
      <c r="AG63" s="104"/>
      <c r="AH63" s="45">
        <f>SUMIF(Report_BM!$AZ$5:$AZ$72,CONCATENATE($C63,AP$3),Report_BM!$AL$5:$AL$72)+SUMIF(Report_BM!$AZ$5:$AZ$72,CONCATENATE($C63,AP$3),Report_BM!$AO$5:$AO$72)</f>
        <v>0</v>
      </c>
      <c r="AI63" s="46" t="e">
        <f ca="1">SUMIF(Report_BM!$AZ$5:$AZ$72,CONCATENATE($C63,$AP$3),Report_BM!$AM$5:$AM$72)+SUMIF(Report_BM!$AZ$5:$AZ$72,CONCATENATE($C63,$AP$3),Report_BM!$AP$5:$AP$72)</f>
        <v>#VALUE!</v>
      </c>
      <c r="AJ63" s="45">
        <f>SUMIF(Report_BM!$AZ$5:$AZ$72,CONCATENATE($C63,$AP$3),Report_BM!$AR$5:$AR$72)</f>
        <v>0</v>
      </c>
      <c r="AK63" s="39">
        <f>SUMIF(Report_BM!$AZ$5:$AZ$72,CONCATENATE($C63,$AP$3),Report_BM!$AS$5:$AS$72)</f>
        <v>0</v>
      </c>
      <c r="AL63" s="39">
        <f>SUMIF(Report_BM!$AZ$5:$AZ$72,CONCATENATE($C63,$AP$3),Report_BM!$AT$5:$AT$72)</f>
        <v>47520000</v>
      </c>
      <c r="AM63" s="39">
        <f ca="1">SUMIF(Report_BM!$AZ$5:$AZ$72,CONCATENATE($C63,$AP$3),Report_BM!$AU$5:$AU$72)</f>
        <v>0</v>
      </c>
      <c r="AN63" s="46">
        <f>SUMIF(Master_Data!$AK$152:$AK$915,CONCATENATE($C63,AP$3),Master_Data!$T$152:$T$915)</f>
        <v>-880000</v>
      </c>
      <c r="AO63" s="45">
        <f>SUMIF(Report_BM!$AZ$5:$AZ$72,CONCATENATE($C63,$AP$3),Report_BM!$AW$5:$AW$72)</f>
        <v>0</v>
      </c>
      <c r="AP63" s="39" t="e">
        <f ca="1">SUMIF(Report_BM!$AZ$5:$AZ$72,CONCATENATE($C63,$AP$3),Report_BM!$AX$5:$AX$72)</f>
        <v>#VALUE!</v>
      </c>
      <c r="AQ63" s="103"/>
      <c r="AR63" s="104"/>
      <c r="AS63" s="104"/>
      <c r="AT63" s="104"/>
      <c r="AU63" s="104"/>
      <c r="AV63" s="104"/>
      <c r="AW63" s="45">
        <f>SUMIF(Report_BM!$BQ$6:$BQ$73,CONCATENATE($C63,BE$3),Report_BM!$BC$6:$BC$73)+SUMIF(Report_BM!$BQ$6:$BQ$73,CONCATENATE($C63,BE$3),Report_BM!$BF$6:$BF$73)</f>
        <v>0</v>
      </c>
      <c r="AX63" s="46" t="e">
        <f ca="1">SUMIF(Report_BM!$BQ$6:$BQ$73,CONCATENATE($C63,$BE$3),Report_BM!$BD$6:$BD$73)+SUMIF(Report_BM!$BQ$6:$BQ$73,CONCATENATE($C63,$BE$3),Report_BM!$BG$6:$BG$73)</f>
        <v>#VALUE!</v>
      </c>
      <c r="AY63" s="45">
        <f>SUMIF(Report_BM!$BQ$6:$BQ$73,CONCATENATE($C63,BE$3),Report_BM!$BI$6:$BI$73)</f>
        <v>0</v>
      </c>
      <c r="AZ63" s="39">
        <f>SUMIF(Report_BM!$BQ$6:$BQ$73,CONCATENATE($C63,BE$3),Report_BM!$BJ$6:$BJ$73)</f>
        <v>0</v>
      </c>
      <c r="BA63" s="39">
        <f>SUMIF(Report_BM!$BQ$6:$BQ$73,CONCATENATE($C63,BE$3),Report_BM!$BK$6:$BK$73)</f>
        <v>0</v>
      </c>
      <c r="BB63" s="39">
        <f>SUMIF(Report_BM!$BQ$6:$BQ$73,CONCATENATE($C63,BE$3),Report_BM!$BL$6:$BL$73)</f>
        <v>0</v>
      </c>
      <c r="BC63" s="46">
        <f>SUMIF(Master_Data!$AK$152:$AK$864,CONCATENATE($C63,BE$3),Master_Data!$T$152:$T$864)</f>
        <v>0</v>
      </c>
      <c r="BD63" s="45">
        <f>SUMIF(Report_BM!$BQ$6:$BQ$73,CONCATENATE($C63,BE$3),Report_BM!$BN$6:$BN$73)</f>
        <v>0</v>
      </c>
      <c r="BE63" s="39" t="e">
        <f ca="1">SUMIF(Report_BM!$BQ$6:$BQ$73,CONCATENATE($C63,BE$3),Report_BM!$BO$6:$BO$73)</f>
        <v>#VALUE!</v>
      </c>
      <c r="BF63" s="103"/>
      <c r="BG63" s="104"/>
      <c r="BH63" s="104"/>
      <c r="BI63" s="104"/>
      <c r="BJ63" s="104"/>
      <c r="BK63" s="104"/>
      <c r="BL63" s="45">
        <f>SUMIF(Report_BM!$CH$6:$CH$73,CONCATENATE($C63,BT$3),Report_BM!$BT$6:$BT$73)+SUMIF(Report_BM!$CH$6:$CH$73,CONCATENATE($C63,BT$3),Report_BM!$BW$6:$BW$73)</f>
        <v>0</v>
      </c>
      <c r="BM63" s="46" t="e">
        <f ca="1">SUMIF(Report_BM!$CH$6:$CH$73,CONCATENATE($C63,$BT$3),Report_BM!$BU$6:$BU$73)+SUMIF(Report_BM!$CH$6:$CH$73,CONCATENATE($C63,$BT$3),Report_BM!$BX$6:$BX$73)</f>
        <v>#VALUE!</v>
      </c>
      <c r="BN63" s="45">
        <f>SUMIF(Report_BM!$CH$6:$CH$73,CONCATENATE($C63,BT$3),Report_BM!$BZ$6:$BZ$73)</f>
        <v>0</v>
      </c>
      <c r="BO63" s="39">
        <f>SUMIF(Report_BM!$CH$6:$CH$73,CONCATENATE($C63,BT$3),Report_BM!$CA$6:$CA$73)</f>
        <v>0</v>
      </c>
      <c r="BP63" s="39">
        <f>SUMIF(Report_BM!$CH$6:$CH$73,CONCATENATE($C63,BT$3),Report_BM!$CB$6:$CB$73)</f>
        <v>23760000</v>
      </c>
      <c r="BQ63" s="39">
        <f>SUMIF(Report_BM!$CH$6:$CH$73,CONCATENATE($C63,BT$3),Report_BM!$CC$6:$CC$73)</f>
        <v>0</v>
      </c>
      <c r="BR63" s="46">
        <f>SUMIF(Master_Data!$AK$152:$AK$864,CONCATENATE($C63,BT$3),Master_Data!$T$152:$T$864)</f>
        <v>-440000</v>
      </c>
      <c r="BS63" s="45">
        <f>SUMIF(Report_BM!$CH$6:$CH$73,CONCATENATE($C63,BT$3),Report_BM!$CE$6:$CE$73)</f>
        <v>0</v>
      </c>
      <c r="BT63" s="39" t="e">
        <f ca="1">SUMIF(Report_BM!$CH$6:$CH$73,CONCATENATE($C63,BT$3),Report_BM!$CF$6:$CF$73)</f>
        <v>#VALUE!</v>
      </c>
      <c r="BU63" s="103"/>
      <c r="BV63" s="104"/>
      <c r="BW63" s="104"/>
      <c r="BX63" s="104"/>
      <c r="BY63" s="104"/>
      <c r="BZ63" s="104"/>
      <c r="CA63" s="45">
        <f>SUMIF(Report_BM!$CY$6:$CY$73,CONCATENATE($C63,CI$3),Report_BM!$CK$6:$CK$73)+SUMIF(Report_BM!$CY$6:$CY$73,CONCATENATE($C63,CI$3),Report_BM!$CN$6:$CN$73)</f>
        <v>0</v>
      </c>
      <c r="CB63" s="46" t="e">
        <f ca="1">SUMIF(Report_BM!$CY$6:$CY$73,CONCATENATE($C63,$CI$3),Report_BM!$CL$6:$CL$73)+SUMIF(Report_BM!$CY$6:$CY$73,CONCATENATE($C63,$CI$3),Report_BM!$CO$6:$CO$73)</f>
        <v>#VALUE!</v>
      </c>
      <c r="CC63" s="45">
        <f>SUMIF(Report_BM!$CY$6:$CY$73,CONCATENATE($C63,CI$3),Report_BM!$CQ$6:$CQ$73)</f>
        <v>0</v>
      </c>
      <c r="CD63" s="39">
        <f>SUMIF(Report_BM!$CY$6:$CY$73,CONCATENATE($C63,CI$3),Report_BM!$CR$6:$CR$73)</f>
        <v>0</v>
      </c>
      <c r="CE63" s="39">
        <f>SUMIF(Report_BM!$CY$6:$CY$73,CONCATENATE($C63,CI$3),Report_BM!$CS$6:$CS$73)</f>
        <v>23760000</v>
      </c>
      <c r="CF63" s="39">
        <f ca="1">SUMIF(Report_BM!$CY$6:$CY$73,CONCATENATE($C63,CI$3),Report_BM!$CT$6:$CT$73)</f>
        <v>0</v>
      </c>
      <c r="CG63" s="46">
        <f>SUMIF(Report_BM!$CY$6:$CY$73,CONCATENATE($C63,CI$3),Report_BM!$CU$6:$CU$73)</f>
        <v>-440000</v>
      </c>
      <c r="CH63" s="45">
        <f>SUMIF(Report_BM!$CY$6:$CY$73,CONCATENATE($C63,CI$3),Report_BM!$CV$6:$CV$73)</f>
        <v>0</v>
      </c>
      <c r="CI63" s="39" t="e">
        <f ca="1">SUMIF(Report_BM!$CY$6:$CY$73,CONCATENATE($C63,CI$3),Report_BM!$CW$6:$CW$73)</f>
        <v>#VALUE!</v>
      </c>
      <c r="CJ63" s="103"/>
      <c r="CK63" s="104"/>
      <c r="CL63" s="104"/>
      <c r="CM63" s="104"/>
      <c r="CN63" s="104"/>
      <c r="CO63" s="104"/>
      <c r="CP63" s="45">
        <f>SUMIF(Report_BM!$DP$6:$DP$73,CONCATENATE($C63,CX$3),Report_BM!$DB$6:$DB$73)+SUMIF(Report_BM!$DP$6:$DP$73,CONCATENATE($C63,CX$3),Report_BM!$DE$6:$DE$73)</f>
        <v>0</v>
      </c>
      <c r="CQ63" s="46" t="e">
        <f ca="1">SUMIF(Report_BM!$DP$6:$DP$73,CONCATENATE($C63,$CX$3),Report_BM!$DC$6:$DC$73)+SUMIF(Report_BM!$DP$6:$DP$73,CONCATENATE($C63,$CX$3),Report_BM!$DF$6:$DF$73)</f>
        <v>#VALUE!</v>
      </c>
      <c r="CR63" s="45">
        <f>SUMIF(Report_BM!$DP$6:$DP$73,CONCATENATE($C63,CX$3),Report_BM!$DH$6:$DH$73)</f>
        <v>0</v>
      </c>
      <c r="CS63" s="39">
        <f>SUMIF(Report_BM!$DP$6:$DP$73,CONCATENATE($C63,CX$3),Report_BM!$DI$6:$DI$73)</f>
        <v>0</v>
      </c>
      <c r="CT63" s="39">
        <f>SUMIF(Report_BM!$DP$6:$DP$73,CONCATENATE($C63,CX$3),Report_BM!$DJ$6:$DJ$73)</f>
        <v>23760000</v>
      </c>
      <c r="CU63" s="39">
        <f>SUMIF(Report_BM!$DP$6:$DP$73,CONCATENATE($C63,CX$3),Report_BM!$DK$6:$DK$73)</f>
        <v>0</v>
      </c>
      <c r="CV63" s="46">
        <f>SUMIF(Master_Data!$AK$152:$AK$864,CONCATENATE($C63,CX$3),Master_Data!$T$152:$T$864)</f>
        <v>-440000</v>
      </c>
      <c r="CW63" s="45">
        <f>SUMIF(Report_BM!$DP$6:$DP$73,CONCATENATE($C63,CX$3),Report_BM!$DM$6:$DM$73)</f>
        <v>0</v>
      </c>
      <c r="CX63" s="39" t="e">
        <f ca="1">SUMIF(Report_BM!$DP$6:$DP$73,CONCATENATE($C63,CX$3),Report_BM!$DN$6:$DN$73)</f>
        <v>#VALUE!</v>
      </c>
      <c r="CY63" s="103"/>
      <c r="CZ63" s="104"/>
      <c r="DA63" s="104"/>
      <c r="DB63" s="104"/>
      <c r="DC63" s="104"/>
      <c r="DD63" s="104"/>
      <c r="DE63" s="45">
        <f>SUMIF(Report_BM!$EG$6:$EG$73,CONCATENATE($C63,DM$3),Report_BM!$DS$6:$DS$73)+SUMIF(Report_BM!$EG$6:$EG$73,CONCATENATE($C63,DM$3),Report_BM!$DV$6:$DV$73)</f>
        <v>0</v>
      </c>
      <c r="DF63" s="46" t="e">
        <f ca="1">SUMIF(Report_BM!$EG$6:$EG$73,CONCATENATE($C63,$DM$3),Report_BM!$DT$6:$DT$73)+SUMIF(Report_BM!$EG$6:$EG$73,CONCATENATE($C63,$DM$3),Report_BM!$DW$6:$DW$73)</f>
        <v>#VALUE!</v>
      </c>
      <c r="DG63" s="45">
        <f>SUMIF(Report_BM!$EG$6:$EG$73,CONCATENATE($C63,DM$3),Report_BM!$DY$6:$DY$73)</f>
        <v>0</v>
      </c>
      <c r="DH63" s="39">
        <f>SUMIF(Report_BM!EG$6:EG$73,CONCATENATE($C63,DM$3),Report_BM!DZ$6:DZ$73)</f>
        <v>0</v>
      </c>
      <c r="DI63" s="39">
        <f>SUMIF(Report_BM!EG$6:EG$73,CONCATENATE($C63,DM$3),Report_BM!$EA$6:$EA$73)</f>
        <v>12672000</v>
      </c>
      <c r="DJ63" s="39">
        <f>SUMIF(Report_BM!EG$6:EG$73,CONCATENATE($C63,DM$3),Report_BM!$EB$6:$EB$73)</f>
        <v>0</v>
      </c>
      <c r="DK63" s="46">
        <f>SUMIF(Master_Data!$AK$152:$AK$864,CONCATENATE($C63,DM$3),Master_Data!$T$152:$T$864)</f>
        <v>-234666.6666</v>
      </c>
      <c r="DL63" s="45">
        <f>SUMIF(Report_BM!EG$6:EG$73,CONCATENATE($C63,DM$3),Report_BM!ED$6:ED$73)</f>
        <v>0</v>
      </c>
      <c r="DM63" s="39" t="e">
        <f ca="1">SUMIF(Report_BM!EG$6:EG$73,CONCATENATE($C63,DM$3),Report_BM!EE$6:EE$73)</f>
        <v>#VALUE!</v>
      </c>
      <c r="DN63" s="103"/>
      <c r="DO63" s="104"/>
      <c r="DP63" s="104"/>
      <c r="DQ63" s="104"/>
      <c r="DR63" s="104"/>
      <c r="DS63" s="104"/>
      <c r="DT63" s="45">
        <f>SUMIF(Report_BM!$EX$6:$EX$73,CONCATENATE($C63,EB$3),Report_BM!$EJ$6:$EJ$73)+SUMIF(Report_BM!$EX$6:$EX$73,CONCATENATE($C63,EB$3),Report_BM!$EM$6:$EM$73)</f>
        <v>0</v>
      </c>
      <c r="DU63" s="46" t="e">
        <f ca="1">SUMIF(Report_BM!$EX$6:$EX$73,CONCATENATE($C63,$EB$3),Report_BM!$EK$6:$EK$73)+SUMIF(Report_BM!$EX$6:$EX$73,CONCATENATE($C63,$EB$3),Report_BM!$EN$6:$EN$73)</f>
        <v>#VALUE!</v>
      </c>
      <c r="DV63" s="45">
        <f>SUMIF(Report_BM!$EX$6:$EX$73,CONCATENATE($C63,EB$3),Report_BM!$EP$6:$EP$73)</f>
        <v>0</v>
      </c>
      <c r="DW63" s="39">
        <f>SUMIF(Report_BM!$EX$6:$EX$73,CONCATENATE($C63,EB$3),Report_BM!$EQ$6:$EQ$73)</f>
        <v>0</v>
      </c>
      <c r="DX63" s="39">
        <f>SUMIF(Report_BM!$EX$6:$EX$73,CONCATENATE($C63,EB$3),Report_BM!$ER$6:$ER$73)</f>
        <v>0</v>
      </c>
      <c r="DY63" s="39">
        <f>SUMIF(Report_BM!$EX$6:$EX$73,CONCATENATE($C63,EB$3),Report_BM!$ES$6:$ES$73)</f>
        <v>0</v>
      </c>
      <c r="DZ63" s="46">
        <f>SUMIF(Master_Data!$AK$152:$AK$864,CONCATENATE($C63,EB$3),Master_Data!$T$152:$T$864)</f>
        <v>0</v>
      </c>
      <c r="EA63" s="45">
        <f>SUMIF(Report_BM!EX$6:EX$73,CONCATENATE($C63,EB$3),Report_BM!EU$6:EU$73)</f>
        <v>0</v>
      </c>
      <c r="EB63" s="39">
        <f>SUMIF(Report_BM!EX$6:EX$73,CONCATENATE($C63,EB$3),Report_BM!EV$6:EV$73)</f>
        <v>0</v>
      </c>
      <c r="EC63" s="103"/>
      <c r="ED63" s="104"/>
      <c r="EE63" s="104"/>
      <c r="EF63" s="104"/>
      <c r="EG63" s="104"/>
      <c r="EH63" s="104"/>
      <c r="EI63" s="45">
        <f>SUMIF(Report_BM!$FO$6:$FO$73,CONCATENATE($C63,EQ$3),Report_BM!$FA$6:$FA$73)+SUMIF(Report_BM!$FO$6:$FO$73,CONCATENATE($C63,EQ$3),Report_BM!$FD$6:$FD$73)</f>
        <v>0</v>
      </c>
      <c r="EJ63" s="46">
        <f>SUMIF(Report_BM!$FO$6:$FO$73,CONCATENATE($C63,$EQ$3),Report_BM!$FB$6:$FB$73)+SUMIF(Report_BM!$FO$6:$FO$73,CONCATENATE($C63,$EQ$3),Report_BM!$FE$6:$FE$73)</f>
        <v>0</v>
      </c>
      <c r="EK63" s="45">
        <f>SUMIF(Report_BM!$FO$6:$FO$73,CONCATENATE($C63,EQ$3),Report_BM!$FG$6:$FG$73)</f>
        <v>0</v>
      </c>
      <c r="EL63" s="39">
        <f>SUMIF(Report_BM!$FO$6:$FO$73,CONCATENATE($C63,EQ$3),Report_BM!$FH$6:$FH$73)</f>
        <v>0</v>
      </c>
      <c r="EM63" s="39">
        <f>SUMIF(Report_BM!$FO$6:$FO$73,CONCATENATE($C63,EQ$3),Report_BM!$FI$6:$FI$73)</f>
        <v>0</v>
      </c>
      <c r="EN63" s="39">
        <f>SUMIF(Report_BM!$FO$6:$FO$73,CONCATENATE($C63,EQ$3),Report_BM!$FJ$6:$FJ$73)</f>
        <v>0</v>
      </c>
      <c r="EO63" s="46">
        <f>SUMIF(Master_Data!$AK$152:$AK$864,CONCATENATE($C63,EQ$3),Master_Data!$T$152:$T$864)</f>
        <v>0</v>
      </c>
      <c r="EP63" s="45">
        <f>SUMIF(Report_BM!FO$6:FO$73,CONCATENATE($C63,EQ$3),Report_BM!FL$6:FL$73)</f>
        <v>0</v>
      </c>
      <c r="EQ63" s="39">
        <f>SUMIF(Report_BM!FO$6:FO$73,CONCATENATE($C63,EQ$3),Report_BM!FM$6:FM$73)</f>
        <v>0</v>
      </c>
      <c r="ER63" s="103"/>
      <c r="ES63" s="104"/>
      <c r="ET63" s="104"/>
      <c r="EU63" s="104"/>
      <c r="EV63" s="104"/>
      <c r="EW63" s="104"/>
      <c r="EX63" s="45">
        <f>SUMIF(Report_BM!$GF$6:$GF$73,CONCATENATE($C63,FF$3),Report_BM!$FR$6:$FR$73)+SUMIF(Report_BM!$GF$6:$GF$73,CONCATENATE($C63,FF$3),Report_BM!$FU$6:$FU$73)</f>
        <v>0</v>
      </c>
      <c r="EY63" s="46">
        <f>SUMIF(Report_BM!$GF$6:$GF$73,CONCATENATE($C63,$FF$3),Report_BM!$FS$6:$FS$73)+SUMIF(Report_BM!$GF$6:$GF$73,CONCATENATE($C63,$FF$3),Report_BM!$FV$6:$FV$73)</f>
        <v>0</v>
      </c>
      <c r="EZ63" s="45">
        <f>SUMIF(Report_BM!$GF$6:$GF$73,CONCATENATE($C63,FF$3),Report_BM!$FX$6:$FX$73)</f>
        <v>0</v>
      </c>
      <c r="FA63" s="39">
        <f>SUMIF(Report_BM!$GF$6:$GF$73,CONCATENATE($C63,FF$3),Report_BM!$FY$6:$FY$73)</f>
        <v>0</v>
      </c>
      <c r="FB63" s="39">
        <f>SUMIF(Report_BM!$GF$6:$GF$73,CONCATENATE($C63,FF$3),Report_BM!$FZ$6:$FZ$73)</f>
        <v>0</v>
      </c>
      <c r="FC63" s="39">
        <f>SUMIF(Report_BM!$GF$6:$GF$73,CONCATENATE($C63,FF$3),Report_BM!$GA$6:$GA$73)</f>
        <v>0</v>
      </c>
      <c r="FD63" s="46">
        <f>SUMIF(Master_Data!$AK$152:$AK$864,CONCATENATE($C63,FF$3),Master_Data!$T$152:$T$864)</f>
        <v>0</v>
      </c>
      <c r="FE63" s="45">
        <f>SUMIF(Report_BM!GF$6:GF$73,CONCATENATE($C63,FF$3),Report_BM!GC$6:GC$73)</f>
        <v>0</v>
      </c>
      <c r="FF63" s="39">
        <f>SUMIF(Report_BM!GF$6:GF$73,CONCATENATE($C63,FF$3),Report_BM!GD$6:GD$73)</f>
        <v>0</v>
      </c>
      <c r="FG63" s="103"/>
      <c r="FH63" s="104"/>
      <c r="FI63" s="104"/>
      <c r="FJ63" s="104"/>
      <c r="FK63" s="104"/>
      <c r="FL63" s="104"/>
      <c r="FM63" s="45">
        <f>SUMIF(Report_BM!$GW$6:$GW$73,CONCATENATE($C63,FU$3),Report_BM!$GI$6:$GI$73)+SUMIF(Report_BM!$GW$6:$GW$73,CONCATENATE($C63,FU$3),Report_BM!$GL$6:$GL$73)</f>
        <v>0</v>
      </c>
      <c r="FN63" s="46">
        <f>SUMIF(Report_BM!$GW$6:$GW$73,CONCATENATE($C63,$FU$3),Report_BM!$GJ$6:$GJ$73)+SUMIF(Report_BM!$GW$6:$GW$73,CONCATENATE($C63,$FU$3),Report_BM!$GM$6:$GM$73)</f>
        <v>0</v>
      </c>
      <c r="FO63" s="45">
        <f>SUMIF(Report_BM!$GW$6:$GW$73,CONCATENATE($C63,FU$3),Report_BM!$GO$6:$GO$73)</f>
        <v>0</v>
      </c>
      <c r="FP63" s="39">
        <f>SUMIF(Report_BM!$GW$6:$GW$73,CONCATENATE($C63,FU$3),Report_BM!$GP$6:$GP$73)</f>
        <v>0</v>
      </c>
      <c r="FQ63" s="39">
        <f>SUMIF(Report_BM!$GW$6:$GW$73,CONCATENATE($C63,FU$3),Report_BM!$GQ$6:$GQ$73)</f>
        <v>0</v>
      </c>
      <c r="FR63" s="39">
        <f>SUMIF(Report_BM!$GW$6:$GW$73,CONCATENATE($C63,FU$3),Report_BM!$GR$6:$GR$73)</f>
        <v>0</v>
      </c>
      <c r="FS63" s="46">
        <f>SUMIF(Master_Data!$AK$152:$AK$864,CONCATENATE($C63,FU$3),Master_Data!$T$152:$T$864)</f>
        <v>0</v>
      </c>
      <c r="FT63" s="45">
        <f>SUMIF(Report_BM!GW$6:GW$73,CONCATENATE($C63,FU$3),Report_BM!GT$6:GT$73)</f>
        <v>0</v>
      </c>
      <c r="FU63" s="39">
        <f>SUMIF(Report_BM!GW$6:GW$73,CONCATENATE($C63,FU$3),Report_BM!GU$6:GU$73)</f>
        <v>0</v>
      </c>
      <c r="FV63" s="103"/>
      <c r="FW63" s="104"/>
      <c r="FX63" s="104"/>
      <c r="FY63" s="104"/>
      <c r="FZ63" s="104"/>
      <c r="GA63" s="104"/>
    </row>
    <row r="64" spans="1:183" s="40" customFormat="1" ht="14.1" customHeight="1">
      <c r="A64" s="9">
        <v>58</v>
      </c>
      <c r="B64" s="328" t="s">
        <v>129</v>
      </c>
      <c r="C64" s="323" t="s">
        <v>130</v>
      </c>
      <c r="D64" s="45">
        <f>SUMIF(Report_BM!$B$6:$B$73,CONCATENATE($C64,L$3),Report_BM!$E$6:$E$73)+SUMIF(Report_BM!$B$6:$B$73,CONCATENATE($C64,L$3),Report_BM!$H$6:$H$73)</f>
        <v>0</v>
      </c>
      <c r="E64" s="276">
        <f>SUMIF(Report_BM!$B$6:$B$73,CONCATENATE($C64,L$3),Report_BM!$F$6:$F$73)+SUMIF(Report_BM!$B$6:$B$73,CONCATENATE($C64,L$3),Report_BM!$I$6:$I$73)</f>
        <v>0</v>
      </c>
      <c r="F64" s="45">
        <f>SUMIF(Report_BM!$B$6:$B$73,CONCATENATE($C64,L$3),Report_BM!$K$6:$K$73)</f>
        <v>0</v>
      </c>
      <c r="G64" s="39">
        <f>SUMIF(Report_BM!$B$6:$B$73,CONCATENATE($C64,$L$3),Report_BM!$L$6:$L$73)</f>
        <v>0</v>
      </c>
      <c r="H64" s="39">
        <f>SUMIF(Report_BM!$B$6:$B$73,CONCATENATE($C64,$L$3),Report_BM!$M$6:$M$73)</f>
        <v>0</v>
      </c>
      <c r="I64" s="39">
        <f>SUMIF(Report_BM!$B$6:$B$73,CONCATENATE($C64,$L$3),Report_BM!$N$6:$N$73)</f>
        <v>0</v>
      </c>
      <c r="J64" s="46">
        <f>SUMIF(Report_BM!$B$6:$B$73,CONCATENATE($C64,$L$3),Report_BM!$O$6:$O$73)</f>
        <v>0</v>
      </c>
      <c r="K64" s="45">
        <f>SUMIF(Report_BM!$B$6:$B$73,CONCATENATE($C64,$L$3),Report_BM!$P$6:$P$73)</f>
        <v>0</v>
      </c>
      <c r="L64" s="39">
        <f>SUMIF(Report_BM!$B$6:$B$73,CONCATENATE($C64,$L$3),Report_BM!$Q$6:$Q$73)</f>
        <v>0</v>
      </c>
      <c r="M64" s="103"/>
      <c r="N64" s="104"/>
      <c r="O64" s="104"/>
      <c r="P64" s="104"/>
      <c r="Q64" s="104"/>
      <c r="R64" s="104"/>
      <c r="S64" s="45">
        <f>SUMIF(Report_BM!$AI$8:$AI$72,CONCATENATE($C64,AA$3),Report_BM!$U$8:$U$72)+SUMIF(Report_BM!$AI$8:$AI$72,CONCATENATE($C64,AA$3),Report_BM!$X$8:$X$72)</f>
        <v>0</v>
      </c>
      <c r="T64" s="276">
        <f>SUMIF(Report_BM!$AI$8:$AI$72,CONCATENATE($C64,AA$3),Report_BM!$V$8:$V$72)+SUMIF(Report_BM!$AI$8:$AI$72,CONCATENATE($C64,AA$3),Report_BM!$Y$8:$Y$72)</f>
        <v>0</v>
      </c>
      <c r="U64" s="45">
        <f>SUMIF(Report_BM!$AI$8:$AI$72,CONCATENATE($C64,AA$3),Report_BM!$AA$8:$AB$72)</f>
        <v>0</v>
      </c>
      <c r="V64" s="39">
        <f>SUMIF(Report_BM!$AI$8:$AI$72,CONCATENATE($C64,$AA$3),Report_BM!$AB$8:$AB$72)</f>
        <v>0</v>
      </c>
      <c r="W64" s="39">
        <f>SUMIF(Report_BM!$AI$8:$AI$72,CONCATENATE($C64,$AA$3),Report_BM!$AC$8:$AC$72)</f>
        <v>0</v>
      </c>
      <c r="X64" s="39">
        <f ca="1">SUMIF(Report_BM!$AI$7:$AI$73,CONCATENATE($C64,$AA$3),Report_BM!$AD$7:$AD$73)</f>
        <v>0</v>
      </c>
      <c r="Y64" s="46">
        <f>SUMIF(Master_Data!$AK$152:$AK$864,CONCATENATE($C64,AA$3),Master_Data!$T$152:$T$864)</f>
        <v>0</v>
      </c>
      <c r="Z64" s="45">
        <f>SUMIF(Report_BM!$AI$8:$AI$72,CONCATENATE($C64,$AA$3),Report_BM!$AF$8:$AF$72)</f>
        <v>0</v>
      </c>
      <c r="AA64" s="39">
        <f ca="1">SUMIF(Report_BM!$AI$8:$AI$72,CONCATENATE($C64,$AA$3),Report_BM!$AG$8:$AG$72)</f>
        <v>0</v>
      </c>
      <c r="AB64" s="103"/>
      <c r="AC64" s="104"/>
      <c r="AD64" s="104"/>
      <c r="AE64" s="104"/>
      <c r="AF64" s="104"/>
      <c r="AG64" s="104"/>
      <c r="AH64" s="45">
        <f>SUMIF(Report_BM!$AZ$5:$AZ$72,CONCATENATE($C64,AP$3),Report_BM!$AL$5:$AL$72)+SUMIF(Report_BM!$AZ$5:$AZ$72,CONCATENATE($C64,AP$3),Report_BM!$AO$5:$AO$72)</f>
        <v>0</v>
      </c>
      <c r="AI64" s="46">
        <f ca="1">SUMIF(Report_BM!$AZ$5:$AZ$72,CONCATENATE($C64,$AP$3),Report_BM!$AM$5:$AM$72)+SUMIF(Report_BM!$AZ$5:$AZ$72,CONCATENATE($C64,$AP$3),Report_BM!$AP$5:$AP$72)</f>
        <v>0</v>
      </c>
      <c r="AJ64" s="45">
        <f>SUMIF(Report_BM!$AZ$5:$AZ$72,CONCATENATE($C64,$AP$3),Report_BM!$AR$5:$AR$72)</f>
        <v>0</v>
      </c>
      <c r="AK64" s="39">
        <f>SUMIF(Report_BM!$AZ$5:$AZ$72,CONCATENATE($C64,$AP$3),Report_BM!$AS$5:$AS$72)</f>
        <v>0</v>
      </c>
      <c r="AL64" s="39">
        <f>SUMIF(Report_BM!$AZ$5:$AZ$72,CONCATENATE($C64,$AP$3),Report_BM!$AT$5:$AT$72)</f>
        <v>0</v>
      </c>
      <c r="AM64" s="39">
        <f ca="1">SUMIF(Report_BM!$AZ$5:$AZ$72,CONCATENATE($C64,$AP$3),Report_BM!$AU$5:$AU$72)</f>
        <v>0</v>
      </c>
      <c r="AN64" s="46">
        <f>SUMIF(Master_Data!$AK$152:$AK$915,CONCATENATE($C64,AP$3),Master_Data!$T$152:$T$915)</f>
        <v>0</v>
      </c>
      <c r="AO64" s="45">
        <f>SUMIF(Report_BM!$AZ$5:$AZ$72,CONCATENATE($C64,$AP$3),Report_BM!$AW$5:$AW$72)</f>
        <v>0</v>
      </c>
      <c r="AP64" s="39">
        <f ca="1">SUMIF(Report_BM!$AZ$5:$AZ$72,CONCATENATE($C64,$AP$3),Report_BM!$AX$5:$AX$72)</f>
        <v>0</v>
      </c>
      <c r="AQ64" s="103"/>
      <c r="AR64" s="104"/>
      <c r="AS64" s="104"/>
      <c r="AT64" s="104"/>
      <c r="AU64" s="104"/>
      <c r="AV64" s="104"/>
      <c r="AW64" s="45">
        <f>SUMIF(Report_BM!$BQ$6:$BQ$73,CONCATENATE($C64,BE$3),Report_BM!$BC$6:$BC$73)+SUMIF(Report_BM!$BQ$6:$BQ$73,CONCATENATE($C64,BE$3),Report_BM!$BF$6:$BF$73)</f>
        <v>0</v>
      </c>
      <c r="AX64" s="46">
        <f ca="1">SUMIF(Report_BM!$BQ$6:$BQ$73,CONCATENATE($C64,$BE$3),Report_BM!$BD$6:$BD$73)+SUMIF(Report_BM!$BQ$6:$BQ$73,CONCATENATE($C64,$BE$3),Report_BM!$BG$6:$BG$73)</f>
        <v>0</v>
      </c>
      <c r="AY64" s="45">
        <f>SUMIF(Report_BM!$BQ$6:$BQ$73,CONCATENATE($C64,BE$3),Report_BM!$BI$6:$BI$73)</f>
        <v>0</v>
      </c>
      <c r="AZ64" s="39">
        <f>SUMIF(Report_BM!$BQ$6:$BQ$73,CONCATENATE($C64,BE$3),Report_BM!$BJ$6:$BJ$73)</f>
        <v>0</v>
      </c>
      <c r="BA64" s="39">
        <f>SUMIF(Report_BM!$BQ$6:$BQ$73,CONCATENATE($C64,BE$3),Report_BM!$BK$6:$BK$73)</f>
        <v>0</v>
      </c>
      <c r="BB64" s="39">
        <f>SUMIF(Report_BM!$BQ$6:$BQ$73,CONCATENATE($C64,BE$3),Report_BM!$BL$6:$BL$73)</f>
        <v>0</v>
      </c>
      <c r="BC64" s="46">
        <f>SUMIF(Master_Data!$AK$152:$AK$864,CONCATENATE($C64,BE$3),Master_Data!$T$152:$T$864)</f>
        <v>0</v>
      </c>
      <c r="BD64" s="45">
        <f>SUMIF(Report_BM!$BQ$6:$BQ$73,CONCATENATE($C64,BE$3),Report_BM!$BN$6:$BN$73)</f>
        <v>0</v>
      </c>
      <c r="BE64" s="39">
        <f ca="1">SUMIF(Report_BM!$BQ$6:$BQ$73,CONCATENATE($C64,BE$3),Report_BM!$BO$6:$BO$73)</f>
        <v>0</v>
      </c>
      <c r="BF64" s="103"/>
      <c r="BG64" s="104"/>
      <c r="BH64" s="104"/>
      <c r="BI64" s="104"/>
      <c r="BJ64" s="104"/>
      <c r="BK64" s="104"/>
      <c r="BL64" s="45">
        <f>SUMIF(Report_BM!$CH$6:$CH$73,CONCATENATE($C64,BT$3),Report_BM!$BT$6:$BT$73)+SUMIF(Report_BM!$CH$6:$CH$73,CONCATENATE($C64,BT$3),Report_BM!$BW$6:$BW$73)</f>
        <v>0</v>
      </c>
      <c r="BM64" s="46">
        <f ca="1">SUMIF(Report_BM!$CH$6:$CH$73,CONCATENATE($C64,$BT$3),Report_BM!$BU$6:$BU$73)+SUMIF(Report_BM!$CH$6:$CH$73,CONCATENATE($C64,$BT$3),Report_BM!$BX$6:$BX$73)</f>
        <v>0</v>
      </c>
      <c r="BN64" s="45">
        <f>SUMIF(Report_BM!$CH$6:$CH$73,CONCATENATE($C64,BT$3),Report_BM!$BZ$6:$BZ$73)</f>
        <v>0</v>
      </c>
      <c r="BO64" s="39">
        <f>SUMIF(Report_BM!$CH$6:$CH$73,CONCATENATE($C64,BT$3),Report_BM!$CA$6:$CA$73)</f>
        <v>0</v>
      </c>
      <c r="BP64" s="39">
        <f>SUMIF(Report_BM!$CH$6:$CH$73,CONCATENATE($C64,BT$3),Report_BM!$CB$6:$CB$73)</f>
        <v>0</v>
      </c>
      <c r="BQ64" s="39">
        <f>SUMIF(Report_BM!$CH$6:$CH$73,CONCATENATE($C64,BT$3),Report_BM!$CC$6:$CC$73)</f>
        <v>0</v>
      </c>
      <c r="BR64" s="46">
        <f>SUMIF(Master_Data!$AK$152:$AK$864,CONCATENATE($C64,BT$3),Master_Data!$T$152:$T$864)</f>
        <v>0</v>
      </c>
      <c r="BS64" s="45">
        <f>SUMIF(Report_BM!$CH$6:$CH$73,CONCATENATE($C64,BT$3),Report_BM!$CE$6:$CE$73)</f>
        <v>0</v>
      </c>
      <c r="BT64" s="39">
        <f ca="1">SUMIF(Report_BM!$CH$6:$CH$73,CONCATENATE($C64,BT$3),Report_BM!$CF$6:$CF$73)</f>
        <v>0</v>
      </c>
      <c r="BU64" s="103"/>
      <c r="BV64" s="104"/>
      <c r="BW64" s="104"/>
      <c r="BX64" s="104"/>
      <c r="BY64" s="104"/>
      <c r="BZ64" s="104"/>
      <c r="CA64" s="45">
        <f>SUMIF(Report_BM!$CY$6:$CY$73,CONCATENATE($C64,CI$3),Report_BM!$CK$6:$CK$73)+SUMIF(Report_BM!$CY$6:$CY$73,CONCATENATE($C64,CI$3),Report_BM!$CN$6:$CN$73)</f>
        <v>0</v>
      </c>
      <c r="CB64" s="46">
        <f ca="1">SUMIF(Report_BM!$CY$6:$CY$73,CONCATENATE($C64,$CI$3),Report_BM!$CL$6:$CL$73)+SUMIF(Report_BM!$CY$6:$CY$73,CONCATENATE($C64,$CI$3),Report_BM!$CO$6:$CO$73)</f>
        <v>0</v>
      </c>
      <c r="CC64" s="45">
        <f>SUMIF(Report_BM!$CY$6:$CY$73,CONCATENATE($C64,CI$3),Report_BM!$CQ$6:$CQ$73)</f>
        <v>0</v>
      </c>
      <c r="CD64" s="39">
        <f>SUMIF(Report_BM!$CY$6:$CY$73,CONCATENATE($C64,CI$3),Report_BM!$CR$6:$CR$73)</f>
        <v>0</v>
      </c>
      <c r="CE64" s="39">
        <f>SUMIF(Report_BM!$CY$6:$CY$73,CONCATENATE($C64,CI$3),Report_BM!$CS$6:$CS$73)</f>
        <v>0</v>
      </c>
      <c r="CF64" s="39">
        <f ca="1">SUMIF(Report_BM!$CY$6:$CY$73,CONCATENATE($C64,CI$3),Report_BM!$CT$6:$CT$73)</f>
        <v>0</v>
      </c>
      <c r="CG64" s="46">
        <f>SUMIF(Report_BM!$CY$6:$CY$73,CONCATENATE($C64,CI$3),Report_BM!$CU$6:$CU$73)</f>
        <v>0</v>
      </c>
      <c r="CH64" s="45">
        <f>SUMIF(Report_BM!$CY$6:$CY$73,CONCATENATE($C64,CI$3),Report_BM!$CV$6:$CV$73)</f>
        <v>0</v>
      </c>
      <c r="CI64" s="39">
        <f ca="1">SUMIF(Report_BM!$CY$6:$CY$73,CONCATENATE($C64,CI$3),Report_BM!$CW$6:$CW$73)</f>
        <v>0</v>
      </c>
      <c r="CJ64" s="103"/>
      <c r="CK64" s="104"/>
      <c r="CL64" s="104"/>
      <c r="CM64" s="104"/>
      <c r="CN64" s="104"/>
      <c r="CO64" s="104"/>
      <c r="CP64" s="45">
        <f>SUMIF(Report_BM!$DP$6:$DP$73,CONCATENATE($C64,CX$3),Report_BM!$DB$6:$DB$73)+SUMIF(Report_BM!$DP$6:$DP$73,CONCATENATE($C64,CX$3),Report_BM!$DE$6:$DE$73)</f>
        <v>0</v>
      </c>
      <c r="CQ64" s="46">
        <f ca="1">SUMIF(Report_BM!$DP$6:$DP$73,CONCATENATE($C64,$CX$3),Report_BM!$DC$6:$DC$73)+SUMIF(Report_BM!$DP$6:$DP$73,CONCATENATE($C64,$CX$3),Report_BM!$DF$6:$DF$73)</f>
        <v>0</v>
      </c>
      <c r="CR64" s="45">
        <f>SUMIF(Report_BM!$DP$6:$DP$73,CONCATENATE($C64,CX$3),Report_BM!$DH$6:$DH$73)</f>
        <v>0</v>
      </c>
      <c r="CS64" s="39">
        <f>SUMIF(Report_BM!$DP$6:$DP$73,CONCATENATE($C64,CX$3),Report_BM!$DI$6:$DI$73)</f>
        <v>0</v>
      </c>
      <c r="CT64" s="39">
        <f>SUMIF(Report_BM!$DP$6:$DP$73,CONCATENATE($C64,CX$3),Report_BM!$DJ$6:$DJ$73)</f>
        <v>0</v>
      </c>
      <c r="CU64" s="39">
        <f>SUMIF(Report_BM!$DP$6:$DP$73,CONCATENATE($C64,CX$3),Report_BM!$DK$6:$DK$73)</f>
        <v>0</v>
      </c>
      <c r="CV64" s="46">
        <f>SUMIF(Master_Data!$AK$152:$AK$864,CONCATENATE($C64,CX$3),Master_Data!$T$152:$T$864)</f>
        <v>0</v>
      </c>
      <c r="CW64" s="45">
        <f>SUMIF(Report_BM!$DP$6:$DP$73,CONCATENATE($C64,CX$3),Report_BM!$DM$6:$DM$73)</f>
        <v>0</v>
      </c>
      <c r="CX64" s="39">
        <f ca="1">SUMIF(Report_BM!$DP$6:$DP$73,CONCATENATE($C64,CX$3),Report_BM!$DN$6:$DN$73)</f>
        <v>0</v>
      </c>
      <c r="CY64" s="103"/>
      <c r="CZ64" s="104"/>
      <c r="DA64" s="104"/>
      <c r="DB64" s="104"/>
      <c r="DC64" s="104"/>
      <c r="DD64" s="104"/>
      <c r="DE64" s="45">
        <f>SUMIF(Report_BM!$EG$6:$EG$73,CONCATENATE($C64,DM$3),Report_BM!$DS$6:$DS$73)+SUMIF(Report_BM!$EG$6:$EG$73,CONCATENATE($C64,DM$3),Report_BM!$DV$6:$DV$73)</f>
        <v>0</v>
      </c>
      <c r="DF64" s="46">
        <f ca="1">SUMIF(Report_BM!$EG$6:$EG$73,CONCATENATE($C64,$DM$3),Report_BM!$DT$6:$DT$73)+SUMIF(Report_BM!$EG$6:$EG$73,CONCATENATE($C64,$DM$3),Report_BM!$DW$6:$DW$73)</f>
        <v>0</v>
      </c>
      <c r="DG64" s="45">
        <f>SUMIF(Report_BM!$EG$6:$EG$73,CONCATENATE($C64,DM$3),Report_BM!$DY$6:$DY$73)</f>
        <v>0</v>
      </c>
      <c r="DH64" s="39">
        <f>SUMIF(Report_BM!EG$6:EG$73,CONCATENATE($C64,DM$3),Report_BM!DZ$6:DZ$73)</f>
        <v>0</v>
      </c>
      <c r="DI64" s="39">
        <f>SUMIF(Report_BM!EG$6:EG$73,CONCATENATE($C64,DM$3),Report_BM!$EA$6:$EA$73)</f>
        <v>0</v>
      </c>
      <c r="DJ64" s="39">
        <f>SUMIF(Report_BM!EG$6:EG$73,CONCATENATE($C64,DM$3),Report_BM!$EB$6:$EB$73)</f>
        <v>0</v>
      </c>
      <c r="DK64" s="46">
        <f>SUMIF(Master_Data!$AK$152:$AK$864,CONCATENATE($C64,DM$3),Master_Data!$T$152:$T$864)</f>
        <v>0</v>
      </c>
      <c r="DL64" s="45">
        <f>SUMIF(Report_BM!EG$6:EG$73,CONCATENATE($C64,DM$3),Report_BM!ED$6:ED$73)</f>
        <v>0</v>
      </c>
      <c r="DM64" s="39">
        <f ca="1">SUMIF(Report_BM!EG$6:EG$73,CONCATENATE($C64,DM$3),Report_BM!EE$6:EE$73)</f>
        <v>0</v>
      </c>
      <c r="DN64" s="103"/>
      <c r="DO64" s="104"/>
      <c r="DP64" s="104"/>
      <c r="DQ64" s="104"/>
      <c r="DR64" s="104"/>
      <c r="DS64" s="104"/>
      <c r="DT64" s="45">
        <f>SUMIF(Report_BM!$EX$6:$EX$73,CONCATENATE($C64,EB$3),Report_BM!$EJ$6:$EJ$73)+SUMIF(Report_BM!$EX$6:$EX$73,CONCATENATE($C64,EB$3),Report_BM!$EM$6:$EM$73)</f>
        <v>0</v>
      </c>
      <c r="DU64" s="46">
        <f ca="1">SUMIF(Report_BM!$EX$6:$EX$73,CONCATENATE($C64,$EB$3),Report_BM!$EK$6:$EK$73)+SUMIF(Report_BM!$EX$6:$EX$73,CONCATENATE($C64,$EB$3),Report_BM!$EN$6:$EN$73)</f>
        <v>0</v>
      </c>
      <c r="DV64" s="45">
        <f>SUMIF(Report_BM!$EX$6:$EX$73,CONCATENATE($C64,EB$3),Report_BM!$EP$6:$EP$73)</f>
        <v>0</v>
      </c>
      <c r="DW64" s="39">
        <f>SUMIF(Report_BM!$EX$6:$EX$73,CONCATENATE($C64,EB$3),Report_BM!$EQ$6:$EQ$73)</f>
        <v>0</v>
      </c>
      <c r="DX64" s="39">
        <f>SUMIF(Report_BM!$EX$6:$EX$73,CONCATENATE($C64,EB$3),Report_BM!$ER$6:$ER$73)</f>
        <v>0</v>
      </c>
      <c r="DY64" s="39">
        <f>SUMIF(Report_BM!$EX$6:$EX$73,CONCATENATE($C64,EB$3),Report_BM!$ES$6:$ES$73)</f>
        <v>0</v>
      </c>
      <c r="DZ64" s="46">
        <f>SUMIF(Master_Data!$AK$152:$AK$864,CONCATENATE($C64,EB$3),Master_Data!$T$152:$T$864)</f>
        <v>0</v>
      </c>
      <c r="EA64" s="45">
        <f>SUMIF(Report_BM!EX$6:EX$73,CONCATENATE($C64,EB$3),Report_BM!EU$6:EU$73)</f>
        <v>0</v>
      </c>
      <c r="EB64" s="39">
        <f>SUMIF(Report_BM!EX$6:EX$73,CONCATENATE($C64,EB$3),Report_BM!EV$6:EV$73)</f>
        <v>0</v>
      </c>
      <c r="EC64" s="103"/>
      <c r="ED64" s="104"/>
      <c r="EE64" s="104"/>
      <c r="EF64" s="104"/>
      <c r="EG64" s="104"/>
      <c r="EH64" s="104"/>
      <c r="EI64" s="45">
        <f>SUMIF(Report_BM!$FO$6:$FO$73,CONCATENATE($C64,EQ$3),Report_BM!$FA$6:$FA$73)+SUMIF(Report_BM!$FO$6:$FO$73,CONCATENATE($C64,EQ$3),Report_BM!$FD$6:$FD$73)</f>
        <v>0</v>
      </c>
      <c r="EJ64" s="46">
        <f>SUMIF(Report_BM!$FO$6:$FO$73,CONCATENATE($C64,$EQ$3),Report_BM!$FB$6:$FB$73)+SUMIF(Report_BM!$FO$6:$FO$73,CONCATENATE($C64,$EQ$3),Report_BM!$FE$6:$FE$73)</f>
        <v>0</v>
      </c>
      <c r="EK64" s="45">
        <f>SUMIF(Report_BM!$FO$6:$FO$73,CONCATENATE($C64,EQ$3),Report_BM!$FG$6:$FG$73)</f>
        <v>0</v>
      </c>
      <c r="EL64" s="39">
        <f>SUMIF(Report_BM!$FO$6:$FO$73,CONCATENATE($C64,EQ$3),Report_BM!$FH$6:$FH$73)</f>
        <v>0</v>
      </c>
      <c r="EM64" s="39">
        <f>SUMIF(Report_BM!$FO$6:$FO$73,CONCATENATE($C64,EQ$3),Report_BM!$FI$6:$FI$73)</f>
        <v>0</v>
      </c>
      <c r="EN64" s="39">
        <f>SUMIF(Report_BM!$FO$6:$FO$73,CONCATENATE($C64,EQ$3),Report_BM!$FJ$6:$FJ$73)</f>
        <v>0</v>
      </c>
      <c r="EO64" s="46">
        <f>SUMIF(Master_Data!$AK$152:$AK$864,CONCATENATE($C64,EQ$3),Master_Data!$T$152:$T$864)</f>
        <v>0</v>
      </c>
      <c r="EP64" s="45">
        <f>SUMIF(Report_BM!FO$6:FO$73,CONCATENATE($C64,EQ$3),Report_BM!FL$6:FL$73)</f>
        <v>0</v>
      </c>
      <c r="EQ64" s="39">
        <f>SUMIF(Report_BM!FO$6:FO$73,CONCATENATE($C64,EQ$3),Report_BM!FM$6:FM$73)</f>
        <v>0</v>
      </c>
      <c r="ER64" s="103"/>
      <c r="ES64" s="104"/>
      <c r="ET64" s="104"/>
      <c r="EU64" s="104"/>
      <c r="EV64" s="104"/>
      <c r="EW64" s="104"/>
      <c r="EX64" s="45">
        <f>SUMIF(Report_BM!$GF$6:$GF$73,CONCATENATE($C64,FF$3),Report_BM!$FR$6:$FR$73)+SUMIF(Report_BM!$GF$6:$GF$73,CONCATENATE($C64,FF$3),Report_BM!$FU$6:$FU$73)</f>
        <v>0</v>
      </c>
      <c r="EY64" s="46">
        <f>SUMIF(Report_BM!$GF$6:$GF$73,CONCATENATE($C64,$FF$3),Report_BM!$FS$6:$FS$73)+SUMIF(Report_BM!$GF$6:$GF$73,CONCATENATE($C64,$FF$3),Report_BM!$FV$6:$FV$73)</f>
        <v>0</v>
      </c>
      <c r="EZ64" s="45">
        <f>SUMIF(Report_BM!$GF$6:$GF$73,CONCATENATE($C64,FF$3),Report_BM!$FX$6:$FX$73)</f>
        <v>0</v>
      </c>
      <c r="FA64" s="39">
        <f>SUMIF(Report_BM!$GF$6:$GF$73,CONCATENATE($C64,FF$3),Report_BM!$FY$6:$FY$73)</f>
        <v>0</v>
      </c>
      <c r="FB64" s="39">
        <f>SUMIF(Report_BM!$GF$6:$GF$73,CONCATENATE($C64,FF$3),Report_BM!$FZ$6:$FZ$73)</f>
        <v>0</v>
      </c>
      <c r="FC64" s="39">
        <f>SUMIF(Report_BM!$GF$6:$GF$73,CONCATENATE($C64,FF$3),Report_BM!$GA$6:$GA$73)</f>
        <v>0</v>
      </c>
      <c r="FD64" s="46">
        <f>SUMIF(Master_Data!$AK$152:$AK$864,CONCATENATE($C64,FF$3),Master_Data!$T$152:$T$864)</f>
        <v>0</v>
      </c>
      <c r="FE64" s="45">
        <f>SUMIF(Report_BM!GF$6:GF$73,CONCATENATE($C64,FF$3),Report_BM!GC$6:GC$73)</f>
        <v>0</v>
      </c>
      <c r="FF64" s="39">
        <f>SUMIF(Report_BM!GF$6:GF$73,CONCATENATE($C64,FF$3),Report_BM!GD$6:GD$73)</f>
        <v>0</v>
      </c>
      <c r="FG64" s="103"/>
      <c r="FH64" s="104"/>
      <c r="FI64" s="104"/>
      <c r="FJ64" s="104"/>
      <c r="FK64" s="104"/>
      <c r="FL64" s="104"/>
      <c r="FM64" s="45">
        <f>SUMIF(Report_BM!$GW$6:$GW$73,CONCATENATE($C64,FU$3),Report_BM!$GI$6:$GI$73)+SUMIF(Report_BM!$GW$6:$GW$73,CONCATENATE($C64,FU$3),Report_BM!$GL$6:$GL$73)</f>
        <v>0</v>
      </c>
      <c r="FN64" s="46">
        <f>SUMIF(Report_BM!$GW$6:$GW$73,CONCATENATE($C64,$FU$3),Report_BM!$GJ$6:$GJ$73)+SUMIF(Report_BM!$GW$6:$GW$73,CONCATENATE($C64,$FU$3),Report_BM!$GM$6:$GM$73)</f>
        <v>0</v>
      </c>
      <c r="FO64" s="45">
        <f>SUMIF(Report_BM!$GW$6:$GW$73,CONCATENATE($C64,FU$3),Report_BM!$GO$6:$GO$73)</f>
        <v>0</v>
      </c>
      <c r="FP64" s="39">
        <f>SUMIF(Report_BM!$GW$6:$GW$73,CONCATENATE($C64,FU$3),Report_BM!$GP$6:$GP$73)</f>
        <v>0</v>
      </c>
      <c r="FQ64" s="39">
        <f>SUMIF(Report_BM!$GW$6:$GW$73,CONCATENATE($C64,FU$3),Report_BM!$GQ$6:$GQ$73)</f>
        <v>0</v>
      </c>
      <c r="FR64" s="39">
        <f>SUMIF(Report_BM!$GW$6:$GW$73,CONCATENATE($C64,FU$3),Report_BM!$GR$6:$GR$73)</f>
        <v>0</v>
      </c>
      <c r="FS64" s="46">
        <f>SUMIF(Master_Data!$AK$152:$AK$864,CONCATENATE($C64,FU$3),Master_Data!$T$152:$T$864)</f>
        <v>0</v>
      </c>
      <c r="FT64" s="45">
        <f>SUMIF(Report_BM!GW$6:GW$73,CONCATENATE($C64,FU$3),Report_BM!GT$6:GT$73)</f>
        <v>0</v>
      </c>
      <c r="FU64" s="39">
        <f>SUMIF(Report_BM!GW$6:GW$73,CONCATENATE($C64,FU$3),Report_BM!GU$6:GU$73)</f>
        <v>0</v>
      </c>
      <c r="FV64" s="103"/>
      <c r="FW64" s="104"/>
      <c r="FX64" s="104"/>
      <c r="FY64" s="104"/>
      <c r="FZ64" s="104"/>
      <c r="GA64" s="104"/>
    </row>
    <row r="65" spans="1:183" s="40" customFormat="1" ht="14.1" customHeight="1">
      <c r="A65" s="9">
        <v>59</v>
      </c>
      <c r="B65" s="328" t="s">
        <v>343</v>
      </c>
      <c r="C65" s="323" t="s">
        <v>215</v>
      </c>
      <c r="D65" s="45">
        <f>SUMIF(Report_BM!$B$6:$B$73,CONCATENATE($C65,L$3),Report_BM!$E$6:$E$73)+SUMIF(Report_BM!$B$6:$B$73,CONCATENATE($C65,L$3),Report_BM!$H$6:$H$73)</f>
        <v>99</v>
      </c>
      <c r="E65" s="276">
        <f>SUMIF(Report_BM!$B$6:$B$73,CONCATENATE($C65,L$3),Report_BM!$F$6:$F$73)+SUMIF(Report_BM!$B$6:$B$73,CONCATENATE($C65,L$3),Report_BM!$I$6:$I$73)</f>
        <v>0</v>
      </c>
      <c r="F65" s="45">
        <f>SUMIF(Report_BM!$B$6:$B$73,CONCATENATE($C65,L$3),Report_BM!$K$6:$K$73)</f>
        <v>0</v>
      </c>
      <c r="G65" s="39">
        <f>SUMIF(Report_BM!$B$6:$B$73,CONCATENATE($C65,$L$3),Report_BM!$L$6:$L$73)</f>
        <v>0</v>
      </c>
      <c r="H65" s="39">
        <f>SUMIF(Report_BM!$B$6:$B$73,CONCATENATE($C65,$L$3),Report_BM!$M$6:$M$73)</f>
        <v>0</v>
      </c>
      <c r="I65" s="39">
        <f>SUMIF(Report_BM!$B$6:$B$73,CONCATENATE($C65,$L$3),Report_BM!$N$6:$N$73)</f>
        <v>0</v>
      </c>
      <c r="J65" s="46">
        <f>SUMIF(Report_BM!$B$6:$B$73,CONCATENATE($C65,$L$3),Report_BM!$O$6:$O$73)</f>
        <v>0</v>
      </c>
      <c r="K65" s="45">
        <f>SUMIF(Report_BM!$B$6:$B$73,CONCATENATE($C65,$L$3),Report_BM!$P$6:$P$73)</f>
        <v>99</v>
      </c>
      <c r="L65" s="39">
        <f>SUMIF(Report_BM!$B$6:$B$73,CONCATENATE($C65,$L$3),Report_BM!$Q$6:$Q$73)</f>
        <v>0</v>
      </c>
      <c r="M65" s="103"/>
      <c r="N65" s="104"/>
      <c r="O65" s="104"/>
      <c r="P65" s="104"/>
      <c r="Q65" s="104"/>
      <c r="R65" s="104"/>
      <c r="S65" s="45">
        <f>SUMIF(Report_BM!$AI$8:$AI$72,CONCATENATE($C65,AA$3),Report_BM!$U$8:$U$72)+SUMIF(Report_BM!$AI$8:$AI$72,CONCATENATE($C65,AA$3),Report_BM!$X$8:$X$72)</f>
        <v>99</v>
      </c>
      <c r="T65" s="276">
        <f>SUMIF(Report_BM!$AI$8:$AI$72,CONCATENATE($C65,AA$3),Report_BM!$V$8:$V$72)+SUMIF(Report_BM!$AI$8:$AI$72,CONCATENATE($C65,AA$3),Report_BM!$Y$8:$Y$72)</f>
        <v>0</v>
      </c>
      <c r="U65" s="45">
        <f>SUMIF(Report_BM!$AI$8:$AI$72,CONCATENATE($C65,AA$3),Report_BM!$AA$8:$AB$72)</f>
        <v>0</v>
      </c>
      <c r="V65" s="39">
        <f>SUMIF(Report_BM!$AI$8:$AI$72,CONCATENATE($C65,$AA$3),Report_BM!$AB$8:$AB$72)</f>
        <v>0</v>
      </c>
      <c r="W65" s="39">
        <f>SUMIF(Report_BM!$AI$8:$AI$72,CONCATENATE($C65,$AA$3),Report_BM!$AC$8:$AC$72)</f>
        <v>0</v>
      </c>
      <c r="X65" s="39">
        <f ca="1">SUMIF(Report_BM!$AI$7:$AI$73,CONCATENATE($C65,$AA$3),Report_BM!$AD$7:$AD$73)</f>
        <v>0</v>
      </c>
      <c r="Y65" s="46">
        <f>SUMIF(Master_Data!$AK$152:$AK$864,CONCATENATE($C65,AA$3),Master_Data!$T$152:$T$864)</f>
        <v>0</v>
      </c>
      <c r="Z65" s="45">
        <f>SUMIF(Report_BM!$AI$8:$AI$72,CONCATENATE($C65,$AA$3),Report_BM!$AF$8:$AF$72)</f>
        <v>99</v>
      </c>
      <c r="AA65" s="39">
        <f ca="1">SUMIF(Report_BM!$AI$8:$AI$72,CONCATENATE($C65,$AA$3),Report_BM!$AG$8:$AG$72)</f>
        <v>0</v>
      </c>
      <c r="AB65" s="103"/>
      <c r="AC65" s="104"/>
      <c r="AD65" s="104"/>
      <c r="AE65" s="104"/>
      <c r="AF65" s="104"/>
      <c r="AG65" s="104"/>
      <c r="AH65" s="45">
        <f>SUMIF(Report_BM!$AZ$5:$AZ$72,CONCATENATE($C65,AP$3),Report_BM!$AL$5:$AL$72)+SUMIF(Report_BM!$AZ$5:$AZ$72,CONCATENATE($C65,AP$3),Report_BM!$AO$5:$AO$72)</f>
        <v>99</v>
      </c>
      <c r="AI65" s="46">
        <f ca="1">SUMIF(Report_BM!$AZ$5:$AZ$72,CONCATENATE($C65,$AP$3),Report_BM!$AM$5:$AM$72)+SUMIF(Report_BM!$AZ$5:$AZ$72,CONCATENATE($C65,$AP$3),Report_BM!$AP$5:$AP$72)</f>
        <v>0</v>
      </c>
      <c r="AJ65" s="45">
        <f>SUMIF(Report_BM!$AZ$5:$AZ$72,CONCATENATE($C65,$AP$3),Report_BM!$AR$5:$AR$72)</f>
        <v>0</v>
      </c>
      <c r="AK65" s="39">
        <f>SUMIF(Report_BM!$AZ$5:$AZ$72,CONCATENATE($C65,$AP$3),Report_BM!$AS$5:$AS$72)</f>
        <v>0</v>
      </c>
      <c r="AL65" s="39">
        <f>SUMIF(Report_BM!$AZ$5:$AZ$72,CONCATENATE($C65,$AP$3),Report_BM!$AT$5:$AT$72)</f>
        <v>0</v>
      </c>
      <c r="AM65" s="39">
        <f ca="1">SUMIF(Report_BM!$AZ$5:$AZ$72,CONCATENATE($C65,$AP$3),Report_BM!$AU$5:$AU$72)</f>
        <v>0</v>
      </c>
      <c r="AN65" s="46">
        <f>SUMIF(Master_Data!$AK$152:$AK$915,CONCATENATE($C65,AP$3),Master_Data!$T$152:$T$915)</f>
        <v>0</v>
      </c>
      <c r="AO65" s="45">
        <f>SUMIF(Report_BM!$AZ$5:$AZ$72,CONCATENATE($C65,$AP$3),Report_BM!$AW$5:$AW$72)</f>
        <v>99</v>
      </c>
      <c r="AP65" s="39">
        <f ca="1">SUMIF(Report_BM!$AZ$5:$AZ$72,CONCATENATE($C65,$AP$3),Report_BM!$AX$5:$AX$72)</f>
        <v>0</v>
      </c>
      <c r="AQ65" s="103"/>
      <c r="AR65" s="104"/>
      <c r="AS65" s="104"/>
      <c r="AT65" s="104"/>
      <c r="AU65" s="104"/>
      <c r="AV65" s="104"/>
      <c r="AW65" s="45">
        <f>SUMIF(Report_BM!$BQ$6:$BQ$73,CONCATENATE($C65,BE$3),Report_BM!$BC$6:$BC$73)+SUMIF(Report_BM!$BQ$6:$BQ$73,CONCATENATE($C65,BE$3),Report_BM!$BF$6:$BF$73)</f>
        <v>99</v>
      </c>
      <c r="AX65" s="46">
        <f ca="1">SUMIF(Report_BM!$BQ$6:$BQ$73,CONCATENATE($C65,$BE$3),Report_BM!$BD$6:$BD$73)+SUMIF(Report_BM!$BQ$6:$BQ$73,CONCATENATE($C65,$BE$3),Report_BM!$BG$6:$BG$73)</f>
        <v>0</v>
      </c>
      <c r="AY65" s="45">
        <f>SUMIF(Report_BM!$BQ$6:$BQ$73,CONCATENATE($C65,BE$3),Report_BM!$BI$6:$BI$73)</f>
        <v>0</v>
      </c>
      <c r="AZ65" s="39">
        <f>SUMIF(Report_BM!$BQ$6:$BQ$73,CONCATENATE($C65,BE$3),Report_BM!$BJ$6:$BJ$73)</f>
        <v>0</v>
      </c>
      <c r="BA65" s="39">
        <f>SUMIF(Report_BM!$BQ$6:$BQ$73,CONCATENATE($C65,BE$3),Report_BM!$BK$6:$BK$73)</f>
        <v>0</v>
      </c>
      <c r="BB65" s="39">
        <f>SUMIF(Report_BM!$BQ$6:$BQ$73,CONCATENATE($C65,BE$3),Report_BM!$BL$6:$BL$73)</f>
        <v>0</v>
      </c>
      <c r="BC65" s="46">
        <f>SUMIF(Master_Data!$AK$152:$AK$864,CONCATENATE($C65,BE$3),Master_Data!$T$152:$T$864)</f>
        <v>0</v>
      </c>
      <c r="BD65" s="45">
        <f>SUMIF(Report_BM!$BQ$6:$BQ$73,CONCATENATE($C65,BE$3),Report_BM!$BN$6:$BN$73)</f>
        <v>99</v>
      </c>
      <c r="BE65" s="39">
        <f ca="1">SUMIF(Report_BM!$BQ$6:$BQ$73,CONCATENATE($C65,BE$3),Report_BM!$BO$6:$BO$73)</f>
        <v>0</v>
      </c>
      <c r="BF65" s="103"/>
      <c r="BG65" s="104"/>
      <c r="BH65" s="104"/>
      <c r="BI65" s="104"/>
      <c r="BJ65" s="104"/>
      <c r="BK65" s="104"/>
      <c r="BL65" s="45">
        <f>SUMIF(Report_BM!$CH$6:$CH$73,CONCATENATE($C65,BT$3),Report_BM!$BT$6:$BT$73)+SUMIF(Report_BM!$CH$6:$CH$73,CONCATENATE($C65,BT$3),Report_BM!$BW$6:$BW$73)</f>
        <v>99</v>
      </c>
      <c r="BM65" s="46">
        <f ca="1">SUMIF(Report_BM!$CH$6:$CH$73,CONCATENATE($C65,$BT$3),Report_BM!$BU$6:$BU$73)+SUMIF(Report_BM!$CH$6:$CH$73,CONCATENATE($C65,$BT$3),Report_BM!$BX$6:$BX$73)</f>
        <v>0</v>
      </c>
      <c r="BN65" s="45">
        <f>SUMIF(Report_BM!$CH$6:$CH$73,CONCATENATE($C65,BT$3),Report_BM!$BZ$6:$BZ$73)</f>
        <v>0</v>
      </c>
      <c r="BO65" s="39">
        <f>SUMIF(Report_BM!$CH$6:$CH$73,CONCATENATE($C65,BT$3),Report_BM!$CA$6:$CA$73)</f>
        <v>0</v>
      </c>
      <c r="BP65" s="39">
        <f>SUMIF(Report_BM!$CH$6:$CH$73,CONCATENATE($C65,BT$3),Report_BM!$CB$6:$CB$73)</f>
        <v>0</v>
      </c>
      <c r="BQ65" s="39">
        <f>SUMIF(Report_BM!$CH$6:$CH$73,CONCATENATE($C65,BT$3),Report_BM!$CC$6:$CC$73)</f>
        <v>0</v>
      </c>
      <c r="BR65" s="46">
        <f>SUMIF(Master_Data!$AK$152:$AK$864,CONCATENATE($C65,BT$3),Master_Data!$T$152:$T$864)</f>
        <v>0</v>
      </c>
      <c r="BS65" s="45">
        <f>SUMIF(Report_BM!$CH$6:$CH$73,CONCATENATE($C65,BT$3),Report_BM!$CE$6:$CE$73)</f>
        <v>99</v>
      </c>
      <c r="BT65" s="39">
        <f ca="1">SUMIF(Report_BM!$CH$6:$CH$73,CONCATENATE($C65,BT$3),Report_BM!$CF$6:$CF$73)</f>
        <v>0</v>
      </c>
      <c r="BU65" s="103"/>
      <c r="BV65" s="104"/>
      <c r="BW65" s="104"/>
      <c r="BX65" s="104"/>
      <c r="BY65" s="104"/>
      <c r="BZ65" s="104"/>
      <c r="CA65" s="45">
        <f>SUMIF(Report_BM!$CY$6:$CY$73,CONCATENATE($C65,CI$3),Report_BM!$CK$6:$CK$73)+SUMIF(Report_BM!$CY$6:$CY$73,CONCATENATE($C65,CI$3),Report_BM!$CN$6:$CN$73)</f>
        <v>99</v>
      </c>
      <c r="CB65" s="46">
        <f ca="1">SUMIF(Report_BM!$CY$6:$CY$73,CONCATENATE($C65,$CI$3),Report_BM!$CL$6:$CL$73)+SUMIF(Report_BM!$CY$6:$CY$73,CONCATENATE($C65,$CI$3),Report_BM!$CO$6:$CO$73)</f>
        <v>0</v>
      </c>
      <c r="CC65" s="45">
        <f>SUMIF(Report_BM!$CY$6:$CY$73,CONCATENATE($C65,CI$3),Report_BM!$CQ$6:$CQ$73)</f>
        <v>0</v>
      </c>
      <c r="CD65" s="39">
        <f>SUMIF(Report_BM!$CY$6:$CY$73,CONCATENATE($C65,CI$3),Report_BM!$CR$6:$CR$73)</f>
        <v>0</v>
      </c>
      <c r="CE65" s="39">
        <f>SUMIF(Report_BM!$CY$6:$CY$73,CONCATENATE($C65,CI$3),Report_BM!$CS$6:$CS$73)</f>
        <v>0</v>
      </c>
      <c r="CF65" s="39">
        <f ca="1">SUMIF(Report_BM!$CY$6:$CY$73,CONCATENATE($C65,CI$3),Report_BM!$CT$6:$CT$73)</f>
        <v>0</v>
      </c>
      <c r="CG65" s="46">
        <f>SUMIF(Report_BM!$CY$6:$CY$73,CONCATENATE($C65,CI$3),Report_BM!$CU$6:$CU$73)</f>
        <v>0</v>
      </c>
      <c r="CH65" s="45">
        <f>SUMIF(Report_BM!$CY$6:$CY$73,CONCATENATE($C65,CI$3),Report_BM!$CV$6:$CV$73)</f>
        <v>99</v>
      </c>
      <c r="CI65" s="39">
        <f ca="1">SUMIF(Report_BM!$CY$6:$CY$73,CONCATENATE($C65,CI$3),Report_BM!$CW$6:$CW$73)</f>
        <v>0</v>
      </c>
      <c r="CJ65" s="103"/>
      <c r="CK65" s="104"/>
      <c r="CL65" s="104"/>
      <c r="CM65" s="104"/>
      <c r="CN65" s="104"/>
      <c r="CO65" s="104"/>
      <c r="CP65" s="45">
        <f>SUMIF(Report_BM!$DP$6:$DP$73,CONCATENATE($C65,CX$3),Report_BM!$DB$6:$DB$73)+SUMIF(Report_BM!$DP$6:$DP$73,CONCATENATE($C65,CX$3),Report_BM!$DE$6:$DE$73)</f>
        <v>99</v>
      </c>
      <c r="CQ65" s="46">
        <f ca="1">SUMIF(Report_BM!$DP$6:$DP$73,CONCATENATE($C65,$CX$3),Report_BM!$DC$6:$DC$73)+SUMIF(Report_BM!$DP$6:$DP$73,CONCATENATE($C65,$CX$3),Report_BM!$DF$6:$DF$73)</f>
        <v>0</v>
      </c>
      <c r="CR65" s="45">
        <f>SUMIF(Report_BM!$DP$6:$DP$73,CONCATENATE($C65,CX$3),Report_BM!$DH$6:$DH$73)</f>
        <v>0</v>
      </c>
      <c r="CS65" s="39">
        <f>SUMIF(Report_BM!$DP$6:$DP$73,CONCATENATE($C65,CX$3),Report_BM!$DI$6:$DI$73)</f>
        <v>0</v>
      </c>
      <c r="CT65" s="39">
        <f>SUMIF(Report_BM!$DP$6:$DP$73,CONCATENATE($C65,CX$3),Report_BM!$DJ$6:$DJ$73)</f>
        <v>0</v>
      </c>
      <c r="CU65" s="39">
        <f>SUMIF(Report_BM!$DP$6:$DP$73,CONCATENATE($C65,CX$3),Report_BM!$DK$6:$DK$73)</f>
        <v>0</v>
      </c>
      <c r="CV65" s="46">
        <f>SUMIF(Master_Data!$AK$152:$AK$864,CONCATENATE($C65,CX$3),Master_Data!$T$152:$T$864)</f>
        <v>0</v>
      </c>
      <c r="CW65" s="45">
        <f>SUMIF(Report_BM!$DP$6:$DP$73,CONCATENATE($C65,CX$3),Report_BM!$DM$6:$DM$73)</f>
        <v>99</v>
      </c>
      <c r="CX65" s="39">
        <f ca="1">SUMIF(Report_BM!$DP$6:$DP$73,CONCATENATE($C65,CX$3),Report_BM!$DN$6:$DN$73)</f>
        <v>0</v>
      </c>
      <c r="CY65" s="103"/>
      <c r="CZ65" s="104"/>
      <c r="DA65" s="104"/>
      <c r="DB65" s="104"/>
      <c r="DC65" s="104"/>
      <c r="DD65" s="104"/>
      <c r="DE65" s="45">
        <f>SUMIF(Report_BM!$EG$6:$EG$73,CONCATENATE($C65,DM$3),Report_BM!$DS$6:$DS$73)+SUMIF(Report_BM!$EG$6:$EG$73,CONCATENATE($C65,DM$3),Report_BM!$DV$6:$DV$73)</f>
        <v>99</v>
      </c>
      <c r="DF65" s="46">
        <f ca="1">SUMIF(Report_BM!$EG$6:$EG$73,CONCATENATE($C65,$DM$3),Report_BM!$DT$6:$DT$73)+SUMIF(Report_BM!$EG$6:$EG$73,CONCATENATE($C65,$DM$3),Report_BM!$DW$6:$DW$73)</f>
        <v>0</v>
      </c>
      <c r="DG65" s="45">
        <f>SUMIF(Report_BM!$EG$6:$EG$73,CONCATENATE($C65,DM$3),Report_BM!$DY$6:$DY$73)</f>
        <v>0</v>
      </c>
      <c r="DH65" s="39">
        <f>SUMIF(Report_BM!EG$6:EG$73,CONCATENATE($C65,DM$3),Report_BM!DZ$6:DZ$73)</f>
        <v>0</v>
      </c>
      <c r="DI65" s="39">
        <f>SUMIF(Report_BM!EG$6:EG$73,CONCATENATE($C65,DM$3),Report_BM!$EA$6:$EA$73)</f>
        <v>0</v>
      </c>
      <c r="DJ65" s="39">
        <f>SUMIF(Report_BM!EG$6:EG$73,CONCATENATE($C65,DM$3),Report_BM!$EB$6:$EB$73)</f>
        <v>0</v>
      </c>
      <c r="DK65" s="46">
        <f>SUMIF(Master_Data!$AK$152:$AK$864,CONCATENATE($C65,DM$3),Master_Data!$T$152:$T$864)</f>
        <v>0</v>
      </c>
      <c r="DL65" s="45">
        <f>SUMIF(Report_BM!EG$6:EG$73,CONCATENATE($C65,DM$3),Report_BM!ED$6:ED$73)</f>
        <v>99</v>
      </c>
      <c r="DM65" s="39">
        <f ca="1">SUMIF(Report_BM!EG$6:EG$73,CONCATENATE($C65,DM$3),Report_BM!EE$6:EE$73)</f>
        <v>0</v>
      </c>
      <c r="DN65" s="103"/>
      <c r="DO65" s="104"/>
      <c r="DP65" s="104"/>
      <c r="DQ65" s="104"/>
      <c r="DR65" s="104"/>
      <c r="DS65" s="104"/>
      <c r="DT65" s="45">
        <f>SUMIF(Report_BM!$EX$6:$EX$73,CONCATENATE($C65,EB$3),Report_BM!$EJ$6:$EJ$73)+SUMIF(Report_BM!$EX$6:$EX$73,CONCATENATE($C65,EB$3),Report_BM!$EM$6:$EM$73)</f>
        <v>99</v>
      </c>
      <c r="DU65" s="46">
        <f ca="1">SUMIF(Report_BM!$EX$6:$EX$73,CONCATENATE($C65,$EB$3),Report_BM!$EK$6:$EK$73)+SUMIF(Report_BM!$EX$6:$EX$73,CONCATENATE($C65,$EB$3),Report_BM!$EN$6:$EN$73)</f>
        <v>0</v>
      </c>
      <c r="DV65" s="45">
        <f>SUMIF(Report_BM!$EX$6:$EX$73,CONCATENATE($C65,EB$3),Report_BM!$EP$6:$EP$73)</f>
        <v>0</v>
      </c>
      <c r="DW65" s="39">
        <f>SUMIF(Report_BM!$EX$6:$EX$73,CONCATENATE($C65,EB$3),Report_BM!$EQ$6:$EQ$73)</f>
        <v>0</v>
      </c>
      <c r="DX65" s="39">
        <f>SUMIF(Report_BM!$EX$6:$EX$73,CONCATENATE($C65,EB$3),Report_BM!$ER$6:$ER$73)</f>
        <v>0</v>
      </c>
      <c r="DY65" s="39">
        <f>SUMIF(Report_BM!$EX$6:$EX$73,CONCATENATE($C65,EB$3),Report_BM!$ES$6:$ES$73)</f>
        <v>0</v>
      </c>
      <c r="DZ65" s="46">
        <f>SUMIF(Master_Data!$AK$152:$AK$864,CONCATENATE($C65,EB$3),Master_Data!$T$152:$T$864)</f>
        <v>0</v>
      </c>
      <c r="EA65" s="45">
        <f>SUMIF(Report_BM!EX$6:EX$73,CONCATENATE($C65,EB$3),Report_BM!EU$6:EU$73)</f>
        <v>99</v>
      </c>
      <c r="EB65" s="39">
        <f>SUMIF(Report_BM!EX$6:EX$73,CONCATENATE($C65,EB$3),Report_BM!EV$6:EV$73)</f>
        <v>0</v>
      </c>
      <c r="EC65" s="103"/>
      <c r="ED65" s="104"/>
      <c r="EE65" s="104"/>
      <c r="EF65" s="104"/>
      <c r="EG65" s="104"/>
      <c r="EH65" s="104"/>
      <c r="EI65" s="45">
        <f>SUMIF(Report_BM!$FO$6:$FO$73,CONCATENATE($C65,EQ$3),Report_BM!$FA$6:$FA$73)+SUMIF(Report_BM!$FO$6:$FO$73,CONCATENATE($C65,EQ$3),Report_BM!$FD$6:$FD$73)</f>
        <v>99</v>
      </c>
      <c r="EJ65" s="46">
        <f>SUMIF(Report_BM!$FO$6:$FO$73,CONCATENATE($C65,$EQ$3),Report_BM!$FB$6:$FB$73)+SUMIF(Report_BM!$FO$6:$FO$73,CONCATENATE($C65,$EQ$3),Report_BM!$FE$6:$FE$73)</f>
        <v>0</v>
      </c>
      <c r="EK65" s="45">
        <f>SUMIF(Report_BM!$FO$6:$FO$73,CONCATENATE($C65,EQ$3),Report_BM!$FG$6:$FG$73)</f>
        <v>0</v>
      </c>
      <c r="EL65" s="39">
        <f>SUMIF(Report_BM!$FO$6:$FO$73,CONCATENATE($C65,EQ$3),Report_BM!$FH$6:$FH$73)</f>
        <v>0</v>
      </c>
      <c r="EM65" s="39">
        <f>SUMIF(Report_BM!$FO$6:$FO$73,CONCATENATE($C65,EQ$3),Report_BM!$FI$6:$FI$73)</f>
        <v>0</v>
      </c>
      <c r="EN65" s="39">
        <f>SUMIF(Report_BM!$FO$6:$FO$73,CONCATENATE($C65,EQ$3),Report_BM!$FJ$6:$FJ$73)</f>
        <v>0</v>
      </c>
      <c r="EO65" s="46">
        <f>SUMIF(Master_Data!$AK$152:$AK$864,CONCATENATE($C65,EQ$3),Master_Data!$T$152:$T$864)</f>
        <v>0</v>
      </c>
      <c r="EP65" s="45">
        <f>SUMIF(Report_BM!FO$6:FO$73,CONCATENATE($C65,EQ$3),Report_BM!FL$6:FL$73)</f>
        <v>99</v>
      </c>
      <c r="EQ65" s="39">
        <f>SUMIF(Report_BM!FO$6:FO$73,CONCATENATE($C65,EQ$3),Report_BM!FM$6:FM$73)</f>
        <v>0</v>
      </c>
      <c r="ER65" s="103"/>
      <c r="ES65" s="104"/>
      <c r="ET65" s="104"/>
      <c r="EU65" s="104"/>
      <c r="EV65" s="104"/>
      <c r="EW65" s="104"/>
      <c r="EX65" s="45">
        <f>SUMIF(Report_BM!$GF$6:$GF$73,CONCATENATE($C65,FF$3),Report_BM!$FR$6:$FR$73)+SUMIF(Report_BM!$GF$6:$GF$73,CONCATENATE($C65,FF$3),Report_BM!$FU$6:$FU$73)</f>
        <v>99</v>
      </c>
      <c r="EY65" s="46">
        <f>SUMIF(Report_BM!$GF$6:$GF$73,CONCATENATE($C65,$FF$3),Report_BM!$FS$6:$FS$73)+SUMIF(Report_BM!$GF$6:$GF$73,CONCATENATE($C65,$FF$3),Report_BM!$FV$6:$FV$73)</f>
        <v>0</v>
      </c>
      <c r="EZ65" s="45">
        <f>SUMIF(Report_BM!$GF$6:$GF$73,CONCATENATE($C65,FF$3),Report_BM!$FX$6:$FX$73)</f>
        <v>0</v>
      </c>
      <c r="FA65" s="39">
        <f>SUMIF(Report_BM!$GF$6:$GF$73,CONCATENATE($C65,FF$3),Report_BM!$FY$6:$FY$73)</f>
        <v>0</v>
      </c>
      <c r="FB65" s="39">
        <f>SUMIF(Report_BM!$GF$6:$GF$73,CONCATENATE($C65,FF$3),Report_BM!$FZ$6:$FZ$73)</f>
        <v>0</v>
      </c>
      <c r="FC65" s="39">
        <f>SUMIF(Report_BM!$GF$6:$GF$73,CONCATENATE($C65,FF$3),Report_BM!$GA$6:$GA$73)</f>
        <v>0</v>
      </c>
      <c r="FD65" s="46">
        <f>SUMIF(Master_Data!$AK$152:$AK$864,CONCATENATE($C65,FF$3),Master_Data!$T$152:$T$864)</f>
        <v>0</v>
      </c>
      <c r="FE65" s="45">
        <f>SUMIF(Report_BM!GF$6:GF$73,CONCATENATE($C65,FF$3),Report_BM!GC$6:GC$73)</f>
        <v>99</v>
      </c>
      <c r="FF65" s="39">
        <f>SUMIF(Report_BM!GF$6:GF$73,CONCATENATE($C65,FF$3),Report_BM!GD$6:GD$73)</f>
        <v>0</v>
      </c>
      <c r="FG65" s="103"/>
      <c r="FH65" s="104"/>
      <c r="FI65" s="104"/>
      <c r="FJ65" s="104"/>
      <c r="FK65" s="104"/>
      <c r="FL65" s="104"/>
      <c r="FM65" s="45">
        <f>SUMIF(Report_BM!$GW$6:$GW$73,CONCATENATE($C65,FU$3),Report_BM!$GI$6:$GI$73)+SUMIF(Report_BM!$GW$6:$GW$73,CONCATENATE($C65,FU$3),Report_BM!$GL$6:$GL$73)</f>
        <v>99</v>
      </c>
      <c r="FN65" s="46">
        <f>SUMIF(Report_BM!$GW$6:$GW$73,CONCATENATE($C65,$FU$3),Report_BM!$GJ$6:$GJ$73)+SUMIF(Report_BM!$GW$6:$GW$73,CONCATENATE($C65,$FU$3),Report_BM!$GM$6:$GM$73)</f>
        <v>0</v>
      </c>
      <c r="FO65" s="45">
        <f>SUMIF(Report_BM!$GW$6:$GW$73,CONCATENATE($C65,FU$3),Report_BM!$GO$6:$GO$73)</f>
        <v>0</v>
      </c>
      <c r="FP65" s="39">
        <f>SUMIF(Report_BM!$GW$6:$GW$73,CONCATENATE($C65,FU$3),Report_BM!$GP$6:$GP$73)</f>
        <v>0</v>
      </c>
      <c r="FQ65" s="39">
        <f>SUMIF(Report_BM!$GW$6:$GW$73,CONCATENATE($C65,FU$3),Report_BM!$GQ$6:$GQ$73)</f>
        <v>0</v>
      </c>
      <c r="FR65" s="39">
        <f>SUMIF(Report_BM!$GW$6:$GW$73,CONCATENATE($C65,FU$3),Report_BM!$GR$6:$GR$73)</f>
        <v>0</v>
      </c>
      <c r="FS65" s="46">
        <f>SUMIF(Master_Data!$AK$152:$AK$864,CONCATENATE($C65,FU$3),Master_Data!$T$152:$T$864)</f>
        <v>0</v>
      </c>
      <c r="FT65" s="45">
        <f>SUMIF(Report_BM!GW$6:GW$73,CONCATENATE($C65,FU$3),Report_BM!GT$6:GT$73)</f>
        <v>99</v>
      </c>
      <c r="FU65" s="39">
        <f>SUMIF(Report_BM!GW$6:GW$73,CONCATENATE($C65,FU$3),Report_BM!GU$6:GU$73)</f>
        <v>0</v>
      </c>
      <c r="FV65" s="103"/>
      <c r="FW65" s="104"/>
      <c r="FX65" s="104"/>
      <c r="FY65" s="104"/>
      <c r="FZ65" s="104"/>
      <c r="GA65" s="104"/>
    </row>
    <row r="66" spans="1:183" s="40" customFormat="1" ht="14.1" customHeight="1">
      <c r="A66" s="9">
        <v>60</v>
      </c>
      <c r="B66" s="328" t="s">
        <v>2836</v>
      </c>
      <c r="C66" s="323" t="s">
        <v>2686</v>
      </c>
      <c r="D66" s="45"/>
      <c r="E66" s="276"/>
      <c r="F66" s="45"/>
      <c r="G66" s="39"/>
      <c r="H66" s="39"/>
      <c r="I66" s="39"/>
      <c r="J66" s="46"/>
      <c r="K66" s="45"/>
      <c r="L66" s="39"/>
      <c r="M66" s="103"/>
      <c r="N66" s="104"/>
      <c r="O66" s="104"/>
      <c r="P66" s="104"/>
      <c r="Q66" s="104"/>
      <c r="R66" s="104"/>
      <c r="S66" s="45"/>
      <c r="T66" s="276"/>
      <c r="U66" s="45"/>
      <c r="V66" s="39"/>
      <c r="W66" s="39"/>
      <c r="X66" s="39"/>
      <c r="Y66" s="46"/>
      <c r="Z66" s="45"/>
      <c r="AA66" s="39"/>
      <c r="AB66" s="103"/>
      <c r="AC66" s="104"/>
      <c r="AD66" s="104"/>
      <c r="AE66" s="104"/>
      <c r="AF66" s="104"/>
      <c r="AG66" s="104"/>
      <c r="AH66" s="45"/>
      <c r="AI66" s="46"/>
      <c r="AJ66" s="45"/>
      <c r="AK66" s="39"/>
      <c r="AL66" s="39"/>
      <c r="AM66" s="39"/>
      <c r="AN66" s="46"/>
      <c r="AO66" s="45"/>
      <c r="AP66" s="39"/>
      <c r="AQ66" s="103"/>
      <c r="AR66" s="104"/>
      <c r="AS66" s="104"/>
      <c r="AT66" s="104"/>
      <c r="AU66" s="104"/>
      <c r="AV66" s="104"/>
      <c r="AW66" s="45"/>
      <c r="AX66" s="46"/>
      <c r="AY66" s="45"/>
      <c r="AZ66" s="39"/>
      <c r="BA66" s="39"/>
      <c r="BB66" s="39"/>
      <c r="BC66" s="46"/>
      <c r="BD66" s="45"/>
      <c r="BE66" s="39"/>
      <c r="BF66" s="103"/>
      <c r="BG66" s="104"/>
      <c r="BH66" s="104"/>
      <c r="BI66" s="104"/>
      <c r="BJ66" s="104"/>
      <c r="BK66" s="104"/>
      <c r="BL66" s="45">
        <f>SUMIF(Report_BM!$CH$6:$CH$73,CONCATENATE($C66,BT$3),Report_BM!$BT$6:$BT$73)+SUMIF(Report_BM!$CH$6:$CH$73,CONCATENATE($C66,BT$3),Report_BM!$BW$6:$BW$73)</f>
        <v>0</v>
      </c>
      <c r="BM66" s="46">
        <f>SUMIF(Report_BM!$CH$6:$CH$73,CONCATENATE($C66,$BT$3),Report_BM!$BU$6:$BU$73)+SUMIF(Report_BM!$CH$6:$CH$73,CONCATENATE($C66,$BT$3),Report_BM!$BX$6:$BX$73)</f>
        <v>0</v>
      </c>
      <c r="BN66" s="45">
        <f>SUMIF(Report_BM!$CH$6:$CH$73,CONCATENATE($C66,BT$3),Report_BM!$BZ$6:$BZ$73)</f>
        <v>0</v>
      </c>
      <c r="BO66" s="39">
        <f>SUMIF(Report_BM!$CH$6:$CH$73,CONCATENATE($C66,BT$3),Report_BM!$CA$6:$CA$73)</f>
        <v>0</v>
      </c>
      <c r="BP66" s="39">
        <f>SUMIF(Report_BM!$CH$6:$CH$73,CONCATENATE($C66,BT$3),Report_BM!$CB$6:$CB$73)</f>
        <v>0</v>
      </c>
      <c r="BQ66" s="39">
        <f>SUMIF(Report_BM!$CH$6:$CH$73,CONCATENATE($C66,BT$3),Report_BM!$CC$6:$CC$73)</f>
        <v>0</v>
      </c>
      <c r="BR66" s="46">
        <f>SUMIF(Master_Data!$AK$152:$AK$864,CONCATENATE($C66,BT$3),Master_Data!$T$152:$T$864)</f>
        <v>0</v>
      </c>
      <c r="BS66" s="45">
        <f>SUMIF(Report_BM!$CH$6:$CH$73,CONCATENATE($C66,BT$3),Report_BM!$CE$6:$CE$73)</f>
        <v>0</v>
      </c>
      <c r="BT66" s="39">
        <f>SUMIF(Report_BM!$CH$6:$CH$73,CONCATENATE($C66,BT$3),Report_BM!$CF$6:$CF$73)</f>
        <v>0</v>
      </c>
      <c r="BU66" s="103"/>
      <c r="BV66" s="104"/>
      <c r="BW66" s="104"/>
      <c r="BX66" s="104"/>
      <c r="BY66" s="104"/>
      <c r="BZ66" s="104"/>
      <c r="CA66" s="45">
        <f>SUMIF(Report_BM!$CY$6:$CY$73,CONCATENATE($C66,CI$3),Report_BM!$CK$6:$CK$73)+SUMIF(Report_BM!$CY$6:$CY$73,CONCATENATE($C66,CI$3),Report_BM!$CN$6:$CN$73)</f>
        <v>0</v>
      </c>
      <c r="CB66" s="46" t="e">
        <f>SUMIF(Report_BM!$CY$6:$CY$73,CONCATENATE($C66,$CI$3),Report_BM!$CL$6:$CL$73)+SUMIF(Report_BM!$CY$6:$CY$73,CONCATENATE($C66,$CI$3),Report_BM!$CO$6:$CO$73)</f>
        <v>#VALUE!</v>
      </c>
      <c r="CC66" s="45">
        <f>SUMIF(Report_BM!$CY$6:$CY$73,CONCATENATE($C66,CI$3),Report_BM!$CQ$6:$CQ$73)</f>
        <v>0</v>
      </c>
      <c r="CD66" s="39">
        <f>SUMIF(Report_BM!$CY$6:$CY$73,CONCATENATE($C66,CI$3),Report_BM!$CR$6:$CR$73)</f>
        <v>0</v>
      </c>
      <c r="CE66" s="39">
        <f>SUMIF(Report_BM!$CY$6:$CY$73,CONCATENATE($C66,CI$3),Report_BM!$CS$6:$CS$73)</f>
        <v>0</v>
      </c>
      <c r="CF66" s="39">
        <f ca="1">SUMIF(Report_BM!$CY$6:$CY$73,CONCATENATE($C66,CI$3),Report_BM!$CT$6:$CT$73)</f>
        <v>0</v>
      </c>
      <c r="CG66" s="46">
        <f>SUMIF(Report_BM!$CY$6:$CY$73,CONCATENATE($C66,CI$3),Report_BM!$CU$6:$CU$73)</f>
        <v>0</v>
      </c>
      <c r="CH66" s="45">
        <f>SUMIF(Report_BM!$CY$6:$CY$73,CONCATENATE($C66,CI$3),Report_BM!$CV$6:$CV$73)</f>
        <v>0</v>
      </c>
      <c r="CI66" s="39" t="e">
        <f ca="1">SUMIF(Report_BM!$CY$6:$CY$73,CONCATENATE($C66,CI$3),Report_BM!$CW$6:$CW$73)</f>
        <v>#VALUE!</v>
      </c>
      <c r="CJ66" s="103"/>
      <c r="CK66" s="104"/>
      <c r="CL66" s="104"/>
      <c r="CM66" s="104"/>
      <c r="CN66" s="104"/>
      <c r="CO66" s="104"/>
      <c r="CP66" s="45">
        <f>SUMIF(Report_BM!$DP$6:$DP$73,CONCATENATE($C66,CX$3),Report_BM!$DB$6:$DB$73)+SUMIF(Report_BM!$DP$6:$DP$73,CONCATENATE($C66,CX$3),Report_BM!$DE$6:$DE$73)</f>
        <v>0</v>
      </c>
      <c r="CQ66" s="46" t="e">
        <f ca="1">SUMIF(Report_BM!$DP$6:$DP$73,CONCATENATE($C66,$CX$3),Report_BM!$DC$6:$DC$73)+SUMIF(Report_BM!$DP$6:$DP$73,CONCATENATE($C66,$CX$3),Report_BM!$DF$6:$DF$73)</f>
        <v>#VALUE!</v>
      </c>
      <c r="CR66" s="45">
        <f>SUMIF(Report_BM!$DP$6:$DP$73,CONCATENATE($C66,CX$3),Report_BM!$DH$6:$DH$73)</f>
        <v>0</v>
      </c>
      <c r="CS66" s="39">
        <f>SUMIF(Report_BM!$DP$6:$DP$73,CONCATENATE($C66,CX$3),Report_BM!$DI$6:$DI$73)</f>
        <v>0</v>
      </c>
      <c r="CT66" s="39">
        <f>SUMIF(Report_BM!$DP$6:$DP$73,CONCATENATE($C66,CX$3),Report_BM!$DJ$6:$DJ$73)</f>
        <v>4033220</v>
      </c>
      <c r="CU66" s="39">
        <f>SUMIF(Report_BM!$DP$6:$DP$73,CONCATENATE($C66,CX$3),Report_BM!$DK$6:$DK$73)</f>
        <v>0</v>
      </c>
      <c r="CV66" s="46">
        <f>SUMIF(Master_Data!$AK$152:$AK$864,CONCATENATE($C66,CX$3),Master_Data!$T$152:$T$864)</f>
        <v>0</v>
      </c>
      <c r="CW66" s="45">
        <f>SUMIF(Report_BM!$DP$6:$DP$73,CONCATENATE($C66,CX$3),Report_BM!$DM$6:$DM$73)</f>
        <v>0</v>
      </c>
      <c r="CX66" s="39" t="e">
        <f ca="1">SUMIF(Report_BM!$DP$6:$DP$73,CONCATENATE($C66,CX$3),Report_BM!$DN$6:$DN$73)</f>
        <v>#VALUE!</v>
      </c>
      <c r="CY66" s="103"/>
      <c r="CZ66" s="104"/>
      <c r="DA66" s="104"/>
      <c r="DB66" s="104"/>
      <c r="DC66" s="104"/>
      <c r="DD66" s="104"/>
      <c r="DE66" s="45"/>
      <c r="DF66" s="46"/>
      <c r="DG66" s="45"/>
      <c r="DH66" s="39"/>
      <c r="DI66" s="39"/>
      <c r="DJ66" s="39"/>
      <c r="DK66" s="46"/>
      <c r="DL66" s="45"/>
      <c r="DM66" s="39"/>
      <c r="DN66" s="103"/>
      <c r="DO66" s="104"/>
      <c r="DP66" s="104"/>
      <c r="DQ66" s="104"/>
      <c r="DR66" s="104"/>
      <c r="DS66" s="104"/>
      <c r="DT66" s="45"/>
      <c r="DU66" s="46"/>
      <c r="DV66" s="45"/>
      <c r="DW66" s="39"/>
      <c r="DX66" s="39"/>
      <c r="DY66" s="39"/>
      <c r="DZ66" s="46"/>
      <c r="EA66" s="45"/>
      <c r="EB66" s="39"/>
      <c r="EC66" s="103"/>
      <c r="ED66" s="104"/>
      <c r="EE66" s="104"/>
      <c r="EF66" s="104"/>
      <c r="EG66" s="104"/>
      <c r="EH66" s="104"/>
      <c r="EI66" s="45"/>
      <c r="EJ66" s="46"/>
      <c r="EK66" s="45"/>
      <c r="EL66" s="39"/>
      <c r="EM66" s="39"/>
      <c r="EN66" s="39"/>
      <c r="EO66" s="46"/>
      <c r="EP66" s="45"/>
      <c r="EQ66" s="39"/>
      <c r="ER66" s="103"/>
      <c r="ES66" s="104"/>
      <c r="ET66" s="104"/>
      <c r="EU66" s="104"/>
      <c r="EV66" s="104"/>
      <c r="EW66" s="104"/>
      <c r="EX66" s="45"/>
      <c r="EY66" s="46"/>
      <c r="EZ66" s="45"/>
      <c r="FA66" s="39"/>
      <c r="FB66" s="39"/>
      <c r="FC66" s="39"/>
      <c r="FD66" s="46"/>
      <c r="FE66" s="45"/>
      <c r="FF66" s="39"/>
      <c r="FG66" s="103"/>
      <c r="FH66" s="104"/>
      <c r="FI66" s="104"/>
      <c r="FJ66" s="104"/>
      <c r="FK66" s="104"/>
      <c r="FL66" s="104"/>
      <c r="FM66" s="45"/>
      <c r="FN66" s="46"/>
      <c r="FO66" s="45"/>
      <c r="FP66" s="39"/>
      <c r="FQ66" s="39"/>
      <c r="FR66" s="39"/>
      <c r="FS66" s="46"/>
      <c r="FT66" s="45"/>
      <c r="FU66" s="39"/>
      <c r="FV66" s="103"/>
      <c r="FW66" s="104"/>
      <c r="FX66" s="104"/>
      <c r="FY66" s="104"/>
      <c r="FZ66" s="104"/>
      <c r="GA66" s="104"/>
    </row>
    <row r="67" spans="1:183" s="40" customFormat="1" ht="14.1" customHeight="1">
      <c r="A67" s="9">
        <v>61</v>
      </c>
      <c r="B67" s="328" t="s">
        <v>339</v>
      </c>
      <c r="C67" s="324" t="s">
        <v>214</v>
      </c>
      <c r="D67" s="45">
        <f>SUMIF(Report_BM!$B$6:$B$73,CONCATENATE($C67,L$3),Report_BM!$E$6:$E$73)+SUMIF(Report_BM!$B$6:$B$73,CONCATENATE($C67,L$3),Report_BM!$H$6:$H$73)</f>
        <v>0</v>
      </c>
      <c r="E67" s="276">
        <f>SUMIF(Report_BM!$B$6:$B$73,CONCATENATE($C67,L$3),Report_BM!$F$6:$F$73)+SUMIF(Report_BM!$B$6:$B$73,CONCATENATE($C67,L$3),Report_BM!$I$6:$I$73)</f>
        <v>0</v>
      </c>
      <c r="F67" s="45">
        <f>SUMIF(Report_BM!$B$6:$B$73,CONCATENATE($C67,L$3),Report_BM!$K$6:$K$73)</f>
        <v>0</v>
      </c>
      <c r="G67" s="39">
        <f>SUMIF(Report_BM!$B$6:$B$73,CONCATENATE($C67,$L$3),Report_BM!$L$6:$L$73)</f>
        <v>0</v>
      </c>
      <c r="H67" s="39">
        <f>SUMIF(Report_BM!$B$6:$B$73,CONCATENATE($C67,$L$3),Report_BM!$M$6:$M$73)</f>
        <v>0</v>
      </c>
      <c r="I67" s="39">
        <f>SUMIF(Report_BM!$B$6:$B$73,CONCATENATE($C67,$L$3),Report_BM!$N$6:$N$73)</f>
        <v>0</v>
      </c>
      <c r="J67" s="46">
        <f>SUMIF(Report_BM!$B$6:$B$73,CONCATENATE($C67,$L$3),Report_BM!$O$6:$O$73)</f>
        <v>0</v>
      </c>
      <c r="K67" s="45">
        <f>SUMIF(Report_BM!$B$6:$B$73,CONCATENATE($C67,$L$3),Report_BM!$P$6:$P$73)</f>
        <v>0</v>
      </c>
      <c r="L67" s="39">
        <f>SUMIF(Report_BM!$B$6:$B$73,CONCATENATE($C67,$L$3),Report_BM!$Q$6:$Q$73)</f>
        <v>0</v>
      </c>
      <c r="M67" s="103"/>
      <c r="N67" s="104"/>
      <c r="O67" s="104"/>
      <c r="P67" s="104"/>
      <c r="Q67" s="104"/>
      <c r="R67" s="104"/>
      <c r="S67" s="45">
        <f>SUMIF(Report_BM!$AI$8:$AI$72,CONCATENATE($C67,AA$3),Report_BM!$U$8:$U$72)+SUMIF(Report_BM!$AI$8:$AI$72,CONCATENATE($C67,AA$3),Report_BM!$X$8:$X$72)</f>
        <v>0</v>
      </c>
      <c r="T67" s="276">
        <f>SUMIF(Report_BM!$AI$8:$AI$72,CONCATENATE($C67,AA$3),Report_BM!$V$8:$V$72)+SUMIF(Report_BM!$AI$8:$AI$72,CONCATENATE($C67,AA$3),Report_BM!$Y$8:$Y$72)</f>
        <v>0</v>
      </c>
      <c r="U67" s="45">
        <f>SUMIF(Report_BM!$AI$8:$AI$72,CONCATENATE($C67,AA$3),Report_BM!$AA$8:$AB$72)</f>
        <v>0</v>
      </c>
      <c r="V67" s="39">
        <f>SUMIF(Report_BM!$AI$8:$AI$72,CONCATENATE($C67,$AA$3),Report_BM!$AB$8:$AB$72)</f>
        <v>0</v>
      </c>
      <c r="W67" s="39">
        <f>SUMIF(Report_BM!$AI$8:$AI$72,CONCATENATE($C67,$AA$3),Report_BM!$AC$8:$AC$72)</f>
        <v>0</v>
      </c>
      <c r="X67" s="39">
        <f ca="1">SUMIF(Report_BM!$AI$7:$AI$73,CONCATENATE($C67,$AA$3),Report_BM!$AD$7:$AD$73)</f>
        <v>0</v>
      </c>
      <c r="Y67" s="46">
        <f>SUMIF(Master_Data!$AK$152:$AK$864,CONCATENATE($C67,AA$3),Master_Data!$T$152:$T$864)</f>
        <v>0</v>
      </c>
      <c r="Z67" s="45">
        <f>SUMIF(Report_BM!$AI$8:$AI$72,CONCATENATE($C67,$AA$3),Report_BM!$AF$8:$AF$72)</f>
        <v>0</v>
      </c>
      <c r="AA67" s="39">
        <f ca="1">SUMIF(Report_BM!$AI$8:$AI$72,CONCATENATE($C67,$AA$3),Report_BM!$AG$8:$AG$72)</f>
        <v>0</v>
      </c>
      <c r="AB67" s="103"/>
      <c r="AC67" s="104"/>
      <c r="AD67" s="104"/>
      <c r="AE67" s="104"/>
      <c r="AF67" s="104"/>
      <c r="AG67" s="104"/>
      <c r="AH67" s="45">
        <f>SUMIF(Report_BM!$AZ$5:$AZ$72,CONCATENATE($C67,AP$3),Report_BM!$AL$5:$AL$72)+SUMIF(Report_BM!$AZ$5:$AZ$72,CONCATENATE($C67,AP$3),Report_BM!$AO$5:$AO$72)</f>
        <v>0</v>
      </c>
      <c r="AI67" s="46">
        <f ca="1">SUMIF(Report_BM!$AZ$5:$AZ$72,CONCATENATE($C67,$AP$3),Report_BM!$AM$5:$AM$72)+SUMIF(Report_BM!$AZ$5:$AZ$72,CONCATENATE($C67,$AP$3),Report_BM!$AP$5:$AP$72)</f>
        <v>0</v>
      </c>
      <c r="AJ67" s="45">
        <f>SUMIF(Report_BM!$AZ$5:$AZ$72,CONCATENATE($C67,$AP$3),Report_BM!$AR$5:$AR$72)</f>
        <v>0</v>
      </c>
      <c r="AK67" s="39">
        <f>SUMIF(Report_BM!$AZ$5:$AZ$72,CONCATENATE($C67,$AP$3),Report_BM!$AS$5:$AS$72)</f>
        <v>0</v>
      </c>
      <c r="AL67" s="39">
        <f>SUMIF(Report_BM!$AZ$5:$AZ$72,CONCATENATE($C67,$AP$3),Report_BM!$AT$5:$AT$72)</f>
        <v>0</v>
      </c>
      <c r="AM67" s="39">
        <f ca="1">SUMIF(Report_BM!$AZ$5:$AZ$72,CONCATENATE($C67,$AP$3),Report_BM!$AU$5:$AU$72)</f>
        <v>0</v>
      </c>
      <c r="AN67" s="46">
        <f>SUMIF(Master_Data!$AK$152:$AK$915,CONCATENATE($C67,AP$3),Master_Data!$T$152:$T$915)</f>
        <v>0</v>
      </c>
      <c r="AO67" s="45">
        <f>SUMIF(Report_BM!$AZ$5:$AZ$72,CONCATENATE($C67,$AP$3),Report_BM!$AW$5:$AW$72)</f>
        <v>0</v>
      </c>
      <c r="AP67" s="39">
        <f ca="1">SUMIF(Report_BM!$AZ$5:$AZ$72,CONCATENATE($C67,$AP$3),Report_BM!$AX$5:$AX$72)</f>
        <v>0</v>
      </c>
      <c r="AQ67" s="103"/>
      <c r="AR67" s="104"/>
      <c r="AS67" s="104"/>
      <c r="AT67" s="104"/>
      <c r="AU67" s="104"/>
      <c r="AV67" s="104"/>
      <c r="AW67" s="45">
        <f>SUMIF(Report_BM!$BQ$6:$BQ$73,CONCATENATE($C67,BE$3),Report_BM!$BC$6:$BC$73)+SUMIF(Report_BM!$BQ$6:$BQ$73,CONCATENATE($C67,BE$3),Report_BM!$BF$6:$BF$73)</f>
        <v>0</v>
      </c>
      <c r="AX67" s="46">
        <f ca="1">SUMIF(Report_BM!$BQ$6:$BQ$73,CONCATENATE($C67,$BE$3),Report_BM!$BD$6:$BD$73)+SUMIF(Report_BM!$BQ$6:$BQ$73,CONCATENATE($C67,$BE$3),Report_BM!$BG$6:$BG$73)</f>
        <v>0</v>
      </c>
      <c r="AY67" s="45">
        <f>SUMIF(Report_BM!$BQ$6:$BQ$73,CONCATENATE($C67,BE$3),Report_BM!$BI$6:$BI$73)</f>
        <v>0</v>
      </c>
      <c r="AZ67" s="39">
        <f>SUMIF(Report_BM!$BQ$6:$BQ$73,CONCATENATE($C67,BE$3),Report_BM!$BJ$6:$BJ$73)</f>
        <v>0</v>
      </c>
      <c r="BA67" s="39">
        <f>SUMIF(Report_BM!$BQ$6:$BQ$73,CONCATENATE($C67,BE$3),Report_BM!$BK$6:$BK$73)</f>
        <v>0</v>
      </c>
      <c r="BB67" s="39">
        <f>SUMIF(Report_BM!$BQ$6:$BQ$73,CONCATENATE($C67,BE$3),Report_BM!$BL$6:$BL$73)</f>
        <v>0</v>
      </c>
      <c r="BC67" s="46">
        <f>SUMIF(Master_Data!$AK$152:$AK$864,CONCATENATE($C67,BE$3),Master_Data!$T$152:$T$864)</f>
        <v>0</v>
      </c>
      <c r="BD67" s="45">
        <f>SUMIF(Report_BM!$BQ$6:$BQ$73,CONCATENATE($C67,BE$3),Report_BM!$BN$6:$BN$73)</f>
        <v>0</v>
      </c>
      <c r="BE67" s="39">
        <f ca="1">SUMIF(Report_BM!$BQ$6:$BQ$73,CONCATENATE($C67,BE$3),Report_BM!$BO$6:$BO$73)</f>
        <v>0</v>
      </c>
      <c r="BF67" s="103"/>
      <c r="BG67" s="104"/>
      <c r="BH67" s="104"/>
      <c r="BI67" s="104"/>
      <c r="BJ67" s="104"/>
      <c r="BK67" s="104"/>
      <c r="BL67" s="45">
        <f>SUMIF(Report_BM!$CH$6:$CH$73,CONCATENATE($C67,BT$3),Report_BM!$BT$6:$BT$73)+SUMIF(Report_BM!$CH$6:$CH$73,CONCATENATE($C67,BT$3),Report_BM!$BW$6:$BW$73)</f>
        <v>0</v>
      </c>
      <c r="BM67" s="46">
        <f ca="1">SUMIF(Report_BM!$CH$6:$CH$73,CONCATENATE($C67,$BT$3),Report_BM!$BU$6:$BU$73)+SUMIF(Report_BM!$CH$6:$CH$73,CONCATENATE($C67,$BT$3),Report_BM!$BX$6:$BX$73)</f>
        <v>0</v>
      </c>
      <c r="BN67" s="45">
        <f>SUMIF(Report_BM!$CH$6:$CH$73,CONCATENATE($C67,BT$3),Report_BM!$BZ$6:$BZ$73)</f>
        <v>0</v>
      </c>
      <c r="BO67" s="39">
        <f>SUMIF(Report_BM!$CH$6:$CH$73,CONCATENATE($C67,BT$3),Report_BM!$CA$6:$CA$73)</f>
        <v>0</v>
      </c>
      <c r="BP67" s="39">
        <f>SUMIF(Report_BM!$CH$6:$CH$73,CONCATENATE($C67,BT$3),Report_BM!$CB$6:$CB$73)</f>
        <v>0</v>
      </c>
      <c r="BQ67" s="39">
        <f>SUMIF(Report_BM!$CH$6:$CH$73,CONCATENATE($C67,BT$3),Report_BM!$CC$6:$CC$73)</f>
        <v>0</v>
      </c>
      <c r="BR67" s="46">
        <f>SUMIF(Master_Data!$AK$152:$AK$864,CONCATENATE($C67,BT$3),Master_Data!$T$152:$T$864)</f>
        <v>0</v>
      </c>
      <c r="BS67" s="45">
        <f>SUMIF(Report_BM!$CH$6:$CH$73,CONCATENATE($C67,BT$3),Report_BM!$CE$6:$CE$73)</f>
        <v>0</v>
      </c>
      <c r="BT67" s="39">
        <f ca="1">SUMIF(Report_BM!$CH$6:$CH$73,CONCATENATE($C67,BT$3),Report_BM!$CF$6:$CF$73)</f>
        <v>0</v>
      </c>
      <c r="BU67" s="103"/>
      <c r="BV67" s="104"/>
      <c r="BW67" s="104"/>
      <c r="BX67" s="104"/>
      <c r="BY67" s="104"/>
      <c r="BZ67" s="104"/>
      <c r="CA67" s="45">
        <f>SUMIF(Report_BM!$CY$6:$CY$73,CONCATENATE($C67,CI$3),Report_BM!$CK$6:$CK$73)+SUMIF(Report_BM!$CY$6:$CY$73,CONCATENATE($C67,CI$3),Report_BM!$CN$6:$CN$73)</f>
        <v>0</v>
      </c>
      <c r="CB67" s="46">
        <f ca="1">SUMIF(Report_BM!$CY$6:$CY$73,CONCATENATE($C67,$CI$3),Report_BM!$CL$6:$CL$73)+SUMIF(Report_BM!$CY$6:$CY$73,CONCATENATE($C67,$CI$3),Report_BM!$CO$6:$CO$73)</f>
        <v>0</v>
      </c>
      <c r="CC67" s="45">
        <f>SUMIF(Report_BM!$CY$6:$CY$73,CONCATENATE($C67,CI$3),Report_BM!$CQ$6:$CQ$73)</f>
        <v>0</v>
      </c>
      <c r="CD67" s="39">
        <f>SUMIF(Report_BM!$CY$6:$CY$73,CONCATENATE($C67,CI$3),Report_BM!$CR$6:$CR$73)</f>
        <v>0</v>
      </c>
      <c r="CE67" s="39">
        <f>SUMIF(Report_BM!$CY$6:$CY$73,CONCATENATE($C67,CI$3),Report_BM!$CS$6:$CS$73)</f>
        <v>0</v>
      </c>
      <c r="CF67" s="39">
        <f ca="1">SUMIF(Report_BM!$CY$6:$CY$73,CONCATENATE($C67,CI$3),Report_BM!$CT$6:$CT$73)</f>
        <v>0</v>
      </c>
      <c r="CG67" s="46">
        <f>SUMIF(Report_BM!$CY$6:$CY$73,CONCATENATE($C67,CI$3),Report_BM!$CU$6:$CU$73)</f>
        <v>0</v>
      </c>
      <c r="CH67" s="45">
        <f>SUMIF(Report_BM!$CY$6:$CY$73,CONCATENATE($C67,CI$3),Report_BM!$CV$6:$CV$73)</f>
        <v>0</v>
      </c>
      <c r="CI67" s="39">
        <f ca="1">SUMIF(Report_BM!$CY$6:$CY$73,CONCATENATE($C67,CI$3),Report_BM!$CW$6:$CW$73)</f>
        <v>0</v>
      </c>
      <c r="CJ67" s="103"/>
      <c r="CK67" s="104"/>
      <c r="CL67" s="104"/>
      <c r="CM67" s="104"/>
      <c r="CN67" s="104"/>
      <c r="CO67" s="104"/>
      <c r="CP67" s="45">
        <f>SUMIF(Report_BM!$DP$6:$DP$73,CONCATENATE($C67,CX$3),Report_BM!$DB$6:$DB$73)+SUMIF(Report_BM!$DP$6:$DP$73,CONCATENATE($C67,CX$3),Report_BM!$DE$6:$DE$73)</f>
        <v>0</v>
      </c>
      <c r="CQ67" s="46">
        <f ca="1">SUMIF(Report_BM!$DP$6:$DP$73,CONCATENATE($C67,$CX$3),Report_BM!$DC$6:$DC$73)+SUMIF(Report_BM!$DP$6:$DP$73,CONCATENATE($C67,$CX$3),Report_BM!$DF$6:$DF$73)</f>
        <v>0</v>
      </c>
      <c r="CR67" s="45">
        <f>SUMIF(Report_BM!$DP$6:$DP$73,CONCATENATE($C67,CX$3),Report_BM!$DH$6:$DH$73)</f>
        <v>0</v>
      </c>
      <c r="CS67" s="39">
        <f>SUMIF(Report_BM!$DP$6:$DP$73,CONCATENATE($C67,CX$3),Report_BM!$DI$6:$DI$73)</f>
        <v>0</v>
      </c>
      <c r="CT67" s="39">
        <f>SUMIF(Report_BM!$DP$6:$DP$73,CONCATENATE($C67,CX$3),Report_BM!$DJ$6:$DJ$73)</f>
        <v>0</v>
      </c>
      <c r="CU67" s="39">
        <f>SUMIF(Report_BM!$DP$6:$DP$73,CONCATENATE($C67,CX$3),Report_BM!$DK$6:$DK$73)</f>
        <v>0</v>
      </c>
      <c r="CV67" s="46">
        <f>SUMIF(Master_Data!$AK$152:$AK$864,CONCATENATE($C67,CX$3),Master_Data!$T$152:$T$864)</f>
        <v>0</v>
      </c>
      <c r="CW67" s="45">
        <f>SUMIF(Report_BM!$DP$6:$DP$73,CONCATENATE($C67,CX$3),Report_BM!$DM$6:$DM$73)</f>
        <v>0</v>
      </c>
      <c r="CX67" s="39">
        <f ca="1">SUMIF(Report_BM!$DP$6:$DP$73,CONCATENATE($C67,CX$3),Report_BM!$DN$6:$DN$73)</f>
        <v>0</v>
      </c>
      <c r="CY67" s="103"/>
      <c r="CZ67" s="104"/>
      <c r="DA67" s="104"/>
      <c r="DB67" s="104"/>
      <c r="DC67" s="104"/>
      <c r="DD67" s="104"/>
      <c r="DE67" s="45">
        <f>SUMIF(Report_BM!$EG$6:$EG$73,CONCATENATE($C67,DM$3),Report_BM!$DS$6:$DS$73)+SUMIF(Report_BM!$EG$6:$EG$73,CONCATENATE($C67,DM$3),Report_BM!$DV$6:$DV$73)</f>
        <v>0</v>
      </c>
      <c r="DF67" s="46">
        <f ca="1">SUMIF(Report_BM!$EG$6:$EG$73,CONCATENATE($C67,$DM$3),Report_BM!$DT$6:$DT$73)+SUMIF(Report_BM!$EG$6:$EG$73,CONCATENATE($C67,$DM$3),Report_BM!$DW$6:$DW$73)</f>
        <v>0</v>
      </c>
      <c r="DG67" s="45">
        <f>SUMIF(Report_BM!$EG$6:$EG$73,CONCATENATE($C67,DM$3),Report_BM!$DY$6:$DY$73)</f>
        <v>0</v>
      </c>
      <c r="DH67" s="39">
        <f>SUMIF(Report_BM!EG$6:EG$73,CONCATENATE($C67,DM$3),Report_BM!DZ$6:DZ$73)</f>
        <v>0</v>
      </c>
      <c r="DI67" s="39">
        <f>SUMIF(Report_BM!EG$6:EG$73,CONCATENATE($C67,DM$3),Report_BM!$EA$6:$EA$73)</f>
        <v>0</v>
      </c>
      <c r="DJ67" s="39">
        <f>SUMIF(Report_BM!EG$6:EG$73,CONCATENATE($C67,DM$3),Report_BM!$EB$6:$EB$73)</f>
        <v>0</v>
      </c>
      <c r="DK67" s="46">
        <f>SUMIF(Master_Data!$AK$152:$AK$864,CONCATENATE($C67,DM$3),Master_Data!$T$152:$T$864)</f>
        <v>0</v>
      </c>
      <c r="DL67" s="45">
        <f>SUMIF(Report_BM!EG$6:EG$73,CONCATENATE($C67,DM$3),Report_BM!ED$6:ED$73)</f>
        <v>0</v>
      </c>
      <c r="DM67" s="39">
        <f ca="1">SUMIF(Report_BM!EG$6:EG$73,CONCATENATE($C67,DM$3),Report_BM!EE$6:EE$73)</f>
        <v>0</v>
      </c>
      <c r="DN67" s="103"/>
      <c r="DO67" s="104"/>
      <c r="DP67" s="104"/>
      <c r="DQ67" s="104"/>
      <c r="DR67" s="104"/>
      <c r="DS67" s="104"/>
      <c r="DT67" s="45">
        <f>SUMIF(Report_BM!$EX$6:$EX$73,CONCATENATE($C67,EB$3),Report_BM!$EJ$6:$EJ$73)+SUMIF(Report_BM!$EX$6:$EX$73,CONCATENATE($C67,EB$3),Report_BM!$EM$6:$EM$73)</f>
        <v>0</v>
      </c>
      <c r="DU67" s="46">
        <f ca="1">SUMIF(Report_BM!$EX$6:$EX$73,CONCATENATE($C67,$EB$3),Report_BM!$EK$6:$EK$73)+SUMIF(Report_BM!$EX$6:$EX$73,CONCATENATE($C67,$EB$3),Report_BM!$EN$6:$EN$73)</f>
        <v>0</v>
      </c>
      <c r="DV67" s="45">
        <f>SUMIF(Report_BM!$EX$6:$EX$73,CONCATENATE($C67,EB$3),Report_BM!$EP$6:$EP$73)</f>
        <v>0</v>
      </c>
      <c r="DW67" s="39">
        <f>SUMIF(Report_BM!$EX$6:$EX$73,CONCATENATE($C67,EB$3),Report_BM!$EQ$6:$EQ$73)</f>
        <v>0</v>
      </c>
      <c r="DX67" s="39">
        <f>SUMIF(Report_BM!$EX$6:$EX$73,CONCATENATE($C67,EB$3),Report_BM!$ER$6:$ER$73)</f>
        <v>0</v>
      </c>
      <c r="DY67" s="39">
        <f>SUMIF(Report_BM!$EX$6:$EX$73,CONCATENATE($C67,EB$3),Report_BM!$ES$6:$ES$73)</f>
        <v>0</v>
      </c>
      <c r="DZ67" s="46">
        <f>SUMIF(Master_Data!$AK$152:$AK$864,CONCATENATE($C67,EB$3),Master_Data!$T$152:$T$864)</f>
        <v>0</v>
      </c>
      <c r="EA67" s="45">
        <f>SUMIF(Report_BM!EX$6:EX$73,CONCATENATE($C67,EB$3),Report_BM!EU$6:EU$73)</f>
        <v>0</v>
      </c>
      <c r="EB67" s="39">
        <f>SUMIF(Report_BM!EX$6:EX$73,CONCATENATE($C67,EB$3),Report_BM!EV$6:EV$73)</f>
        <v>0</v>
      </c>
      <c r="EC67" s="103"/>
      <c r="ED67" s="104"/>
      <c r="EE67" s="104"/>
      <c r="EF67" s="104"/>
      <c r="EG67" s="104"/>
      <c r="EH67" s="104"/>
      <c r="EI67" s="45">
        <f>SUMIF(Report_BM!$FO$6:$FO$73,CONCATENATE($C67,EQ$3),Report_BM!$FA$6:$FA$73)+SUMIF(Report_BM!$FO$6:$FO$73,CONCATENATE($C67,EQ$3),Report_BM!$FD$6:$FD$73)</f>
        <v>0</v>
      </c>
      <c r="EJ67" s="46">
        <f>SUMIF(Report_BM!$FO$6:$FO$73,CONCATENATE($C67,$EQ$3),Report_BM!$FB$6:$FB$73)+SUMIF(Report_BM!$FO$6:$FO$73,CONCATENATE($C67,$EQ$3),Report_BM!$FE$6:$FE$73)</f>
        <v>0</v>
      </c>
      <c r="EK67" s="45">
        <f>SUMIF(Report_BM!$FO$6:$FO$73,CONCATENATE($C67,EQ$3),Report_BM!$FG$6:$FG$73)</f>
        <v>0</v>
      </c>
      <c r="EL67" s="39">
        <f>SUMIF(Report_BM!$FO$6:$FO$73,CONCATENATE($C67,EQ$3),Report_BM!$FH$6:$FH$73)</f>
        <v>0</v>
      </c>
      <c r="EM67" s="39">
        <f>SUMIF(Report_BM!$FO$6:$FO$73,CONCATENATE($C67,EQ$3),Report_BM!$FI$6:$FI$73)</f>
        <v>0</v>
      </c>
      <c r="EN67" s="39">
        <f>SUMIF(Report_BM!$FO$6:$FO$73,CONCATENATE($C67,EQ$3),Report_BM!$FJ$6:$FJ$73)</f>
        <v>0</v>
      </c>
      <c r="EO67" s="46">
        <f>SUMIF(Master_Data!$AK$152:$AK$864,CONCATENATE($C67,EQ$3),Master_Data!$T$152:$T$864)</f>
        <v>0</v>
      </c>
      <c r="EP67" s="45">
        <f>SUMIF(Report_BM!FO$6:FO$73,CONCATENATE($C67,EQ$3),Report_BM!FL$6:FL$73)</f>
        <v>0</v>
      </c>
      <c r="EQ67" s="39">
        <f>SUMIF(Report_BM!FO$6:FO$73,CONCATENATE($C67,EQ$3),Report_BM!FM$6:FM$73)</f>
        <v>0</v>
      </c>
      <c r="ER67" s="103"/>
      <c r="ES67" s="104"/>
      <c r="ET67" s="104"/>
      <c r="EU67" s="104"/>
      <c r="EV67" s="104"/>
      <c r="EW67" s="104"/>
      <c r="EX67" s="45">
        <f>SUMIF(Report_BM!$GF$6:$GF$73,CONCATENATE($C67,FF$3),Report_BM!$FR$6:$FR$73)+SUMIF(Report_BM!$GF$6:$GF$73,CONCATENATE($C67,FF$3),Report_BM!$FU$6:$FU$73)</f>
        <v>0</v>
      </c>
      <c r="EY67" s="46">
        <f>SUMIF(Report_BM!$GF$6:$GF$73,CONCATENATE($C67,$FF$3),Report_BM!$FS$6:$FS$73)+SUMIF(Report_BM!$GF$6:$GF$73,CONCATENATE($C67,$FF$3),Report_BM!$FV$6:$FV$73)</f>
        <v>0</v>
      </c>
      <c r="EZ67" s="45">
        <f>SUMIF(Report_BM!$GF$6:$GF$73,CONCATENATE($C67,FF$3),Report_BM!$FX$6:$FX$73)</f>
        <v>0</v>
      </c>
      <c r="FA67" s="39">
        <f>SUMIF(Report_BM!$GF$6:$GF$73,CONCATENATE($C67,FF$3),Report_BM!$FY$6:$FY$73)</f>
        <v>0</v>
      </c>
      <c r="FB67" s="39">
        <f>SUMIF(Report_BM!$GF$6:$GF$73,CONCATENATE($C67,FF$3),Report_BM!$FZ$6:$FZ$73)</f>
        <v>0</v>
      </c>
      <c r="FC67" s="39">
        <f>SUMIF(Report_BM!$GF$6:$GF$73,CONCATENATE($C67,FF$3),Report_BM!$GA$6:$GA$73)</f>
        <v>0</v>
      </c>
      <c r="FD67" s="46">
        <f>SUMIF(Master_Data!$AK$152:$AK$864,CONCATENATE($C67,FF$3),Master_Data!$T$152:$T$864)</f>
        <v>0</v>
      </c>
      <c r="FE67" s="45">
        <f>SUMIF(Report_BM!GF$6:GF$73,CONCATENATE($C67,FF$3),Report_BM!GC$6:GC$73)</f>
        <v>0</v>
      </c>
      <c r="FF67" s="39">
        <f>SUMIF(Report_BM!GF$6:GF$73,CONCATENATE($C67,FF$3),Report_BM!GD$6:GD$73)</f>
        <v>0</v>
      </c>
      <c r="FG67" s="103"/>
      <c r="FH67" s="104"/>
      <c r="FI67" s="104"/>
      <c r="FJ67" s="104"/>
      <c r="FK67" s="104"/>
      <c r="FL67" s="104"/>
      <c r="FM67" s="45">
        <f>SUMIF(Report_BM!$GW$6:$GW$73,CONCATENATE($C67,FU$3),Report_BM!$GI$6:$GI$73)+SUMIF(Report_BM!$GW$6:$GW$73,CONCATENATE($C67,FU$3),Report_BM!$GL$6:$GL$73)</f>
        <v>0</v>
      </c>
      <c r="FN67" s="46">
        <f>SUMIF(Report_BM!$GW$6:$GW$73,CONCATENATE($C67,$FU$3),Report_BM!$GJ$6:$GJ$73)+SUMIF(Report_BM!$GW$6:$GW$73,CONCATENATE($C67,$FU$3),Report_BM!$GM$6:$GM$73)</f>
        <v>0</v>
      </c>
      <c r="FO67" s="45">
        <f>SUMIF(Report_BM!$GW$6:$GW$73,CONCATENATE($C67,FU$3),Report_BM!$GO$6:$GO$73)</f>
        <v>0</v>
      </c>
      <c r="FP67" s="39">
        <f>SUMIF(Report_BM!$GW$6:$GW$73,CONCATENATE($C67,FU$3),Report_BM!$GP$6:$GP$73)</f>
        <v>0</v>
      </c>
      <c r="FQ67" s="39">
        <f>SUMIF(Report_BM!$GW$6:$GW$73,CONCATENATE($C67,FU$3),Report_BM!$GQ$6:$GQ$73)</f>
        <v>0</v>
      </c>
      <c r="FR67" s="39">
        <f>SUMIF(Report_BM!$GW$6:$GW$73,CONCATENATE($C67,FU$3),Report_BM!$GR$6:$GR$73)</f>
        <v>0</v>
      </c>
      <c r="FS67" s="46">
        <f>SUMIF(Master_Data!$AK$152:$AK$864,CONCATENATE($C67,FU$3),Master_Data!$T$152:$T$864)</f>
        <v>0</v>
      </c>
      <c r="FT67" s="45">
        <f>SUMIF(Report_BM!GW$6:GW$73,CONCATENATE($C67,FU$3),Report_BM!GT$6:GT$73)</f>
        <v>0</v>
      </c>
      <c r="FU67" s="39">
        <f>SUMIF(Report_BM!GW$6:GW$73,CONCATENATE($C67,FU$3),Report_BM!GU$6:GU$73)</f>
        <v>0</v>
      </c>
      <c r="FV67" s="103"/>
      <c r="FW67" s="104"/>
      <c r="FX67" s="104"/>
      <c r="FY67" s="104"/>
      <c r="FZ67" s="104"/>
      <c r="GA67" s="104"/>
    </row>
    <row r="68" spans="1:183" s="40" customFormat="1" ht="14.1" customHeight="1">
      <c r="A68" s="9">
        <v>62</v>
      </c>
      <c r="B68" s="328" t="s">
        <v>422</v>
      </c>
      <c r="C68" s="323" t="s">
        <v>412</v>
      </c>
      <c r="D68" s="45">
        <f>SUMIF(Report_BM!$B$6:$B$73,CONCATENATE($C68,L$3),Report_BM!$E$6:$E$73)+SUMIF(Report_BM!$B$6:$B$73,CONCATENATE($C68,L$3),Report_BM!$H$6:$H$73)</f>
        <v>0</v>
      </c>
      <c r="E68" s="276" t="e">
        <f>SUMIF(Report_BM!$B$6:$B$73,CONCATENATE($C68,L$3),Report_BM!$F$6:$F$73)+SUMIF(Report_BM!$B$6:$B$73,CONCATENATE($C68,L$3),Report_BM!$I$6:$I$73)</f>
        <v>#VALUE!</v>
      </c>
      <c r="F68" s="45">
        <f>SUMIF(Report_BM!$B$6:$B$73,CONCATENATE($C68,L$3),Report_BM!$K$6:$K$73)</f>
        <v>0</v>
      </c>
      <c r="G68" s="39">
        <f>SUMIF(Report_BM!$B$6:$B$73,CONCATENATE($C68,$L$3),Report_BM!$L$6:$L$73)</f>
        <v>0</v>
      </c>
      <c r="H68" s="39">
        <f>SUMIF(Report_BM!$B$6:$B$73,CONCATENATE($C68,$L$3),Report_BM!$M$6:$M$73)</f>
        <v>23760000</v>
      </c>
      <c r="I68" s="39">
        <f>SUMIF(Report_BM!$B$6:$B$73,CONCATENATE($C68,$L$3),Report_BM!$N$6:$N$73)</f>
        <v>0</v>
      </c>
      <c r="J68" s="46">
        <f>SUMIF(Report_BM!$B$6:$B$73,CONCATENATE($C68,$L$3),Report_BM!$O$6:$O$73)</f>
        <v>-440000</v>
      </c>
      <c r="K68" s="45">
        <f>SUMIF(Report_BM!$B$6:$B$73,CONCATENATE($C68,$L$3),Report_BM!$P$6:$P$73)</f>
        <v>0</v>
      </c>
      <c r="L68" s="39" t="e">
        <f>SUMIF(Report_BM!$B$6:$B$73,CONCATENATE($C68,$L$3),Report_BM!$Q$6:$Q$73)</f>
        <v>#VALUE!</v>
      </c>
      <c r="M68" s="103"/>
      <c r="N68" s="104"/>
      <c r="O68" s="104"/>
      <c r="P68" s="104"/>
      <c r="Q68" s="104"/>
      <c r="R68" s="104"/>
      <c r="S68" s="45">
        <f>SUMIF(Report_BM!$AI$8:$AI$72,CONCATENATE($C68,AA$3),Report_BM!$U$8:$U$72)+SUMIF(Report_BM!$AI$8:$AI$72,CONCATENATE($C68,AA$3),Report_BM!$X$8:$X$72)</f>
        <v>0</v>
      </c>
      <c r="T68" s="276" t="e">
        <f>SUMIF(Report_BM!$AI$8:$AI$72,CONCATENATE($C68,AA$3),Report_BM!$V$8:$V$72)+SUMIF(Report_BM!$AI$8:$AI$72,CONCATENATE($C68,AA$3),Report_BM!$Y$8:$Y$72)</f>
        <v>#VALUE!</v>
      </c>
      <c r="U68" s="45">
        <f>SUMIF(Report_BM!$AI$8:$AI$72,CONCATENATE($C68,AA$3),Report_BM!$AA$8:$AB$72)</f>
        <v>0</v>
      </c>
      <c r="V68" s="39">
        <f>SUMIF(Report_BM!$AI$8:$AI$72,CONCATENATE($C68,$AA$3),Report_BM!$AB$8:$AB$72)</f>
        <v>0</v>
      </c>
      <c r="W68" s="39">
        <f>SUMIF(Report_BM!$AI$8:$AI$72,CONCATENATE($C68,$AA$3),Report_BM!$AC$8:$AC$72)</f>
        <v>23760000</v>
      </c>
      <c r="X68" s="39">
        <f ca="1">SUMIF(Report_BM!$AI$7:$AI$73,CONCATENATE($C68,$AA$3),Report_BM!$AD$7:$AD$73)</f>
        <v>0</v>
      </c>
      <c r="Y68" s="46">
        <f>SUMIF(Master_Data!$AK$152:$AK$864,CONCATENATE($C68,AA$3),Master_Data!$T$152:$T$864)</f>
        <v>-440000</v>
      </c>
      <c r="Z68" s="45">
        <f>SUMIF(Report_BM!$AI$8:$AI$72,CONCATENATE($C68,$AA$3),Report_BM!$AF$8:$AF$72)</f>
        <v>0</v>
      </c>
      <c r="AA68" s="39" t="e">
        <f ca="1">SUMIF(Report_BM!$AI$8:$AI$72,CONCATENATE($C68,$AA$3),Report_BM!$AG$8:$AG$72)</f>
        <v>#VALUE!</v>
      </c>
      <c r="AB68" s="103"/>
      <c r="AC68" s="104"/>
      <c r="AD68" s="104"/>
      <c r="AE68" s="104"/>
      <c r="AF68" s="104"/>
      <c r="AG68" s="104"/>
      <c r="AH68" s="45">
        <f>SUMIF(Report_BM!$AZ$5:$AZ$72,CONCATENATE($C68,AP$3),Report_BM!$AL$5:$AL$72)+SUMIF(Report_BM!$AZ$5:$AZ$72,CONCATENATE($C68,AP$3),Report_BM!$AO$5:$AO$72)</f>
        <v>0</v>
      </c>
      <c r="AI68" s="46" t="e">
        <f ca="1">SUMIF(Report_BM!$AZ$5:$AZ$72,CONCATENATE($C68,$AP$3),Report_BM!$AM$5:$AM$72)+SUMIF(Report_BM!$AZ$5:$AZ$72,CONCATENATE($C68,$AP$3),Report_BM!$AP$5:$AP$72)</f>
        <v>#VALUE!</v>
      </c>
      <c r="AJ68" s="45">
        <f>SUMIF(Report_BM!$AZ$5:$AZ$72,CONCATENATE($C68,$AP$3),Report_BM!$AR$5:$AR$72)</f>
        <v>0</v>
      </c>
      <c r="AK68" s="39">
        <f>SUMIF(Report_BM!$AZ$5:$AZ$72,CONCATENATE($C68,$AP$3),Report_BM!$AS$5:$AS$72)</f>
        <v>0</v>
      </c>
      <c r="AL68" s="39">
        <f>SUMIF(Report_BM!$AZ$5:$AZ$72,CONCATENATE($C68,$AP$3),Report_BM!$AT$5:$AT$72)</f>
        <v>23760000</v>
      </c>
      <c r="AM68" s="39">
        <f ca="1">SUMIF(Report_BM!$AZ$5:$AZ$72,CONCATENATE($C68,$AP$3),Report_BM!$AU$5:$AU$72)</f>
        <v>0</v>
      </c>
      <c r="AN68" s="46">
        <f>SUMIF(Master_Data!$AK$152:$AK$915,CONCATENATE($C68,AP$3),Master_Data!$T$152:$T$915)</f>
        <v>-440000</v>
      </c>
      <c r="AO68" s="45">
        <f>SUMIF(Report_BM!$AZ$5:$AZ$72,CONCATENATE($C68,$AP$3),Report_BM!$AW$5:$AW$72)</f>
        <v>0</v>
      </c>
      <c r="AP68" s="39" t="e">
        <f ca="1">SUMIF(Report_BM!$AZ$5:$AZ$72,CONCATENATE($C68,$AP$3),Report_BM!$AX$5:$AX$72)</f>
        <v>#VALUE!</v>
      </c>
      <c r="AQ68" s="103"/>
      <c r="AR68" s="104"/>
      <c r="AS68" s="104"/>
      <c r="AT68" s="104"/>
      <c r="AU68" s="104"/>
      <c r="AV68" s="104"/>
      <c r="AW68" s="45">
        <f>SUMIF(Report_BM!$BQ$6:$BQ$73,CONCATENATE($C68,BE$3),Report_BM!$BC$6:$BC$73)+SUMIF(Report_BM!$BQ$6:$BQ$73,CONCATENATE($C68,BE$3),Report_BM!$BF$6:$BF$73)</f>
        <v>0</v>
      </c>
      <c r="AX68" s="46" t="e">
        <f ca="1">SUMIF(Report_BM!$BQ$6:$BQ$73,CONCATENATE($C68,$BE$3),Report_BM!$BD$6:$BD$73)+SUMIF(Report_BM!$BQ$6:$BQ$73,CONCATENATE($C68,$BE$3),Report_BM!$BG$6:$BG$73)</f>
        <v>#VALUE!</v>
      </c>
      <c r="AY68" s="45">
        <f>SUMIF(Report_BM!$BQ$6:$BQ$73,CONCATENATE($C68,BE$3),Report_BM!$BI$6:$BI$73)</f>
        <v>0</v>
      </c>
      <c r="AZ68" s="39">
        <f>SUMIF(Report_BM!$BQ$6:$BQ$73,CONCATENATE($C68,BE$3),Report_BM!$BJ$6:$BJ$73)</f>
        <v>0</v>
      </c>
      <c r="BA68" s="39">
        <f>SUMIF(Report_BM!$BQ$6:$BQ$73,CONCATENATE($C68,BE$3),Report_BM!$BK$6:$BK$73)</f>
        <v>23760000</v>
      </c>
      <c r="BB68" s="39">
        <f>SUMIF(Report_BM!$BQ$6:$BQ$73,CONCATENATE($C68,BE$3),Report_BM!$BL$6:$BL$73)</f>
        <v>0</v>
      </c>
      <c r="BC68" s="46">
        <f>SUMIF(Master_Data!$AK$152:$AK$864,CONCATENATE($C68,BE$3),Master_Data!$T$152:$T$864)</f>
        <v>-440000</v>
      </c>
      <c r="BD68" s="45">
        <f>SUMIF(Report_BM!$BQ$6:$BQ$73,CONCATENATE($C68,BE$3),Report_BM!$BN$6:$BN$73)</f>
        <v>0</v>
      </c>
      <c r="BE68" s="39" t="e">
        <f ca="1">SUMIF(Report_BM!$BQ$6:$BQ$73,CONCATENATE($C68,BE$3),Report_BM!$BO$6:$BO$73)</f>
        <v>#VALUE!</v>
      </c>
      <c r="BF68" s="103"/>
      <c r="BG68" s="104"/>
      <c r="BH68" s="104"/>
      <c r="BI68" s="104"/>
      <c r="BJ68" s="104"/>
      <c r="BK68" s="104"/>
      <c r="BL68" s="45">
        <f>SUMIF(Report_BM!$CH$6:$CH$73,CONCATENATE($C68,BT$3),Report_BM!$BT$6:$BT$73)+SUMIF(Report_BM!$CH$6:$CH$73,CONCATENATE($C68,BT$3),Report_BM!$BW$6:$BW$73)</f>
        <v>0</v>
      </c>
      <c r="BM68" s="46" t="e">
        <f ca="1">SUMIF(Report_BM!$CH$6:$CH$73,CONCATENATE($C68,$BT$3),Report_BM!$BU$6:$BU$73)+SUMIF(Report_BM!$CH$6:$CH$73,CONCATENATE($C68,$BT$3),Report_BM!$BX$6:$BX$73)</f>
        <v>#VALUE!</v>
      </c>
      <c r="BN68" s="45">
        <f>SUMIF(Report_BM!$CH$6:$CH$73,CONCATENATE($C68,BT$3),Report_BM!$BZ$6:$BZ$73)</f>
        <v>0</v>
      </c>
      <c r="BO68" s="39">
        <f>SUMIF(Report_BM!$CH$6:$CH$73,CONCATENATE($C68,BT$3),Report_BM!$CA$6:$CA$73)</f>
        <v>0</v>
      </c>
      <c r="BP68" s="39">
        <f>SUMIF(Report_BM!$CH$6:$CH$73,CONCATENATE($C68,BT$3),Report_BM!$CB$6:$CB$73)</f>
        <v>23760000</v>
      </c>
      <c r="BQ68" s="39">
        <f>SUMIF(Report_BM!$CH$6:$CH$73,CONCATENATE($C68,BT$3),Report_BM!$CC$6:$CC$73)</f>
        <v>0</v>
      </c>
      <c r="BR68" s="46">
        <f>SUMIF(Master_Data!$AK$152:$AK$864,CONCATENATE($C68,BT$3),Master_Data!$T$152:$T$864)</f>
        <v>-440000</v>
      </c>
      <c r="BS68" s="45">
        <f>SUMIF(Report_BM!$CH$6:$CH$73,CONCATENATE($C68,BT$3),Report_BM!$CE$6:$CE$73)</f>
        <v>0</v>
      </c>
      <c r="BT68" s="39" t="e">
        <f ca="1">SUMIF(Report_BM!$CH$6:$CH$73,CONCATENATE($C68,BT$3),Report_BM!$CF$6:$CF$73)</f>
        <v>#VALUE!</v>
      </c>
      <c r="BU68" s="103"/>
      <c r="BV68" s="104"/>
      <c r="BW68" s="104"/>
      <c r="BX68" s="104"/>
      <c r="BY68" s="104"/>
      <c r="BZ68" s="104"/>
      <c r="CA68" s="45">
        <f>SUMIF(Report_BM!$CY$6:$CY$73,CONCATENATE($C68,CI$3),Report_BM!$CK$6:$CK$73)+SUMIF(Report_BM!$CY$6:$CY$73,CONCATENATE($C68,CI$3),Report_BM!$CN$6:$CN$73)</f>
        <v>0</v>
      </c>
      <c r="CB68" s="46" t="e">
        <f ca="1">SUMIF(Report_BM!$CY$6:$CY$73,CONCATENATE($C68,$CI$3),Report_BM!$CL$6:$CL$73)+SUMIF(Report_BM!$CY$6:$CY$73,CONCATENATE($C68,$CI$3),Report_BM!$CO$6:$CO$73)</f>
        <v>#VALUE!</v>
      </c>
      <c r="CC68" s="45">
        <f>SUMIF(Report_BM!$CY$6:$CY$73,CONCATENATE($C68,CI$3),Report_BM!$CQ$6:$CQ$73)</f>
        <v>0</v>
      </c>
      <c r="CD68" s="39">
        <f>SUMIF(Report_BM!$CY$6:$CY$73,CONCATENATE($C68,CI$3),Report_BM!$CR$6:$CR$73)</f>
        <v>0</v>
      </c>
      <c r="CE68" s="39">
        <f>SUMIF(Report_BM!$CY$6:$CY$73,CONCATENATE($C68,CI$3),Report_BM!$CS$6:$CS$73)</f>
        <v>792000</v>
      </c>
      <c r="CF68" s="39">
        <f ca="1">SUMIF(Report_BM!$CY$6:$CY$73,CONCATENATE($C68,CI$3),Report_BM!$CT$6:$CT$73)</f>
        <v>0</v>
      </c>
      <c r="CG68" s="46">
        <f>SUMIF(Report_BM!$CY$6:$CY$73,CONCATENATE($C68,CI$3),Report_BM!$CU$6:$CU$73)</f>
        <v>-14666.666599999999</v>
      </c>
      <c r="CH68" s="45">
        <f>SUMIF(Report_BM!$CY$6:$CY$73,CONCATENATE($C68,CI$3),Report_BM!$CV$6:$CV$73)</f>
        <v>0</v>
      </c>
      <c r="CI68" s="39" t="e">
        <f ca="1">SUMIF(Report_BM!$CY$6:$CY$73,CONCATENATE($C68,CI$3),Report_BM!$CW$6:$CW$73)</f>
        <v>#VALUE!</v>
      </c>
      <c r="CJ68" s="103"/>
      <c r="CK68" s="104"/>
      <c r="CL68" s="104"/>
      <c r="CM68" s="104"/>
      <c r="CN68" s="104"/>
      <c r="CO68" s="104"/>
      <c r="CP68" s="45">
        <f>SUMIF(Report_BM!$DP$6:$DP$73,CONCATENATE($C68,CX$3),Report_BM!$DB$6:$DB$73)+SUMIF(Report_BM!$DP$6:$DP$73,CONCATENATE($C68,CX$3),Report_BM!$DE$6:$DE$73)</f>
        <v>0</v>
      </c>
      <c r="CQ68" s="46" t="e">
        <f ca="1">SUMIF(Report_BM!$DP$6:$DP$73,CONCATENATE($C68,$CX$3),Report_BM!$DC$6:$DC$73)+SUMIF(Report_BM!$DP$6:$DP$73,CONCATENATE($C68,$CX$3),Report_BM!$DF$6:$DF$73)</f>
        <v>#VALUE!</v>
      </c>
      <c r="CR68" s="45">
        <f>SUMIF(Report_BM!$DP$6:$DP$73,CONCATENATE($C68,CX$3),Report_BM!$DH$6:$DH$73)</f>
        <v>0</v>
      </c>
      <c r="CS68" s="39">
        <f>SUMIF(Report_BM!$DP$6:$DP$73,CONCATENATE($C68,CX$3),Report_BM!$DI$6:$DI$73)</f>
        <v>0</v>
      </c>
      <c r="CT68" s="39">
        <f>SUMIF(Report_BM!$DP$6:$DP$73,CONCATENATE($C68,CX$3),Report_BM!$DJ$6:$DJ$73)</f>
        <v>23760000</v>
      </c>
      <c r="CU68" s="39">
        <f>SUMIF(Report_BM!$DP$6:$DP$73,CONCATENATE($C68,CX$3),Report_BM!$DK$6:$DK$73)</f>
        <v>0</v>
      </c>
      <c r="CV68" s="46">
        <f>SUMIF(Master_Data!$AK$152:$AK$864,CONCATENATE($C68,CX$3),Master_Data!$T$152:$T$864)</f>
        <v>-440000</v>
      </c>
      <c r="CW68" s="45">
        <f>SUMIF(Report_BM!$DP$6:$DP$73,CONCATENATE($C68,CX$3),Report_BM!$DM$6:$DM$73)</f>
        <v>0</v>
      </c>
      <c r="CX68" s="39" t="e">
        <f ca="1">SUMIF(Report_BM!$DP$6:$DP$73,CONCATENATE($C68,CX$3),Report_BM!$DN$6:$DN$73)</f>
        <v>#VALUE!</v>
      </c>
      <c r="CY68" s="103"/>
      <c r="CZ68" s="104"/>
      <c r="DA68" s="104"/>
      <c r="DB68" s="104"/>
      <c r="DC68" s="104"/>
      <c r="DD68" s="104"/>
      <c r="DE68" s="45">
        <f>SUMIF(Report_BM!$EG$6:$EG$73,CONCATENATE($C68,DM$3),Report_BM!$DS$6:$DS$73)+SUMIF(Report_BM!$EG$6:$EG$73,CONCATENATE($C68,DM$3),Report_BM!$DV$6:$DV$73)</f>
        <v>0</v>
      </c>
      <c r="DF68" s="46" t="e">
        <f ca="1">SUMIF(Report_BM!$EG$6:$EG$73,CONCATENATE($C68,$DM$3),Report_BM!$DT$6:$DT$73)+SUMIF(Report_BM!$EG$6:$EG$73,CONCATENATE($C68,$DM$3),Report_BM!$DW$6:$DW$73)</f>
        <v>#VALUE!</v>
      </c>
      <c r="DG68" s="45">
        <f>SUMIF(Report_BM!$EG$6:$EG$73,CONCATENATE($C68,DM$3),Report_BM!$DY$6:$DY$73)</f>
        <v>0</v>
      </c>
      <c r="DH68" s="39">
        <f>SUMIF(Report_BM!EG$6:EG$73,CONCATENATE($C68,DM$3),Report_BM!DZ$6:DZ$73)</f>
        <v>0</v>
      </c>
      <c r="DI68" s="39">
        <f>SUMIF(Report_BM!EG$6:EG$73,CONCATENATE($C68,DM$3),Report_BM!$EA$6:$EA$73)</f>
        <v>23760000</v>
      </c>
      <c r="DJ68" s="39">
        <f>SUMIF(Report_BM!EG$6:EG$73,CONCATENATE($C68,DM$3),Report_BM!$EB$6:$EB$73)</f>
        <v>0</v>
      </c>
      <c r="DK68" s="46">
        <f>SUMIF(Master_Data!$AK$152:$AK$864,CONCATENATE($C68,DM$3),Master_Data!$T$152:$T$864)</f>
        <v>-440000</v>
      </c>
      <c r="DL68" s="45">
        <f>SUMIF(Report_BM!EG$6:EG$73,CONCATENATE($C68,DM$3),Report_BM!ED$6:ED$73)</f>
        <v>0</v>
      </c>
      <c r="DM68" s="39" t="e">
        <f ca="1">SUMIF(Report_BM!EG$6:EG$73,CONCATENATE($C68,DM$3),Report_BM!EE$6:EE$73)</f>
        <v>#VALUE!</v>
      </c>
      <c r="DN68" s="103"/>
      <c r="DO68" s="104"/>
      <c r="DP68" s="104"/>
      <c r="DQ68" s="104"/>
      <c r="DR68" s="104"/>
      <c r="DS68" s="104"/>
      <c r="DT68" s="45">
        <f>SUMIF(Report_BM!$EX$6:$EX$73,CONCATENATE($C68,EB$3),Report_BM!$EJ$6:$EJ$73)+SUMIF(Report_BM!$EX$6:$EX$73,CONCATENATE($C68,EB$3),Report_BM!$EM$6:$EM$73)</f>
        <v>0</v>
      </c>
      <c r="DU68" s="46" t="e">
        <f ca="1">SUMIF(Report_BM!$EX$6:$EX$73,CONCATENATE($C68,$EB$3),Report_BM!$EK$6:$EK$73)+SUMIF(Report_BM!$EX$6:$EX$73,CONCATENATE($C68,$EB$3),Report_BM!$EN$6:$EN$73)</f>
        <v>#VALUE!</v>
      </c>
      <c r="DV68" s="45">
        <f>SUMIF(Report_BM!$EX$6:$EX$73,CONCATENATE($C68,EB$3),Report_BM!$EP$6:$EP$73)</f>
        <v>0</v>
      </c>
      <c r="DW68" s="39">
        <f>SUMIF(Report_BM!$EX$6:$EX$73,CONCATENATE($C68,EB$3),Report_BM!$EQ$6:$EQ$73)</f>
        <v>0</v>
      </c>
      <c r="DX68" s="39">
        <f>SUMIF(Report_BM!$EX$6:$EX$73,CONCATENATE($C68,EB$3),Report_BM!$ER$6:$ER$73)</f>
        <v>23760000</v>
      </c>
      <c r="DY68" s="39">
        <f>SUMIF(Report_BM!$EX$6:$EX$73,CONCATENATE($C68,EB$3),Report_BM!$ES$6:$ES$73)</f>
        <v>0</v>
      </c>
      <c r="DZ68" s="46">
        <f>SUMIF(Master_Data!$AK$152:$AK$864,CONCATENATE($C68,EB$3),Master_Data!$T$152:$T$864)</f>
        <v>-440000</v>
      </c>
      <c r="EA68" s="45">
        <f>SUMIF(Report_BM!EX$6:EX$73,CONCATENATE($C68,EB$3),Report_BM!EU$6:EU$73)</f>
        <v>0</v>
      </c>
      <c r="EB68" s="39">
        <f>SUMIF(Report_BM!EX$6:EX$73,CONCATENATE($C68,EB$3),Report_BM!EV$6:EV$73)</f>
        <v>0</v>
      </c>
      <c r="EC68" s="103"/>
      <c r="ED68" s="104"/>
      <c r="EE68" s="104"/>
      <c r="EF68" s="104"/>
      <c r="EG68" s="104"/>
      <c r="EH68" s="104"/>
      <c r="EI68" s="45">
        <f>SUMIF(Report_BM!$FO$6:$FO$73,CONCATENATE($C68,EQ$3),Report_BM!$FA$6:$FA$73)+SUMIF(Report_BM!$FO$6:$FO$73,CONCATENATE($C68,EQ$3),Report_BM!$FD$6:$FD$73)</f>
        <v>0</v>
      </c>
      <c r="EJ68" s="46" t="e">
        <f>SUMIF(Report_BM!$FO$6:$FO$73,CONCATENATE($C68,$EQ$3),Report_BM!$FB$6:$FB$73)+SUMIF(Report_BM!$FO$6:$FO$73,CONCATENATE($C68,$EQ$3),Report_BM!$FE$6:$FE$73)</f>
        <v>#VALUE!</v>
      </c>
      <c r="EK68" s="45">
        <f>SUMIF(Report_BM!$FO$6:$FO$73,CONCATENATE($C68,EQ$3),Report_BM!$FG$6:$FG$73)</f>
        <v>0</v>
      </c>
      <c r="EL68" s="39">
        <f>SUMIF(Report_BM!$FO$6:$FO$73,CONCATENATE($C68,EQ$3),Report_BM!$FH$6:$FH$73)</f>
        <v>0</v>
      </c>
      <c r="EM68" s="39">
        <f>SUMIF(Report_BM!$FO$6:$FO$73,CONCATENATE($C68,EQ$3),Report_BM!$FI$6:$FI$73)</f>
        <v>23760000</v>
      </c>
      <c r="EN68" s="39">
        <f>SUMIF(Report_BM!$FO$6:$FO$73,CONCATENATE($C68,EQ$3),Report_BM!$FJ$6:$FJ$73)</f>
        <v>0</v>
      </c>
      <c r="EO68" s="46">
        <f>SUMIF(Master_Data!$AK$152:$AK$864,CONCATENATE($C68,EQ$3),Master_Data!$T$152:$T$864)</f>
        <v>-440000</v>
      </c>
      <c r="EP68" s="45">
        <f>SUMIF(Report_BM!FO$6:FO$73,CONCATENATE($C68,EQ$3),Report_BM!FL$6:FL$73)</f>
        <v>0</v>
      </c>
      <c r="EQ68" s="39" t="e">
        <f>SUMIF(Report_BM!FO$6:FO$73,CONCATENATE($C68,EQ$3),Report_BM!FM$6:FM$73)</f>
        <v>#VALUE!</v>
      </c>
      <c r="ER68" s="103"/>
      <c r="ES68" s="104"/>
      <c r="ET68" s="104"/>
      <c r="EU68" s="104"/>
      <c r="EV68" s="104"/>
      <c r="EW68" s="104"/>
      <c r="EX68" s="45">
        <f>SUMIF(Report_BM!$GF$6:$GF$73,CONCATENATE($C68,FF$3),Report_BM!$FR$6:$FR$73)+SUMIF(Report_BM!$GF$6:$GF$73,CONCATENATE($C68,FF$3),Report_BM!$FU$6:$FU$73)</f>
        <v>0</v>
      </c>
      <c r="EY68" s="46" t="e">
        <f>SUMIF(Report_BM!$GF$6:$GF$73,CONCATENATE($C68,$FF$3),Report_BM!$FS$6:$FS$73)+SUMIF(Report_BM!$GF$6:$GF$73,CONCATENATE($C68,$FF$3),Report_BM!$FV$6:$FV$73)</f>
        <v>#VALUE!</v>
      </c>
      <c r="EZ68" s="45">
        <f>SUMIF(Report_BM!$GF$6:$GF$73,CONCATENATE($C68,FF$3),Report_BM!$FX$6:$FX$73)</f>
        <v>0</v>
      </c>
      <c r="FA68" s="39">
        <f>SUMIF(Report_BM!$GF$6:$GF$73,CONCATENATE($C68,FF$3),Report_BM!$FY$6:$FY$73)</f>
        <v>0</v>
      </c>
      <c r="FB68" s="39">
        <f>SUMIF(Report_BM!$GF$6:$GF$73,CONCATENATE($C68,FF$3),Report_BM!$FZ$6:$FZ$73)</f>
        <v>23760000</v>
      </c>
      <c r="FC68" s="39">
        <f>SUMIF(Report_BM!$GF$6:$GF$73,CONCATENATE($C68,FF$3),Report_BM!$GA$6:$GA$73)</f>
        <v>0</v>
      </c>
      <c r="FD68" s="46">
        <f>SUMIF(Master_Data!$AK$152:$AK$864,CONCATENATE($C68,FF$3),Master_Data!$T$152:$T$864)</f>
        <v>-440000</v>
      </c>
      <c r="FE68" s="45">
        <f>SUMIF(Report_BM!GF$6:GF$73,CONCATENATE($C68,FF$3),Report_BM!GC$6:GC$73)</f>
        <v>0</v>
      </c>
      <c r="FF68" s="39" t="e">
        <f>SUMIF(Report_BM!GF$6:GF$73,CONCATENATE($C68,FF$3),Report_BM!GD$6:GD$73)</f>
        <v>#VALUE!</v>
      </c>
      <c r="FG68" s="103"/>
      <c r="FH68" s="104"/>
      <c r="FI68" s="104"/>
      <c r="FJ68" s="104"/>
      <c r="FK68" s="104"/>
      <c r="FL68" s="104"/>
      <c r="FM68" s="45">
        <f>SUMIF(Report_BM!$GW$6:$GW$73,CONCATENATE($C68,FU$3),Report_BM!$GI$6:$GI$73)+SUMIF(Report_BM!$GW$6:$GW$73,CONCATENATE($C68,FU$3),Report_BM!$GL$6:$GL$73)</f>
        <v>0</v>
      </c>
      <c r="FN68" s="46" t="e">
        <f>SUMIF(Report_BM!$GW$6:$GW$73,CONCATENATE($C68,$FU$3),Report_BM!$GJ$6:$GJ$73)+SUMIF(Report_BM!$GW$6:$GW$73,CONCATENATE($C68,$FU$3),Report_BM!$GM$6:$GM$73)</f>
        <v>#VALUE!</v>
      </c>
      <c r="FO68" s="45">
        <f>SUMIF(Report_BM!$GW$6:$GW$73,CONCATENATE($C68,FU$3),Report_BM!$GO$6:$GO$73)</f>
        <v>0</v>
      </c>
      <c r="FP68" s="39">
        <f>SUMIF(Report_BM!$GW$6:$GW$73,CONCATENATE($C68,FU$3),Report_BM!$GP$6:$GP$73)</f>
        <v>0</v>
      </c>
      <c r="FQ68" s="39">
        <f>SUMIF(Report_BM!$GW$6:$GW$73,CONCATENATE($C68,FU$3),Report_BM!$GQ$6:$GQ$73)</f>
        <v>23760000</v>
      </c>
      <c r="FR68" s="39">
        <f>SUMIF(Report_BM!$GW$6:$GW$73,CONCATENATE($C68,FU$3),Report_BM!$GR$6:$GR$73)</f>
        <v>0</v>
      </c>
      <c r="FS68" s="46">
        <f>SUMIF(Master_Data!$AK$152:$AK$864,CONCATENATE($C68,FU$3),Master_Data!$T$152:$T$864)</f>
        <v>-440000</v>
      </c>
      <c r="FT68" s="45">
        <f>SUMIF(Report_BM!GW$6:GW$73,CONCATENATE($C68,FU$3),Report_BM!GT$6:GT$73)</f>
        <v>0</v>
      </c>
      <c r="FU68" s="39" t="e">
        <f>SUMIF(Report_BM!GW$6:GW$73,CONCATENATE($C68,FU$3),Report_BM!GU$6:GU$73)</f>
        <v>#VALUE!</v>
      </c>
      <c r="FV68" s="103"/>
      <c r="FW68" s="104"/>
      <c r="FX68" s="104"/>
      <c r="FY68" s="104"/>
      <c r="FZ68" s="104"/>
      <c r="GA68" s="104"/>
    </row>
    <row r="69" spans="1:183" s="40" customFormat="1" ht="14.1" customHeight="1">
      <c r="A69" s="9">
        <v>63</v>
      </c>
      <c r="B69" s="328" t="s">
        <v>338</v>
      </c>
      <c r="C69" s="323" t="s">
        <v>216</v>
      </c>
      <c r="D69" s="45">
        <f>SUMIF(Report_BM!$B$6:$B$73,CONCATENATE($C69,L$3),Report_BM!$E$6:$E$73)+SUMIF(Report_BM!$B$6:$B$73,CONCATENATE($C69,L$3),Report_BM!$H$6:$H$73)</f>
        <v>5570</v>
      </c>
      <c r="E69" s="276">
        <f>SUMIF(Report_BM!$B$6:$B$73,CONCATENATE($C69,L$3),Report_BM!$F$6:$F$73)+SUMIF(Report_BM!$B$6:$B$73,CONCATENATE($C69,L$3),Report_BM!$I$6:$I$73)</f>
        <v>0</v>
      </c>
      <c r="F69" s="45">
        <f>SUMIF(Report_BM!$B$6:$B$73,CONCATENATE($C69,L$3),Report_BM!$K$6:$K$73)</f>
        <v>0</v>
      </c>
      <c r="G69" s="39">
        <f>SUMIF(Report_BM!$B$6:$B$73,CONCATENATE($C69,$L$3),Report_BM!$L$6:$L$73)</f>
        <v>0</v>
      </c>
      <c r="H69" s="39">
        <f>SUMIF(Report_BM!$B$6:$B$73,CONCATENATE($C69,$L$3),Report_BM!$M$6:$M$73)</f>
        <v>0</v>
      </c>
      <c r="I69" s="39">
        <f>SUMIF(Report_BM!$B$6:$B$73,CONCATENATE($C69,$L$3),Report_BM!$N$6:$N$73)</f>
        <v>0</v>
      </c>
      <c r="J69" s="46">
        <f>SUMIF(Report_BM!$B$6:$B$73,CONCATENATE($C69,$L$3),Report_BM!$O$6:$O$73)</f>
        <v>0</v>
      </c>
      <c r="K69" s="45">
        <f>SUMIF(Report_BM!$B$6:$B$73,CONCATENATE($C69,$L$3),Report_BM!$P$6:$P$73)</f>
        <v>5570</v>
      </c>
      <c r="L69" s="39">
        <f>SUMIF(Report_BM!$B$6:$B$73,CONCATENATE($C69,$L$3),Report_BM!$Q$6:$Q$73)</f>
        <v>0</v>
      </c>
      <c r="M69" s="103"/>
      <c r="N69" s="104"/>
      <c r="O69" s="104"/>
      <c r="P69" s="104"/>
      <c r="Q69" s="104"/>
      <c r="R69" s="104"/>
      <c r="S69" s="45">
        <f>SUMIF(Report_BM!$AI$8:$AI$72,CONCATENATE($C69,AA$3),Report_BM!$U$8:$U$72)+SUMIF(Report_BM!$AI$8:$AI$72,CONCATENATE($C69,AA$3),Report_BM!$X$8:$X$72)</f>
        <v>5570</v>
      </c>
      <c r="T69" s="276">
        <f>SUMIF(Report_BM!$AI$8:$AI$72,CONCATENATE($C69,AA$3),Report_BM!$V$8:$V$72)+SUMIF(Report_BM!$AI$8:$AI$72,CONCATENATE($C69,AA$3),Report_BM!$Y$8:$Y$72)</f>
        <v>0</v>
      </c>
      <c r="U69" s="45">
        <f>SUMIF(Report_BM!$AI$8:$AI$72,CONCATENATE($C69,AA$3),Report_BM!$AA$8:$AB$72)</f>
        <v>0</v>
      </c>
      <c r="V69" s="39">
        <f>SUMIF(Report_BM!$AI$8:$AI$72,CONCATENATE($C69,$AA$3),Report_BM!$AB$8:$AB$72)</f>
        <v>0</v>
      </c>
      <c r="W69" s="39">
        <f>SUMIF(Report_BM!$AI$8:$AI$72,CONCATENATE($C69,$AA$3),Report_BM!$AC$8:$AC$72)</f>
        <v>0</v>
      </c>
      <c r="X69" s="39">
        <f ca="1">SUMIF(Report_BM!$AI$7:$AI$73,CONCATENATE($C69,$AA$3),Report_BM!$AD$7:$AD$73)</f>
        <v>0</v>
      </c>
      <c r="Y69" s="46">
        <f>SUMIF(Master_Data!$AK$152:$AK$864,CONCATENATE($C69,AA$3),Master_Data!$T$152:$T$864)</f>
        <v>0</v>
      </c>
      <c r="Z69" s="45">
        <f>SUMIF(Report_BM!$AI$8:$AI$72,CONCATENATE($C69,$AA$3),Report_BM!$AF$8:$AF$72)</f>
        <v>5570</v>
      </c>
      <c r="AA69" s="39">
        <f ca="1">SUMIF(Report_BM!$AI$8:$AI$72,CONCATENATE($C69,$AA$3),Report_BM!$AG$8:$AG$72)</f>
        <v>0</v>
      </c>
      <c r="AB69" s="103"/>
      <c r="AC69" s="104"/>
      <c r="AD69" s="104"/>
      <c r="AE69" s="104"/>
      <c r="AF69" s="104"/>
      <c r="AG69" s="104"/>
      <c r="AH69" s="45">
        <f>SUMIF(Report_BM!$AZ$5:$AZ$72,CONCATENATE($C69,AP$3),Report_BM!$AL$5:$AL$72)+SUMIF(Report_BM!$AZ$5:$AZ$72,CONCATENATE($C69,AP$3),Report_BM!$AO$5:$AO$72)</f>
        <v>5570</v>
      </c>
      <c r="AI69" s="46">
        <f ca="1">SUMIF(Report_BM!$AZ$5:$AZ$72,CONCATENATE($C69,$AP$3),Report_BM!$AM$5:$AM$72)+SUMIF(Report_BM!$AZ$5:$AZ$72,CONCATENATE($C69,$AP$3),Report_BM!$AP$5:$AP$72)</f>
        <v>0</v>
      </c>
      <c r="AJ69" s="45">
        <f>SUMIF(Report_BM!$AZ$5:$AZ$72,CONCATENATE($C69,$AP$3),Report_BM!$AR$5:$AR$72)</f>
        <v>0</v>
      </c>
      <c r="AK69" s="39">
        <f>SUMIF(Report_BM!$AZ$5:$AZ$72,CONCATENATE($C69,$AP$3),Report_BM!$AS$5:$AS$72)</f>
        <v>0</v>
      </c>
      <c r="AL69" s="39">
        <f>SUMIF(Report_BM!$AZ$5:$AZ$72,CONCATENATE($C69,$AP$3),Report_BM!$AT$5:$AT$72)</f>
        <v>0</v>
      </c>
      <c r="AM69" s="39">
        <f ca="1">SUMIF(Report_BM!$AZ$5:$AZ$72,CONCATENATE($C69,$AP$3),Report_BM!$AU$5:$AU$72)</f>
        <v>0</v>
      </c>
      <c r="AN69" s="46">
        <f>SUMIF(Master_Data!$AK$152:$AK$915,CONCATENATE($C69,AP$3),Master_Data!$T$152:$T$915)</f>
        <v>0</v>
      </c>
      <c r="AO69" s="45">
        <f>SUMIF(Report_BM!$AZ$5:$AZ$72,CONCATENATE($C69,$AP$3),Report_BM!$AW$5:$AW$72)</f>
        <v>5570</v>
      </c>
      <c r="AP69" s="39">
        <f ca="1">SUMIF(Report_BM!$AZ$5:$AZ$72,CONCATENATE($C69,$AP$3),Report_BM!$AX$5:$AX$72)</f>
        <v>0</v>
      </c>
      <c r="AQ69" s="103"/>
      <c r="AR69" s="104"/>
      <c r="AS69" s="104"/>
      <c r="AT69" s="104"/>
      <c r="AU69" s="104"/>
      <c r="AV69" s="104"/>
      <c r="AW69" s="45">
        <f>SUMIF(Report_BM!$BQ$6:$BQ$73,CONCATENATE($C69,BE$3),Report_BM!$BC$6:$BC$73)+SUMIF(Report_BM!$BQ$6:$BQ$73,CONCATENATE($C69,BE$3),Report_BM!$BF$6:$BF$73)</f>
        <v>5570</v>
      </c>
      <c r="AX69" s="46">
        <f ca="1">SUMIF(Report_BM!$BQ$6:$BQ$73,CONCATENATE($C69,$BE$3),Report_BM!$BD$6:$BD$73)+SUMIF(Report_BM!$BQ$6:$BQ$73,CONCATENATE($C69,$BE$3),Report_BM!$BG$6:$BG$73)</f>
        <v>0</v>
      </c>
      <c r="AY69" s="45">
        <f>SUMIF(Report_BM!$BQ$6:$BQ$73,CONCATENATE($C69,BE$3),Report_BM!$BI$6:$BI$73)</f>
        <v>0</v>
      </c>
      <c r="AZ69" s="39">
        <f>SUMIF(Report_BM!$BQ$6:$BQ$73,CONCATENATE($C69,BE$3),Report_BM!$BJ$6:$BJ$73)</f>
        <v>0</v>
      </c>
      <c r="BA69" s="39">
        <f>SUMIF(Report_BM!$BQ$6:$BQ$73,CONCATENATE($C69,BE$3),Report_BM!$BK$6:$BK$73)</f>
        <v>0</v>
      </c>
      <c r="BB69" s="39">
        <f>SUMIF(Report_BM!$BQ$6:$BQ$73,CONCATENATE($C69,BE$3),Report_BM!$BL$6:$BL$73)</f>
        <v>0</v>
      </c>
      <c r="BC69" s="46">
        <f>SUMIF(Master_Data!$AK$152:$AK$864,CONCATENATE($C69,BE$3),Master_Data!$T$152:$T$864)</f>
        <v>0</v>
      </c>
      <c r="BD69" s="45">
        <f>SUMIF(Report_BM!$BQ$6:$BQ$73,CONCATENATE($C69,BE$3),Report_BM!$BN$6:$BN$73)</f>
        <v>5570</v>
      </c>
      <c r="BE69" s="39">
        <f ca="1">SUMIF(Report_BM!$BQ$6:$BQ$73,CONCATENATE($C69,BE$3),Report_BM!$BO$6:$BO$73)</f>
        <v>0</v>
      </c>
      <c r="BF69" s="103"/>
      <c r="BG69" s="104"/>
      <c r="BH69" s="104"/>
      <c r="BI69" s="104"/>
      <c r="BJ69" s="104"/>
      <c r="BK69" s="104"/>
      <c r="BL69" s="45">
        <f>SUMIF(Report_BM!$CH$6:$CH$73,CONCATENATE($C69,BT$3),Report_BM!$BT$6:$BT$73)+SUMIF(Report_BM!$CH$6:$CH$73,CONCATENATE($C69,BT$3),Report_BM!$BW$6:$BW$73)</f>
        <v>5570</v>
      </c>
      <c r="BM69" s="46">
        <f ca="1">SUMIF(Report_BM!$CH$6:$CH$73,CONCATENATE($C69,$BT$3),Report_BM!$BU$6:$BU$73)+SUMIF(Report_BM!$CH$6:$CH$73,CONCATENATE($C69,$BT$3),Report_BM!$BX$6:$BX$73)</f>
        <v>0</v>
      </c>
      <c r="BN69" s="45">
        <f>SUMIF(Report_BM!$CH$6:$CH$73,CONCATENATE($C69,BT$3),Report_BM!$BZ$6:$BZ$73)</f>
        <v>0</v>
      </c>
      <c r="BO69" s="39">
        <f>SUMIF(Report_BM!$CH$6:$CH$73,CONCATENATE($C69,BT$3),Report_BM!$CA$6:$CA$73)</f>
        <v>0</v>
      </c>
      <c r="BP69" s="39">
        <f>SUMIF(Report_BM!$CH$6:$CH$73,CONCATENATE($C69,BT$3),Report_BM!$CB$6:$CB$73)</f>
        <v>0</v>
      </c>
      <c r="BQ69" s="39">
        <f>SUMIF(Report_BM!$CH$6:$CH$73,CONCATENATE($C69,BT$3),Report_BM!$CC$6:$CC$73)</f>
        <v>0</v>
      </c>
      <c r="BR69" s="46">
        <f>SUMIF(Master_Data!$AK$152:$AK$864,CONCATENATE($C69,BT$3),Master_Data!$T$152:$T$864)</f>
        <v>0</v>
      </c>
      <c r="BS69" s="45">
        <f>SUMIF(Report_BM!$CH$6:$CH$73,CONCATENATE($C69,BT$3),Report_BM!$CE$6:$CE$73)</f>
        <v>5570</v>
      </c>
      <c r="BT69" s="39">
        <f ca="1">SUMIF(Report_BM!$CH$6:$CH$73,CONCATENATE($C69,BT$3),Report_BM!$CF$6:$CF$73)</f>
        <v>0</v>
      </c>
      <c r="BU69" s="103"/>
      <c r="BV69" s="104"/>
      <c r="BW69" s="104"/>
      <c r="BX69" s="104"/>
      <c r="BY69" s="104"/>
      <c r="BZ69" s="104"/>
      <c r="CA69" s="45">
        <f>SUMIF(Report_BM!$CY$6:$CY$73,CONCATENATE($C69,CI$3),Report_BM!$CK$6:$CK$73)+SUMIF(Report_BM!$CY$6:$CY$73,CONCATENATE($C69,CI$3),Report_BM!$CN$6:$CN$73)</f>
        <v>5570</v>
      </c>
      <c r="CB69" s="46">
        <f ca="1">SUMIF(Report_BM!$CY$6:$CY$73,CONCATENATE($C69,$CI$3),Report_BM!$CL$6:$CL$73)+SUMIF(Report_BM!$CY$6:$CY$73,CONCATENATE($C69,$CI$3),Report_BM!$CO$6:$CO$73)</f>
        <v>0</v>
      </c>
      <c r="CC69" s="45">
        <f>SUMIF(Report_BM!$CY$6:$CY$73,CONCATENATE($C69,CI$3),Report_BM!$CQ$6:$CQ$73)</f>
        <v>0</v>
      </c>
      <c r="CD69" s="39">
        <f>SUMIF(Report_BM!$CY$6:$CY$73,CONCATENATE($C69,CI$3),Report_BM!$CR$6:$CR$73)</f>
        <v>0</v>
      </c>
      <c r="CE69" s="39">
        <f>SUMIF(Report_BM!$CY$6:$CY$73,CONCATENATE($C69,CI$3),Report_BM!$CS$6:$CS$73)</f>
        <v>0</v>
      </c>
      <c r="CF69" s="39">
        <f ca="1">SUMIF(Report_BM!$CY$6:$CY$73,CONCATENATE($C69,CI$3),Report_BM!$CT$6:$CT$73)</f>
        <v>0</v>
      </c>
      <c r="CG69" s="46">
        <f>SUMIF(Report_BM!$CY$6:$CY$73,CONCATENATE($C69,CI$3),Report_BM!$CU$6:$CU$73)</f>
        <v>0</v>
      </c>
      <c r="CH69" s="45">
        <f>SUMIF(Report_BM!$CY$6:$CY$73,CONCATENATE($C69,CI$3),Report_BM!$CV$6:$CV$73)</f>
        <v>5570</v>
      </c>
      <c r="CI69" s="39">
        <f ca="1">SUMIF(Report_BM!$CY$6:$CY$73,CONCATENATE($C69,CI$3),Report_BM!$CW$6:$CW$73)</f>
        <v>0</v>
      </c>
      <c r="CJ69" s="103"/>
      <c r="CK69" s="104"/>
      <c r="CL69" s="104"/>
      <c r="CM69" s="104"/>
      <c r="CN69" s="104"/>
      <c r="CO69" s="104"/>
      <c r="CP69" s="45">
        <f>SUMIF(Report_BM!$DP$6:$DP$73,CONCATENATE($C69,CX$3),Report_BM!$DB$6:$DB$73)+SUMIF(Report_BM!$DP$6:$DP$73,CONCATENATE($C69,CX$3),Report_BM!$DE$6:$DE$73)</f>
        <v>5570</v>
      </c>
      <c r="CQ69" s="46">
        <f ca="1">SUMIF(Report_BM!$DP$6:$DP$73,CONCATENATE($C69,$CX$3),Report_BM!$DC$6:$DC$73)+SUMIF(Report_BM!$DP$6:$DP$73,CONCATENATE($C69,$CX$3),Report_BM!$DF$6:$DF$73)</f>
        <v>0</v>
      </c>
      <c r="CR69" s="45">
        <f>SUMIF(Report_BM!$DP$6:$DP$73,CONCATENATE($C69,CX$3),Report_BM!$DH$6:$DH$73)</f>
        <v>0</v>
      </c>
      <c r="CS69" s="39">
        <f>SUMIF(Report_BM!$DP$6:$DP$73,CONCATENATE($C69,CX$3),Report_BM!$DI$6:$DI$73)</f>
        <v>0</v>
      </c>
      <c r="CT69" s="39">
        <f>SUMIF(Report_BM!$DP$6:$DP$73,CONCATENATE($C69,CX$3),Report_BM!$DJ$6:$DJ$73)</f>
        <v>0</v>
      </c>
      <c r="CU69" s="39">
        <f>SUMIF(Report_BM!$DP$6:$DP$73,CONCATENATE($C69,CX$3),Report_BM!$DK$6:$DK$73)</f>
        <v>0</v>
      </c>
      <c r="CV69" s="46">
        <f>SUMIF(Master_Data!$AK$152:$AK$864,CONCATENATE($C69,CX$3),Master_Data!$T$152:$T$864)</f>
        <v>0</v>
      </c>
      <c r="CW69" s="45">
        <f>SUMIF(Report_BM!$DP$6:$DP$73,CONCATENATE($C69,CX$3),Report_BM!$DM$6:$DM$73)</f>
        <v>5570</v>
      </c>
      <c r="CX69" s="39">
        <f ca="1">SUMIF(Report_BM!$DP$6:$DP$73,CONCATENATE($C69,CX$3),Report_BM!$DN$6:$DN$73)</f>
        <v>0</v>
      </c>
      <c r="CY69" s="103"/>
      <c r="CZ69" s="104"/>
      <c r="DA69" s="104"/>
      <c r="DB69" s="104"/>
      <c r="DC69" s="104"/>
      <c r="DD69" s="104"/>
      <c r="DE69" s="45">
        <f>SUMIF(Report_BM!$EG$6:$EG$73,CONCATENATE($C69,DM$3),Report_BM!$DS$6:$DS$73)+SUMIF(Report_BM!$EG$6:$EG$73,CONCATENATE($C69,DM$3),Report_BM!$DV$6:$DV$73)</f>
        <v>5570</v>
      </c>
      <c r="DF69" s="46">
        <f ca="1">SUMIF(Report_BM!$EG$6:$EG$73,CONCATENATE($C69,$DM$3),Report_BM!$DT$6:$DT$73)+SUMIF(Report_BM!$EG$6:$EG$73,CONCATENATE($C69,$DM$3),Report_BM!$DW$6:$DW$73)</f>
        <v>0</v>
      </c>
      <c r="DG69" s="45">
        <f>SUMIF(Report_BM!$EG$6:$EG$73,CONCATENATE($C69,DM$3),Report_BM!$DY$6:$DY$73)</f>
        <v>0</v>
      </c>
      <c r="DH69" s="39">
        <f>SUMIF(Report_BM!EG$6:EG$73,CONCATENATE($C69,DM$3),Report_BM!DZ$6:DZ$73)</f>
        <v>0</v>
      </c>
      <c r="DI69" s="39">
        <f>SUMIF(Report_BM!EG$6:EG$73,CONCATENATE($C69,DM$3),Report_BM!$EA$6:$EA$73)</f>
        <v>0</v>
      </c>
      <c r="DJ69" s="39">
        <f>SUMIF(Report_BM!EG$6:EG$73,CONCATENATE($C69,DM$3),Report_BM!$EB$6:$EB$73)</f>
        <v>0</v>
      </c>
      <c r="DK69" s="46">
        <f>SUMIF(Master_Data!$AK$152:$AK$864,CONCATENATE($C69,DM$3),Master_Data!$T$152:$T$864)</f>
        <v>0</v>
      </c>
      <c r="DL69" s="45">
        <f>SUMIF(Report_BM!EG$6:EG$73,CONCATENATE($C69,DM$3),Report_BM!ED$6:ED$73)</f>
        <v>5570</v>
      </c>
      <c r="DM69" s="39">
        <f ca="1">SUMIF(Report_BM!EG$6:EG$73,CONCATENATE($C69,DM$3),Report_BM!EE$6:EE$73)</f>
        <v>0</v>
      </c>
      <c r="DN69" s="103"/>
      <c r="DO69" s="104"/>
      <c r="DP69" s="104"/>
      <c r="DQ69" s="104"/>
      <c r="DR69" s="104"/>
      <c r="DS69" s="104"/>
      <c r="DT69" s="45">
        <f>SUMIF(Report_BM!$EX$6:$EX$73,CONCATENATE($C69,EB$3),Report_BM!$EJ$6:$EJ$73)+SUMIF(Report_BM!$EX$6:$EX$73,CONCATENATE($C69,EB$3),Report_BM!$EM$6:$EM$73)</f>
        <v>5570</v>
      </c>
      <c r="DU69" s="46">
        <f ca="1">SUMIF(Report_BM!$EX$6:$EX$73,CONCATENATE($C69,$EB$3),Report_BM!$EK$6:$EK$73)+SUMIF(Report_BM!$EX$6:$EX$73,CONCATENATE($C69,$EB$3),Report_BM!$EN$6:$EN$73)</f>
        <v>0</v>
      </c>
      <c r="DV69" s="45">
        <f>SUMIF(Report_BM!$EX$6:$EX$73,CONCATENATE($C69,EB$3),Report_BM!$EP$6:$EP$73)</f>
        <v>0</v>
      </c>
      <c r="DW69" s="39">
        <f>SUMIF(Report_BM!$EX$6:$EX$73,CONCATENATE($C69,EB$3),Report_BM!$EQ$6:$EQ$73)</f>
        <v>0</v>
      </c>
      <c r="DX69" s="39">
        <f>SUMIF(Report_BM!$EX$6:$EX$73,CONCATENATE($C69,EB$3),Report_BM!$ER$6:$ER$73)</f>
        <v>0</v>
      </c>
      <c r="DY69" s="39">
        <f>SUMIF(Report_BM!$EX$6:$EX$73,CONCATENATE($C69,EB$3),Report_BM!$ES$6:$ES$73)</f>
        <v>0</v>
      </c>
      <c r="DZ69" s="46">
        <f>SUMIF(Master_Data!$AK$152:$AK$864,CONCATENATE($C69,EB$3),Master_Data!$T$152:$T$864)</f>
        <v>0</v>
      </c>
      <c r="EA69" s="45">
        <f>SUMIF(Report_BM!EX$6:EX$73,CONCATENATE($C69,EB$3),Report_BM!EU$6:EU$73)</f>
        <v>5570</v>
      </c>
      <c r="EB69" s="39">
        <f>SUMIF(Report_BM!EX$6:EX$73,CONCATENATE($C69,EB$3),Report_BM!EV$6:EV$73)</f>
        <v>0</v>
      </c>
      <c r="EC69" s="103"/>
      <c r="ED69" s="104"/>
      <c r="EE69" s="104"/>
      <c r="EF69" s="104"/>
      <c r="EG69" s="104"/>
      <c r="EH69" s="104"/>
      <c r="EI69" s="45">
        <f>SUMIF(Report_BM!$FO$6:$FO$73,CONCATENATE($C69,EQ$3),Report_BM!$FA$6:$FA$73)+SUMIF(Report_BM!$FO$6:$FO$73,CONCATENATE($C69,EQ$3),Report_BM!$FD$6:$FD$73)</f>
        <v>5570</v>
      </c>
      <c r="EJ69" s="46">
        <f>SUMIF(Report_BM!$FO$6:$FO$73,CONCATENATE($C69,$EQ$3),Report_BM!$FB$6:$FB$73)+SUMIF(Report_BM!$FO$6:$FO$73,CONCATENATE($C69,$EQ$3),Report_BM!$FE$6:$FE$73)</f>
        <v>0</v>
      </c>
      <c r="EK69" s="45">
        <f>SUMIF(Report_BM!$FO$6:$FO$73,CONCATENATE($C69,EQ$3),Report_BM!$FG$6:$FG$73)</f>
        <v>0</v>
      </c>
      <c r="EL69" s="39">
        <f>SUMIF(Report_BM!$FO$6:$FO$73,CONCATENATE($C69,EQ$3),Report_BM!$FH$6:$FH$73)</f>
        <v>0</v>
      </c>
      <c r="EM69" s="39">
        <f>SUMIF(Report_BM!$FO$6:$FO$73,CONCATENATE($C69,EQ$3),Report_BM!$FI$6:$FI$73)</f>
        <v>0</v>
      </c>
      <c r="EN69" s="39">
        <f>SUMIF(Report_BM!$FO$6:$FO$73,CONCATENATE($C69,EQ$3),Report_BM!$FJ$6:$FJ$73)</f>
        <v>0</v>
      </c>
      <c r="EO69" s="46">
        <f>SUMIF(Master_Data!$AK$152:$AK$864,CONCATENATE($C69,EQ$3),Master_Data!$T$152:$T$864)</f>
        <v>0</v>
      </c>
      <c r="EP69" s="45">
        <f>SUMIF(Report_BM!FO$6:FO$73,CONCATENATE($C69,EQ$3),Report_BM!FL$6:FL$73)</f>
        <v>5570</v>
      </c>
      <c r="EQ69" s="39">
        <f>SUMIF(Report_BM!FO$6:FO$73,CONCATENATE($C69,EQ$3),Report_BM!FM$6:FM$73)</f>
        <v>0</v>
      </c>
      <c r="ER69" s="103"/>
      <c r="ES69" s="104"/>
      <c r="ET69" s="104"/>
      <c r="EU69" s="104"/>
      <c r="EV69" s="104"/>
      <c r="EW69" s="104"/>
      <c r="EX69" s="45">
        <f>SUMIF(Report_BM!$GF$6:$GF$73,CONCATENATE($C69,FF$3),Report_BM!$FR$6:$FR$73)+SUMIF(Report_BM!$GF$6:$GF$73,CONCATENATE($C69,FF$3),Report_BM!$FU$6:$FU$73)</f>
        <v>5570</v>
      </c>
      <c r="EY69" s="46">
        <f>SUMIF(Report_BM!$GF$6:$GF$73,CONCATENATE($C69,$FF$3),Report_BM!$FS$6:$FS$73)+SUMIF(Report_BM!$GF$6:$GF$73,CONCATENATE($C69,$FF$3),Report_BM!$FV$6:$FV$73)</f>
        <v>0</v>
      </c>
      <c r="EZ69" s="45">
        <f>SUMIF(Report_BM!$GF$6:$GF$73,CONCATENATE($C69,FF$3),Report_BM!$FX$6:$FX$73)</f>
        <v>0</v>
      </c>
      <c r="FA69" s="39">
        <f>SUMIF(Report_BM!$GF$6:$GF$73,CONCATENATE($C69,FF$3),Report_BM!$FY$6:$FY$73)</f>
        <v>0</v>
      </c>
      <c r="FB69" s="39">
        <f>SUMIF(Report_BM!$GF$6:$GF$73,CONCATENATE($C69,FF$3),Report_BM!$FZ$6:$FZ$73)</f>
        <v>0</v>
      </c>
      <c r="FC69" s="39">
        <f>SUMIF(Report_BM!$GF$6:$GF$73,CONCATENATE($C69,FF$3),Report_BM!$GA$6:$GA$73)</f>
        <v>0</v>
      </c>
      <c r="FD69" s="46">
        <f>SUMIF(Master_Data!$AK$152:$AK$864,CONCATENATE($C69,FF$3),Master_Data!$T$152:$T$864)</f>
        <v>0</v>
      </c>
      <c r="FE69" s="45">
        <f>SUMIF(Report_BM!GF$6:GF$73,CONCATENATE($C69,FF$3),Report_BM!GC$6:GC$73)</f>
        <v>5570</v>
      </c>
      <c r="FF69" s="39">
        <f>SUMIF(Report_BM!GF$6:GF$73,CONCATENATE($C69,FF$3),Report_BM!GD$6:GD$73)</f>
        <v>0</v>
      </c>
      <c r="FG69" s="103"/>
      <c r="FH69" s="104"/>
      <c r="FI69" s="104"/>
      <c r="FJ69" s="104"/>
      <c r="FK69" s="104"/>
      <c r="FL69" s="104"/>
      <c r="FM69" s="45">
        <f>SUMIF(Report_BM!$GW$6:$GW$73,CONCATENATE($C69,FU$3),Report_BM!$GI$6:$GI$73)+SUMIF(Report_BM!$GW$6:$GW$73,CONCATENATE($C69,FU$3),Report_BM!$GL$6:$GL$73)</f>
        <v>5570</v>
      </c>
      <c r="FN69" s="46">
        <f>SUMIF(Report_BM!$GW$6:$GW$73,CONCATENATE($C69,$FU$3),Report_BM!$GJ$6:$GJ$73)+SUMIF(Report_BM!$GW$6:$GW$73,CONCATENATE($C69,$FU$3),Report_BM!$GM$6:$GM$73)</f>
        <v>0</v>
      </c>
      <c r="FO69" s="45">
        <f>SUMIF(Report_BM!$GW$6:$GW$73,CONCATENATE($C69,FU$3),Report_BM!$GO$6:$GO$73)</f>
        <v>0</v>
      </c>
      <c r="FP69" s="39">
        <f>SUMIF(Report_BM!$GW$6:$GW$73,CONCATENATE($C69,FU$3),Report_BM!$GP$6:$GP$73)</f>
        <v>0</v>
      </c>
      <c r="FQ69" s="39">
        <f>SUMIF(Report_BM!$GW$6:$GW$73,CONCATENATE($C69,FU$3),Report_BM!$GQ$6:$GQ$73)</f>
        <v>0</v>
      </c>
      <c r="FR69" s="39">
        <f>SUMIF(Report_BM!$GW$6:$GW$73,CONCATENATE($C69,FU$3),Report_BM!$GR$6:$GR$73)</f>
        <v>0</v>
      </c>
      <c r="FS69" s="46">
        <f>SUMIF(Master_Data!$AK$152:$AK$864,CONCATENATE($C69,FU$3),Master_Data!$T$152:$T$864)</f>
        <v>0</v>
      </c>
      <c r="FT69" s="45">
        <f>SUMIF(Report_BM!GW$6:GW$73,CONCATENATE($C69,FU$3),Report_BM!GT$6:GT$73)</f>
        <v>5570</v>
      </c>
      <c r="FU69" s="39">
        <f>SUMIF(Report_BM!GW$6:GW$73,CONCATENATE($C69,FU$3),Report_BM!GU$6:GU$73)</f>
        <v>0</v>
      </c>
      <c r="FV69" s="103"/>
      <c r="FW69" s="104"/>
      <c r="FX69" s="104"/>
      <c r="FY69" s="104"/>
      <c r="FZ69" s="104"/>
      <c r="GA69" s="104"/>
    </row>
    <row r="70" spans="1:183" s="40" customFormat="1" ht="14.1" customHeight="1">
      <c r="A70" s="9">
        <v>64</v>
      </c>
      <c r="B70" s="328" t="s">
        <v>340</v>
      </c>
      <c r="C70" s="323" t="s">
        <v>217</v>
      </c>
      <c r="D70" s="45">
        <f>SUMIF(Report_BM!$B$6:$B$73,CONCATENATE($C70,L$3),Report_BM!$E$6:$E$73)+SUMIF(Report_BM!$B$6:$B$73,CONCATENATE($C70,L$3),Report_BM!$H$6:$H$73)</f>
        <v>0</v>
      </c>
      <c r="E70" s="276">
        <f>SUMIF(Report_BM!$B$6:$B$73,CONCATENATE($C70,L$3),Report_BM!$F$6:$F$73)+SUMIF(Report_BM!$B$6:$B$73,CONCATENATE($C70,L$3),Report_BM!$I$6:$I$73)</f>
        <v>49403850</v>
      </c>
      <c r="F70" s="45">
        <f>SUMIF(Report_BM!$B$6:$B$73,CONCATENATE($C70,L$3),Report_BM!$K$6:$K$73)</f>
        <v>0</v>
      </c>
      <c r="G70" s="39">
        <f>SUMIF(Report_BM!$B$6:$B$73,CONCATENATE($C70,$L$3),Report_BM!$L$6:$L$73)</f>
        <v>0</v>
      </c>
      <c r="H70" s="39">
        <f>SUMIF(Report_BM!$B$6:$B$73,CONCATENATE($C70,$L$3),Report_BM!$M$6:$M$73)</f>
        <v>0</v>
      </c>
      <c r="I70" s="39">
        <f>SUMIF(Report_BM!$B$6:$B$73,CONCATENATE($C70,$L$3),Report_BM!$N$6:$N$73)</f>
        <v>0</v>
      </c>
      <c r="J70" s="46">
        <f>SUMIF(Report_BM!$B$6:$B$73,CONCATENATE($C70,$L$3),Report_BM!$O$6:$O$73)</f>
        <v>0</v>
      </c>
      <c r="K70" s="45">
        <f>SUMIF(Report_BM!$B$6:$B$73,CONCATENATE($C70,$L$3),Report_BM!$P$6:$P$73)</f>
        <v>0</v>
      </c>
      <c r="L70" s="39">
        <f>SUMIF(Report_BM!$B$6:$B$73,CONCATENATE($C70,$L$3),Report_BM!$Q$6:$Q$73)</f>
        <v>49403850</v>
      </c>
      <c r="M70" s="103"/>
      <c r="N70" s="104"/>
      <c r="O70" s="104"/>
      <c r="P70" s="104"/>
      <c r="Q70" s="104"/>
      <c r="R70" s="104"/>
      <c r="S70" s="45">
        <f>SUMIF(Report_BM!$AI$8:$AI$72,CONCATENATE($C70,AA$3),Report_BM!$U$8:$U$72)+SUMIF(Report_BM!$AI$8:$AI$72,CONCATENATE($C70,AA$3),Report_BM!$X$8:$X$72)</f>
        <v>0</v>
      </c>
      <c r="T70" s="276">
        <f>SUMIF(Report_BM!$AI$8:$AI$72,CONCATENATE($C70,AA$3),Report_BM!$V$8:$V$72)+SUMIF(Report_BM!$AI$8:$AI$72,CONCATENATE($C70,AA$3),Report_BM!$Y$8:$Y$72)</f>
        <v>49403850</v>
      </c>
      <c r="U70" s="45">
        <f>SUMIF(Report_BM!$AI$8:$AI$72,CONCATENATE($C70,AA$3),Report_BM!$AA$8:$AB$72)</f>
        <v>0</v>
      </c>
      <c r="V70" s="39">
        <f>SUMIF(Report_BM!$AI$8:$AI$72,CONCATENATE($C70,$AA$3),Report_BM!$AB$8:$AB$72)</f>
        <v>0</v>
      </c>
      <c r="W70" s="39">
        <f>SUMIF(Report_BM!$AI$8:$AI$72,CONCATENATE($C70,$AA$3),Report_BM!$AC$8:$AC$72)</f>
        <v>0</v>
      </c>
      <c r="X70" s="39">
        <f ca="1">SUMIF(Report_BM!$AI$7:$AI$73,CONCATENATE($C70,$AA$3),Report_BM!$AD$7:$AD$73)</f>
        <v>0</v>
      </c>
      <c r="Y70" s="46">
        <f>SUMIF(Master_Data!$AK$152:$AK$864,CONCATENATE($C70,AA$3),Master_Data!$T$152:$T$864)</f>
        <v>0</v>
      </c>
      <c r="Z70" s="45">
        <f>SUMIF(Report_BM!$AI$8:$AI$72,CONCATENATE($C70,$AA$3),Report_BM!$AF$8:$AF$72)</f>
        <v>0</v>
      </c>
      <c r="AA70" s="39">
        <f ca="1">SUMIF(Report_BM!$AI$8:$AI$72,CONCATENATE($C70,$AA$3),Report_BM!$AG$8:$AG$72)</f>
        <v>49403850</v>
      </c>
      <c r="AB70" s="103"/>
      <c r="AC70" s="104"/>
      <c r="AD70" s="104"/>
      <c r="AE70" s="104"/>
      <c r="AF70" s="104"/>
      <c r="AG70" s="104"/>
      <c r="AH70" s="45">
        <f>SUMIF(Report_BM!$AZ$5:$AZ$72,CONCATENATE($C70,AP$3),Report_BM!$AL$5:$AL$72)+SUMIF(Report_BM!$AZ$5:$AZ$72,CONCATENATE($C70,AP$3),Report_BM!$AO$5:$AO$72)</f>
        <v>0</v>
      </c>
      <c r="AI70" s="46">
        <f ca="1">SUMIF(Report_BM!$AZ$5:$AZ$72,CONCATENATE($C70,$AP$3),Report_BM!$AM$5:$AM$72)+SUMIF(Report_BM!$AZ$5:$AZ$72,CONCATENATE($C70,$AP$3),Report_BM!$AP$5:$AP$72)</f>
        <v>49403850</v>
      </c>
      <c r="AJ70" s="45">
        <f>SUMIF(Report_BM!$AZ$5:$AZ$72,CONCATENATE($C70,$AP$3),Report_BM!$AR$5:$AR$72)</f>
        <v>0</v>
      </c>
      <c r="AK70" s="39">
        <f>SUMIF(Report_BM!$AZ$5:$AZ$72,CONCATENATE($C70,$AP$3),Report_BM!$AS$5:$AS$72)</f>
        <v>0</v>
      </c>
      <c r="AL70" s="39">
        <f>SUMIF(Report_BM!$AZ$5:$AZ$72,CONCATENATE($C70,$AP$3),Report_BM!$AT$5:$AT$72)</f>
        <v>0</v>
      </c>
      <c r="AM70" s="39">
        <f ca="1">SUMIF(Report_BM!$AZ$5:$AZ$72,CONCATENATE($C70,$AP$3),Report_BM!$AU$5:$AU$72)</f>
        <v>0</v>
      </c>
      <c r="AN70" s="46">
        <f>SUMIF(Master_Data!$AK$152:$AK$915,CONCATENATE($C70,AP$3),Master_Data!$T$152:$T$915)</f>
        <v>0</v>
      </c>
      <c r="AO70" s="45">
        <f>SUMIF(Report_BM!$AZ$5:$AZ$72,CONCATENATE($C70,$AP$3),Report_BM!$AW$5:$AW$72)</f>
        <v>0</v>
      </c>
      <c r="AP70" s="39">
        <f ca="1">SUMIF(Report_BM!$AZ$5:$AZ$72,CONCATENATE($C70,$AP$3),Report_BM!$AX$5:$AX$72)</f>
        <v>49403850</v>
      </c>
      <c r="AQ70" s="103"/>
      <c r="AR70" s="104"/>
      <c r="AS70" s="104"/>
      <c r="AT70" s="104"/>
      <c r="AU70" s="104"/>
      <c r="AV70" s="104"/>
      <c r="AW70" s="45">
        <f>SUMIF(Report_BM!$BQ$6:$BQ$73,CONCATENATE($C70,BE$3),Report_BM!$BC$6:$BC$73)+SUMIF(Report_BM!$BQ$6:$BQ$73,CONCATENATE($C70,BE$3),Report_BM!$BF$6:$BF$73)</f>
        <v>0</v>
      </c>
      <c r="AX70" s="46">
        <f ca="1">SUMIF(Report_BM!$BQ$6:$BQ$73,CONCATENATE($C70,$BE$3),Report_BM!$BD$6:$BD$73)+SUMIF(Report_BM!$BQ$6:$BQ$73,CONCATENATE($C70,$BE$3),Report_BM!$BG$6:$BG$73)</f>
        <v>49403850</v>
      </c>
      <c r="AY70" s="45">
        <f>SUMIF(Report_BM!$BQ$6:$BQ$73,CONCATENATE($C70,BE$3),Report_BM!$BI$6:$BI$73)</f>
        <v>0</v>
      </c>
      <c r="AZ70" s="39">
        <f>SUMIF(Report_BM!$BQ$6:$BQ$73,CONCATENATE($C70,BE$3),Report_BM!$BJ$6:$BJ$73)</f>
        <v>0</v>
      </c>
      <c r="BA70" s="39">
        <f>SUMIF(Report_BM!$BQ$6:$BQ$73,CONCATENATE($C70,BE$3),Report_BM!$BK$6:$BK$73)</f>
        <v>0</v>
      </c>
      <c r="BB70" s="39">
        <f>SUMIF(Report_BM!$BQ$6:$BQ$73,CONCATENATE($C70,BE$3),Report_BM!$BL$6:$BL$73)</f>
        <v>0</v>
      </c>
      <c r="BC70" s="46">
        <f>SUMIF(Master_Data!$AK$152:$AK$864,CONCATENATE($C70,BE$3),Master_Data!$T$152:$T$864)</f>
        <v>0</v>
      </c>
      <c r="BD70" s="45">
        <f>SUMIF(Report_BM!$BQ$6:$BQ$73,CONCATENATE($C70,BE$3),Report_BM!$BN$6:$BN$73)</f>
        <v>0</v>
      </c>
      <c r="BE70" s="39">
        <f ca="1">SUMIF(Report_BM!$BQ$6:$BQ$73,CONCATENATE($C70,BE$3),Report_BM!$BO$6:$BO$73)</f>
        <v>49403850</v>
      </c>
      <c r="BF70" s="103"/>
      <c r="BG70" s="104"/>
      <c r="BH70" s="104"/>
      <c r="BI70" s="104"/>
      <c r="BJ70" s="104"/>
      <c r="BK70" s="104"/>
      <c r="BL70" s="45">
        <f>SUMIF(Report_BM!$CH$6:$CH$73,CONCATENATE($C70,BT$3),Report_BM!$BT$6:$BT$73)+SUMIF(Report_BM!$CH$6:$CH$73,CONCATENATE($C70,BT$3),Report_BM!$BW$6:$BW$73)</f>
        <v>0</v>
      </c>
      <c r="BM70" s="46">
        <f ca="1">SUMIF(Report_BM!$CH$6:$CH$73,CONCATENATE($C70,$BT$3),Report_BM!$BU$6:$BU$73)+SUMIF(Report_BM!$CH$6:$CH$73,CONCATENATE($C70,$BT$3),Report_BM!$BX$6:$BX$73)</f>
        <v>49403850</v>
      </c>
      <c r="BN70" s="45">
        <f>SUMIF(Report_BM!$CH$6:$CH$73,CONCATENATE($C70,BT$3),Report_BM!$BZ$6:$BZ$73)</f>
        <v>0</v>
      </c>
      <c r="BO70" s="39">
        <f>SUMIF(Report_BM!$CH$6:$CH$73,CONCATENATE($C70,BT$3),Report_BM!$CA$6:$CA$73)</f>
        <v>0</v>
      </c>
      <c r="BP70" s="39">
        <f>SUMIF(Report_BM!$CH$6:$CH$73,CONCATENATE($C70,BT$3),Report_BM!$CB$6:$CB$73)</f>
        <v>0</v>
      </c>
      <c r="BQ70" s="39">
        <f>SUMIF(Report_BM!$CH$6:$CH$73,CONCATENATE($C70,BT$3),Report_BM!$CC$6:$CC$73)</f>
        <v>0</v>
      </c>
      <c r="BR70" s="46">
        <f>SUMIF(Master_Data!$AK$152:$AK$864,CONCATENATE($C70,BT$3),Master_Data!$T$152:$T$864)</f>
        <v>0</v>
      </c>
      <c r="BS70" s="45">
        <f>SUMIF(Report_BM!$CH$6:$CH$73,CONCATENATE($C70,BT$3),Report_BM!$CE$6:$CE$73)</f>
        <v>0</v>
      </c>
      <c r="BT70" s="39">
        <f ca="1">SUMIF(Report_BM!$CH$6:$CH$73,CONCATENATE($C70,BT$3),Report_BM!$CF$6:$CF$73)</f>
        <v>49403850</v>
      </c>
      <c r="BU70" s="103"/>
      <c r="BV70" s="104"/>
      <c r="BW70" s="104"/>
      <c r="BX70" s="104"/>
      <c r="BY70" s="104"/>
      <c r="BZ70" s="104"/>
      <c r="CA70" s="45">
        <f>SUMIF(Report_BM!$CY$6:$CY$73,CONCATENATE($C70,CI$3),Report_BM!$CK$6:$CK$73)+SUMIF(Report_BM!$CY$6:$CY$73,CONCATENATE($C70,CI$3),Report_BM!$CN$6:$CN$73)</f>
        <v>0</v>
      </c>
      <c r="CB70" s="46">
        <f ca="1">SUMIF(Report_BM!$CY$6:$CY$73,CONCATENATE($C70,$CI$3),Report_BM!$CL$6:$CL$73)+SUMIF(Report_BM!$CY$6:$CY$73,CONCATENATE($C70,$CI$3),Report_BM!$CO$6:$CO$73)</f>
        <v>49403850</v>
      </c>
      <c r="CC70" s="45">
        <f>SUMIF(Report_BM!$CY$6:$CY$73,CONCATENATE($C70,CI$3),Report_BM!$CQ$6:$CQ$73)</f>
        <v>0</v>
      </c>
      <c r="CD70" s="39">
        <f>SUMIF(Report_BM!$CY$6:$CY$73,CONCATENATE($C70,CI$3),Report_BM!$CR$6:$CR$73)</f>
        <v>0</v>
      </c>
      <c r="CE70" s="39">
        <f>SUMIF(Report_BM!$CY$6:$CY$73,CONCATENATE($C70,CI$3),Report_BM!$CS$6:$CS$73)</f>
        <v>0</v>
      </c>
      <c r="CF70" s="39">
        <f ca="1">SUMIF(Report_BM!$CY$6:$CY$73,CONCATENATE($C70,CI$3),Report_BM!$CT$6:$CT$73)</f>
        <v>0</v>
      </c>
      <c r="CG70" s="46">
        <f>SUMIF(Report_BM!$CY$6:$CY$73,CONCATENATE($C70,CI$3),Report_BM!$CU$6:$CU$73)</f>
        <v>0</v>
      </c>
      <c r="CH70" s="45">
        <f>SUMIF(Report_BM!$CY$6:$CY$73,CONCATENATE($C70,CI$3),Report_BM!$CV$6:$CV$73)</f>
        <v>0</v>
      </c>
      <c r="CI70" s="39">
        <f ca="1">SUMIF(Report_BM!$CY$6:$CY$73,CONCATENATE($C70,CI$3),Report_BM!$CW$6:$CW$73)</f>
        <v>49403850</v>
      </c>
      <c r="CJ70" s="103"/>
      <c r="CK70" s="104"/>
      <c r="CL70" s="104"/>
      <c r="CM70" s="104"/>
      <c r="CN70" s="104"/>
      <c r="CO70" s="104"/>
      <c r="CP70" s="45">
        <f>SUMIF(Report_BM!$DP$6:$DP$73,CONCATENATE($C70,CX$3),Report_BM!$DB$6:$DB$73)+SUMIF(Report_BM!$DP$6:$DP$73,CONCATENATE($C70,CX$3),Report_BM!$DE$6:$DE$73)</f>
        <v>0</v>
      </c>
      <c r="CQ70" s="46">
        <f ca="1">SUMIF(Report_BM!$DP$6:$DP$73,CONCATENATE($C70,$CX$3),Report_BM!$DC$6:$DC$73)+SUMIF(Report_BM!$DP$6:$DP$73,CONCATENATE($C70,$CX$3),Report_BM!$DF$6:$DF$73)</f>
        <v>49403850</v>
      </c>
      <c r="CR70" s="45">
        <f>SUMIF(Report_BM!$DP$6:$DP$73,CONCATENATE($C70,CX$3),Report_BM!$DH$6:$DH$73)</f>
        <v>0</v>
      </c>
      <c r="CS70" s="39">
        <f>SUMIF(Report_BM!$DP$6:$DP$73,CONCATENATE($C70,CX$3),Report_BM!$DI$6:$DI$73)</f>
        <v>0</v>
      </c>
      <c r="CT70" s="39">
        <f>SUMIF(Report_BM!$DP$6:$DP$73,CONCATENATE($C70,CX$3),Report_BM!$DJ$6:$DJ$73)</f>
        <v>0</v>
      </c>
      <c r="CU70" s="39">
        <f>SUMIF(Report_BM!$DP$6:$DP$73,CONCATENATE($C70,CX$3),Report_BM!$DK$6:$DK$73)</f>
        <v>0</v>
      </c>
      <c r="CV70" s="46">
        <f>SUMIF(Master_Data!$AK$152:$AK$864,CONCATENATE($C70,CX$3),Master_Data!$T$152:$T$864)</f>
        <v>0</v>
      </c>
      <c r="CW70" s="45">
        <f>SUMIF(Report_BM!$DP$6:$DP$73,CONCATENATE($C70,CX$3),Report_BM!$DM$6:$DM$73)</f>
        <v>0</v>
      </c>
      <c r="CX70" s="39">
        <f ca="1">SUMIF(Report_BM!$DP$6:$DP$73,CONCATENATE($C70,CX$3),Report_BM!$DN$6:$DN$73)</f>
        <v>49403850</v>
      </c>
      <c r="CY70" s="103"/>
      <c r="CZ70" s="104"/>
      <c r="DA70" s="104"/>
      <c r="DB70" s="104"/>
      <c r="DC70" s="104"/>
      <c r="DD70" s="104"/>
      <c r="DE70" s="45">
        <f>SUMIF(Report_BM!$EG$6:$EG$73,CONCATENATE($C70,DM$3),Report_BM!$DS$6:$DS$73)+SUMIF(Report_BM!$EG$6:$EG$73,CONCATENATE($C70,DM$3),Report_BM!$DV$6:$DV$73)</f>
        <v>0</v>
      </c>
      <c r="DF70" s="46">
        <f ca="1">SUMIF(Report_BM!$EG$6:$EG$73,CONCATENATE($C70,$DM$3),Report_BM!$DT$6:$DT$73)+SUMIF(Report_BM!$EG$6:$EG$73,CONCATENATE($C70,$DM$3),Report_BM!$DW$6:$DW$73)</f>
        <v>49403850</v>
      </c>
      <c r="DG70" s="45">
        <f>SUMIF(Report_BM!$EG$6:$EG$73,CONCATENATE($C70,DM$3),Report_BM!$DY$6:$DY$73)</f>
        <v>0</v>
      </c>
      <c r="DH70" s="39">
        <f>SUMIF(Report_BM!EG$6:EG$73,CONCATENATE($C70,DM$3),Report_BM!DZ$6:DZ$73)</f>
        <v>0</v>
      </c>
      <c r="DI70" s="39">
        <f>SUMIF(Report_BM!EG$6:EG$73,CONCATENATE($C70,DM$3),Report_BM!$EA$6:$EA$73)</f>
        <v>0</v>
      </c>
      <c r="DJ70" s="39">
        <f>SUMIF(Report_BM!EG$6:EG$73,CONCATENATE($C70,DM$3),Report_BM!$EB$6:$EB$73)</f>
        <v>0</v>
      </c>
      <c r="DK70" s="46">
        <f>SUMIF(Master_Data!$AK$152:$AK$864,CONCATENATE($C70,DM$3),Master_Data!$T$152:$T$864)</f>
        <v>0</v>
      </c>
      <c r="DL70" s="45">
        <f>SUMIF(Report_BM!EG$6:EG$73,CONCATENATE($C70,DM$3),Report_BM!ED$6:ED$73)</f>
        <v>0</v>
      </c>
      <c r="DM70" s="39">
        <f ca="1">SUMIF(Report_BM!EG$6:EG$73,CONCATENATE($C70,DM$3),Report_BM!EE$6:EE$73)</f>
        <v>49403850</v>
      </c>
      <c r="DN70" s="103"/>
      <c r="DO70" s="104"/>
      <c r="DP70" s="104"/>
      <c r="DQ70" s="104"/>
      <c r="DR70" s="104"/>
      <c r="DS70" s="104"/>
      <c r="DT70" s="45">
        <f>SUMIF(Report_BM!$EX$6:$EX$73,CONCATENATE($C70,EB$3),Report_BM!$EJ$6:$EJ$73)+SUMIF(Report_BM!$EX$6:$EX$73,CONCATENATE($C70,EB$3),Report_BM!$EM$6:$EM$73)</f>
        <v>0</v>
      </c>
      <c r="DU70" s="46">
        <f ca="1">SUMIF(Report_BM!$EX$6:$EX$73,CONCATENATE($C70,$EB$3),Report_BM!$EK$6:$EK$73)+SUMIF(Report_BM!$EX$6:$EX$73,CONCATENATE($C70,$EB$3),Report_BM!$EN$6:$EN$73)</f>
        <v>49403850</v>
      </c>
      <c r="DV70" s="45">
        <f>SUMIF(Report_BM!$EX$6:$EX$73,CONCATENATE($C70,EB$3),Report_BM!$EP$6:$EP$73)</f>
        <v>0</v>
      </c>
      <c r="DW70" s="39">
        <f>SUMIF(Report_BM!$EX$6:$EX$73,CONCATENATE($C70,EB$3),Report_BM!$EQ$6:$EQ$73)</f>
        <v>0</v>
      </c>
      <c r="DX70" s="39">
        <f>SUMIF(Report_BM!$EX$6:$EX$73,CONCATENATE($C70,EB$3),Report_BM!$ER$6:$ER$73)</f>
        <v>0</v>
      </c>
      <c r="DY70" s="39">
        <f>SUMIF(Report_BM!$EX$6:$EX$73,CONCATENATE($C70,EB$3),Report_BM!$ES$6:$ES$73)</f>
        <v>0</v>
      </c>
      <c r="DZ70" s="46">
        <f>SUMIF(Master_Data!$AK$152:$AK$864,CONCATENATE($C70,EB$3),Master_Data!$T$152:$T$864)</f>
        <v>0</v>
      </c>
      <c r="EA70" s="45">
        <f>SUMIF(Report_BM!EX$6:EX$73,CONCATENATE($C70,EB$3),Report_BM!EU$6:EU$73)</f>
        <v>0</v>
      </c>
      <c r="EB70" s="39">
        <f>SUMIF(Report_BM!EX$6:EX$73,CONCATENATE($C70,EB$3),Report_BM!EV$6:EV$73)</f>
        <v>0</v>
      </c>
      <c r="EC70" s="103"/>
      <c r="ED70" s="104"/>
      <c r="EE70" s="104"/>
      <c r="EF70" s="104"/>
      <c r="EG70" s="104"/>
      <c r="EH70" s="104"/>
      <c r="EI70" s="45">
        <f>SUMIF(Report_BM!$FO$6:$FO$73,CONCATENATE($C70,EQ$3),Report_BM!$FA$6:$FA$73)+SUMIF(Report_BM!$FO$6:$FO$73,CONCATENATE($C70,EQ$3),Report_BM!$FD$6:$FD$73)</f>
        <v>0</v>
      </c>
      <c r="EJ70" s="46">
        <f>SUMIF(Report_BM!$FO$6:$FO$73,CONCATENATE($C70,$EQ$3),Report_BM!$FB$6:$FB$73)+SUMIF(Report_BM!$FO$6:$FO$73,CONCATENATE($C70,$EQ$3),Report_BM!$FE$6:$FE$73)</f>
        <v>0</v>
      </c>
      <c r="EK70" s="45">
        <f>SUMIF(Report_BM!$FO$6:$FO$73,CONCATENATE($C70,EQ$3),Report_BM!$FG$6:$FG$73)</f>
        <v>0</v>
      </c>
      <c r="EL70" s="39">
        <f>SUMIF(Report_BM!$FO$6:$FO$73,CONCATENATE($C70,EQ$3),Report_BM!$FH$6:$FH$73)</f>
        <v>0</v>
      </c>
      <c r="EM70" s="39">
        <f>SUMIF(Report_BM!$FO$6:$FO$73,CONCATENATE($C70,EQ$3),Report_BM!$FI$6:$FI$73)</f>
        <v>0</v>
      </c>
      <c r="EN70" s="39">
        <f>SUMIF(Report_BM!$FO$6:$FO$73,CONCATENATE($C70,EQ$3),Report_BM!$FJ$6:$FJ$73)</f>
        <v>0</v>
      </c>
      <c r="EO70" s="46">
        <f>SUMIF(Master_Data!$AK$152:$AK$864,CONCATENATE($C70,EQ$3),Master_Data!$T$152:$T$864)</f>
        <v>0</v>
      </c>
      <c r="EP70" s="45">
        <f>SUMIF(Report_BM!FO$6:FO$73,CONCATENATE($C70,EQ$3),Report_BM!FL$6:FL$73)</f>
        <v>0</v>
      </c>
      <c r="EQ70" s="39">
        <f>SUMIF(Report_BM!FO$6:FO$73,CONCATENATE($C70,EQ$3),Report_BM!FM$6:FM$73)</f>
        <v>0</v>
      </c>
      <c r="ER70" s="103"/>
      <c r="ES70" s="104"/>
      <c r="ET70" s="104"/>
      <c r="EU70" s="104"/>
      <c r="EV70" s="104"/>
      <c r="EW70" s="104"/>
      <c r="EX70" s="45">
        <f>SUMIF(Report_BM!$GF$6:$GF$73,CONCATENATE($C70,FF$3),Report_BM!$FR$6:$FR$73)+SUMIF(Report_BM!$GF$6:$GF$73,CONCATENATE($C70,FF$3),Report_BM!$FU$6:$FU$73)</f>
        <v>0</v>
      </c>
      <c r="EY70" s="46">
        <f>SUMIF(Report_BM!$GF$6:$GF$73,CONCATENATE($C70,$FF$3),Report_BM!$FS$6:$FS$73)+SUMIF(Report_BM!$GF$6:$GF$73,CONCATENATE($C70,$FF$3),Report_BM!$FV$6:$FV$73)</f>
        <v>0</v>
      </c>
      <c r="EZ70" s="45">
        <f>SUMIF(Report_BM!$GF$6:$GF$73,CONCATENATE($C70,FF$3),Report_BM!$FX$6:$FX$73)</f>
        <v>0</v>
      </c>
      <c r="FA70" s="39">
        <f>SUMIF(Report_BM!$GF$6:$GF$73,CONCATENATE($C70,FF$3),Report_BM!$FY$6:$FY$73)</f>
        <v>0</v>
      </c>
      <c r="FB70" s="39">
        <f>SUMIF(Report_BM!$GF$6:$GF$73,CONCATENATE($C70,FF$3),Report_BM!$FZ$6:$FZ$73)</f>
        <v>0</v>
      </c>
      <c r="FC70" s="39">
        <f>SUMIF(Report_BM!$GF$6:$GF$73,CONCATENATE($C70,FF$3),Report_BM!$GA$6:$GA$73)</f>
        <v>0</v>
      </c>
      <c r="FD70" s="46">
        <f>SUMIF(Master_Data!$AK$152:$AK$864,CONCATENATE($C70,FF$3),Master_Data!$T$152:$T$864)</f>
        <v>0</v>
      </c>
      <c r="FE70" s="45">
        <f>SUMIF(Report_BM!GF$6:GF$73,CONCATENATE($C70,FF$3),Report_BM!GC$6:GC$73)</f>
        <v>0</v>
      </c>
      <c r="FF70" s="39">
        <f>SUMIF(Report_BM!GF$6:GF$73,CONCATENATE($C70,FF$3),Report_BM!GD$6:GD$73)</f>
        <v>0</v>
      </c>
      <c r="FG70" s="103"/>
      <c r="FH70" s="104"/>
      <c r="FI70" s="104"/>
      <c r="FJ70" s="104"/>
      <c r="FK70" s="104"/>
      <c r="FL70" s="104"/>
      <c r="FM70" s="45">
        <f>SUMIF(Report_BM!$GW$6:$GW$73,CONCATENATE($C70,FU$3),Report_BM!$GI$6:$GI$73)+SUMIF(Report_BM!$GW$6:$GW$73,CONCATENATE($C70,FU$3),Report_BM!$GL$6:$GL$73)</f>
        <v>0</v>
      </c>
      <c r="FN70" s="46">
        <f>SUMIF(Report_BM!$GW$6:$GW$73,CONCATENATE($C70,$FU$3),Report_BM!$GJ$6:$GJ$73)+SUMIF(Report_BM!$GW$6:$GW$73,CONCATENATE($C70,$FU$3),Report_BM!$GM$6:$GM$73)</f>
        <v>0</v>
      </c>
      <c r="FO70" s="45">
        <f>SUMIF(Report_BM!$GW$6:$GW$73,CONCATENATE($C70,FU$3),Report_BM!$GO$6:$GO$73)</f>
        <v>0</v>
      </c>
      <c r="FP70" s="39">
        <f>SUMIF(Report_BM!$GW$6:$GW$73,CONCATENATE($C70,FU$3),Report_BM!$GP$6:$GP$73)</f>
        <v>0</v>
      </c>
      <c r="FQ70" s="39">
        <f>SUMIF(Report_BM!$GW$6:$GW$73,CONCATENATE($C70,FU$3),Report_BM!$GQ$6:$GQ$73)</f>
        <v>0</v>
      </c>
      <c r="FR70" s="39">
        <f>SUMIF(Report_BM!$GW$6:$GW$73,CONCATENATE($C70,FU$3),Report_BM!$GR$6:$GR$73)</f>
        <v>0</v>
      </c>
      <c r="FS70" s="46">
        <f>SUMIF(Master_Data!$AK$152:$AK$864,CONCATENATE($C70,FU$3),Master_Data!$T$152:$T$864)</f>
        <v>0</v>
      </c>
      <c r="FT70" s="45">
        <f>SUMIF(Report_BM!GW$6:GW$73,CONCATENATE($C70,FU$3),Report_BM!GT$6:GT$73)</f>
        <v>0</v>
      </c>
      <c r="FU70" s="39">
        <f>SUMIF(Report_BM!GW$6:GW$73,CONCATENATE($C70,FU$3),Report_BM!GU$6:GU$73)</f>
        <v>0</v>
      </c>
      <c r="FV70" s="103"/>
      <c r="FW70" s="104"/>
      <c r="FX70" s="104"/>
      <c r="FY70" s="104"/>
      <c r="FZ70" s="104"/>
      <c r="GA70" s="104"/>
    </row>
    <row r="71" spans="1:183" s="40" customFormat="1" ht="14.1" customHeight="1">
      <c r="A71" s="9">
        <v>65</v>
      </c>
      <c r="B71" s="328" t="s">
        <v>17</v>
      </c>
      <c r="C71" s="323" t="s">
        <v>47</v>
      </c>
      <c r="D71" s="45">
        <f>SUMIF(Report_BM!$B$6:$B$73,CONCATENATE($C71,L$3),Report_BM!$E$6:$E$73)+SUMIF(Report_BM!$B$6:$B$73,CONCATENATE($C71,L$3),Report_BM!$H$6:$H$73)</f>
        <v>0</v>
      </c>
      <c r="E71" s="276">
        <f>SUMIF(Report_BM!$B$6:$B$73,CONCATENATE($C71,L$3),Report_BM!$F$6:$F$73)+SUMIF(Report_BM!$B$6:$B$73,CONCATENATE($C71,L$3),Report_BM!$I$6:$I$73)</f>
        <v>1221583300</v>
      </c>
      <c r="F71" s="45">
        <f>SUMIF(Report_BM!$B$6:$B$73,CONCATENATE($C71,L$3),Report_BM!$K$6:$K$73)</f>
        <v>0</v>
      </c>
      <c r="G71" s="39">
        <f>SUMIF(Report_BM!$B$6:$B$73,CONCATENATE($C71,$L$3),Report_BM!$L$6:$L$73)</f>
        <v>0</v>
      </c>
      <c r="H71" s="39">
        <f>SUMIF(Report_BM!$B$6:$B$73,CONCATENATE($C71,$L$3),Report_BM!$M$6:$M$73)</f>
        <v>55208350</v>
      </c>
      <c r="I71" s="39">
        <f>SUMIF(Report_BM!$B$6:$B$73,CONCATENATE($C71,$L$3),Report_BM!$N$6:$N$73)</f>
        <v>0</v>
      </c>
      <c r="J71" s="46">
        <f>SUMIF(Report_BM!$B$6:$B$73,CONCATENATE($C71,$L$3),Report_BM!$O$6:$O$73)</f>
        <v>0</v>
      </c>
      <c r="K71" s="45">
        <f>SUMIF(Report_BM!$B$6:$B$73,CONCATENATE($C71,$L$3),Report_BM!$P$6:$P$73)</f>
        <v>0</v>
      </c>
      <c r="L71" s="39">
        <f>SUMIF(Report_BM!$B$6:$B$73,CONCATENATE($C71,$L$3),Report_BM!$Q$6:$Q$73)</f>
        <v>1166374950</v>
      </c>
      <c r="M71" s="103"/>
      <c r="N71" s="104"/>
      <c r="O71" s="104"/>
      <c r="P71" s="104"/>
      <c r="Q71" s="104"/>
      <c r="R71" s="104"/>
      <c r="S71" s="45">
        <f>SUMIF(Report_BM!$AI$8:$AI$72,CONCATENATE($C71,AA$3),Report_BM!$U$8:$U$72)+SUMIF(Report_BM!$AI$8:$AI$72,CONCATENATE($C71,AA$3),Report_BM!$X$8:$X$72)</f>
        <v>0</v>
      </c>
      <c r="T71" s="276">
        <f>SUMIF(Report_BM!$AI$8:$AI$72,CONCATENATE($C71,AA$3),Report_BM!$V$8:$V$72)+SUMIF(Report_BM!$AI$8:$AI$72,CONCATENATE($C71,AA$3),Report_BM!$Y$8:$Y$72)</f>
        <v>1166374950</v>
      </c>
      <c r="U71" s="45">
        <f>SUMIF(Report_BM!$AI$8:$AI$72,CONCATENATE($C71,AA$3),Report_BM!$AA$8:$AB$72)</f>
        <v>0</v>
      </c>
      <c r="V71" s="39">
        <f>SUMIF(Report_BM!$AI$8:$AI$72,CONCATENATE($C71,$AA$3),Report_BM!$AB$8:$AB$72)</f>
        <v>0</v>
      </c>
      <c r="W71" s="39">
        <f>SUMIF(Report_BM!$AI$8:$AI$72,CONCATENATE($C71,$AA$3),Report_BM!$AC$8:$AC$72)</f>
        <v>100000000</v>
      </c>
      <c r="X71" s="39">
        <f ca="1">SUMIF(Report_BM!$AI$7:$AI$73,CONCATENATE($C71,$AA$3),Report_BM!$AD$7:$AD$73)</f>
        <v>0</v>
      </c>
      <c r="Y71" s="46">
        <f>SUMIF(Master_Data!$AK$152:$AK$864,CONCATENATE($C71,AA$3),Master_Data!$T$152:$T$864)</f>
        <v>0</v>
      </c>
      <c r="Z71" s="45">
        <f>SUMIF(Report_BM!$AI$8:$AI$72,CONCATENATE($C71,$AA$3),Report_BM!$AF$8:$AF$72)</f>
        <v>0</v>
      </c>
      <c r="AA71" s="39">
        <f ca="1">SUMIF(Report_BM!$AI$8:$AI$72,CONCATENATE($C71,$AA$3),Report_BM!$AG$8:$AG$72)</f>
        <v>1066374950</v>
      </c>
      <c r="AB71" s="103"/>
      <c r="AC71" s="104"/>
      <c r="AD71" s="104"/>
      <c r="AE71" s="104"/>
      <c r="AF71" s="104"/>
      <c r="AG71" s="104"/>
      <c r="AH71" s="45">
        <f>SUMIF(Report_BM!$AZ$5:$AZ$72,CONCATENATE($C71,AP$3),Report_BM!$AL$5:$AL$72)+SUMIF(Report_BM!$AZ$5:$AZ$72,CONCATENATE($C71,AP$3),Report_BM!$AO$5:$AO$72)</f>
        <v>0</v>
      </c>
      <c r="AI71" s="46">
        <f ca="1">SUMIF(Report_BM!$AZ$5:$AZ$72,CONCATENATE($C71,$AP$3),Report_BM!$AM$5:$AM$72)+SUMIF(Report_BM!$AZ$5:$AZ$72,CONCATENATE($C71,$AP$3),Report_BM!$AP$5:$AP$72)</f>
        <v>1066374950</v>
      </c>
      <c r="AJ71" s="45">
        <f>SUMIF(Report_BM!$AZ$5:$AZ$72,CONCATENATE($C71,$AP$3),Report_BM!$AR$5:$AR$72)</f>
        <v>0</v>
      </c>
      <c r="AK71" s="39">
        <f>SUMIF(Report_BM!$AZ$5:$AZ$72,CONCATENATE($C71,$AP$3),Report_BM!$AS$5:$AS$72)</f>
        <v>0</v>
      </c>
      <c r="AL71" s="39">
        <f>SUMIF(Report_BM!$AZ$5:$AZ$72,CONCATENATE($C71,$AP$3),Report_BM!$AT$5:$AT$72)</f>
        <v>85000000</v>
      </c>
      <c r="AM71" s="39">
        <f ca="1">SUMIF(Report_BM!$AZ$5:$AZ$72,CONCATENATE($C71,$AP$3),Report_BM!$AU$5:$AU$72)</f>
        <v>0</v>
      </c>
      <c r="AN71" s="46">
        <f>SUMIF(Master_Data!$AK$152:$AK$915,CONCATENATE($C71,AP$3),Master_Data!$T$152:$T$915)</f>
        <v>0</v>
      </c>
      <c r="AO71" s="45">
        <f>SUMIF(Report_BM!$AZ$5:$AZ$72,CONCATENATE($C71,$AP$3),Report_BM!$AW$5:$AW$72)</f>
        <v>0</v>
      </c>
      <c r="AP71" s="39">
        <f ca="1">SUMIF(Report_BM!$AZ$5:$AZ$72,CONCATENATE($C71,$AP$3),Report_BM!$AX$5:$AX$72)</f>
        <v>981374950</v>
      </c>
      <c r="AQ71" s="103"/>
      <c r="AR71" s="104"/>
      <c r="AS71" s="104"/>
      <c r="AT71" s="104"/>
      <c r="AU71" s="104"/>
      <c r="AV71" s="104"/>
      <c r="AW71" s="45">
        <f>SUMIF(Report_BM!$BQ$6:$BQ$73,CONCATENATE($C71,BE$3),Report_BM!$BC$6:$BC$73)+SUMIF(Report_BM!$BQ$6:$BQ$73,CONCATENATE($C71,BE$3),Report_BM!$BF$6:$BF$73)</f>
        <v>0</v>
      </c>
      <c r="AX71" s="46" t="e">
        <f ca="1">SUMIF(Report_BM!$BQ$6:$BQ$73,CONCATENATE($C71,$BE$3),Report_BM!$BD$6:$BD$73)+SUMIF(Report_BM!$BQ$6:$BQ$73,CONCATENATE($C71,$BE$3),Report_BM!$BG$6:$BG$73)</f>
        <v>#VALUE!</v>
      </c>
      <c r="AY71" s="45">
        <f>SUMIF(Report_BM!$BQ$6:$BQ$73,CONCATENATE($C71,BE$3),Report_BM!$BI$6:$BI$73)</f>
        <v>0</v>
      </c>
      <c r="AZ71" s="39">
        <f>SUMIF(Report_BM!$BQ$6:$BQ$73,CONCATENATE($C71,BE$3),Report_BM!$BJ$6:$BJ$73)</f>
        <v>0</v>
      </c>
      <c r="BA71" s="39">
        <f>SUMIF(Report_BM!$BQ$6:$BQ$73,CONCATENATE($C71,BE$3),Report_BM!$BK$6:$BK$73)</f>
        <v>22000000</v>
      </c>
      <c r="BB71" s="39">
        <f>SUMIF(Report_BM!$BQ$6:$BQ$73,CONCATENATE($C71,BE$3),Report_BM!$BL$6:$BL$73)</f>
        <v>0</v>
      </c>
      <c r="BC71" s="46">
        <f>SUMIF(Master_Data!$AK$152:$AK$864,CONCATENATE($C71,BE$3),Master_Data!$T$152:$T$864)</f>
        <v>0</v>
      </c>
      <c r="BD71" s="45">
        <f>SUMIF(Report_BM!$BQ$6:$BQ$73,CONCATENATE($C71,BE$3),Report_BM!$BN$6:$BN$73)</f>
        <v>0</v>
      </c>
      <c r="BE71" s="39" t="e">
        <f ca="1">SUMIF(Report_BM!$BQ$6:$BQ$73,CONCATENATE($C71,BE$3),Report_BM!$BO$6:$BO$73)</f>
        <v>#VALUE!</v>
      </c>
      <c r="BF71" s="103"/>
      <c r="BG71" s="104"/>
      <c r="BH71" s="104"/>
      <c r="BI71" s="104"/>
      <c r="BJ71" s="104"/>
      <c r="BK71" s="104"/>
      <c r="BL71" s="45">
        <f>SUMIF(Report_BM!$CH$6:$CH$73,CONCATENATE($C71,BT$3),Report_BM!$BT$6:$BT$73)+SUMIF(Report_BM!$CH$6:$CH$73,CONCATENATE($C71,BT$3),Report_BM!$BW$6:$BW$73)</f>
        <v>0</v>
      </c>
      <c r="BM71" s="46" t="e">
        <f ca="1">SUMIF(Report_BM!$CH$6:$CH$73,CONCATENATE($C71,$BT$3),Report_BM!$BU$6:$BU$73)+SUMIF(Report_BM!$CH$6:$CH$73,CONCATENATE($C71,$BT$3),Report_BM!$BX$6:$BX$73)</f>
        <v>#VALUE!</v>
      </c>
      <c r="BN71" s="45">
        <f>SUMIF(Report_BM!$CH$6:$CH$73,CONCATENATE($C71,BT$3),Report_BM!$BZ$6:$BZ$73)</f>
        <v>0</v>
      </c>
      <c r="BO71" s="39">
        <f>SUMIF(Report_BM!$CH$6:$CH$73,CONCATENATE($C71,BT$3),Report_BM!$CA$6:$CA$73)</f>
        <v>0</v>
      </c>
      <c r="BP71" s="39">
        <f>SUMIF(Report_BM!$CH$6:$CH$73,CONCATENATE($C71,BT$3),Report_BM!$CB$6:$CB$73)</f>
        <v>0</v>
      </c>
      <c r="BQ71" s="39">
        <f>SUMIF(Report_BM!$CH$6:$CH$73,CONCATENATE($C71,BT$3),Report_BM!$CC$6:$CC$73)</f>
        <v>0</v>
      </c>
      <c r="BR71" s="46">
        <f>SUMIF(Master_Data!$AK$152:$AK$864,CONCATENATE($C71,BT$3),Master_Data!$T$152:$T$864)</f>
        <v>0</v>
      </c>
      <c r="BS71" s="45">
        <f>SUMIF(Report_BM!$CH$6:$CH$73,CONCATENATE($C71,BT$3),Report_BM!$CE$6:$CE$73)</f>
        <v>0</v>
      </c>
      <c r="BT71" s="39" t="e">
        <f ca="1">SUMIF(Report_BM!$CH$6:$CH$73,CONCATENATE($C71,BT$3),Report_BM!$CF$6:$CF$73)</f>
        <v>#VALUE!</v>
      </c>
      <c r="BU71" s="103"/>
      <c r="BV71" s="104"/>
      <c r="BW71" s="104"/>
      <c r="BX71" s="104"/>
      <c r="BY71" s="104"/>
      <c r="BZ71" s="104"/>
      <c r="CA71" s="45">
        <f>SUMIF(Report_BM!$CY$6:$CY$73,CONCATENATE($C71,CI$3),Report_BM!$CK$6:$CK$73)+SUMIF(Report_BM!$CY$6:$CY$73,CONCATENATE($C71,CI$3),Report_BM!$CN$6:$CN$73)</f>
        <v>0</v>
      </c>
      <c r="CB71" s="46" t="e">
        <f ca="1">SUMIF(Report_BM!$CY$6:$CY$73,CONCATENATE($C71,$CI$3),Report_BM!$CL$6:$CL$73)+SUMIF(Report_BM!$CY$6:$CY$73,CONCATENATE($C71,$CI$3),Report_BM!$CO$6:$CO$73)</f>
        <v>#VALUE!</v>
      </c>
      <c r="CC71" s="45">
        <f>SUMIF(Report_BM!$CY$6:$CY$73,CONCATENATE($C71,CI$3),Report_BM!$CQ$6:$CQ$73)</f>
        <v>0</v>
      </c>
      <c r="CD71" s="39">
        <f>SUMIF(Report_BM!$CY$6:$CY$73,CONCATENATE($C71,CI$3),Report_BM!$CR$6:$CR$73)</f>
        <v>0</v>
      </c>
      <c r="CE71" s="39">
        <f>SUMIF(Report_BM!$CY$6:$CY$73,CONCATENATE($C71,CI$3),Report_BM!$CS$6:$CS$73)</f>
        <v>0</v>
      </c>
      <c r="CF71" s="39">
        <f ca="1">SUMIF(Report_BM!$CY$6:$CY$73,CONCATENATE($C71,CI$3),Report_BM!$CT$6:$CT$73)</f>
        <v>0</v>
      </c>
      <c r="CG71" s="46">
        <f>SUMIF(Report_BM!$CY$6:$CY$73,CONCATENATE($C71,CI$3),Report_BM!$CU$6:$CU$73)</f>
        <v>0</v>
      </c>
      <c r="CH71" s="45">
        <f>SUMIF(Report_BM!$CY$6:$CY$73,CONCATENATE($C71,CI$3),Report_BM!$CV$6:$CV$73)</f>
        <v>0</v>
      </c>
      <c r="CI71" s="39" t="e">
        <f ca="1">SUMIF(Report_BM!$CY$6:$CY$73,CONCATENATE($C71,CI$3),Report_BM!$CW$6:$CW$73)</f>
        <v>#VALUE!</v>
      </c>
      <c r="CJ71" s="103"/>
      <c r="CK71" s="104"/>
      <c r="CL71" s="104"/>
      <c r="CM71" s="104"/>
      <c r="CN71" s="104"/>
      <c r="CO71" s="104"/>
      <c r="CP71" s="45">
        <f>SUMIF(Report_BM!$DP$6:$DP$73,CONCATENATE($C71,CX$3),Report_BM!$DB$6:$DB$73)+SUMIF(Report_BM!$DP$6:$DP$73,CONCATENATE($C71,CX$3),Report_BM!$DE$6:$DE$73)</f>
        <v>0</v>
      </c>
      <c r="CQ71" s="46" t="e">
        <f ca="1">SUMIF(Report_BM!$DP$6:$DP$73,CONCATENATE($C71,$CX$3),Report_BM!$DC$6:$DC$73)+SUMIF(Report_BM!$DP$6:$DP$73,CONCATENATE($C71,$CX$3),Report_BM!$DF$6:$DF$73)</f>
        <v>#VALUE!</v>
      </c>
      <c r="CR71" s="45">
        <f>SUMIF(Report_BM!$DP$6:$DP$73,CONCATENATE($C71,CX$3),Report_BM!$DH$6:$DH$73)</f>
        <v>0</v>
      </c>
      <c r="CS71" s="39">
        <f>SUMIF(Report_BM!$DP$6:$DP$73,CONCATENATE($C71,CX$3),Report_BM!$DI$6:$DI$73)</f>
        <v>0</v>
      </c>
      <c r="CT71" s="39">
        <f>SUMIF(Report_BM!$DP$6:$DP$73,CONCATENATE($C71,CX$3),Report_BM!$DJ$6:$DJ$73)</f>
        <v>0</v>
      </c>
      <c r="CU71" s="39">
        <f>SUMIF(Report_BM!$DP$6:$DP$73,CONCATENATE($C71,CX$3),Report_BM!$DK$6:$DK$73)</f>
        <v>0</v>
      </c>
      <c r="CV71" s="46">
        <f>SUMIF(Master_Data!$AK$152:$AK$864,CONCATENATE($C71,CX$3),Master_Data!$T$152:$T$864)</f>
        <v>0</v>
      </c>
      <c r="CW71" s="45">
        <f>SUMIF(Report_BM!$DP$6:$DP$73,CONCATENATE($C71,CX$3),Report_BM!$DM$6:$DM$73)</f>
        <v>0</v>
      </c>
      <c r="CX71" s="39" t="e">
        <f ca="1">SUMIF(Report_BM!$DP$6:$DP$73,CONCATENATE($C71,CX$3),Report_BM!$DN$6:$DN$73)</f>
        <v>#VALUE!</v>
      </c>
      <c r="CY71" s="103"/>
      <c r="CZ71" s="104"/>
      <c r="DA71" s="104"/>
      <c r="DB71" s="104"/>
      <c r="DC71" s="104"/>
      <c r="DD71" s="104"/>
      <c r="DE71" s="45">
        <f>SUMIF(Report_BM!$EG$6:$EG$73,CONCATENATE($C71,DM$3),Report_BM!$DS$6:$DS$73)+SUMIF(Report_BM!$EG$6:$EG$73,CONCATENATE($C71,DM$3),Report_BM!$DV$6:$DV$73)</f>
        <v>0</v>
      </c>
      <c r="DF71" s="46" t="e">
        <f ca="1">SUMIF(Report_BM!$EG$6:$EG$73,CONCATENATE($C71,$DM$3),Report_BM!$DT$6:$DT$73)+SUMIF(Report_BM!$EG$6:$EG$73,CONCATENATE($C71,$DM$3),Report_BM!$DW$6:$DW$73)</f>
        <v>#VALUE!</v>
      </c>
      <c r="DG71" s="45">
        <f>SUMIF(Report_BM!$EG$6:$EG$73,CONCATENATE($C71,DM$3),Report_BM!$DY$6:$DY$73)</f>
        <v>0</v>
      </c>
      <c r="DH71" s="39">
        <f>SUMIF(Report_BM!EG$6:EG$73,CONCATENATE($C71,DM$3),Report_BM!DZ$6:DZ$73)</f>
        <v>0</v>
      </c>
      <c r="DI71" s="39">
        <f>SUMIF(Report_BM!EG$6:EG$73,CONCATENATE($C71,DM$3),Report_BM!$EA$6:$EA$73)</f>
        <v>55208350</v>
      </c>
      <c r="DJ71" s="39">
        <f>SUMIF(Report_BM!EG$6:EG$73,CONCATENATE($C71,DM$3),Report_BM!$EB$6:$EB$73)</f>
        <v>0</v>
      </c>
      <c r="DK71" s="46">
        <f>SUMIF(Master_Data!$AK$152:$AK$864,CONCATENATE($C71,DM$3),Master_Data!$T$152:$T$864)</f>
        <v>0</v>
      </c>
      <c r="DL71" s="45">
        <f>SUMIF(Report_BM!EG$6:EG$73,CONCATENATE($C71,DM$3),Report_BM!ED$6:ED$73)</f>
        <v>0</v>
      </c>
      <c r="DM71" s="39" t="e">
        <f ca="1">SUMIF(Report_BM!EG$6:EG$73,CONCATENATE($C71,DM$3),Report_BM!EE$6:EE$73)</f>
        <v>#VALUE!</v>
      </c>
      <c r="DN71" s="103"/>
      <c r="DO71" s="104"/>
      <c r="DP71" s="104"/>
      <c r="DQ71" s="104"/>
      <c r="DR71" s="104"/>
      <c r="DS71" s="104"/>
      <c r="DT71" s="45">
        <f>SUMIF(Report_BM!$EX$6:$EX$73,CONCATENATE($C71,EB$3),Report_BM!$EJ$6:$EJ$73)+SUMIF(Report_BM!$EX$6:$EX$73,CONCATENATE($C71,EB$3),Report_BM!$EM$6:$EM$73)</f>
        <v>0</v>
      </c>
      <c r="DU71" s="46" t="e">
        <f ca="1">SUMIF(Report_BM!$EX$6:$EX$73,CONCATENATE($C71,$EB$3),Report_BM!$EK$6:$EK$73)+SUMIF(Report_BM!$EX$6:$EX$73,CONCATENATE($C71,$EB$3),Report_BM!$EN$6:$EN$73)</f>
        <v>#VALUE!</v>
      </c>
      <c r="DV71" s="45">
        <f>SUMIF(Report_BM!$EX$6:$EX$73,CONCATENATE($C71,EB$3),Report_BM!$EP$6:$EP$73)</f>
        <v>0</v>
      </c>
      <c r="DW71" s="39">
        <f>SUMIF(Report_BM!$EX$6:$EX$73,CONCATENATE($C71,EB$3),Report_BM!$EQ$6:$EQ$73)</f>
        <v>0</v>
      </c>
      <c r="DX71" s="39">
        <f>SUMIF(Report_BM!$EX$6:$EX$73,CONCATENATE($C71,EB$3),Report_BM!$ER$6:$ER$73)</f>
        <v>0</v>
      </c>
      <c r="DY71" s="39">
        <f>SUMIF(Report_BM!$EX$6:$EX$73,CONCATENATE($C71,EB$3),Report_BM!$ES$6:$ES$73)</f>
        <v>0</v>
      </c>
      <c r="DZ71" s="46">
        <f>SUMIF(Master_Data!$AK$152:$AK$864,CONCATENATE($C71,EB$3),Master_Data!$T$152:$T$864)</f>
        <v>0</v>
      </c>
      <c r="EA71" s="45">
        <f>SUMIF(Report_BM!EX$6:EX$73,CONCATENATE($C71,EB$3),Report_BM!EU$6:EU$73)</f>
        <v>0</v>
      </c>
      <c r="EB71" s="39">
        <f>SUMIF(Report_BM!EX$6:EX$73,CONCATENATE($C71,EB$3),Report_BM!EV$6:EV$73)</f>
        <v>0</v>
      </c>
      <c r="EC71" s="103"/>
      <c r="ED71" s="104"/>
      <c r="EE71" s="104"/>
      <c r="EF71" s="104"/>
      <c r="EG71" s="104"/>
      <c r="EH71" s="104"/>
      <c r="EI71" s="45">
        <f>SUMIF(Report_BM!$FO$6:$FO$73,CONCATENATE($C71,EQ$3),Report_BM!$FA$6:$FA$73)+SUMIF(Report_BM!$FO$6:$FO$73,CONCATENATE($C71,EQ$3),Report_BM!$FD$6:$FD$73)</f>
        <v>0</v>
      </c>
      <c r="EJ71" s="46">
        <f>SUMIF(Report_BM!$FO$6:$FO$73,CONCATENATE($C71,$EQ$3),Report_BM!$FB$6:$FB$73)+SUMIF(Report_BM!$FO$6:$FO$73,CONCATENATE($C71,$EQ$3),Report_BM!$FE$6:$FE$73)</f>
        <v>0</v>
      </c>
      <c r="EK71" s="45">
        <f>SUMIF(Report_BM!$FO$6:$FO$73,CONCATENATE($C71,EQ$3),Report_BM!$FG$6:$FG$73)</f>
        <v>0</v>
      </c>
      <c r="EL71" s="39">
        <f>SUMIF(Report_BM!$FO$6:$FO$73,CONCATENATE($C71,EQ$3),Report_BM!$FH$6:$FH$73)</f>
        <v>0</v>
      </c>
      <c r="EM71" s="39">
        <f>SUMIF(Report_BM!$FO$6:$FO$73,CONCATENATE($C71,EQ$3),Report_BM!$FI$6:$FI$73)</f>
        <v>0</v>
      </c>
      <c r="EN71" s="39">
        <f>SUMIF(Report_BM!$FO$6:$FO$73,CONCATENATE($C71,EQ$3),Report_BM!$FJ$6:$FJ$73)</f>
        <v>0</v>
      </c>
      <c r="EO71" s="46">
        <f>SUMIF(Master_Data!$AK$152:$AK$864,CONCATENATE($C71,EQ$3),Master_Data!$T$152:$T$864)</f>
        <v>0</v>
      </c>
      <c r="EP71" s="45">
        <f>SUMIF(Report_BM!FO$6:FO$73,CONCATENATE($C71,EQ$3),Report_BM!FL$6:FL$73)</f>
        <v>0</v>
      </c>
      <c r="EQ71" s="39">
        <f>SUMIF(Report_BM!FO$6:FO$73,CONCATENATE($C71,EQ$3),Report_BM!FM$6:FM$73)</f>
        <v>0</v>
      </c>
      <c r="ER71" s="103"/>
      <c r="ES71" s="104"/>
      <c r="ET71" s="104"/>
      <c r="EU71" s="104"/>
      <c r="EV71" s="104"/>
      <c r="EW71" s="104"/>
      <c r="EX71" s="45">
        <f>SUMIF(Report_BM!$GF$6:$GF$73,CONCATENATE($C71,FF$3),Report_BM!$FR$6:$FR$73)+SUMIF(Report_BM!$GF$6:$GF$73,CONCATENATE($C71,FF$3),Report_BM!$FU$6:$FU$73)</f>
        <v>0</v>
      </c>
      <c r="EY71" s="46">
        <f>SUMIF(Report_BM!$GF$6:$GF$73,CONCATENATE($C71,$FF$3),Report_BM!$FS$6:$FS$73)+SUMIF(Report_BM!$GF$6:$GF$73,CONCATENATE($C71,$FF$3),Report_BM!$FV$6:$FV$73)</f>
        <v>0</v>
      </c>
      <c r="EZ71" s="45">
        <f>SUMIF(Report_BM!$GF$6:$GF$73,CONCATENATE($C71,FF$3),Report_BM!$FX$6:$FX$73)</f>
        <v>0</v>
      </c>
      <c r="FA71" s="39">
        <f>SUMIF(Report_BM!$GF$6:$GF$73,CONCATENATE($C71,FF$3),Report_BM!$FY$6:$FY$73)</f>
        <v>0</v>
      </c>
      <c r="FB71" s="39">
        <f>SUMIF(Report_BM!$GF$6:$GF$73,CONCATENATE($C71,FF$3),Report_BM!$FZ$6:$FZ$73)</f>
        <v>0</v>
      </c>
      <c r="FC71" s="39">
        <f>SUMIF(Report_BM!$GF$6:$GF$73,CONCATENATE($C71,FF$3),Report_BM!$GA$6:$GA$73)</f>
        <v>0</v>
      </c>
      <c r="FD71" s="46">
        <f>SUMIF(Master_Data!$AK$152:$AK$864,CONCATENATE($C71,FF$3),Master_Data!$T$152:$T$864)</f>
        <v>0</v>
      </c>
      <c r="FE71" s="45">
        <f>SUMIF(Report_BM!GF$6:GF$73,CONCATENATE($C71,FF$3),Report_BM!GC$6:GC$73)</f>
        <v>0</v>
      </c>
      <c r="FF71" s="39">
        <f>SUMIF(Report_BM!GF$6:GF$73,CONCATENATE($C71,FF$3),Report_BM!GD$6:GD$73)</f>
        <v>0</v>
      </c>
      <c r="FG71" s="103"/>
      <c r="FH71" s="104"/>
      <c r="FI71" s="104"/>
      <c r="FJ71" s="104"/>
      <c r="FK71" s="104"/>
      <c r="FL71" s="104"/>
      <c r="FM71" s="45">
        <f>SUMIF(Report_BM!$GW$6:$GW$73,CONCATENATE($C71,FU$3),Report_BM!$GI$6:$GI$73)+SUMIF(Report_BM!$GW$6:$GW$73,CONCATENATE($C71,FU$3),Report_BM!$GL$6:$GL$73)</f>
        <v>0</v>
      </c>
      <c r="FN71" s="46">
        <f>SUMIF(Report_BM!$GW$6:$GW$73,CONCATENATE($C71,$FU$3),Report_BM!$GJ$6:$GJ$73)+SUMIF(Report_BM!$GW$6:$GW$73,CONCATENATE($C71,$FU$3),Report_BM!$GM$6:$GM$73)</f>
        <v>0</v>
      </c>
      <c r="FO71" s="45">
        <f>SUMIF(Report_BM!$GW$6:$GW$73,CONCATENATE($C71,FU$3),Report_BM!$GO$6:$GO$73)</f>
        <v>0</v>
      </c>
      <c r="FP71" s="39">
        <f>SUMIF(Report_BM!$GW$6:$GW$73,CONCATENATE($C71,FU$3),Report_BM!$GP$6:$GP$73)</f>
        <v>0</v>
      </c>
      <c r="FQ71" s="39">
        <f>SUMIF(Report_BM!$GW$6:$GW$73,CONCATENATE($C71,FU$3),Report_BM!$GQ$6:$GQ$73)</f>
        <v>0</v>
      </c>
      <c r="FR71" s="39">
        <f>SUMIF(Report_BM!$GW$6:$GW$73,CONCATENATE($C71,FU$3),Report_BM!$GR$6:$GR$73)</f>
        <v>0</v>
      </c>
      <c r="FS71" s="46">
        <f>SUMIF(Master_Data!$AK$152:$AK$864,CONCATENATE($C71,FU$3),Master_Data!$T$152:$T$864)</f>
        <v>0</v>
      </c>
      <c r="FT71" s="45">
        <f>SUMIF(Report_BM!GW$6:GW$73,CONCATENATE($C71,FU$3),Report_BM!GT$6:GT$73)</f>
        <v>0</v>
      </c>
      <c r="FU71" s="39">
        <f>SUMIF(Report_BM!GW$6:GW$73,CONCATENATE($C71,FU$3),Report_BM!GU$6:GU$73)</f>
        <v>0</v>
      </c>
      <c r="FV71" s="103"/>
      <c r="FW71" s="104"/>
      <c r="FX71" s="104"/>
      <c r="FY71" s="104"/>
      <c r="FZ71" s="104"/>
      <c r="GA71" s="104"/>
    </row>
    <row r="72" spans="1:183" s="40" customFormat="1" ht="14.1" customHeight="1">
      <c r="A72" s="9">
        <v>66</v>
      </c>
      <c r="B72" s="328" t="s">
        <v>341</v>
      </c>
      <c r="C72" s="323" t="s">
        <v>218</v>
      </c>
      <c r="D72" s="45">
        <f>SUMIF(Report_BM!$B$6:$B$73,CONCATENATE($C72,L$3),Report_BM!$E$6:$E$73)+SUMIF(Report_BM!$B$6:$B$73,CONCATENATE($C72,L$3),Report_BM!$H$6:$H$73)</f>
        <v>0</v>
      </c>
      <c r="E72" s="276">
        <f>SUMIF(Report_BM!$B$6:$B$73,CONCATENATE($C72,L$3),Report_BM!$F$6:$F$73)+SUMIF(Report_BM!$B$6:$B$73,CONCATENATE($C72,L$3),Report_BM!$I$6:$I$73)</f>
        <v>8223100</v>
      </c>
      <c r="F72" s="45">
        <f>SUMIF(Report_BM!$B$6:$B$73,CONCATENATE($C72,L$3),Report_BM!$K$6:$K$73)</f>
        <v>0</v>
      </c>
      <c r="G72" s="39">
        <f>SUMIF(Report_BM!$B$6:$B$73,CONCATENATE($C72,$L$3),Report_BM!$L$6:$L$73)</f>
        <v>0</v>
      </c>
      <c r="H72" s="39">
        <f>SUMIF(Report_BM!$B$6:$B$73,CONCATENATE($C72,$L$3),Report_BM!$M$6:$M$73)</f>
        <v>0</v>
      </c>
      <c r="I72" s="39">
        <f>SUMIF(Report_BM!$B$6:$B$73,CONCATENATE($C72,$L$3),Report_BM!$N$6:$N$73)</f>
        <v>0</v>
      </c>
      <c r="J72" s="46">
        <f>SUMIF(Report_BM!$B$6:$B$73,CONCATENATE($C72,$L$3),Report_BM!$O$6:$O$73)</f>
        <v>0</v>
      </c>
      <c r="K72" s="45">
        <f>SUMIF(Report_BM!$B$6:$B$73,CONCATENATE($C72,$L$3),Report_BM!$P$6:$P$73)</f>
        <v>0</v>
      </c>
      <c r="L72" s="39">
        <f>SUMIF(Report_BM!$B$6:$B$73,CONCATENATE($C72,$L$3),Report_BM!$Q$6:$Q$73)</f>
        <v>8223100</v>
      </c>
      <c r="M72" s="103"/>
      <c r="N72" s="104"/>
      <c r="O72" s="104"/>
      <c r="P72" s="104"/>
      <c r="Q72" s="104"/>
      <c r="R72" s="104"/>
      <c r="S72" s="45">
        <f>SUMIF(Report_BM!$AI$8:$AI$72,CONCATENATE($C72,AA$3),Report_BM!$U$8:$U$72)+SUMIF(Report_BM!$AI$8:$AI$72,CONCATENATE($C72,AA$3),Report_BM!$X$8:$X$72)</f>
        <v>0</v>
      </c>
      <c r="T72" s="276">
        <f>SUMIF(Report_BM!$AI$8:$AI$72,CONCATENATE($C72,AA$3),Report_BM!$V$8:$V$72)+SUMIF(Report_BM!$AI$8:$AI$72,CONCATENATE($C72,AA$3),Report_BM!$Y$8:$Y$72)</f>
        <v>8223100</v>
      </c>
      <c r="U72" s="45">
        <f>SUMIF(Report_BM!$AI$8:$AI$72,CONCATENATE($C72,AA$3),Report_BM!$AA$8:$AB$72)</f>
        <v>0</v>
      </c>
      <c r="V72" s="39">
        <f>SUMIF(Report_BM!$AI$8:$AI$72,CONCATENATE($C72,$AA$3),Report_BM!$AB$8:$AB$72)</f>
        <v>0</v>
      </c>
      <c r="W72" s="39">
        <f>SUMIF(Report_BM!$AI$8:$AI$72,CONCATENATE($C72,$AA$3),Report_BM!$AC$8:$AC$72)</f>
        <v>0</v>
      </c>
      <c r="X72" s="39">
        <f ca="1">SUMIF(Report_BM!$AI$7:$AI$73,CONCATENATE($C72,$AA$3),Report_BM!$AD$7:$AD$73)</f>
        <v>0</v>
      </c>
      <c r="Y72" s="46">
        <f>SUMIF(Master_Data!$AK$152:$AK$864,CONCATENATE($C72,AA$3),Master_Data!$T$152:$T$864)</f>
        <v>0</v>
      </c>
      <c r="Z72" s="45">
        <f>SUMIF(Report_BM!$AI$8:$AI$72,CONCATENATE($C72,$AA$3),Report_BM!$AF$8:$AF$72)</f>
        <v>0</v>
      </c>
      <c r="AA72" s="39">
        <f ca="1">SUMIF(Report_BM!$AI$8:$AI$72,CONCATENATE($C72,$AA$3),Report_BM!$AG$8:$AG$72)</f>
        <v>8223100</v>
      </c>
      <c r="AB72" s="103"/>
      <c r="AC72" s="104"/>
      <c r="AD72" s="104"/>
      <c r="AE72" s="104"/>
      <c r="AF72" s="104"/>
      <c r="AG72" s="104"/>
      <c r="AH72" s="45">
        <f>SUMIF(Report_BM!$AZ$5:$AZ$72,CONCATENATE($C72,AP$3),Report_BM!$AL$5:$AL$72)+SUMIF(Report_BM!$AZ$5:$AZ$72,CONCATENATE($C72,AP$3),Report_BM!$AO$5:$AO$72)</f>
        <v>0</v>
      </c>
      <c r="AI72" s="46">
        <f ca="1">SUMIF(Report_BM!$AZ$5:$AZ$72,CONCATENATE($C72,$AP$3),Report_BM!$AM$5:$AM$72)+SUMIF(Report_BM!$AZ$5:$AZ$72,CONCATENATE($C72,$AP$3),Report_BM!$AP$5:$AP$72)</f>
        <v>8223100</v>
      </c>
      <c r="AJ72" s="45">
        <f>SUMIF(Report_BM!$AZ$5:$AZ$72,CONCATENATE($C72,$AP$3),Report_BM!$AR$5:$AR$72)</f>
        <v>0</v>
      </c>
      <c r="AK72" s="39">
        <f>SUMIF(Report_BM!$AZ$5:$AZ$72,CONCATENATE($C72,$AP$3),Report_BM!$AS$5:$AS$72)</f>
        <v>0</v>
      </c>
      <c r="AL72" s="39">
        <f>SUMIF(Report_BM!$AZ$5:$AZ$72,CONCATENATE($C72,$AP$3),Report_BM!$AT$5:$AT$72)</f>
        <v>0</v>
      </c>
      <c r="AM72" s="39">
        <f ca="1">SUMIF(Report_BM!$AZ$5:$AZ$72,CONCATENATE($C72,$AP$3),Report_BM!$AU$5:$AU$72)</f>
        <v>0</v>
      </c>
      <c r="AN72" s="46">
        <f>SUMIF(Master_Data!$AK$152:$AK$915,CONCATENATE($C72,AP$3),Master_Data!$T$152:$T$915)</f>
        <v>0</v>
      </c>
      <c r="AO72" s="45">
        <f>SUMIF(Report_BM!$AZ$5:$AZ$72,CONCATENATE($C72,$AP$3),Report_BM!$AW$5:$AW$72)</f>
        <v>0</v>
      </c>
      <c r="AP72" s="39">
        <f ca="1">SUMIF(Report_BM!$AZ$5:$AZ$72,CONCATENATE($C72,$AP$3),Report_BM!$AX$5:$AX$72)</f>
        <v>8223100</v>
      </c>
      <c r="AQ72" s="103"/>
      <c r="AR72" s="104"/>
      <c r="AS72" s="104"/>
      <c r="AT72" s="104"/>
      <c r="AU72" s="104"/>
      <c r="AV72" s="104"/>
      <c r="AW72" s="45">
        <f>SUMIF(Report_BM!$BQ$6:$BQ$73,CONCATENATE($C72,BE$3),Report_BM!$BC$6:$BC$73)+SUMIF(Report_BM!$BQ$6:$BQ$73,CONCATENATE($C72,BE$3),Report_BM!$BF$6:$BF$73)</f>
        <v>0</v>
      </c>
      <c r="AX72" s="46">
        <f ca="1">SUMIF(Report_BM!$BQ$6:$BQ$73,CONCATENATE($C72,$BE$3),Report_BM!$BD$6:$BD$73)+SUMIF(Report_BM!$BQ$6:$BQ$73,CONCATENATE($C72,$BE$3),Report_BM!$BG$6:$BG$73)</f>
        <v>8223100</v>
      </c>
      <c r="AY72" s="45">
        <f>SUMIF(Report_BM!$BQ$6:$BQ$73,CONCATENATE($C72,BE$3),Report_BM!$BI$6:$BI$73)</f>
        <v>0</v>
      </c>
      <c r="AZ72" s="39">
        <f>SUMIF(Report_BM!$BQ$6:$BQ$73,CONCATENATE($C72,BE$3),Report_BM!$BJ$6:$BJ$73)</f>
        <v>0</v>
      </c>
      <c r="BA72" s="39">
        <f>SUMIF(Report_BM!$BQ$6:$BQ$73,CONCATENATE($C72,BE$3),Report_BM!$BK$6:$BK$73)</f>
        <v>0</v>
      </c>
      <c r="BB72" s="39">
        <f>SUMIF(Report_BM!$BQ$6:$BQ$73,CONCATENATE($C72,BE$3),Report_BM!$BL$6:$BL$73)</f>
        <v>0</v>
      </c>
      <c r="BC72" s="46">
        <f>SUMIF(Master_Data!$AK$152:$AK$864,CONCATENATE($C72,BE$3),Master_Data!$T$152:$T$864)</f>
        <v>0</v>
      </c>
      <c r="BD72" s="45">
        <f>SUMIF(Report_BM!$BQ$6:$BQ$73,CONCATENATE($C72,BE$3),Report_BM!$BN$6:$BN$73)</f>
        <v>0</v>
      </c>
      <c r="BE72" s="39">
        <f ca="1">SUMIF(Report_BM!$BQ$6:$BQ$73,CONCATENATE($C72,BE$3),Report_BM!$BO$6:$BO$73)</f>
        <v>8223100</v>
      </c>
      <c r="BF72" s="103"/>
      <c r="BG72" s="104"/>
      <c r="BH72" s="104"/>
      <c r="BI72" s="104"/>
      <c r="BJ72" s="104"/>
      <c r="BK72" s="104"/>
      <c r="BL72" s="45">
        <f>SUMIF(Report_BM!$CH$6:$CH$73,CONCATENATE($C72,BT$3),Report_BM!$BT$6:$BT$73)+SUMIF(Report_BM!$CH$6:$CH$73,CONCATENATE($C72,BT$3),Report_BM!$BW$6:$BW$73)</f>
        <v>0</v>
      </c>
      <c r="BM72" s="46">
        <f ca="1">SUMIF(Report_BM!$CH$6:$CH$73,CONCATENATE($C72,$BT$3),Report_BM!$BU$6:$BU$73)+SUMIF(Report_BM!$CH$6:$CH$73,CONCATENATE($C72,$BT$3),Report_BM!$BX$6:$BX$73)</f>
        <v>8223100</v>
      </c>
      <c r="BN72" s="45">
        <f>SUMIF(Report_BM!$CH$6:$CH$73,CONCATENATE($C72,BT$3),Report_BM!$BZ$6:$BZ$73)</f>
        <v>0</v>
      </c>
      <c r="BO72" s="39">
        <f>SUMIF(Report_BM!$CH$6:$CH$73,CONCATENATE($C72,BT$3),Report_BM!$CA$6:$CA$73)</f>
        <v>0</v>
      </c>
      <c r="BP72" s="39">
        <f>SUMIF(Report_BM!$CH$6:$CH$73,CONCATENATE($C72,BT$3),Report_BM!$CB$6:$CB$73)</f>
        <v>0</v>
      </c>
      <c r="BQ72" s="39">
        <f>SUMIF(Report_BM!$CH$6:$CH$73,CONCATENATE($C72,BT$3),Report_BM!$CC$6:$CC$73)</f>
        <v>0</v>
      </c>
      <c r="BR72" s="46">
        <f>SUMIF(Master_Data!$AK$152:$AK$864,CONCATENATE($C72,BT$3),Master_Data!$T$152:$T$864)</f>
        <v>0</v>
      </c>
      <c r="BS72" s="45">
        <f>SUMIF(Report_BM!$CH$6:$CH$73,CONCATENATE($C72,BT$3),Report_BM!$CE$6:$CE$73)</f>
        <v>0</v>
      </c>
      <c r="BT72" s="39">
        <f ca="1">SUMIF(Report_BM!$CH$6:$CH$73,CONCATENATE($C72,BT$3),Report_BM!$CF$6:$CF$73)</f>
        <v>8223100</v>
      </c>
      <c r="BU72" s="103"/>
      <c r="BV72" s="104"/>
      <c r="BW72" s="104"/>
      <c r="BX72" s="104"/>
      <c r="BY72" s="104"/>
      <c r="BZ72" s="104"/>
      <c r="CA72" s="45">
        <f>SUMIF(Report_BM!$CY$6:$CY$73,CONCATENATE($C72,CI$3),Report_BM!$CK$6:$CK$73)+SUMIF(Report_BM!$CY$6:$CY$73,CONCATENATE($C72,CI$3),Report_BM!$CN$6:$CN$73)</f>
        <v>0</v>
      </c>
      <c r="CB72" s="46">
        <f ca="1">SUMIF(Report_BM!$CY$6:$CY$73,CONCATENATE($C72,$CI$3),Report_BM!$CL$6:$CL$73)+SUMIF(Report_BM!$CY$6:$CY$73,CONCATENATE($C72,$CI$3),Report_BM!$CO$6:$CO$73)</f>
        <v>8223100</v>
      </c>
      <c r="CC72" s="45">
        <f>SUMIF(Report_BM!$CY$6:$CY$73,CONCATENATE($C72,CI$3),Report_BM!$CQ$6:$CQ$73)</f>
        <v>0</v>
      </c>
      <c r="CD72" s="39">
        <f>SUMIF(Report_BM!$CY$6:$CY$73,CONCATENATE($C72,CI$3),Report_BM!$CR$6:$CR$73)</f>
        <v>0</v>
      </c>
      <c r="CE72" s="39">
        <f>SUMIF(Report_BM!$CY$6:$CY$73,CONCATENATE($C72,CI$3),Report_BM!$CS$6:$CS$73)</f>
        <v>0</v>
      </c>
      <c r="CF72" s="39">
        <f ca="1">SUMIF(Report_BM!$CY$6:$CY$73,CONCATENATE($C72,CI$3),Report_BM!$CT$6:$CT$73)</f>
        <v>0</v>
      </c>
      <c r="CG72" s="46">
        <f>SUMIF(Report_BM!$CY$6:$CY$73,CONCATENATE($C72,CI$3),Report_BM!$CU$6:$CU$73)</f>
        <v>0</v>
      </c>
      <c r="CH72" s="45">
        <f>SUMIF(Report_BM!$CY$6:$CY$73,CONCATENATE($C72,CI$3),Report_BM!$CV$6:$CV$73)</f>
        <v>0</v>
      </c>
      <c r="CI72" s="39">
        <f ca="1">SUMIF(Report_BM!$CY$6:$CY$73,CONCATENATE($C72,CI$3),Report_BM!$CW$6:$CW$73)</f>
        <v>8223100</v>
      </c>
      <c r="CJ72" s="103"/>
      <c r="CK72" s="104"/>
      <c r="CL72" s="104"/>
      <c r="CM72" s="104"/>
      <c r="CN72" s="104"/>
      <c r="CO72" s="104"/>
      <c r="CP72" s="45">
        <f>SUMIF(Report_BM!$DP$6:$DP$73,CONCATENATE($C72,CX$3),Report_BM!$DB$6:$DB$73)+SUMIF(Report_BM!$DP$6:$DP$73,CONCATENATE($C72,CX$3),Report_BM!$DE$6:$DE$73)</f>
        <v>0</v>
      </c>
      <c r="CQ72" s="46">
        <f ca="1">SUMIF(Report_BM!$DP$6:$DP$73,CONCATENATE($C72,$CX$3),Report_BM!$DC$6:$DC$73)+SUMIF(Report_BM!$DP$6:$DP$73,CONCATENATE($C72,$CX$3),Report_BM!$DF$6:$DF$73)</f>
        <v>8223100</v>
      </c>
      <c r="CR72" s="45">
        <f>SUMIF(Report_BM!$DP$6:$DP$73,CONCATENATE($C72,CX$3),Report_BM!$DH$6:$DH$73)</f>
        <v>0</v>
      </c>
      <c r="CS72" s="39">
        <f>SUMIF(Report_BM!$DP$6:$DP$73,CONCATENATE($C72,CX$3),Report_BM!$DI$6:$DI$73)</f>
        <v>0</v>
      </c>
      <c r="CT72" s="39">
        <f>SUMIF(Report_BM!$DP$6:$DP$73,CONCATENATE($C72,CX$3),Report_BM!$DJ$6:$DJ$73)</f>
        <v>0</v>
      </c>
      <c r="CU72" s="39">
        <f>SUMIF(Report_BM!$DP$6:$DP$73,CONCATENATE($C72,CX$3),Report_BM!$DK$6:$DK$73)</f>
        <v>0</v>
      </c>
      <c r="CV72" s="46">
        <f>SUMIF(Master_Data!$AK$152:$AK$864,CONCATENATE($C72,CX$3),Master_Data!$T$152:$T$864)</f>
        <v>0</v>
      </c>
      <c r="CW72" s="45">
        <f>SUMIF(Report_BM!$DP$6:$DP$73,CONCATENATE($C72,CX$3),Report_BM!$DM$6:$DM$73)</f>
        <v>0</v>
      </c>
      <c r="CX72" s="39">
        <f ca="1">SUMIF(Report_BM!$DP$6:$DP$73,CONCATENATE($C72,CX$3),Report_BM!$DN$6:$DN$73)</f>
        <v>8223100</v>
      </c>
      <c r="CY72" s="103"/>
      <c r="CZ72" s="104"/>
      <c r="DA72" s="104"/>
      <c r="DB72" s="104"/>
      <c r="DC72" s="104"/>
      <c r="DD72" s="104"/>
      <c r="DE72" s="45">
        <f>SUMIF(Report_BM!$EG$6:$EG$73,CONCATENATE($C72,DM$3),Report_BM!$DS$6:$DS$73)+SUMIF(Report_BM!$EG$6:$EG$73,CONCATENATE($C72,DM$3),Report_BM!$DV$6:$DV$73)</f>
        <v>0</v>
      </c>
      <c r="DF72" s="46">
        <f ca="1">SUMIF(Report_BM!$EG$6:$EG$73,CONCATENATE($C72,$DM$3),Report_BM!$DT$6:$DT$73)+SUMIF(Report_BM!$EG$6:$EG$73,CONCATENATE($C72,$DM$3),Report_BM!$DW$6:$DW$73)</f>
        <v>8223100</v>
      </c>
      <c r="DG72" s="45">
        <f>SUMIF(Report_BM!$EG$6:$EG$73,CONCATENATE($C72,DM$3),Report_BM!$DY$6:$DY$73)</f>
        <v>0</v>
      </c>
      <c r="DH72" s="39">
        <f>SUMIF(Report_BM!EG$6:EG$73,CONCATENATE($C72,DM$3),Report_BM!DZ$6:DZ$73)</f>
        <v>0</v>
      </c>
      <c r="DI72" s="39">
        <f>SUMIF(Report_BM!EG$6:EG$73,CONCATENATE($C72,DM$3),Report_BM!$EA$6:$EA$73)</f>
        <v>0</v>
      </c>
      <c r="DJ72" s="39">
        <f>SUMIF(Report_BM!EG$6:EG$73,CONCATENATE($C72,DM$3),Report_BM!$EB$6:$EB$73)</f>
        <v>0</v>
      </c>
      <c r="DK72" s="46">
        <f>SUMIF(Master_Data!$AK$152:$AK$864,CONCATENATE($C72,DM$3),Master_Data!$T$152:$T$864)</f>
        <v>0</v>
      </c>
      <c r="DL72" s="45">
        <f>SUMIF(Report_BM!EG$6:EG$73,CONCATENATE($C72,DM$3),Report_BM!ED$6:ED$73)</f>
        <v>0</v>
      </c>
      <c r="DM72" s="39">
        <f ca="1">SUMIF(Report_BM!EG$6:EG$73,CONCATENATE($C72,DM$3),Report_BM!EE$6:EE$73)</f>
        <v>8223100</v>
      </c>
      <c r="DN72" s="103"/>
      <c r="DO72" s="104"/>
      <c r="DP72" s="104"/>
      <c r="DQ72" s="104"/>
      <c r="DR72" s="104"/>
      <c r="DS72" s="104"/>
      <c r="DT72" s="45">
        <f>SUMIF(Report_BM!$EX$6:$EX$73,CONCATENATE($C72,EB$3),Report_BM!$EJ$6:$EJ$73)+SUMIF(Report_BM!$EX$6:$EX$73,CONCATENATE($C72,EB$3),Report_BM!$EM$6:$EM$73)</f>
        <v>0</v>
      </c>
      <c r="DU72" s="46">
        <f ca="1">SUMIF(Report_BM!$EX$6:$EX$73,CONCATENATE($C72,$EB$3),Report_BM!$EK$6:$EK$73)+SUMIF(Report_BM!$EX$6:$EX$73,CONCATENATE($C72,$EB$3),Report_BM!$EN$6:$EN$73)</f>
        <v>8223100</v>
      </c>
      <c r="DV72" s="45">
        <f>SUMIF(Report_BM!$EX$6:$EX$73,CONCATENATE($C72,EB$3),Report_BM!$EP$6:$EP$73)</f>
        <v>0</v>
      </c>
      <c r="DW72" s="39">
        <f>SUMIF(Report_BM!$EX$6:$EX$73,CONCATENATE($C72,EB$3),Report_BM!$EQ$6:$EQ$73)</f>
        <v>0</v>
      </c>
      <c r="DX72" s="39">
        <f>SUMIF(Report_BM!$EX$6:$EX$73,CONCATENATE($C72,EB$3),Report_BM!$ER$6:$ER$73)</f>
        <v>0</v>
      </c>
      <c r="DY72" s="39">
        <f>SUMIF(Report_BM!$EX$6:$EX$73,CONCATENATE($C72,EB$3),Report_BM!$ES$6:$ES$73)</f>
        <v>0</v>
      </c>
      <c r="DZ72" s="46">
        <f>SUMIF(Master_Data!$AK$152:$AK$864,CONCATENATE($C72,EB$3),Master_Data!$T$152:$T$864)</f>
        <v>0</v>
      </c>
      <c r="EA72" s="45">
        <f>SUMIF(Report_BM!EX$6:EX$73,CONCATENATE($C72,EB$3),Report_BM!EU$6:EU$73)</f>
        <v>0</v>
      </c>
      <c r="EB72" s="39">
        <f>SUMIF(Report_BM!EX$6:EX$73,CONCATENATE($C72,EB$3),Report_BM!EV$6:EV$73)</f>
        <v>0</v>
      </c>
      <c r="EC72" s="103"/>
      <c r="ED72" s="104"/>
      <c r="EE72" s="104"/>
      <c r="EF72" s="104"/>
      <c r="EG72" s="104"/>
      <c r="EH72" s="104"/>
      <c r="EI72" s="45">
        <f>SUMIF(Report_BM!$FO$6:$FO$73,CONCATENATE($C72,EQ$3),Report_BM!$FA$6:$FA$73)+SUMIF(Report_BM!$FO$6:$FO$73,CONCATENATE($C72,EQ$3),Report_BM!$FD$6:$FD$73)</f>
        <v>0</v>
      </c>
      <c r="EJ72" s="46">
        <f>SUMIF(Report_BM!$FO$6:$FO$73,CONCATENATE($C72,$EQ$3),Report_BM!$FB$6:$FB$73)+SUMIF(Report_BM!$FO$6:$FO$73,CONCATENATE($C72,$EQ$3),Report_BM!$FE$6:$FE$73)</f>
        <v>0</v>
      </c>
      <c r="EK72" s="45">
        <f>SUMIF(Report_BM!$FO$6:$FO$73,CONCATENATE($C72,EQ$3),Report_BM!$FG$6:$FG$73)</f>
        <v>0</v>
      </c>
      <c r="EL72" s="39">
        <f>SUMIF(Report_BM!$FO$6:$FO$73,CONCATENATE($C72,EQ$3),Report_BM!$FH$6:$FH$73)</f>
        <v>0</v>
      </c>
      <c r="EM72" s="39">
        <f>SUMIF(Report_BM!$FO$6:$FO$73,CONCATENATE($C72,EQ$3),Report_BM!$FI$6:$FI$73)</f>
        <v>0</v>
      </c>
      <c r="EN72" s="39">
        <f>SUMIF(Report_BM!$FO$6:$FO$73,CONCATENATE($C72,EQ$3),Report_BM!$FJ$6:$FJ$73)</f>
        <v>0</v>
      </c>
      <c r="EO72" s="46">
        <f>SUMIF(Master_Data!$AK$152:$AK$864,CONCATENATE($C72,EQ$3),Master_Data!$T$152:$T$864)</f>
        <v>0</v>
      </c>
      <c r="EP72" s="45">
        <f>SUMIF(Report_BM!FO$6:FO$73,CONCATENATE($C72,EQ$3),Report_BM!FL$6:FL$73)</f>
        <v>0</v>
      </c>
      <c r="EQ72" s="39">
        <f>SUMIF(Report_BM!FO$6:FO$73,CONCATENATE($C72,EQ$3),Report_BM!FM$6:FM$73)</f>
        <v>0</v>
      </c>
      <c r="ER72" s="103"/>
      <c r="ES72" s="104"/>
      <c r="ET72" s="104"/>
      <c r="EU72" s="104"/>
      <c r="EV72" s="104"/>
      <c r="EW72" s="104"/>
      <c r="EX72" s="45">
        <f>SUMIF(Report_BM!$GF$6:$GF$73,CONCATENATE($C72,FF$3),Report_BM!$FR$6:$FR$73)+SUMIF(Report_BM!$GF$6:$GF$73,CONCATENATE($C72,FF$3),Report_BM!$FU$6:$FU$73)</f>
        <v>0</v>
      </c>
      <c r="EY72" s="46">
        <f>SUMIF(Report_BM!$GF$6:$GF$73,CONCATENATE($C72,$FF$3),Report_BM!$FS$6:$FS$73)+SUMIF(Report_BM!$GF$6:$GF$73,CONCATENATE($C72,$FF$3),Report_BM!$FV$6:$FV$73)</f>
        <v>0</v>
      </c>
      <c r="EZ72" s="45">
        <f>SUMIF(Report_BM!$GF$6:$GF$73,CONCATENATE($C72,FF$3),Report_BM!$FX$6:$FX$73)</f>
        <v>0</v>
      </c>
      <c r="FA72" s="39">
        <f>SUMIF(Report_BM!$GF$6:$GF$73,CONCATENATE($C72,FF$3),Report_BM!$FY$6:$FY$73)</f>
        <v>0</v>
      </c>
      <c r="FB72" s="39">
        <f>SUMIF(Report_BM!$GF$6:$GF$73,CONCATENATE($C72,FF$3),Report_BM!$FZ$6:$FZ$73)</f>
        <v>0</v>
      </c>
      <c r="FC72" s="39">
        <f>SUMIF(Report_BM!$GF$6:$GF$73,CONCATENATE($C72,FF$3),Report_BM!$GA$6:$GA$73)</f>
        <v>0</v>
      </c>
      <c r="FD72" s="46">
        <f>SUMIF(Master_Data!$AK$152:$AK$864,CONCATENATE($C72,FF$3),Master_Data!$T$152:$T$864)</f>
        <v>0</v>
      </c>
      <c r="FE72" s="45">
        <f>SUMIF(Report_BM!GF$6:GF$73,CONCATENATE($C72,FF$3),Report_BM!GC$6:GC$73)</f>
        <v>0</v>
      </c>
      <c r="FF72" s="39">
        <f>SUMIF(Report_BM!GF$6:GF$73,CONCATENATE($C72,FF$3),Report_BM!GD$6:GD$73)</f>
        <v>0</v>
      </c>
      <c r="FG72" s="103"/>
      <c r="FH72" s="104"/>
      <c r="FI72" s="104"/>
      <c r="FJ72" s="104"/>
      <c r="FK72" s="104"/>
      <c r="FL72" s="104"/>
      <c r="FM72" s="45">
        <f>SUMIF(Report_BM!$GW$6:$GW$73,CONCATENATE($C72,FU$3),Report_BM!$GI$6:$GI$73)+SUMIF(Report_BM!$GW$6:$GW$73,CONCATENATE($C72,FU$3),Report_BM!$GL$6:$GL$73)</f>
        <v>0</v>
      </c>
      <c r="FN72" s="46">
        <f>SUMIF(Report_BM!$GW$6:$GW$73,CONCATENATE($C72,$FU$3),Report_BM!$GJ$6:$GJ$73)+SUMIF(Report_BM!$GW$6:$GW$73,CONCATENATE($C72,$FU$3),Report_BM!$GM$6:$GM$73)</f>
        <v>0</v>
      </c>
      <c r="FO72" s="45">
        <f>SUMIF(Report_BM!$GW$6:$GW$73,CONCATENATE($C72,FU$3),Report_BM!$GO$6:$GO$73)</f>
        <v>0</v>
      </c>
      <c r="FP72" s="39">
        <f>SUMIF(Report_BM!$GW$6:$GW$73,CONCATENATE($C72,FU$3),Report_BM!$GP$6:$GP$73)</f>
        <v>0</v>
      </c>
      <c r="FQ72" s="39">
        <f>SUMIF(Report_BM!$GW$6:$GW$73,CONCATENATE($C72,FU$3),Report_BM!$GQ$6:$GQ$73)</f>
        <v>0</v>
      </c>
      <c r="FR72" s="39">
        <f>SUMIF(Report_BM!$GW$6:$GW$73,CONCATENATE($C72,FU$3),Report_BM!$GR$6:$GR$73)</f>
        <v>0</v>
      </c>
      <c r="FS72" s="46">
        <f>SUMIF(Master_Data!$AK$152:$AK$864,CONCATENATE($C72,FU$3),Master_Data!$T$152:$T$864)</f>
        <v>0</v>
      </c>
      <c r="FT72" s="45">
        <f>SUMIF(Report_BM!GW$6:GW$73,CONCATENATE($C72,FU$3),Report_BM!GT$6:GT$73)</f>
        <v>0</v>
      </c>
      <c r="FU72" s="39">
        <f>SUMIF(Report_BM!GW$6:GW$73,CONCATENATE($C72,FU$3),Report_BM!GU$6:GU$73)</f>
        <v>0</v>
      </c>
      <c r="FV72" s="103"/>
      <c r="FW72" s="104"/>
      <c r="FX72" s="104"/>
      <c r="FY72" s="104"/>
      <c r="FZ72" s="104"/>
      <c r="GA72" s="104"/>
    </row>
    <row r="73" spans="1:183" s="40" customFormat="1" ht="14.1" customHeight="1">
      <c r="A73" s="9">
        <v>67</v>
      </c>
      <c r="B73" s="328" t="s">
        <v>342</v>
      </c>
      <c r="C73" s="323" t="s">
        <v>219</v>
      </c>
      <c r="D73" s="45">
        <f>SUMIF(Report_BM!$B$6:$B$73,CONCATENATE($C73,L$3),Report_BM!$E$6:$E$73)+SUMIF(Report_BM!$B$6:$B$73,CONCATENATE($C73,L$3),Report_BM!$H$6:$H$73)</f>
        <v>0</v>
      </c>
      <c r="E73" s="276">
        <f>SUMIF(Report_BM!$B$6:$B$73,CONCATENATE($C73,L$3),Report_BM!$F$6:$F$73)+SUMIF(Report_BM!$B$6:$B$73,CONCATENATE($C73,L$3),Report_BM!$I$6:$I$73)</f>
        <v>5000000</v>
      </c>
      <c r="F73" s="45">
        <f>SUMIF(Report_BM!$B$6:$B$73,CONCATENATE($C73,L$3),Report_BM!$K$6:$K$73)</f>
        <v>0</v>
      </c>
      <c r="G73" s="39">
        <f>SUMIF(Report_BM!$B$6:$B$73,CONCATENATE($C73,$L$3),Report_BM!$L$6:$L$73)</f>
        <v>0</v>
      </c>
      <c r="H73" s="39">
        <f>SUMIF(Report_BM!$B$6:$B$73,CONCATENATE($C73,$L$3),Report_BM!$M$6:$M$73)</f>
        <v>0</v>
      </c>
      <c r="I73" s="39">
        <f>SUMIF(Report_BM!$B$6:$B$73,CONCATENATE($C73,$L$3),Report_BM!$N$6:$N$73)</f>
        <v>0</v>
      </c>
      <c r="J73" s="46">
        <f>SUMIF(Report_BM!$B$6:$B$73,CONCATENATE($C73,$L$3),Report_BM!$O$6:$O$73)</f>
        <v>0</v>
      </c>
      <c r="K73" s="45">
        <f>SUMIF(Report_BM!$B$6:$B$73,CONCATENATE($C73,$L$3),Report_BM!$P$6:$P$73)</f>
        <v>0</v>
      </c>
      <c r="L73" s="39">
        <f>SUMIF(Report_BM!$B$6:$B$73,CONCATENATE($C73,$L$3),Report_BM!$Q$6:$Q$73)</f>
        <v>5000000</v>
      </c>
      <c r="M73" s="103"/>
      <c r="N73" s="104"/>
      <c r="O73" s="104"/>
      <c r="P73" s="104"/>
      <c r="Q73" s="104"/>
      <c r="R73" s="104"/>
      <c r="S73" s="45">
        <f>SUMIF(Report_BM!$AI$8:$AI$72,CONCATENATE($C73,AA$3),Report_BM!$U$8:$U$72)+SUMIF(Report_BM!$AI$8:$AI$72,CONCATENATE($C73,AA$3),Report_BM!$X$8:$X$72)</f>
        <v>0</v>
      </c>
      <c r="T73" s="276">
        <f>SUMIF(Report_BM!$AI$8:$AI$72,CONCATENATE($C73,AA$3),Report_BM!$V$8:$V$72)+SUMIF(Report_BM!$AI$8:$AI$72,CONCATENATE($C73,AA$3),Report_BM!$Y$8:$Y$72)</f>
        <v>5000000</v>
      </c>
      <c r="U73" s="45">
        <f>SUMIF(Report_BM!$AI$8:$AI$72,CONCATENATE($C73,AA$3),Report_BM!$AA$8:$AB$72)</f>
        <v>0</v>
      </c>
      <c r="V73" s="39">
        <f>SUMIF(Report_BM!$AI$8:$AI$72,CONCATENATE($C73,$AA$3),Report_BM!$AB$8:$AB$72)</f>
        <v>0</v>
      </c>
      <c r="W73" s="39">
        <f>SUMIF(Report_BM!$AI$8:$AI$72,CONCATENATE($C73,$AA$3),Report_BM!$AC$8:$AC$72)</f>
        <v>0</v>
      </c>
      <c r="X73" s="39">
        <f ca="1">SUMIF(Report_BM!$AI$7:$AI$73,CONCATENATE($C73,$AA$3),Report_BM!$AD$7:$AD$73)</f>
        <v>0</v>
      </c>
      <c r="Y73" s="46">
        <f>SUMIF(Master_Data!$AK$152:$AK$864,CONCATENATE($C73,AA$3),Master_Data!$T$152:$T$864)</f>
        <v>0</v>
      </c>
      <c r="Z73" s="45">
        <f>SUMIF(Report_BM!$AI$8:$AI$72,CONCATENATE($C73,$AA$3),Report_BM!$AF$8:$AF$72)</f>
        <v>0</v>
      </c>
      <c r="AA73" s="39">
        <f ca="1">SUMIF(Report_BM!$AI$8:$AI$72,CONCATENATE($C73,$AA$3),Report_BM!$AG$8:$AG$72)</f>
        <v>5000000</v>
      </c>
      <c r="AB73" s="103"/>
      <c r="AC73" s="104"/>
      <c r="AD73" s="104"/>
      <c r="AE73" s="104"/>
      <c r="AF73" s="104"/>
      <c r="AG73" s="104"/>
      <c r="AH73" s="45">
        <f>SUMIF(Report_BM!$AZ$5:$AZ$72,CONCATENATE($C73,AP$3),Report_BM!$AL$5:$AL$72)+SUMIF(Report_BM!$AZ$5:$AZ$72,CONCATENATE($C73,AP$3),Report_BM!$AO$5:$AO$72)</f>
        <v>0</v>
      </c>
      <c r="AI73" s="46">
        <f ca="1">SUMIF(Report_BM!$AZ$5:$AZ$72,CONCATENATE($C73,$AP$3),Report_BM!$AM$5:$AM$72)+SUMIF(Report_BM!$AZ$5:$AZ$72,CONCATENATE($C73,$AP$3),Report_BM!$AP$5:$AP$72)</f>
        <v>5000000</v>
      </c>
      <c r="AJ73" s="45">
        <f>SUMIF(Report_BM!$AZ$5:$AZ$72,CONCATENATE($C73,$AP$3),Report_BM!$AR$5:$AR$72)</f>
        <v>0</v>
      </c>
      <c r="AK73" s="39">
        <f>SUMIF(Report_BM!$AZ$5:$AZ$72,CONCATENATE($C73,$AP$3),Report_BM!$AS$5:$AS$72)</f>
        <v>0</v>
      </c>
      <c r="AL73" s="39">
        <f>SUMIF(Report_BM!$AZ$5:$AZ$72,CONCATENATE($C73,$AP$3),Report_BM!$AT$5:$AT$72)</f>
        <v>0</v>
      </c>
      <c r="AM73" s="39">
        <f ca="1">SUMIF(Report_BM!$AZ$5:$AZ$72,CONCATENATE($C73,$AP$3),Report_BM!$AU$5:$AU$72)</f>
        <v>0</v>
      </c>
      <c r="AN73" s="46">
        <f>SUMIF(Master_Data!$AK$152:$AK$915,CONCATENATE($C73,AP$3),Master_Data!$T$152:$T$915)</f>
        <v>0</v>
      </c>
      <c r="AO73" s="45">
        <f>SUMIF(Report_BM!$AZ$5:$AZ$72,CONCATENATE($C73,$AP$3),Report_BM!$AW$5:$AW$72)</f>
        <v>0</v>
      </c>
      <c r="AP73" s="39">
        <f ca="1">SUMIF(Report_BM!$AZ$5:$AZ$72,CONCATENATE($C73,$AP$3),Report_BM!$AX$5:$AX$72)</f>
        <v>5000000</v>
      </c>
      <c r="AQ73" s="103"/>
      <c r="AR73" s="104"/>
      <c r="AS73" s="104"/>
      <c r="AT73" s="104"/>
      <c r="AU73" s="104"/>
      <c r="AV73" s="104"/>
      <c r="AW73" s="45">
        <f>SUMIF(Report_BM!$BQ$6:$BQ$73,CONCATENATE($C73,BE$3),Report_BM!$BC$6:$BC$73)+SUMIF(Report_BM!$BQ$6:$BQ$73,CONCATENATE($C73,BE$3),Report_BM!$BF$6:$BF$73)</f>
        <v>0</v>
      </c>
      <c r="AX73" s="46">
        <f ca="1">SUMIF(Report_BM!$BQ$6:$BQ$73,CONCATENATE($C73,$BE$3),Report_BM!$BD$6:$BD$73)+SUMIF(Report_BM!$BQ$6:$BQ$73,CONCATENATE($C73,$BE$3),Report_BM!$BG$6:$BG$73)</f>
        <v>5000000</v>
      </c>
      <c r="AY73" s="45">
        <f>SUMIF(Report_BM!$BQ$6:$BQ$73,CONCATENATE($C73,BE$3),Report_BM!$BI$6:$BI$73)</f>
        <v>0</v>
      </c>
      <c r="AZ73" s="39">
        <f>SUMIF(Report_BM!$BQ$6:$BQ$73,CONCATENATE($C73,BE$3),Report_BM!$BJ$6:$BJ$73)</f>
        <v>0</v>
      </c>
      <c r="BA73" s="39">
        <f>SUMIF(Report_BM!$BQ$6:$BQ$73,CONCATENATE($C73,BE$3),Report_BM!$BK$6:$BK$73)</f>
        <v>0</v>
      </c>
      <c r="BB73" s="39">
        <f>SUMIF(Report_BM!$BQ$6:$BQ$73,CONCATENATE($C73,BE$3),Report_BM!$BL$6:$BL$73)</f>
        <v>0</v>
      </c>
      <c r="BC73" s="46">
        <f>SUMIF(Master_Data!$AK$152:$AK$864,CONCATENATE($C73,BE$3),Master_Data!$T$152:$T$864)</f>
        <v>0</v>
      </c>
      <c r="BD73" s="45">
        <f>SUMIF(Report_BM!$BQ$6:$BQ$73,CONCATENATE($C73,BE$3),Report_BM!$BN$6:$BN$73)</f>
        <v>0</v>
      </c>
      <c r="BE73" s="39">
        <f ca="1">SUMIF(Report_BM!$BQ$6:$BQ$73,CONCATENATE($C73,BE$3),Report_BM!$BO$6:$BO$73)</f>
        <v>5000000</v>
      </c>
      <c r="BF73" s="103"/>
      <c r="BG73" s="104"/>
      <c r="BH73" s="104"/>
      <c r="BI73" s="104"/>
      <c r="BJ73" s="104"/>
      <c r="BK73" s="104"/>
      <c r="BL73" s="45">
        <f>SUMIF(Report_BM!$CH$6:$CH$73,CONCATENATE($C73,BT$3),Report_BM!$BT$6:$BT$73)+SUMIF(Report_BM!$CH$6:$CH$73,CONCATENATE($C73,BT$3),Report_BM!$BW$6:$BW$73)</f>
        <v>0</v>
      </c>
      <c r="BM73" s="46">
        <f ca="1">SUMIF(Report_BM!$CH$6:$CH$73,CONCATENATE($C73,$BT$3),Report_BM!$BU$6:$BU$73)+SUMIF(Report_BM!$CH$6:$CH$73,CONCATENATE($C73,$BT$3),Report_BM!$BX$6:$BX$73)</f>
        <v>5000000</v>
      </c>
      <c r="BN73" s="45">
        <f>SUMIF(Report_BM!$CH$6:$CH$73,CONCATENATE($C73,BT$3),Report_BM!$BZ$6:$BZ$73)</f>
        <v>0</v>
      </c>
      <c r="BO73" s="39">
        <f>SUMIF(Report_BM!$CH$6:$CH$73,CONCATENATE($C73,BT$3),Report_BM!$CA$6:$CA$73)</f>
        <v>0</v>
      </c>
      <c r="BP73" s="39">
        <f>SUMIF(Report_BM!$CH$6:$CH$73,CONCATENATE($C73,BT$3),Report_BM!$CB$6:$CB$73)</f>
        <v>0</v>
      </c>
      <c r="BQ73" s="39">
        <f>SUMIF(Report_BM!$CH$6:$CH$73,CONCATENATE($C73,BT$3),Report_BM!$CC$6:$CC$73)</f>
        <v>0</v>
      </c>
      <c r="BR73" s="46">
        <f>SUMIF(Master_Data!$AK$152:$AK$864,CONCATENATE($C73,BT$3),Master_Data!$T$152:$T$864)</f>
        <v>0</v>
      </c>
      <c r="BS73" s="45">
        <f>SUMIF(Report_BM!$CH$6:$CH$73,CONCATENATE($C73,BT$3),Report_BM!$CE$6:$CE$73)</f>
        <v>0</v>
      </c>
      <c r="BT73" s="39">
        <f ca="1">SUMIF(Report_BM!$CH$6:$CH$73,CONCATENATE($C73,BT$3),Report_BM!$CF$6:$CF$73)</f>
        <v>5000000</v>
      </c>
      <c r="BU73" s="103"/>
      <c r="BV73" s="104"/>
      <c r="BW73" s="104"/>
      <c r="BX73" s="104"/>
      <c r="BY73" s="104"/>
      <c r="BZ73" s="104"/>
      <c r="CA73" s="45">
        <f>SUMIF(Report_BM!$CY$6:$CY$73,CONCATENATE($C73,CI$3),Report_BM!$CK$6:$CK$73)+SUMIF(Report_BM!$CY$6:$CY$73,CONCATENATE($C73,CI$3),Report_BM!$CN$6:$CN$73)</f>
        <v>0</v>
      </c>
      <c r="CB73" s="46">
        <f ca="1">SUMIF(Report_BM!$CY$6:$CY$73,CONCATENATE($C73,$CI$3),Report_BM!$CL$6:$CL$73)+SUMIF(Report_BM!$CY$6:$CY$73,CONCATENATE($C73,$CI$3),Report_BM!$CO$6:$CO$73)</f>
        <v>5000000</v>
      </c>
      <c r="CC73" s="45">
        <f>SUMIF(Report_BM!$CY$6:$CY$73,CONCATENATE($C73,CI$3),Report_BM!$CQ$6:$CQ$73)</f>
        <v>0</v>
      </c>
      <c r="CD73" s="39">
        <f>SUMIF(Report_BM!$CY$6:$CY$73,CONCATENATE($C73,CI$3),Report_BM!$CR$6:$CR$73)</f>
        <v>0</v>
      </c>
      <c r="CE73" s="39">
        <f>SUMIF(Report_BM!$CY$6:$CY$73,CONCATENATE($C73,CI$3),Report_BM!$CS$6:$CS$73)</f>
        <v>0</v>
      </c>
      <c r="CF73" s="39">
        <f ca="1">SUMIF(Report_BM!$CY$6:$CY$73,CONCATENATE($C73,CI$3),Report_BM!$CT$6:$CT$73)</f>
        <v>0</v>
      </c>
      <c r="CG73" s="46">
        <f>SUMIF(Report_BM!$CY$6:$CY$73,CONCATENATE($C73,CI$3),Report_BM!$CU$6:$CU$73)</f>
        <v>0</v>
      </c>
      <c r="CH73" s="45">
        <f>SUMIF(Report_BM!$CY$6:$CY$73,CONCATENATE($C73,CI$3),Report_BM!$CV$6:$CV$73)</f>
        <v>0</v>
      </c>
      <c r="CI73" s="39">
        <f ca="1">SUMIF(Report_BM!$CY$6:$CY$73,CONCATENATE($C73,CI$3),Report_BM!$CW$6:$CW$73)</f>
        <v>5000000</v>
      </c>
      <c r="CJ73" s="103"/>
      <c r="CK73" s="104"/>
      <c r="CL73" s="104"/>
      <c r="CM73" s="104"/>
      <c r="CN73" s="104"/>
      <c r="CO73" s="104"/>
      <c r="CP73" s="45">
        <f>SUMIF(Report_BM!$DP$6:$DP$73,CONCATENATE($C73,CX$3),Report_BM!$DB$6:$DB$73)+SUMIF(Report_BM!$DP$6:$DP$73,CONCATENATE($C73,CX$3),Report_BM!$DE$6:$DE$73)</f>
        <v>0</v>
      </c>
      <c r="CQ73" s="46">
        <f ca="1">SUMIF(Report_BM!$DP$6:$DP$73,CONCATENATE($C73,$CX$3),Report_BM!$DC$6:$DC$73)+SUMIF(Report_BM!$DP$6:$DP$73,CONCATENATE($C73,$CX$3),Report_BM!$DF$6:$DF$73)</f>
        <v>5000000</v>
      </c>
      <c r="CR73" s="45">
        <f>SUMIF(Report_BM!$DP$6:$DP$73,CONCATENATE($C73,CX$3),Report_BM!$DH$6:$DH$73)</f>
        <v>0</v>
      </c>
      <c r="CS73" s="39">
        <f>SUMIF(Report_BM!$DP$6:$DP$73,CONCATENATE($C73,CX$3),Report_BM!$DI$6:$DI$73)</f>
        <v>0</v>
      </c>
      <c r="CT73" s="39">
        <f>SUMIF(Report_BM!$DP$6:$DP$73,CONCATENATE($C73,CX$3),Report_BM!$DJ$6:$DJ$73)</f>
        <v>0</v>
      </c>
      <c r="CU73" s="39">
        <f>SUMIF(Report_BM!$DP$6:$DP$73,CONCATENATE($C73,CX$3),Report_BM!$DK$6:$DK$73)</f>
        <v>0</v>
      </c>
      <c r="CV73" s="46">
        <f>SUMIF(Master_Data!$AK$152:$AK$864,CONCATENATE($C73,CX$3),Master_Data!$T$152:$T$864)</f>
        <v>0</v>
      </c>
      <c r="CW73" s="45">
        <f>SUMIF(Report_BM!$DP$6:$DP$73,CONCATENATE($C73,CX$3),Report_BM!$DM$6:$DM$73)</f>
        <v>0</v>
      </c>
      <c r="CX73" s="39">
        <f ca="1">SUMIF(Report_BM!$DP$6:$DP$73,CONCATENATE($C73,CX$3),Report_BM!$DN$6:$DN$73)</f>
        <v>5000000</v>
      </c>
      <c r="CY73" s="103"/>
      <c r="CZ73" s="104"/>
      <c r="DA73" s="104"/>
      <c r="DB73" s="104"/>
      <c r="DC73" s="104"/>
      <c r="DD73" s="104"/>
      <c r="DE73" s="45">
        <f>SUMIF(Report_BM!$EG$6:$EG$73,CONCATENATE($C73,DM$3),Report_BM!$DS$6:$DS$73)+SUMIF(Report_BM!$EG$6:$EG$73,CONCATENATE($C73,DM$3),Report_BM!$DV$6:$DV$73)</f>
        <v>0</v>
      </c>
      <c r="DF73" s="46">
        <f ca="1">SUMIF(Report_BM!$EG$6:$EG$73,CONCATENATE($C73,$DM$3),Report_BM!$DT$6:$DT$73)+SUMIF(Report_BM!$EG$6:$EG$73,CONCATENATE($C73,$DM$3),Report_BM!$DW$6:$DW$73)</f>
        <v>5000000</v>
      </c>
      <c r="DG73" s="45">
        <f>SUMIF(Report_BM!$EG$6:$EG$73,CONCATENATE($C73,DM$3),Report_BM!$DY$6:$DY$73)</f>
        <v>0</v>
      </c>
      <c r="DH73" s="39">
        <f>SUMIF(Report_BM!EG$6:EG$73,CONCATENATE($C73,DM$3),Report_BM!DZ$6:DZ$73)</f>
        <v>0</v>
      </c>
      <c r="DI73" s="39">
        <f>SUMIF(Report_BM!EG$6:EG$73,CONCATENATE($C73,DM$3),Report_BM!$EA$6:$EA$73)</f>
        <v>0</v>
      </c>
      <c r="DJ73" s="39">
        <f>SUMIF(Report_BM!EG$6:EG$73,CONCATENATE($C73,DM$3),Report_BM!$EB$6:$EB$73)</f>
        <v>0</v>
      </c>
      <c r="DK73" s="46">
        <f>SUMIF(Master_Data!$AK$152:$AK$864,CONCATENATE($C73,DM$3),Master_Data!$T$152:$T$864)</f>
        <v>0</v>
      </c>
      <c r="DL73" s="45">
        <f>SUMIF(Report_BM!EG$6:EG$73,CONCATENATE($C73,DM$3),Report_BM!ED$6:ED$73)</f>
        <v>0</v>
      </c>
      <c r="DM73" s="39">
        <f ca="1">SUMIF(Report_BM!EG$6:EG$73,CONCATENATE($C73,DM$3),Report_BM!EE$6:EE$73)</f>
        <v>5000000</v>
      </c>
      <c r="DN73" s="103"/>
      <c r="DO73" s="104"/>
      <c r="DP73" s="104"/>
      <c r="DQ73" s="104"/>
      <c r="DR73" s="104"/>
      <c r="DS73" s="104"/>
      <c r="DT73" s="45">
        <f>SUMIF(Report_BM!$EX$6:$EX$73,CONCATENATE($C73,EB$3),Report_BM!$EJ$6:$EJ$73)+SUMIF(Report_BM!$EX$6:$EX$73,CONCATENATE($C73,EB$3),Report_BM!$EM$6:$EM$73)</f>
        <v>0</v>
      </c>
      <c r="DU73" s="46">
        <f ca="1">SUMIF(Report_BM!$EX$6:$EX$73,CONCATENATE($C73,$EB$3),Report_BM!$EK$6:$EK$73)+SUMIF(Report_BM!$EX$6:$EX$73,CONCATENATE($C73,$EB$3),Report_BM!$EN$6:$EN$73)</f>
        <v>5000000</v>
      </c>
      <c r="DV73" s="45">
        <f>SUMIF(Report_BM!$EX$6:$EX$73,CONCATENATE($C73,EB$3),Report_BM!$EP$6:$EP$73)</f>
        <v>0</v>
      </c>
      <c r="DW73" s="39">
        <f>SUMIF(Report_BM!$EX$6:$EX$73,CONCATENATE($C73,EB$3),Report_BM!$EQ$6:$EQ$73)</f>
        <v>0</v>
      </c>
      <c r="DX73" s="39">
        <f>SUMIF(Report_BM!$EX$6:$EX$73,CONCATENATE($C73,EB$3),Report_BM!$ER$6:$ER$73)</f>
        <v>0</v>
      </c>
      <c r="DY73" s="39">
        <f>SUMIF(Report_BM!$EX$6:$EX$73,CONCATENATE($C73,EB$3),Report_BM!$ES$6:$ES$73)</f>
        <v>0</v>
      </c>
      <c r="DZ73" s="46">
        <f>SUMIF(Master_Data!$AK$152:$AK$864,CONCATENATE($C73,EB$3),Master_Data!$T$152:$T$864)</f>
        <v>0</v>
      </c>
      <c r="EA73" s="45">
        <f>SUMIF(Report_BM!EX$6:EX$73,CONCATENATE($C73,EB$3),Report_BM!EU$6:EU$73)</f>
        <v>0</v>
      </c>
      <c r="EB73" s="39">
        <f>SUMIF(Report_BM!EX$6:EX$73,CONCATENATE($C73,EB$3),Report_BM!EV$6:EV$73)</f>
        <v>0</v>
      </c>
      <c r="EC73" s="103"/>
      <c r="ED73" s="104"/>
      <c r="EE73" s="104"/>
      <c r="EF73" s="104"/>
      <c r="EG73" s="104"/>
      <c r="EH73" s="104"/>
      <c r="EI73" s="45">
        <f>SUMIF(Report_BM!$FO$6:$FO$73,CONCATENATE($C73,EQ$3),Report_BM!$FA$6:$FA$73)+SUMIF(Report_BM!$FO$6:$FO$73,CONCATENATE($C73,EQ$3),Report_BM!$FD$6:$FD$73)</f>
        <v>0</v>
      </c>
      <c r="EJ73" s="46">
        <f>SUMIF(Report_BM!$FO$6:$FO$73,CONCATENATE($C73,$EQ$3),Report_BM!$FB$6:$FB$73)+SUMIF(Report_BM!$FO$6:$FO$73,CONCATENATE($C73,$EQ$3),Report_BM!$FE$6:$FE$73)</f>
        <v>0</v>
      </c>
      <c r="EK73" s="45">
        <f>SUMIF(Report_BM!$FO$6:$FO$73,CONCATENATE($C73,EQ$3),Report_BM!$FG$6:$FG$73)</f>
        <v>0</v>
      </c>
      <c r="EL73" s="39">
        <f>SUMIF(Report_BM!$FO$6:$FO$73,CONCATENATE($C73,EQ$3),Report_BM!$FH$6:$FH$73)</f>
        <v>0</v>
      </c>
      <c r="EM73" s="39">
        <f>SUMIF(Report_BM!$FO$6:$FO$73,CONCATENATE($C73,EQ$3),Report_BM!$FI$6:$FI$73)</f>
        <v>0</v>
      </c>
      <c r="EN73" s="39">
        <f>SUMIF(Report_BM!$FO$6:$FO$73,CONCATENATE($C73,EQ$3),Report_BM!$FJ$6:$FJ$73)</f>
        <v>0</v>
      </c>
      <c r="EO73" s="46">
        <f>SUMIF(Master_Data!$AK$152:$AK$864,CONCATENATE($C73,EQ$3),Master_Data!$T$152:$T$864)</f>
        <v>0</v>
      </c>
      <c r="EP73" s="45">
        <f>SUMIF(Report_BM!FO$6:FO$73,CONCATENATE($C73,EQ$3),Report_BM!FL$6:FL$73)</f>
        <v>0</v>
      </c>
      <c r="EQ73" s="39">
        <f>SUMIF(Report_BM!FO$6:FO$73,CONCATENATE($C73,EQ$3),Report_BM!FM$6:FM$73)</f>
        <v>0</v>
      </c>
      <c r="ER73" s="103"/>
      <c r="ES73" s="104"/>
      <c r="ET73" s="104"/>
      <c r="EU73" s="104"/>
      <c r="EV73" s="104"/>
      <c r="EW73" s="104"/>
      <c r="EX73" s="45">
        <f>SUMIF(Report_BM!$GF$6:$GF$73,CONCATENATE($C73,FF$3),Report_BM!$FR$6:$FR$73)+SUMIF(Report_BM!$GF$6:$GF$73,CONCATENATE($C73,FF$3),Report_BM!$FU$6:$FU$73)</f>
        <v>0</v>
      </c>
      <c r="EY73" s="46">
        <f>SUMIF(Report_BM!$GF$6:$GF$73,CONCATENATE($C73,$FF$3),Report_BM!$FS$6:$FS$73)+SUMIF(Report_BM!$GF$6:$GF$73,CONCATENATE($C73,$FF$3),Report_BM!$FV$6:$FV$73)</f>
        <v>0</v>
      </c>
      <c r="EZ73" s="45">
        <f>SUMIF(Report_BM!$GF$6:$GF$73,CONCATENATE($C73,FF$3),Report_BM!$FX$6:$FX$73)</f>
        <v>0</v>
      </c>
      <c r="FA73" s="39">
        <f>SUMIF(Report_BM!$GF$6:$GF$73,CONCATENATE($C73,FF$3),Report_BM!$FY$6:$FY$73)</f>
        <v>0</v>
      </c>
      <c r="FB73" s="39">
        <f>SUMIF(Report_BM!$GF$6:$GF$73,CONCATENATE($C73,FF$3),Report_BM!$FZ$6:$FZ$73)</f>
        <v>0</v>
      </c>
      <c r="FC73" s="39">
        <f>SUMIF(Report_BM!$GF$6:$GF$73,CONCATENATE($C73,FF$3),Report_BM!$GA$6:$GA$73)</f>
        <v>0</v>
      </c>
      <c r="FD73" s="46">
        <f>SUMIF(Master_Data!$AK$152:$AK$864,CONCATENATE($C73,FF$3),Master_Data!$T$152:$T$864)</f>
        <v>0</v>
      </c>
      <c r="FE73" s="45">
        <f>SUMIF(Report_BM!GF$6:GF$73,CONCATENATE($C73,FF$3),Report_BM!GC$6:GC$73)</f>
        <v>0</v>
      </c>
      <c r="FF73" s="39">
        <f>SUMIF(Report_BM!GF$6:GF$73,CONCATENATE($C73,FF$3),Report_BM!GD$6:GD$73)</f>
        <v>0</v>
      </c>
      <c r="FG73" s="103"/>
      <c r="FH73" s="104"/>
      <c r="FI73" s="104"/>
      <c r="FJ73" s="104"/>
      <c r="FK73" s="104"/>
      <c r="FL73" s="104"/>
      <c r="FM73" s="45">
        <f>SUMIF(Report_BM!$GW$6:$GW$73,CONCATENATE($C73,FU$3),Report_BM!$GI$6:$GI$73)+SUMIF(Report_BM!$GW$6:$GW$73,CONCATENATE($C73,FU$3),Report_BM!$GL$6:$GL$73)</f>
        <v>0</v>
      </c>
      <c r="FN73" s="46">
        <f>SUMIF(Report_BM!$GW$6:$GW$73,CONCATENATE($C73,$FU$3),Report_BM!$GJ$6:$GJ$73)+SUMIF(Report_BM!$GW$6:$GW$73,CONCATENATE($C73,$FU$3),Report_BM!$GM$6:$GM$73)</f>
        <v>0</v>
      </c>
      <c r="FO73" s="45">
        <f>SUMIF(Report_BM!$GW$6:$GW$73,CONCATENATE($C73,FU$3),Report_BM!$GO$6:$GO$73)</f>
        <v>0</v>
      </c>
      <c r="FP73" s="39">
        <f>SUMIF(Report_BM!$GW$6:$GW$73,CONCATENATE($C73,FU$3),Report_BM!$GP$6:$GP$73)</f>
        <v>0</v>
      </c>
      <c r="FQ73" s="39">
        <f>SUMIF(Report_BM!$GW$6:$GW$73,CONCATENATE($C73,FU$3),Report_BM!$GQ$6:$GQ$73)</f>
        <v>0</v>
      </c>
      <c r="FR73" s="39">
        <f>SUMIF(Report_BM!$GW$6:$GW$73,CONCATENATE($C73,FU$3),Report_BM!$GR$6:$GR$73)</f>
        <v>0</v>
      </c>
      <c r="FS73" s="46">
        <f>SUMIF(Master_Data!$AK$152:$AK$864,CONCATENATE($C73,FU$3),Master_Data!$T$152:$T$864)</f>
        <v>0</v>
      </c>
      <c r="FT73" s="45">
        <f>SUMIF(Report_BM!GW$6:GW$73,CONCATENATE($C73,FU$3),Report_BM!GT$6:GT$73)</f>
        <v>0</v>
      </c>
      <c r="FU73" s="39">
        <f>SUMIF(Report_BM!GW$6:GW$73,CONCATENATE($C73,FU$3),Report_BM!GU$6:GU$73)</f>
        <v>0</v>
      </c>
      <c r="FV73" s="103"/>
      <c r="FW73" s="104"/>
      <c r="FX73" s="104"/>
      <c r="FY73" s="104"/>
      <c r="FZ73" s="104"/>
      <c r="GA73" s="104"/>
    </row>
    <row r="74" spans="1:183" s="40" customFormat="1" ht="14.1" customHeight="1">
      <c r="A74" s="100">
        <v>68</v>
      </c>
      <c r="B74" s="425" t="s">
        <v>74</v>
      </c>
      <c r="C74" s="326" t="s">
        <v>98</v>
      </c>
      <c r="D74" s="60">
        <f>SUMIF(Report_BM!$B$6:$B$73,CONCATENATE($C74,L$3),Report_BM!$E$6:$E$73)+SUMIF(Report_BM!$B$6:$B$73,CONCATENATE($C74,L$3),Report_BM!$H$6:$H$73)</f>
        <v>0</v>
      </c>
      <c r="E74" s="277">
        <f>SUMIF(Report_BM!$B$6:$B$73,CONCATENATE($C74,L$3),Report_BM!$F$6:$F$73)+SUMIF(Report_BM!$B$6:$B$73,CONCATENATE($C74,L$3),Report_BM!$I$6:$I$73)</f>
        <v>390901992.80000001</v>
      </c>
      <c r="F74" s="60">
        <f>SUMIF(Report_BM!$B$6:$B$73,CONCATENATE($C74,L$3),Report_BM!$K$6:$K$73)</f>
        <v>0</v>
      </c>
      <c r="G74" s="41">
        <f>SUMIF(Report_BM!$B$6:$B$73,CONCATENATE($C74,$L$3),Report_BM!$L$6:$L$73)</f>
        <v>0</v>
      </c>
      <c r="H74" s="41">
        <f>SUMIF(Report_BM!$B$6:$B$73,CONCATENATE($C74,$L$3),Report_BM!$M$6:$M$73)</f>
        <v>125329508</v>
      </c>
      <c r="I74" s="41">
        <f>SUMIF(Report_BM!$B$6:$B$73,CONCATENATE($C74,$L$3),Report_BM!$N$6:$N$73)</f>
        <v>0</v>
      </c>
      <c r="J74" s="110">
        <f>SUMIF(Report_BM!$B$6:$B$73,CONCATENATE($C74,$L$3),Report_BM!$O$6:$O$73)</f>
        <v>-2468397.42</v>
      </c>
      <c r="K74" s="60">
        <f>SUMIF(Report_BM!$B$6:$B$73,CONCATENATE($C74,$L$3),Report_BM!$P$6:$P$73)</f>
        <v>0</v>
      </c>
      <c r="L74" s="41">
        <f>SUMIF(Report_BM!$B$6:$B$73,CONCATENATE($C74,$L$3),Report_BM!$Q$6:$Q$73)</f>
        <v>263104087.38000003</v>
      </c>
      <c r="M74" s="103"/>
      <c r="N74" s="104"/>
      <c r="O74" s="104"/>
      <c r="P74" s="104"/>
      <c r="Q74" s="104"/>
      <c r="R74" s="104"/>
      <c r="S74" s="45">
        <f>SUMIF(Report_BM!$AI$8:$AI$72,CONCATENATE($C74,AA$3),Report_BM!$U$8:$U$72)+SUMIF(Report_BM!$AI$8:$AI$72,CONCATENATE($C74,AA$3),Report_BM!$X$8:$X$72)</f>
        <v>0</v>
      </c>
      <c r="T74" s="276">
        <f>SUMIF(Report_BM!$AI$8:$AI$72,CONCATENATE($C74,AA$3),Report_BM!$V$8:$V$72)+SUMIF(Report_BM!$AI$8:$AI$72,CONCATENATE($C74,AA$3),Report_BM!$Y$8:$Y$72)</f>
        <v>263104087.38000003</v>
      </c>
      <c r="U74" s="45">
        <f>SUMIF(Report_BM!$AI$8:$AI$72,CONCATENATE($C74,AA$3),Report_BM!$AA$8:$AB$72)</f>
        <v>0</v>
      </c>
      <c r="V74" s="39">
        <f>SUMIF(Report_BM!$AI$8:$AI$72,CONCATENATE($C74,$AA$3),Report_BM!$AB$8:$AB$72)</f>
        <v>0</v>
      </c>
      <c r="W74" s="39">
        <f>SUMIF(Report_BM!$AI$8:$AI$72,CONCATENATE($C74,$AA$3),Report_BM!$AC$8:$AC$72)</f>
        <v>255928521</v>
      </c>
      <c r="X74" s="39">
        <f ca="1">SUMIF(Report_BM!$AI$7:$AI$73,CONCATENATE($C74,$AA$3),Report_BM!$AD$7:$AD$73)</f>
        <v>0</v>
      </c>
      <c r="Y74" s="46">
        <f>SUMIF(Master_Data!$AK$152:$AK$864,CONCATENATE($C74,AA$3),Master_Data!$T$152:$T$864)</f>
        <v>0</v>
      </c>
      <c r="Z74" s="45">
        <f>SUMIF(Report_BM!$AI$8:$AI$72,CONCATENATE($C74,$AA$3),Report_BM!$AF$8:$AF$72)</f>
        <v>0</v>
      </c>
      <c r="AA74" s="39">
        <f ca="1">SUMIF(Report_BM!$AI$8:$AI$72,CONCATENATE($C74,$AA$3),Report_BM!$AG$8:$AG$72)</f>
        <v>0.36000002548098564</v>
      </c>
      <c r="AB74" s="103"/>
      <c r="AC74" s="104"/>
      <c r="AD74" s="104"/>
      <c r="AE74" s="104"/>
      <c r="AF74" s="104"/>
      <c r="AG74" s="104"/>
      <c r="AH74" s="60">
        <f>SUMIF(Report_BM!$AZ$5:$AZ$72,CONCATENATE($C74,AP$3),Report_BM!$AL$5:$AL$72)+SUMIF(Report_BM!$AZ$5:$AZ$72,CONCATENATE($C74,AP$3),Report_BM!$AO$5:$AO$72)</f>
        <v>0</v>
      </c>
      <c r="AI74" s="110">
        <f ca="1">SUMIF(Report_BM!$AZ$5:$AZ$72,CONCATENATE($C74,$AP$3),Report_BM!$AM$5:$AM$72)+SUMIF(Report_BM!$AZ$5:$AZ$72,CONCATENATE($C74,$AP$3),Report_BM!$AP$5:$AP$72)</f>
        <v>0.36000002548098564</v>
      </c>
      <c r="AJ74" s="60">
        <f>SUMIF(Report_BM!$AZ$5:$AZ$72,CONCATENATE($C74,$AP$3),Report_BM!$AR$5:$AR$72)</f>
        <v>0</v>
      </c>
      <c r="AK74" s="41">
        <f>SUMIF(Report_BM!$AZ$5:$AZ$72,CONCATENATE($C74,$AP$3),Report_BM!$AS$5:$AS$72)</f>
        <v>0</v>
      </c>
      <c r="AL74" s="41">
        <f>SUMIF(Report_BM!$AZ$5:$AZ$72,CONCATENATE($C74,$AP$3),Report_BM!$AT$5:$AT$72)</f>
        <v>0</v>
      </c>
      <c r="AM74" s="41">
        <f ca="1">SUMIF(Report_BM!$AZ$5:$AZ$72,CONCATENATE($C74,$AP$3),Report_BM!$AU$5:$AU$72)</f>
        <v>0</v>
      </c>
      <c r="AN74" s="110">
        <f>SUMIF(Master_Data!$AK$152:$AK$915,CONCATENATE($C74,AP$3),Master_Data!$T$152:$T$915)</f>
        <v>0</v>
      </c>
      <c r="AO74" s="60">
        <f>SUMIF(Report_BM!$AZ$5:$AZ$72,CONCATENATE($C74,$AP$3),Report_BM!$AW$5:$AW$72)</f>
        <v>0</v>
      </c>
      <c r="AP74" s="41">
        <f ca="1">SUMIF(Report_BM!$AZ$5:$AZ$72,CONCATENATE($C74,$AP$3),Report_BM!$AX$5:$AX$72)</f>
        <v>0.36000002548098564</v>
      </c>
      <c r="AQ74" s="103"/>
      <c r="AR74" s="104"/>
      <c r="AS74" s="104"/>
      <c r="AT74" s="104"/>
      <c r="AU74" s="104"/>
      <c r="AV74" s="104"/>
      <c r="AW74" s="45">
        <f>SUMIF(Report_BM!$BQ$6:$BQ$73,CONCATENATE($C74,BE$3),Report_BM!$BC$6:$BC$73)+SUMIF(Report_BM!$BQ$6:$BQ$73,CONCATENATE($C74,BE$3),Report_BM!$BF$6:$BF$73)</f>
        <v>0</v>
      </c>
      <c r="AX74" s="46" t="e">
        <f ca="1">SUMIF(Report_BM!$BQ$6:$BQ$73,CONCATENATE($C74,$BE$3),Report_BM!$BD$6:$BD$73)+SUMIF(Report_BM!$BQ$6:$BQ$73,CONCATENATE($C74,$BE$3),Report_BM!$BG$6:$BG$73)</f>
        <v>#VALUE!</v>
      </c>
      <c r="AY74" s="45">
        <f>SUMIF(Report_BM!$BQ$6:$BQ$73,CONCATENATE($C74,BE$3),Report_BM!$BI$6:$BI$73)</f>
        <v>0</v>
      </c>
      <c r="AZ74" s="39">
        <f>SUMIF(Report_BM!$BQ$6:$BQ$73,CONCATENATE($C74,BE$3),Report_BM!$BJ$6:$BJ$73)</f>
        <v>0</v>
      </c>
      <c r="BA74" s="39">
        <f>SUMIF(Report_BM!$BQ$6:$BQ$73,CONCATENATE($C74,BE$3),Report_BM!$BK$6:$BK$73)</f>
        <v>0</v>
      </c>
      <c r="BB74" s="39">
        <f>SUMIF(Report_BM!$BQ$6:$BQ$73,CONCATENATE($C74,BE$3),Report_BM!$BL$6:$BL$73)</f>
        <v>0</v>
      </c>
      <c r="BC74" s="46">
        <f>SUMIF(Master_Data!$AK$152:$AK$864,CONCATENATE($C74,BE$3),Master_Data!$T$152:$T$864)</f>
        <v>0</v>
      </c>
      <c r="BD74" s="45">
        <f>SUMIF(Report_BM!$BQ$6:$BQ$73,CONCATENATE($C74,BE$3),Report_BM!$BN$6:$BN$73)</f>
        <v>0</v>
      </c>
      <c r="BE74" s="39" t="e">
        <f ca="1">SUMIF(Report_BM!$BQ$6:$BQ$73,CONCATENATE($C74,BE$3),Report_BM!$BO$6:$BO$73)</f>
        <v>#VALUE!</v>
      </c>
      <c r="BF74" s="103"/>
      <c r="BG74" s="104"/>
      <c r="BH74" s="104"/>
      <c r="BI74" s="104"/>
      <c r="BJ74" s="104"/>
      <c r="BK74" s="104"/>
      <c r="BL74" s="60">
        <f>SUMIF(Report_BM!$CH$6:$CH$73,CONCATENATE($C74,BT$3),Report_BM!$BT$6:$BT$73)+SUMIF(Report_BM!$CH$6:$CH$73,CONCATENATE($C74,BT$3),Report_BM!$BW$6:$BW$73)</f>
        <v>0</v>
      </c>
      <c r="BM74" s="110" t="e">
        <f ca="1">SUMIF(Report_BM!$CH$6:$CH$73,CONCATENATE($C74,$BT$3),Report_BM!$BU$6:$BU$73)+SUMIF(Report_BM!$CH$6:$CH$73,CONCATENATE($C74,$BT$3),Report_BM!$BX$6:$BX$73)</f>
        <v>#VALUE!</v>
      </c>
      <c r="BN74" s="60">
        <f>SUMIF(Report_BM!$CH$6:$CH$73,CONCATENATE($C74,BT$3),Report_BM!$BZ$6:$BZ$73)</f>
        <v>0</v>
      </c>
      <c r="BO74" s="41">
        <f>SUMIF(Report_BM!$CH$6:$CH$73,CONCATENATE($C74,BT$3),Report_BM!$CA$6:$CA$73)</f>
        <v>0</v>
      </c>
      <c r="BP74" s="41">
        <f>SUMIF(Report_BM!$CH$6:$CH$73,CONCATENATE($C74,BT$3),Report_BM!$CB$6:$CB$73)</f>
        <v>0</v>
      </c>
      <c r="BQ74" s="41">
        <f>SUMIF(Report_BM!$CH$6:$CH$73,CONCATENATE($C74,BT$3),Report_BM!$CC$6:$CC$73)</f>
        <v>0</v>
      </c>
      <c r="BR74" s="110">
        <f>SUMIF(Master_Data!$AK$152:$AK$864,CONCATENATE($C74,BT$3),Master_Data!$T$152:$T$864)</f>
        <v>0</v>
      </c>
      <c r="BS74" s="60">
        <f>SUMIF(Report_BM!$CH$6:$CH$73,CONCATENATE($C74,BT$3),Report_BM!$CE$6:$CE$73)</f>
        <v>0</v>
      </c>
      <c r="BT74" s="41" t="e">
        <f ca="1">SUMIF(Report_BM!$CH$6:$CH$73,CONCATENATE($C74,BT$3),Report_BM!$CF$6:$CF$73)</f>
        <v>#VALUE!</v>
      </c>
      <c r="BU74" s="103"/>
      <c r="BV74" s="104"/>
      <c r="BW74" s="104"/>
      <c r="BX74" s="104"/>
      <c r="BY74" s="104"/>
      <c r="BZ74" s="104"/>
      <c r="CA74" s="60">
        <f>SUMIF(Report_BM!$CY$6:$CY$73,CONCATENATE($C74,CI$3),Report_BM!$CK$6:$CK$73)+SUMIF(Report_BM!$CY$6:$CY$73,CONCATENATE($C74,CI$3),Report_BM!$CN$6:$CN$73)</f>
        <v>0</v>
      </c>
      <c r="CB74" s="110" t="e">
        <f ca="1">SUMIF(Report_BM!$CY$6:$CY$73,CONCATENATE($C74,$CI$3),Report_BM!$CL$6:$CL$73)+SUMIF(Report_BM!$CY$6:$CY$73,CONCATENATE($C74,$CI$3),Report_BM!$CO$6:$CO$73)</f>
        <v>#VALUE!</v>
      </c>
      <c r="CC74" s="60">
        <f>SUMIF(Report_BM!$CY$6:$CY$73,CONCATENATE($C74,CI$3),Report_BM!$CQ$6:$CQ$73)</f>
        <v>0</v>
      </c>
      <c r="CD74" s="41">
        <f>SUMIF(Report_BM!$CY$6:$CY$73,CONCATENATE($C74,CI$3),Report_BM!$CR$6:$CR$73)</f>
        <v>0</v>
      </c>
      <c r="CE74" s="41">
        <f>SUMIF(Report_BM!$CY$6:$CY$73,CONCATENATE($C74,CI$3),Report_BM!$CS$6:$CS$73)</f>
        <v>437445140</v>
      </c>
      <c r="CF74" s="41">
        <f ca="1">SUMIF(Report_BM!$CY$6:$CY$73,CONCATENATE($C74,CI$3),Report_BM!$CT$6:$CT$73)</f>
        <v>0</v>
      </c>
      <c r="CG74" s="110">
        <f>SUMIF(Report_BM!$CY$6:$CY$73,CONCATENATE($C74,CI$3),Report_BM!$CU$6:$CU$73)</f>
        <v>-12264817.02</v>
      </c>
      <c r="CH74" s="60">
        <f>SUMIF(Report_BM!$CY$6:$CY$73,CONCATENATE($C74,CI$3),Report_BM!$CV$6:$CV$73)</f>
        <v>0</v>
      </c>
      <c r="CI74" s="41" t="e">
        <f ca="1">SUMIF(Report_BM!$CY$6:$CY$73,CONCATENATE($C74,CI$3),Report_BM!$CW$6:$CW$73)</f>
        <v>#VALUE!</v>
      </c>
      <c r="CJ74" s="103"/>
      <c r="CK74" s="104"/>
      <c r="CL74" s="104"/>
      <c r="CM74" s="104"/>
      <c r="CN74" s="104"/>
      <c r="CO74" s="104"/>
      <c r="CP74" s="60">
        <f>SUMIF(Report_BM!$DP$6:$DP$73,CONCATENATE($C74,CX$3),Report_BM!$DB$6:$DB$73)+SUMIF(Report_BM!$DP$6:$DP$73,CONCATENATE($C74,CX$3),Report_BM!$DE$6:$DE$73)</f>
        <v>0</v>
      </c>
      <c r="CQ74" s="110" t="e">
        <f ca="1">SUMIF(Report_BM!$DP$6:$DP$73,CONCATENATE($C74,$CX$3),Report_BM!$DC$6:$DC$73)+SUMIF(Report_BM!$DP$6:$DP$73,CONCATENATE($C74,$CX$3),Report_BM!$DF$6:$DF$73)</f>
        <v>#VALUE!</v>
      </c>
      <c r="CR74" s="60">
        <f>SUMIF(Report_BM!$DP$6:$DP$73,CONCATENATE($C74,CX$3),Report_BM!$DH$6:$DH$73)</f>
        <v>0</v>
      </c>
      <c r="CS74" s="41">
        <f>SUMIF(Report_BM!$DP$6:$DP$73,CONCATENATE($C74,CX$3),Report_BM!$DI$6:$DI$73)</f>
        <v>0</v>
      </c>
      <c r="CT74" s="41">
        <f>SUMIF(Report_BM!$DP$6:$DP$73,CONCATENATE($C74,CX$3),Report_BM!$DJ$6:$DJ$73)</f>
        <v>0</v>
      </c>
      <c r="CU74" s="41">
        <f>SUMIF(Report_BM!$DP$6:$DP$73,CONCATENATE($C74,CX$3),Report_BM!$DK$6:$DK$73)</f>
        <v>0</v>
      </c>
      <c r="CV74" s="110">
        <f>SUMIF(Master_Data!$AK$152:$AK$864,CONCATENATE($C74,CX$3),Master_Data!$T$152:$T$864)</f>
        <v>0</v>
      </c>
      <c r="CW74" s="60">
        <f>SUMIF(Report_BM!$DP$6:$DP$73,CONCATENATE($C74,CX$3),Report_BM!$DM$6:$DM$73)</f>
        <v>0</v>
      </c>
      <c r="CX74" s="41" t="e">
        <f ca="1">SUMIF(Report_BM!$DP$6:$DP$73,CONCATENATE($C74,CX$3),Report_BM!$DN$6:$DN$73)</f>
        <v>#VALUE!</v>
      </c>
      <c r="CY74" s="103"/>
      <c r="CZ74" s="104"/>
      <c r="DA74" s="104"/>
      <c r="DB74" s="104"/>
      <c r="DC74" s="104"/>
      <c r="DD74" s="104"/>
      <c r="DE74" s="60">
        <f>SUMIF(Report_BM!$EG$6:$EG$73,CONCATENATE($C74,DM$3),Report_BM!$DS$6:$DS$73)+SUMIF(Report_BM!$EG$6:$EG$73,CONCATENATE($C74,DM$3),Report_BM!$DV$6:$DV$73)</f>
        <v>0</v>
      </c>
      <c r="DF74" s="110" t="e">
        <f ca="1">SUMIF(Report_BM!$EG$6:$EG$73,CONCATENATE($C74,$DM$3),Report_BM!$DT$6:$DT$73)+SUMIF(Report_BM!$EG$6:$EG$73,CONCATENATE($C74,$DM$3),Report_BM!$DW$6:$DW$73)</f>
        <v>#VALUE!</v>
      </c>
      <c r="DG74" s="60">
        <f>SUMIF(Report_BM!$EG$6:$EG$73,CONCATENATE($C74,DM$3),Report_BM!$DY$6:$DY$73)</f>
        <v>0</v>
      </c>
      <c r="DH74" s="41">
        <f>SUMIF(Report_BM!EG$6:EG$73,CONCATENATE($C74,DM$3),Report_BM!DZ$6:DZ$73)</f>
        <v>0</v>
      </c>
      <c r="DI74" s="41">
        <f>SUMIF(Report_BM!EG$6:EG$73,CONCATENATE($C74,DM$3),Report_BM!$EA$6:$EA$73)</f>
        <v>0</v>
      </c>
      <c r="DJ74" s="41">
        <f>SUMIF(Report_BM!EG$6:EG$73,CONCATENATE($C74,DM$3),Report_BM!$EB$6:$EB$73)</f>
        <v>0</v>
      </c>
      <c r="DK74" s="110">
        <f>SUMIF(Master_Data!$AK$152:$AK$864,CONCATENATE($C74,DM$3),Master_Data!$T$152:$T$864)</f>
        <v>0</v>
      </c>
      <c r="DL74" s="60">
        <f>SUMIF(Report_BM!EG$6:EG$73,CONCATENATE($C74,DM$3),Report_BM!ED$6:ED$73)</f>
        <v>0</v>
      </c>
      <c r="DM74" s="41" t="e">
        <f ca="1">SUMIF(Report_BM!EG$6:EG$73,CONCATENATE($C74,DM$3),Report_BM!EE$6:EE$73)</f>
        <v>#VALUE!</v>
      </c>
      <c r="DN74" s="103"/>
      <c r="DO74" s="104"/>
      <c r="DP74" s="104"/>
      <c r="DQ74" s="104"/>
      <c r="DR74" s="104"/>
      <c r="DS74" s="104"/>
      <c r="DT74" s="60">
        <f>SUMIF(Report_BM!$EX$6:$EX$73,CONCATENATE($C74,EB$3),Report_BM!$EJ$6:$EJ$73)+SUMIF(Report_BM!$EX$6:$EX$73,CONCATENATE($C74,EB$3),Report_BM!$EM$6:$EM$73)</f>
        <v>0</v>
      </c>
      <c r="DU74" s="110" t="e">
        <f ca="1">SUMIF(Report_BM!$EX$6:$EX$73,CONCATENATE($C74,$EB$3),Report_BM!$EK$6:$EK$73)+SUMIF(Report_BM!$EX$6:$EX$73,CONCATENATE($C74,$EB$3),Report_BM!$EN$6:$EN$73)</f>
        <v>#VALUE!</v>
      </c>
      <c r="DV74" s="60">
        <f>SUMIF(Report_BM!$EX$6:$EX$73,CONCATENATE($C74,EB$3),Report_BM!$EP$6:$EP$73)</f>
        <v>0</v>
      </c>
      <c r="DW74" s="41">
        <f>SUMIF(Report_BM!$EX$6:$EX$73,CONCATENATE($C74,EB$3),Report_BM!$EQ$6:$EQ$73)</f>
        <v>0</v>
      </c>
      <c r="DX74" s="41">
        <f>SUMIF(Report_BM!$EX$6:$EX$73,CONCATENATE($C74,EB$3),Report_BM!$ER$6:$ER$73)</f>
        <v>0</v>
      </c>
      <c r="DY74" s="41">
        <f>SUMIF(Report_BM!$EX$6:$EX$73,CONCATENATE($C74,EB$3),Report_BM!$ES$6:$ES$73)</f>
        <v>0</v>
      </c>
      <c r="DZ74" s="110">
        <f>SUMIF(Master_Data!$AK$152:$AK$864,CONCATENATE($C74,EB$3),Master_Data!$T$152:$T$864)</f>
        <v>0</v>
      </c>
      <c r="EA74" s="60">
        <f>SUMIF(Report_BM!EX$6:EX$73,CONCATENATE($C74,EB$3),Report_BM!EU$6:EU$73)</f>
        <v>0</v>
      </c>
      <c r="EB74" s="41">
        <f>SUMIF(Report_BM!EX$6:EX$73,CONCATENATE($C74,EB$3),Report_BM!EV$6:EV$73)</f>
        <v>0</v>
      </c>
      <c r="EC74" s="103"/>
      <c r="ED74" s="104"/>
      <c r="EE74" s="104"/>
      <c r="EF74" s="104"/>
      <c r="EG74" s="104"/>
      <c r="EH74" s="104"/>
      <c r="EI74" s="60">
        <f>SUMIF(Report_BM!$FO$6:$FO$73,CONCATENATE($C74,EQ$3),Report_BM!$FA$6:$FA$73)+SUMIF(Report_BM!$FO$6:$FO$73,CONCATENATE($C74,EQ$3),Report_BM!$FD$6:$FD$73)</f>
        <v>0</v>
      </c>
      <c r="EJ74" s="110" t="e">
        <f>SUMIF(Report_BM!$FO$6:$FO$73,CONCATENATE($C74,$EQ$3),Report_BM!$FB$6:$FB$73)+SUMIF(Report_BM!$FO$6:$FO$73,CONCATENATE($C74,$EQ$3),Report_BM!$FE$6:$FE$73)</f>
        <v>#VALUE!</v>
      </c>
      <c r="EK74" s="60">
        <f>SUMIF(Report_BM!$FO$6:$FO$73,CONCATENATE($C74,EQ$3),Report_BM!$FG$6:$FG$73)</f>
        <v>0</v>
      </c>
      <c r="EL74" s="41">
        <f>SUMIF(Report_BM!$FO$6:$FO$73,CONCATENATE($C74,EQ$3),Report_BM!$FH$6:$FH$73)</f>
        <v>0</v>
      </c>
      <c r="EM74" s="41">
        <f>SUMIF(Report_BM!$FO$6:$FO$73,CONCATENATE($C74,EQ$3),Report_BM!$FI$6:$FI$73)</f>
        <v>0</v>
      </c>
      <c r="EN74" s="41">
        <f>SUMIF(Report_BM!$FO$6:$FO$73,CONCATENATE($C74,EQ$3),Report_BM!$FJ$6:$FJ$73)</f>
        <v>0</v>
      </c>
      <c r="EO74" s="110">
        <f>SUMIF(Master_Data!$AK$152:$AK$864,CONCATENATE($C74,EQ$3),Master_Data!$T$152:$T$864)</f>
        <v>0</v>
      </c>
      <c r="EP74" s="60">
        <f>SUMIF(Report_BM!FO$6:FO$73,CONCATENATE($C74,EQ$3),Report_BM!FL$6:FL$73)</f>
        <v>0</v>
      </c>
      <c r="EQ74" s="41" t="e">
        <f>SUMIF(Report_BM!FO$6:FO$73,CONCATENATE($C74,EQ$3),Report_BM!FM$6:FM$73)</f>
        <v>#VALUE!</v>
      </c>
      <c r="ER74" s="103"/>
      <c r="ES74" s="104"/>
      <c r="ET74" s="104"/>
      <c r="EU74" s="104"/>
      <c r="EV74" s="104"/>
      <c r="EW74" s="104"/>
      <c r="EX74" s="60">
        <f>SUMIF(Report_BM!$GF$6:$GF$73,CONCATENATE($C74,FF$3),Report_BM!$FR$6:$FR$73)+SUMIF(Report_BM!$GF$6:$GF$73,CONCATENATE($C74,FF$3),Report_BM!$FU$6:$FU$73)</f>
        <v>0</v>
      </c>
      <c r="EY74" s="110" t="e">
        <f>SUMIF(Report_BM!$GF$6:$GF$73,CONCATENATE($C74,$FF$3),Report_BM!$FS$6:$FS$73)+SUMIF(Report_BM!$GF$6:$GF$73,CONCATENATE($C74,$FF$3),Report_BM!$FV$6:$FV$73)</f>
        <v>#VALUE!</v>
      </c>
      <c r="EZ74" s="60">
        <f>SUMIF(Report_BM!$GF$6:$GF$73,CONCATENATE($C74,FF$3),Report_BM!$FX$6:$FX$73)</f>
        <v>0</v>
      </c>
      <c r="FA74" s="41">
        <f>SUMIF(Report_BM!$GF$6:$GF$73,CONCATENATE($C74,FF$3),Report_BM!$FY$6:$FY$73)</f>
        <v>0</v>
      </c>
      <c r="FB74" s="41">
        <f>SUMIF(Report_BM!$GF$6:$GF$73,CONCATENATE($C74,FF$3),Report_BM!$FZ$6:$FZ$73)</f>
        <v>0</v>
      </c>
      <c r="FC74" s="41">
        <f>SUMIF(Report_BM!$GF$6:$GF$73,CONCATENATE($C74,FF$3),Report_BM!$GA$6:$GA$73)</f>
        <v>0</v>
      </c>
      <c r="FD74" s="110">
        <f>SUMIF(Master_Data!$AK$152:$AK$864,CONCATENATE($C74,FF$3),Master_Data!$T$152:$T$864)</f>
        <v>0</v>
      </c>
      <c r="FE74" s="60">
        <f>SUMIF(Report_BM!GF$6:GF$73,CONCATENATE($C74,FF$3),Report_BM!GC$6:GC$73)</f>
        <v>0</v>
      </c>
      <c r="FF74" s="41" t="e">
        <f>SUMIF(Report_BM!GF$6:GF$73,CONCATENATE($C74,FF$3),Report_BM!GD$6:GD$73)</f>
        <v>#VALUE!</v>
      </c>
      <c r="FG74" s="103"/>
      <c r="FH74" s="104"/>
      <c r="FI74" s="104"/>
      <c r="FJ74" s="104"/>
      <c r="FK74" s="104"/>
      <c r="FL74" s="104"/>
      <c r="FM74" s="60">
        <f>SUMIF(Report_BM!$GW$6:$GW$73,CONCATENATE($C74,FU$3),Report_BM!$GI$6:$GI$73)+SUMIF(Report_BM!$GW$6:$GW$73,CONCATENATE($C74,FU$3),Report_BM!$GL$6:$GL$73)</f>
        <v>0</v>
      </c>
      <c r="FN74" s="110" t="e">
        <f>SUMIF(Report_BM!$GW$6:$GW$73,CONCATENATE($C74,$FU$3),Report_BM!$GJ$6:$GJ$73)+SUMIF(Report_BM!$GW$6:$GW$73,CONCATENATE($C74,$FU$3),Report_BM!$GM$6:$GM$73)</f>
        <v>#VALUE!</v>
      </c>
      <c r="FO74" s="60">
        <f>SUMIF(Report_BM!$GW$6:$GW$73,CONCATENATE($C74,FU$3),Report_BM!$GO$6:$GO$73)</f>
        <v>0</v>
      </c>
      <c r="FP74" s="41">
        <f>SUMIF(Report_BM!$GW$6:$GW$73,CONCATENATE($C74,FU$3),Report_BM!$GP$6:$GP$73)</f>
        <v>0</v>
      </c>
      <c r="FQ74" s="41">
        <f>SUMIF(Report_BM!$GW$6:$GW$73,CONCATENATE($C74,FU$3),Report_BM!$GQ$6:$GQ$73)</f>
        <v>0</v>
      </c>
      <c r="FR74" s="41">
        <f>SUMIF(Report_BM!$GW$6:$GW$73,CONCATENATE($C74,FU$3),Report_BM!$GR$6:$GR$73)</f>
        <v>0</v>
      </c>
      <c r="FS74" s="110">
        <f>SUMIF(Master_Data!$AK$152:$AK$864,CONCATENATE($C74,FU$3),Master_Data!$T$152:$T$864)</f>
        <v>0</v>
      </c>
      <c r="FT74" s="60">
        <f>SUMIF(Report_BM!GW$6:GW$73,CONCATENATE($C74,FU$3),Report_BM!GT$6:GT$73)</f>
        <v>0</v>
      </c>
      <c r="FU74" s="41" t="e">
        <f>SUMIF(Report_BM!GW$6:GW$73,CONCATENATE($C74,FU$3),Report_BM!GU$6:GU$73)</f>
        <v>#VALUE!</v>
      </c>
      <c r="FV74" s="103"/>
      <c r="FW74" s="104"/>
      <c r="FX74" s="104"/>
      <c r="FY74" s="104"/>
      <c r="FZ74" s="104"/>
      <c r="GA74" s="104"/>
    </row>
    <row r="75" spans="1:183" ht="21.75" customHeight="1">
      <c r="A75" s="1835" t="s">
        <v>68</v>
      </c>
      <c r="B75" s="1836"/>
      <c r="C75" s="1837"/>
      <c r="D75" s="95">
        <f t="shared" ref="D75:L75" si="0">SUM(D9:D74)</f>
        <v>12049</v>
      </c>
      <c r="E75" s="96" t="e">
        <f>SUM(E9:E74)</f>
        <v>#VALUE!</v>
      </c>
      <c r="F75" s="95">
        <f>SUM(F9:F74)</f>
        <v>0</v>
      </c>
      <c r="G75" s="97">
        <f t="shared" si="0"/>
        <v>0</v>
      </c>
      <c r="H75" s="97">
        <f>SUM(H9:H74)</f>
        <v>3465091933</v>
      </c>
      <c r="I75" s="98">
        <f>SUM(I9:I74)</f>
        <v>-4539528.5</v>
      </c>
      <c r="J75" s="96">
        <f t="shared" si="0"/>
        <v>-61493543.5854</v>
      </c>
      <c r="K75" s="99">
        <f t="shared" si="0"/>
        <v>12049</v>
      </c>
      <c r="L75" s="97" t="e">
        <f t="shared" si="0"/>
        <v>#VALUE!</v>
      </c>
      <c r="M75" s="73"/>
      <c r="N75" s="73"/>
      <c r="O75" s="73"/>
      <c r="P75" s="73"/>
      <c r="Q75" s="73"/>
      <c r="R75" s="73"/>
      <c r="S75" s="95">
        <f t="shared" ref="S75:AA75" si="1">SUM(S7:S74)</f>
        <v>12049</v>
      </c>
      <c r="T75" s="96" t="e">
        <f t="shared" si="1"/>
        <v>#VALUE!</v>
      </c>
      <c r="U75" s="95">
        <f t="shared" si="1"/>
        <v>0</v>
      </c>
      <c r="V75" s="97">
        <f t="shared" si="1"/>
        <v>0</v>
      </c>
      <c r="W75" s="97">
        <f t="shared" si="1"/>
        <v>2321526523</v>
      </c>
      <c r="X75" s="98">
        <f t="shared" ca="1" si="1"/>
        <v>0</v>
      </c>
      <c r="Y75" s="96">
        <f t="shared" si="1"/>
        <v>-32532394.511840001</v>
      </c>
      <c r="Z75" s="99">
        <f t="shared" si="1"/>
        <v>12049</v>
      </c>
      <c r="AA75" s="97" t="e">
        <f t="shared" ca="1" si="1"/>
        <v>#VALUE!</v>
      </c>
      <c r="AB75" s="73"/>
      <c r="AC75" s="73"/>
      <c r="AD75" s="73"/>
      <c r="AE75" s="73"/>
      <c r="AF75" s="73"/>
      <c r="AG75" s="73"/>
      <c r="AH75" s="95">
        <f t="shared" ref="AH75:AP75" si="2">SUM(AH7:AH74)</f>
        <v>12049</v>
      </c>
      <c r="AI75" s="96" t="e">
        <f t="shared" ca="1" si="2"/>
        <v>#VALUE!</v>
      </c>
      <c r="AJ75" s="95">
        <f t="shared" si="2"/>
        <v>0</v>
      </c>
      <c r="AK75" s="97">
        <f t="shared" si="2"/>
        <v>0</v>
      </c>
      <c r="AL75" s="97">
        <f t="shared" si="2"/>
        <v>2109952616</v>
      </c>
      <c r="AM75" s="98">
        <f t="shared" ca="1" si="2"/>
        <v>-1850000</v>
      </c>
      <c r="AN75" s="96">
        <f t="shared" si="2"/>
        <v>-36688268.328160003</v>
      </c>
      <c r="AO75" s="99">
        <f t="shared" si="2"/>
        <v>12049</v>
      </c>
      <c r="AP75" s="97" t="e">
        <f t="shared" ca="1" si="2"/>
        <v>#VALUE!</v>
      </c>
      <c r="AQ75" s="73"/>
      <c r="AR75" s="73"/>
      <c r="AS75" s="73"/>
      <c r="AT75" s="73"/>
      <c r="AU75" s="73"/>
      <c r="AV75" s="73"/>
      <c r="AW75" s="95">
        <f t="shared" ref="AW75:BE75" si="3">SUM(AW7:AW74)</f>
        <v>12049</v>
      </c>
      <c r="AX75" s="96" t="e">
        <f t="shared" ca="1" si="3"/>
        <v>#VALUE!</v>
      </c>
      <c r="AY75" s="95">
        <f t="shared" si="3"/>
        <v>0</v>
      </c>
      <c r="AZ75" s="97">
        <f t="shared" si="3"/>
        <v>0</v>
      </c>
      <c r="BA75" s="97">
        <f t="shared" si="3"/>
        <v>1706594408</v>
      </c>
      <c r="BB75" s="97">
        <f t="shared" si="3"/>
        <v>-1850000</v>
      </c>
      <c r="BC75" s="96">
        <f t="shared" si="3"/>
        <v>-30187982.600000001</v>
      </c>
      <c r="BD75" s="72">
        <f t="shared" si="3"/>
        <v>12049</v>
      </c>
      <c r="BE75" s="99" t="e">
        <f t="shared" ca="1" si="3"/>
        <v>#VALUE!</v>
      </c>
      <c r="BF75" s="73"/>
      <c r="BG75" s="73"/>
      <c r="BH75" s="73"/>
      <c r="BI75" s="73"/>
      <c r="BJ75" s="73"/>
      <c r="BK75" s="73"/>
      <c r="BL75" s="95">
        <f t="shared" ref="BL75:BT75" si="4">SUM(BL7:BL74)</f>
        <v>12049</v>
      </c>
      <c r="BM75" s="96" t="e">
        <f t="shared" ca="1" si="4"/>
        <v>#VALUE!</v>
      </c>
      <c r="BN75" s="95">
        <f t="shared" si="4"/>
        <v>0</v>
      </c>
      <c r="BO75" s="336">
        <f t="shared" si="4"/>
        <v>0</v>
      </c>
      <c r="BP75" s="336">
        <f t="shared" si="4"/>
        <v>1992089475</v>
      </c>
      <c r="BQ75" s="336">
        <f t="shared" si="4"/>
        <v>-1850000</v>
      </c>
      <c r="BR75" s="96">
        <f t="shared" si="4"/>
        <v>-36341396.102119997</v>
      </c>
      <c r="BS75" s="95">
        <f t="shared" si="4"/>
        <v>12049</v>
      </c>
      <c r="BT75" s="99" t="e">
        <f t="shared" ca="1" si="4"/>
        <v>#VALUE!</v>
      </c>
      <c r="BU75" s="73"/>
      <c r="BV75" s="73"/>
      <c r="BW75" s="73"/>
      <c r="BX75" s="73"/>
      <c r="BY75" s="73"/>
      <c r="BZ75" s="73"/>
      <c r="CA75" s="95">
        <f t="shared" ref="CA75:CF75" si="5">SUM(CA7:CA74)</f>
        <v>12049</v>
      </c>
      <c r="CB75" s="96" t="e">
        <f t="shared" ca="1" si="5"/>
        <v>#VALUE!</v>
      </c>
      <c r="CC75" s="95">
        <f t="shared" si="5"/>
        <v>0</v>
      </c>
      <c r="CD75" s="355">
        <f t="shared" si="5"/>
        <v>0</v>
      </c>
      <c r="CE75" s="355">
        <f>SUM(CE7:CE74)</f>
        <v>4579442431</v>
      </c>
      <c r="CF75" s="355">
        <f t="shared" ca="1" si="5"/>
        <v>-1850000</v>
      </c>
      <c r="CG75" s="96">
        <f>SUM(CG7:CG74)</f>
        <v>-74841230.051039994</v>
      </c>
      <c r="CH75" s="95">
        <f>SUM(CH7:CH74)</f>
        <v>12049</v>
      </c>
      <c r="CI75" s="99" t="e">
        <f ca="1">SUM(CI7:CI74)</f>
        <v>#VALUE!</v>
      </c>
      <c r="CJ75" s="73"/>
      <c r="CK75" s="73"/>
      <c r="CL75" s="73"/>
      <c r="CM75" s="73"/>
      <c r="CN75" s="73"/>
      <c r="CO75" s="73"/>
      <c r="CP75" s="95">
        <f t="shared" ref="CP75:CX75" si="6">SUM(CP7:CP74)</f>
        <v>12049</v>
      </c>
      <c r="CQ75" s="96" t="e">
        <f t="shared" ca="1" si="6"/>
        <v>#VALUE!</v>
      </c>
      <c r="CR75" s="95">
        <f t="shared" si="6"/>
        <v>0</v>
      </c>
      <c r="CS75" s="374">
        <f t="shared" si="6"/>
        <v>0</v>
      </c>
      <c r="CT75" s="374">
        <f t="shared" si="6"/>
        <v>2914179808</v>
      </c>
      <c r="CU75" s="374">
        <f t="shared" si="6"/>
        <v>-1850000</v>
      </c>
      <c r="CV75" s="96">
        <f t="shared" si="6"/>
        <v>-52047224.32</v>
      </c>
      <c r="CW75" s="95">
        <f t="shared" si="6"/>
        <v>12049</v>
      </c>
      <c r="CX75" s="99" t="e">
        <f t="shared" ca="1" si="6"/>
        <v>#VALUE!</v>
      </c>
      <c r="CY75" s="73"/>
      <c r="CZ75" s="73"/>
      <c r="DA75" s="73"/>
      <c r="DB75" s="73"/>
      <c r="DC75" s="73"/>
      <c r="DD75" s="73"/>
      <c r="DE75" s="95">
        <f t="shared" ref="DE75:DK75" si="7">SUM(DE7:DE74)</f>
        <v>12049</v>
      </c>
      <c r="DF75" s="96" t="e">
        <f ca="1">SUM(DF7:DF74)</f>
        <v>#VALUE!</v>
      </c>
      <c r="DG75" s="95">
        <f t="shared" si="7"/>
        <v>0</v>
      </c>
      <c r="DH75" s="382">
        <f t="shared" si="7"/>
        <v>0</v>
      </c>
      <c r="DI75" s="382">
        <f t="shared" si="7"/>
        <v>1748007356</v>
      </c>
      <c r="DJ75" s="382">
        <f t="shared" si="7"/>
        <v>-1850000</v>
      </c>
      <c r="DK75" s="96">
        <f t="shared" si="7"/>
        <v>-32616379.386700001</v>
      </c>
      <c r="DL75" s="95">
        <f>SUM(DL7:DL74)</f>
        <v>12049</v>
      </c>
      <c r="DM75" s="99" t="e">
        <f ca="1">SUM(DM7:DM74)</f>
        <v>#VALUE!</v>
      </c>
      <c r="DN75" s="73"/>
      <c r="DO75" s="73"/>
      <c r="DP75" s="73"/>
      <c r="DQ75" s="73"/>
      <c r="DR75" s="73"/>
      <c r="DS75" s="73"/>
      <c r="DT75" s="95">
        <f t="shared" ref="DT75:EA75" si="8">SUM(DT7:DT74)</f>
        <v>12049</v>
      </c>
      <c r="DU75" s="96" t="e">
        <f t="shared" ca="1" si="8"/>
        <v>#VALUE!</v>
      </c>
      <c r="DV75" s="95">
        <f t="shared" si="8"/>
        <v>0</v>
      </c>
      <c r="DW75" s="402">
        <f t="shared" si="8"/>
        <v>0</v>
      </c>
      <c r="DX75" s="402">
        <f t="shared" si="8"/>
        <v>1237905579.3100002</v>
      </c>
      <c r="DY75" s="402">
        <f t="shared" si="8"/>
        <v>0</v>
      </c>
      <c r="DZ75" s="96">
        <f t="shared" si="8"/>
        <v>-22239623.439999998</v>
      </c>
      <c r="EA75" s="95">
        <f t="shared" si="8"/>
        <v>12049</v>
      </c>
      <c r="EB75" s="99">
        <f>SUM(EB7:EB74)</f>
        <v>0</v>
      </c>
      <c r="EC75" s="73"/>
      <c r="ED75" s="73"/>
      <c r="EE75" s="73"/>
      <c r="EF75" s="73"/>
      <c r="EG75" s="73"/>
      <c r="EH75" s="73"/>
      <c r="EI75" s="95">
        <f t="shared" ref="EI75:EQ75" si="9">SUM(EI7:EI74)</f>
        <v>12049</v>
      </c>
      <c r="EJ75" s="96" t="e">
        <f t="shared" si="9"/>
        <v>#VALUE!</v>
      </c>
      <c r="EK75" s="95">
        <f t="shared" si="9"/>
        <v>0</v>
      </c>
      <c r="EL75" s="409">
        <f t="shared" si="9"/>
        <v>0</v>
      </c>
      <c r="EM75" s="409">
        <f t="shared" si="9"/>
        <v>914490929</v>
      </c>
      <c r="EN75" s="409">
        <f t="shared" si="9"/>
        <v>0</v>
      </c>
      <c r="EO75" s="96">
        <f t="shared" si="9"/>
        <v>-16935017.200000003</v>
      </c>
      <c r="EP75" s="95">
        <f t="shared" si="9"/>
        <v>12049</v>
      </c>
      <c r="EQ75" s="99" t="e">
        <f t="shared" si="9"/>
        <v>#VALUE!</v>
      </c>
      <c r="ER75" s="73"/>
      <c r="ES75" s="73"/>
      <c r="ET75" s="73"/>
      <c r="EU75" s="73"/>
      <c r="EV75" s="73"/>
      <c r="EW75" s="73"/>
      <c r="EX75" s="95">
        <f t="shared" ref="EX75:FF75" si="10">SUM(EX7:EX74)</f>
        <v>12049</v>
      </c>
      <c r="EY75" s="96" t="e">
        <f t="shared" si="10"/>
        <v>#VALUE!</v>
      </c>
      <c r="EZ75" s="95">
        <f t="shared" si="10"/>
        <v>0</v>
      </c>
      <c r="FA75" s="509">
        <f t="shared" si="10"/>
        <v>0</v>
      </c>
      <c r="FB75" s="509">
        <f t="shared" si="10"/>
        <v>142900000</v>
      </c>
      <c r="FC75" s="509">
        <f t="shared" si="10"/>
        <v>-1850000</v>
      </c>
      <c r="FD75" s="96">
        <f t="shared" si="10"/>
        <v>-2100000</v>
      </c>
      <c r="FE75" s="95">
        <f t="shared" si="10"/>
        <v>12049</v>
      </c>
      <c r="FF75" s="99" t="e">
        <f t="shared" si="10"/>
        <v>#VALUE!</v>
      </c>
      <c r="FG75" s="73"/>
      <c r="FH75" s="73"/>
      <c r="FI75" s="73"/>
      <c r="FJ75" s="73"/>
      <c r="FK75" s="73"/>
      <c r="FL75" s="73"/>
      <c r="FM75" s="95">
        <f t="shared" ref="FM75:FU75" si="11">SUM(FM7:FM74)</f>
        <v>12049</v>
      </c>
      <c r="FN75" s="96" t="e">
        <f t="shared" si="11"/>
        <v>#VALUE!</v>
      </c>
      <c r="FO75" s="95">
        <f t="shared" si="11"/>
        <v>0</v>
      </c>
      <c r="FP75" s="523">
        <f t="shared" si="11"/>
        <v>0</v>
      </c>
      <c r="FQ75" s="523">
        <f t="shared" si="11"/>
        <v>895292185.98000002</v>
      </c>
      <c r="FR75" s="523">
        <f t="shared" si="11"/>
        <v>0</v>
      </c>
      <c r="FS75" s="96">
        <f>SUM(FS7:FS74)</f>
        <v>-16579484.925799999</v>
      </c>
      <c r="FT75" s="95">
        <f t="shared" si="11"/>
        <v>12049</v>
      </c>
      <c r="FU75" s="99" t="e">
        <f t="shared" si="11"/>
        <v>#VALUE!</v>
      </c>
      <c r="FV75" s="73"/>
      <c r="FW75" s="73"/>
      <c r="FX75" s="73"/>
      <c r="FY75" s="73"/>
      <c r="FZ75" s="73"/>
      <c r="GA75" s="73"/>
    </row>
    <row r="76" spans="1:183">
      <c r="T76" s="43" t="e">
        <f ca="1">Report_BM!Y74-Sum_BM!T75</f>
        <v>#VALUE!</v>
      </c>
      <c r="AA76" s="43" t="e">
        <f ca="1">AA75-'Outs Inv'!Q149</f>
        <v>#VALUE!</v>
      </c>
      <c r="AI76" s="43" t="e">
        <f ca="1">Report_BM!AP74-Sum_BM!AI75</f>
        <v>#VALUE!</v>
      </c>
      <c r="AL76" s="43">
        <f>Report_BM!AT73-Sum_BM!AL75</f>
        <v>0</v>
      </c>
      <c r="AX76" s="43" t="e">
        <f ca="1">Report_BM!BG74-Sum_BM!AX75</f>
        <v>#VALUE!</v>
      </c>
      <c r="BM76" s="43" t="e">
        <f ca="1">Report_BM!BW74-Sum_BM!BM75</f>
        <v>#VALUE!</v>
      </c>
      <c r="CB76" s="43" t="e">
        <f ca="1">Report_BM!CM74-Sum_BM!CB75</f>
        <v>#VALUE!</v>
      </c>
      <c r="CI76" s="43" t="e">
        <f ca="1">CI75-'Outs Inv'!BA143</f>
        <v>#VALUE!</v>
      </c>
      <c r="CQ76" s="43" t="e">
        <f ca="1">Report_BM!DC74-Sum_BM!CQ75</f>
        <v>#VALUE!</v>
      </c>
      <c r="DF76" s="43" t="e">
        <f ca="1">Report_BM!DS74-Sum_BM!DF75</f>
        <v>#VALUE!</v>
      </c>
      <c r="DU76" s="43" t="e">
        <f ca="1">Report_BM!EI74-Sum_BM!DU75</f>
        <v>#VALUE!</v>
      </c>
      <c r="EJ76" s="43" t="e">
        <f>Report_BM!EY74-Sum_BM!EJ75</f>
        <v>#VALUE!</v>
      </c>
      <c r="EY76" s="43" t="e">
        <f>Report_BM!FO74-Sum_BM!EY75</f>
        <v>#VALUE!</v>
      </c>
      <c r="FN76" s="43" t="e">
        <f>Report_BM!GE74-Sum_BM!FN75</f>
        <v>#VALUE!</v>
      </c>
    </row>
    <row r="78" spans="1:183" ht="24.75" customHeight="1">
      <c r="A78" s="47"/>
      <c r="B78" s="47"/>
      <c r="C78" s="47"/>
    </row>
  </sheetData>
  <mergeCells count="196">
    <mergeCell ref="FM3:FT3"/>
    <mergeCell ref="FW3:FY3"/>
    <mergeCell ref="FH7:FJ7"/>
    <mergeCell ref="FH8:FJ8"/>
    <mergeCell ref="EX3:FE3"/>
    <mergeCell ref="FH3:FJ3"/>
    <mergeCell ref="EX4:EY4"/>
    <mergeCell ref="EZ4:FD4"/>
    <mergeCell ref="FE4:FF4"/>
    <mergeCell ref="FH4:FJ4"/>
    <mergeCell ref="EX5:EX6"/>
    <mergeCell ref="EY5:EY6"/>
    <mergeCell ref="EZ5:FA5"/>
    <mergeCell ref="FB5:FD5"/>
    <mergeCell ref="FE5:FE6"/>
    <mergeCell ref="FF5:FF6"/>
    <mergeCell ref="FH5:FJ5"/>
    <mergeCell ref="FH6:FJ6"/>
    <mergeCell ref="FM4:FN4"/>
    <mergeCell ref="FO4:FS4"/>
    <mergeCell ref="FT4:FU4"/>
    <mergeCell ref="FW4:FY4"/>
    <mergeCell ref="FM5:FM6"/>
    <mergeCell ref="FO5:FP5"/>
    <mergeCell ref="ED7:EF7"/>
    <mergeCell ref="DT3:EA3"/>
    <mergeCell ref="ED3:EF3"/>
    <mergeCell ref="DT4:DU4"/>
    <mergeCell ref="DV4:DZ4"/>
    <mergeCell ref="EA4:EB4"/>
    <mergeCell ref="ED4:EF4"/>
    <mergeCell ref="DT5:DT6"/>
    <mergeCell ref="DU5:DU6"/>
    <mergeCell ref="DV5:DW5"/>
    <mergeCell ref="DX5:DZ5"/>
    <mergeCell ref="EA5:EA6"/>
    <mergeCell ref="EB5:EB6"/>
    <mergeCell ref="ED5:EF5"/>
    <mergeCell ref="ED6:EF6"/>
    <mergeCell ref="CK5:CM5"/>
    <mergeCell ref="CK6:CM6"/>
    <mergeCell ref="CX5:CX6"/>
    <mergeCell ref="CZ5:DB5"/>
    <mergeCell ref="CZ6:DB6"/>
    <mergeCell ref="DO7:DQ7"/>
    <mergeCell ref="DE3:DL3"/>
    <mergeCell ref="DO3:DQ3"/>
    <mergeCell ref="DE4:DF4"/>
    <mergeCell ref="DG4:DK4"/>
    <mergeCell ref="DL4:DM4"/>
    <mergeCell ref="DO4:DQ4"/>
    <mergeCell ref="DE5:DE6"/>
    <mergeCell ref="DF5:DF6"/>
    <mergeCell ref="DG5:DH5"/>
    <mergeCell ref="DI5:DK5"/>
    <mergeCell ref="DL5:DL6"/>
    <mergeCell ref="DM5:DM6"/>
    <mergeCell ref="DO5:DQ5"/>
    <mergeCell ref="DO6:DQ6"/>
    <mergeCell ref="CR5:CS5"/>
    <mergeCell ref="CT5:CV5"/>
    <mergeCell ref="CW5:CW6"/>
    <mergeCell ref="CP3:CW3"/>
    <mergeCell ref="CZ3:DB3"/>
    <mergeCell ref="CP4:CQ4"/>
    <mergeCell ref="CR4:CV4"/>
    <mergeCell ref="CW4:CX4"/>
    <mergeCell ref="CZ4:DB4"/>
    <mergeCell ref="CA3:CH3"/>
    <mergeCell ref="CK3:CM3"/>
    <mergeCell ref="CA4:CB4"/>
    <mergeCell ref="CC4:CG4"/>
    <mergeCell ref="CH4:CI4"/>
    <mergeCell ref="CK4:CM4"/>
    <mergeCell ref="BG5:BI5"/>
    <mergeCell ref="BG6:BI6"/>
    <mergeCell ref="BL3:BS3"/>
    <mergeCell ref="BV3:BX3"/>
    <mergeCell ref="BL4:BM4"/>
    <mergeCell ref="BN4:BR4"/>
    <mergeCell ref="BS4:BT4"/>
    <mergeCell ref="BV4:BX4"/>
    <mergeCell ref="BL5:BL6"/>
    <mergeCell ref="BM5:BM6"/>
    <mergeCell ref="BN5:BO5"/>
    <mergeCell ref="BP5:BR5"/>
    <mergeCell ref="BS5:BS6"/>
    <mergeCell ref="BT5:BT6"/>
    <mergeCell ref="BV5:BX5"/>
    <mergeCell ref="BV6:BX6"/>
    <mergeCell ref="AH3:AO3"/>
    <mergeCell ref="AR3:AT3"/>
    <mergeCell ref="AH4:AI4"/>
    <mergeCell ref="AJ4:AN4"/>
    <mergeCell ref="AO4:AP4"/>
    <mergeCell ref="AR4:AT4"/>
    <mergeCell ref="AH5:AH6"/>
    <mergeCell ref="AI5:AI6"/>
    <mergeCell ref="AJ5:AK5"/>
    <mergeCell ref="AL5:AN5"/>
    <mergeCell ref="AO5:AO6"/>
    <mergeCell ref="AP5:AP6"/>
    <mergeCell ref="AR5:AT5"/>
    <mergeCell ref="AR6:AT6"/>
    <mergeCell ref="B3:B6"/>
    <mergeCell ref="A75:C75"/>
    <mergeCell ref="A3:A6"/>
    <mergeCell ref="F5:G5"/>
    <mergeCell ref="D5:D6"/>
    <mergeCell ref="E5:E6"/>
    <mergeCell ref="D3:K3"/>
    <mergeCell ref="N3:P3"/>
    <mergeCell ref="N4:P4"/>
    <mergeCell ref="N5:P5"/>
    <mergeCell ref="N6:P6"/>
    <mergeCell ref="D4:E4"/>
    <mergeCell ref="F4:J4"/>
    <mergeCell ref="H5:J5"/>
    <mergeCell ref="N8:P8"/>
    <mergeCell ref="N7:P7"/>
    <mergeCell ref="K5:K6"/>
    <mergeCell ref="L5:L6"/>
    <mergeCell ref="K4:L4"/>
    <mergeCell ref="C3:C6"/>
    <mergeCell ref="AC7:AE7"/>
    <mergeCell ref="S5:S6"/>
    <mergeCell ref="T5:T6"/>
    <mergeCell ref="U5:V5"/>
    <mergeCell ref="W5:Y5"/>
    <mergeCell ref="Z5:Z6"/>
    <mergeCell ref="AC3:AE3"/>
    <mergeCell ref="S4:T4"/>
    <mergeCell ref="U4:Y4"/>
    <mergeCell ref="Z4:AA4"/>
    <mergeCell ref="AC4:AE4"/>
    <mergeCell ref="S3:Z3"/>
    <mergeCell ref="AA5:AA6"/>
    <mergeCell ref="AC5:AE5"/>
    <mergeCell ref="AC6:AE6"/>
    <mergeCell ref="BG7:BI7"/>
    <mergeCell ref="AW5:AW6"/>
    <mergeCell ref="EI3:EP3"/>
    <mergeCell ref="ES3:EU3"/>
    <mergeCell ref="EI4:EJ4"/>
    <mergeCell ref="EK4:EO4"/>
    <mergeCell ref="EP4:EQ4"/>
    <mergeCell ref="ES4:EU4"/>
    <mergeCell ref="EI5:EI6"/>
    <mergeCell ref="EJ5:EJ6"/>
    <mergeCell ref="EK5:EL5"/>
    <mergeCell ref="EM5:EO5"/>
    <mergeCell ref="EP5:EP6"/>
    <mergeCell ref="EQ5:EQ6"/>
    <mergeCell ref="ES5:EU5"/>
    <mergeCell ref="ES6:EU6"/>
    <mergeCell ref="CI5:CI6"/>
    <mergeCell ref="AW3:BD3"/>
    <mergeCell ref="BG3:BI3"/>
    <mergeCell ref="AW4:AX4"/>
    <mergeCell ref="AY4:BC4"/>
    <mergeCell ref="BD4:BE4"/>
    <mergeCell ref="BG4:BI4"/>
    <mergeCell ref="BE5:BE6"/>
    <mergeCell ref="FQ5:FS5"/>
    <mergeCell ref="FT5:FT6"/>
    <mergeCell ref="FU5:FU6"/>
    <mergeCell ref="FW5:FY5"/>
    <mergeCell ref="FW6:FY6"/>
    <mergeCell ref="ES7:EU7"/>
    <mergeCell ref="FW7:FY7"/>
    <mergeCell ref="ES8:EU8"/>
    <mergeCell ref="FW8:FY8"/>
    <mergeCell ref="ED8:EF8"/>
    <mergeCell ref="DO8:DQ8"/>
    <mergeCell ref="CZ8:DB8"/>
    <mergeCell ref="CK8:CM8"/>
    <mergeCell ref="BV8:BX8"/>
    <mergeCell ref="BG8:BI8"/>
    <mergeCell ref="AR8:AT8"/>
    <mergeCell ref="AC8:AE8"/>
    <mergeCell ref="FN5:FN6"/>
    <mergeCell ref="BV7:BX7"/>
    <mergeCell ref="AX5:AX6"/>
    <mergeCell ref="AY5:AZ5"/>
    <mergeCell ref="BA5:BC5"/>
    <mergeCell ref="BD5:BD6"/>
    <mergeCell ref="AR7:AT7"/>
    <mergeCell ref="CK7:CM7"/>
    <mergeCell ref="CA5:CA6"/>
    <mergeCell ref="CB5:CB6"/>
    <mergeCell ref="CC5:CD5"/>
    <mergeCell ref="CE5:CG5"/>
    <mergeCell ref="CH5:CH6"/>
    <mergeCell ref="CZ7:DB7"/>
    <mergeCell ref="CP5:CP6"/>
    <mergeCell ref="CQ5:CQ6"/>
  </mergeCells>
  <printOptions horizontalCentered="1"/>
  <pageMargins left="0.2" right="0" top="0.06" bottom="0.34" header="0.05" footer="0.2"/>
  <pageSetup paperSize="9" scale="54" orientation="landscape" horizontalDpi="4294967293" r:id="rId1"/>
  <headerFooter>
    <oddFooter>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0000"/>
  </sheetPr>
  <dimension ref="A1:DB523"/>
  <sheetViews>
    <sheetView showGridLines="0" view="pageBreakPreview" zoomScale="85" zoomScaleSheetLayoutView="85" workbookViewId="0">
      <pane xSplit="4" ySplit="4" topLeftCell="BA119" activePane="bottomRight" state="frozen"/>
      <selection pane="topRight" activeCell="E1" sqref="E1"/>
      <selection pane="bottomLeft" activeCell="A6" sqref="A6"/>
      <selection pane="bottomRight" activeCell="BF31" sqref="BF31"/>
    </sheetView>
  </sheetViews>
  <sheetFormatPr defaultRowHeight="12.75"/>
  <cols>
    <col min="1" max="1" width="4.140625" style="474" bestFit="1" customWidth="1"/>
    <col min="2" max="2" width="4.7109375" style="474" bestFit="1" customWidth="1"/>
    <col min="3" max="3" width="4" style="474" bestFit="1" customWidth="1"/>
    <col min="4" max="4" width="35.42578125" style="33" bestFit="1" customWidth="1"/>
    <col min="5" max="5" width="5.7109375" style="33" bestFit="1" customWidth="1"/>
    <col min="6" max="6" width="27.5703125" style="33" bestFit="1" customWidth="1"/>
    <col min="7" max="7" width="17.42578125" style="33" customWidth="1"/>
    <col min="8" max="8" width="19.85546875" style="33" bestFit="1" customWidth="1"/>
    <col min="9" max="9" width="9.140625" style="33"/>
    <col min="10" max="10" width="4.140625" style="474" bestFit="1" customWidth="1"/>
    <col min="11" max="11" width="4.7109375" style="474" bestFit="1" customWidth="1"/>
    <col min="12" max="12" width="4" style="474" bestFit="1" customWidth="1"/>
    <col min="13" max="13" width="35.42578125" style="33" bestFit="1" customWidth="1"/>
    <col min="14" max="14" width="5.7109375" style="33" bestFit="1" customWidth="1"/>
    <col min="15" max="15" width="27.5703125" style="33" bestFit="1" customWidth="1"/>
    <col min="16" max="16" width="17.42578125" style="33" customWidth="1"/>
    <col min="17" max="17" width="19.85546875" style="33" bestFit="1" customWidth="1"/>
    <col min="18" max="18" width="9.140625" style="33"/>
    <col min="19" max="19" width="4.140625" style="474" bestFit="1" customWidth="1"/>
    <col min="20" max="20" width="4.7109375" style="474" bestFit="1" customWidth="1"/>
    <col min="21" max="21" width="4" style="474" bestFit="1" customWidth="1"/>
    <col min="22" max="22" width="35.42578125" style="33" bestFit="1" customWidth="1"/>
    <col min="23" max="23" width="5.7109375" style="33" bestFit="1" customWidth="1"/>
    <col min="24" max="24" width="27.5703125" style="33" bestFit="1" customWidth="1"/>
    <col min="25" max="25" width="17.42578125" style="33" customWidth="1"/>
    <col min="26" max="26" width="19.85546875" style="33" bestFit="1" customWidth="1"/>
    <col min="27" max="27" width="9.140625" style="33"/>
    <col min="28" max="28" width="4.140625" style="474" bestFit="1" customWidth="1"/>
    <col min="29" max="29" width="4.7109375" style="474" bestFit="1" customWidth="1"/>
    <col min="30" max="30" width="4" style="474" bestFit="1" customWidth="1"/>
    <col min="31" max="31" width="35.42578125" style="33" bestFit="1" customWidth="1"/>
    <col min="32" max="32" width="5.7109375" style="33" bestFit="1" customWidth="1"/>
    <col min="33" max="33" width="27.5703125" style="33" bestFit="1" customWidth="1"/>
    <col min="34" max="34" width="17.42578125" style="33" customWidth="1"/>
    <col min="35" max="35" width="19.85546875" style="33" bestFit="1" customWidth="1"/>
    <col min="36" max="36" width="9.140625" style="33"/>
    <col min="37" max="37" width="4.140625" style="474" bestFit="1" customWidth="1"/>
    <col min="38" max="38" width="4.7109375" style="474" bestFit="1" customWidth="1"/>
    <col min="39" max="39" width="4" style="474" bestFit="1" customWidth="1"/>
    <col min="40" max="40" width="35.42578125" style="33" bestFit="1" customWidth="1"/>
    <col min="41" max="41" width="5.7109375" style="33" bestFit="1" customWidth="1"/>
    <col min="42" max="42" width="27.5703125" style="33" bestFit="1" customWidth="1"/>
    <col min="43" max="43" width="17.42578125" style="33" customWidth="1"/>
    <col min="44" max="44" width="19.85546875" style="33" bestFit="1" customWidth="1"/>
    <col min="45" max="45" width="9.140625" style="33"/>
    <col min="46" max="46" width="4.140625" style="474" bestFit="1" customWidth="1"/>
    <col min="47" max="47" width="4.7109375" style="474" bestFit="1" customWidth="1"/>
    <col min="48" max="48" width="4" style="474" bestFit="1" customWidth="1"/>
    <col min="49" max="49" width="35.42578125" style="33" bestFit="1" customWidth="1"/>
    <col min="50" max="50" width="5.7109375" style="33" bestFit="1" customWidth="1"/>
    <col min="51" max="51" width="27.5703125" style="33" bestFit="1" customWidth="1"/>
    <col min="52" max="52" width="17.42578125" style="33" customWidth="1"/>
    <col min="53" max="53" width="19.85546875" style="33" bestFit="1" customWidth="1"/>
    <col min="54" max="54" width="9.140625" style="33"/>
    <col min="55" max="55" width="4.140625" style="474" bestFit="1" customWidth="1"/>
    <col min="56" max="56" width="4.7109375" style="474" bestFit="1" customWidth="1"/>
    <col min="57" max="57" width="4" style="474" bestFit="1" customWidth="1"/>
    <col min="58" max="58" width="35.42578125" style="33" bestFit="1" customWidth="1"/>
    <col min="59" max="59" width="5.7109375" style="33" bestFit="1" customWidth="1"/>
    <col min="60" max="60" width="27.5703125" style="33" bestFit="1" customWidth="1"/>
    <col min="61" max="61" width="17.42578125" style="33" customWidth="1"/>
    <col min="62" max="62" width="19.85546875" style="33" bestFit="1" customWidth="1"/>
    <col min="63" max="63" width="18.5703125" style="33" bestFit="1" customWidth="1"/>
    <col min="64" max="64" width="4.140625" style="35" bestFit="1" customWidth="1"/>
    <col min="65" max="65" width="4.7109375" style="35" bestFit="1" customWidth="1"/>
    <col min="66" max="66" width="4" style="35" bestFit="1" customWidth="1"/>
    <col min="67" max="67" width="35.42578125" style="33" bestFit="1" customWidth="1"/>
    <col min="68" max="68" width="5.7109375" style="33" bestFit="1" customWidth="1"/>
    <col min="69" max="69" width="27.5703125" style="33" bestFit="1" customWidth="1"/>
    <col min="70" max="70" width="17.42578125" style="33" customWidth="1"/>
    <col min="71" max="71" width="19.85546875" style="33" bestFit="1" customWidth="1"/>
    <col min="72" max="72" width="7.7109375" style="33" customWidth="1"/>
    <col min="73" max="73" width="4.140625" style="35" bestFit="1" customWidth="1"/>
    <col min="74" max="74" width="4.7109375" style="35" bestFit="1" customWidth="1"/>
    <col min="75" max="75" width="4" style="35" bestFit="1" customWidth="1"/>
    <col min="76" max="76" width="35.42578125" style="33" bestFit="1" customWidth="1"/>
    <col min="77" max="77" width="5.7109375" style="33" bestFit="1" customWidth="1"/>
    <col min="78" max="78" width="27.5703125" style="33" bestFit="1" customWidth="1"/>
    <col min="79" max="79" width="17.42578125" style="33" customWidth="1"/>
    <col min="80" max="80" width="19.85546875" style="33" bestFit="1" customWidth="1"/>
    <col min="81" max="81" width="9.140625" style="33"/>
    <col min="82" max="82" width="4.140625" style="474" bestFit="1" customWidth="1"/>
    <col min="83" max="83" width="4.7109375" style="474" bestFit="1" customWidth="1"/>
    <col min="84" max="84" width="4" style="474" bestFit="1" customWidth="1"/>
    <col min="85" max="85" width="35.42578125" style="33" bestFit="1" customWidth="1"/>
    <col min="86" max="86" width="5.7109375" style="33" bestFit="1" customWidth="1"/>
    <col min="87" max="87" width="27.5703125" style="33" bestFit="1" customWidth="1"/>
    <col min="88" max="88" width="17.42578125" style="33" customWidth="1"/>
    <col min="89" max="89" width="19.85546875" style="33" bestFit="1" customWidth="1"/>
    <col min="90" max="90" width="9.140625" style="33"/>
    <col min="91" max="91" width="4.140625" style="474" bestFit="1" customWidth="1"/>
    <col min="92" max="92" width="4.7109375" style="474" bestFit="1" customWidth="1"/>
    <col min="93" max="93" width="4" style="474" bestFit="1" customWidth="1"/>
    <col min="94" max="94" width="30.7109375" style="33" customWidth="1"/>
    <col min="95" max="95" width="5.7109375" style="33" bestFit="1" customWidth="1"/>
    <col min="96" max="96" width="24.85546875" style="33" customWidth="1"/>
    <col min="97" max="97" width="17.42578125" style="33" customWidth="1"/>
    <col min="98" max="98" width="19.85546875" style="33" bestFit="1" customWidth="1"/>
    <col min="99" max="99" width="5" style="33" customWidth="1"/>
    <col min="100" max="100" width="5.140625" style="33" customWidth="1"/>
    <col min="101" max="101" width="4.7109375" style="33" bestFit="1" customWidth="1"/>
    <col min="102" max="102" width="4" style="33" bestFit="1" customWidth="1"/>
    <col min="103" max="103" width="28" style="33" customWidth="1"/>
    <col min="104" max="104" width="6.42578125" style="33" bestFit="1" customWidth="1"/>
    <col min="105" max="105" width="21.85546875" style="33" customWidth="1"/>
    <col min="106" max="106" width="18.5703125" style="33" bestFit="1" customWidth="1"/>
    <col min="107" max="209" width="9.140625" style="33"/>
    <col min="210" max="210" width="3.85546875" style="33" bestFit="1" customWidth="1"/>
    <col min="211" max="211" width="44.5703125" style="33" bestFit="1" customWidth="1"/>
    <col min="212" max="212" width="28.7109375" style="33" bestFit="1" customWidth="1"/>
    <col min="213" max="213" width="16.85546875" style="33" customWidth="1"/>
    <col min="214" max="214" width="8.7109375" style="33" customWidth="1"/>
    <col min="215" max="215" width="24" style="33" bestFit="1" customWidth="1"/>
    <col min="216" max="216" width="21.42578125" style="33" bestFit="1" customWidth="1"/>
    <col min="217" max="217" width="24.7109375" style="33" customWidth="1"/>
    <col min="218" max="218" width="20.7109375" style="33" customWidth="1"/>
    <col min="219" max="219" width="25.5703125" style="33" bestFit="1" customWidth="1"/>
    <col min="220" max="220" width="25.28515625" style="33" customWidth="1"/>
    <col min="221" max="221" width="21" style="33" bestFit="1" customWidth="1"/>
    <col min="222" max="222" width="20" style="33" bestFit="1" customWidth="1"/>
    <col min="223" max="223" width="19.28515625" style="33" bestFit="1" customWidth="1"/>
    <col min="224" max="224" width="16.28515625" style="33" bestFit="1" customWidth="1"/>
    <col min="225" max="225" width="15.28515625" style="33" bestFit="1" customWidth="1"/>
    <col min="226" max="465" width="9.140625" style="33"/>
    <col min="466" max="466" width="3.85546875" style="33" bestFit="1" customWidth="1"/>
    <col min="467" max="467" width="44.5703125" style="33" bestFit="1" customWidth="1"/>
    <col min="468" max="468" width="28.7109375" style="33" bestFit="1" customWidth="1"/>
    <col min="469" max="469" width="16.85546875" style="33" customWidth="1"/>
    <col min="470" max="470" width="8.7109375" style="33" customWidth="1"/>
    <col min="471" max="471" width="24" style="33" bestFit="1" customWidth="1"/>
    <col min="472" max="472" width="21.42578125" style="33" bestFit="1" customWidth="1"/>
    <col min="473" max="473" width="24.7109375" style="33" customWidth="1"/>
    <col min="474" max="474" width="20.7109375" style="33" customWidth="1"/>
    <col min="475" max="475" width="25.5703125" style="33" bestFit="1" customWidth="1"/>
    <col min="476" max="476" width="25.28515625" style="33" customWidth="1"/>
    <col min="477" max="477" width="21" style="33" bestFit="1" customWidth="1"/>
    <col min="478" max="478" width="20" style="33" bestFit="1" customWidth="1"/>
    <col min="479" max="479" width="19.28515625" style="33" bestFit="1" customWidth="1"/>
    <col min="480" max="480" width="16.28515625" style="33" bestFit="1" customWidth="1"/>
    <col min="481" max="481" width="15.28515625" style="33" bestFit="1" customWidth="1"/>
    <col min="482" max="721" width="9.140625" style="33"/>
    <col min="722" max="722" width="3.85546875" style="33" bestFit="1" customWidth="1"/>
    <col min="723" max="723" width="44.5703125" style="33" bestFit="1" customWidth="1"/>
    <col min="724" max="724" width="28.7109375" style="33" bestFit="1" customWidth="1"/>
    <col min="725" max="725" width="16.85546875" style="33" customWidth="1"/>
    <col min="726" max="726" width="8.7109375" style="33" customWidth="1"/>
    <col min="727" max="727" width="24" style="33" bestFit="1" customWidth="1"/>
    <col min="728" max="728" width="21.42578125" style="33" bestFit="1" customWidth="1"/>
    <col min="729" max="729" width="24.7109375" style="33" customWidth="1"/>
    <col min="730" max="730" width="20.7109375" style="33" customWidth="1"/>
    <col min="731" max="731" width="25.5703125" style="33" bestFit="1" customWidth="1"/>
    <col min="732" max="732" width="25.28515625" style="33" customWidth="1"/>
    <col min="733" max="733" width="21" style="33" bestFit="1" customWidth="1"/>
    <col min="734" max="734" width="20" style="33" bestFit="1" customWidth="1"/>
    <col min="735" max="735" width="19.28515625" style="33" bestFit="1" customWidth="1"/>
    <col min="736" max="736" width="16.28515625" style="33" bestFit="1" customWidth="1"/>
    <col min="737" max="737" width="15.28515625" style="33" bestFit="1" customWidth="1"/>
    <col min="738" max="977" width="9.140625" style="33"/>
    <col min="978" max="978" width="3.85546875" style="33" bestFit="1" customWidth="1"/>
    <col min="979" max="979" width="44.5703125" style="33" bestFit="1" customWidth="1"/>
    <col min="980" max="980" width="28.7109375" style="33" bestFit="1" customWidth="1"/>
    <col min="981" max="981" width="16.85546875" style="33" customWidth="1"/>
    <col min="982" max="982" width="8.7109375" style="33" customWidth="1"/>
    <col min="983" max="983" width="24" style="33" bestFit="1" customWidth="1"/>
    <col min="984" max="984" width="21.42578125" style="33" bestFit="1" customWidth="1"/>
    <col min="985" max="985" width="24.7109375" style="33" customWidth="1"/>
    <col min="986" max="986" width="20.7109375" style="33" customWidth="1"/>
    <col min="987" max="987" width="25.5703125" style="33" bestFit="1" customWidth="1"/>
    <col min="988" max="988" width="25.28515625" style="33" customWidth="1"/>
    <col min="989" max="989" width="21" style="33" bestFit="1" customWidth="1"/>
    <col min="990" max="990" width="20" style="33" bestFit="1" customWidth="1"/>
    <col min="991" max="991" width="19.28515625" style="33" bestFit="1" customWidth="1"/>
    <col min="992" max="992" width="16.28515625" style="33" bestFit="1" customWidth="1"/>
    <col min="993" max="993" width="15.28515625" style="33" bestFit="1" customWidth="1"/>
    <col min="994" max="1233" width="9.140625" style="33"/>
    <col min="1234" max="1234" width="3.85546875" style="33" bestFit="1" customWidth="1"/>
    <col min="1235" max="1235" width="44.5703125" style="33" bestFit="1" customWidth="1"/>
    <col min="1236" max="1236" width="28.7109375" style="33" bestFit="1" customWidth="1"/>
    <col min="1237" max="1237" width="16.85546875" style="33" customWidth="1"/>
    <col min="1238" max="1238" width="8.7109375" style="33" customWidth="1"/>
    <col min="1239" max="1239" width="24" style="33" bestFit="1" customWidth="1"/>
    <col min="1240" max="1240" width="21.42578125" style="33" bestFit="1" customWidth="1"/>
    <col min="1241" max="1241" width="24.7109375" style="33" customWidth="1"/>
    <col min="1242" max="1242" width="20.7109375" style="33" customWidth="1"/>
    <col min="1243" max="1243" width="25.5703125" style="33" bestFit="1" customWidth="1"/>
    <col min="1244" max="1244" width="25.28515625" style="33" customWidth="1"/>
    <col min="1245" max="1245" width="21" style="33" bestFit="1" customWidth="1"/>
    <col min="1246" max="1246" width="20" style="33" bestFit="1" customWidth="1"/>
    <col min="1247" max="1247" width="19.28515625" style="33" bestFit="1" customWidth="1"/>
    <col min="1248" max="1248" width="16.28515625" style="33" bestFit="1" customWidth="1"/>
    <col min="1249" max="1249" width="15.28515625" style="33" bestFit="1" customWidth="1"/>
    <col min="1250" max="1489" width="9.140625" style="33"/>
    <col min="1490" max="1490" width="3.85546875" style="33" bestFit="1" customWidth="1"/>
    <col min="1491" max="1491" width="44.5703125" style="33" bestFit="1" customWidth="1"/>
    <col min="1492" max="1492" width="28.7109375" style="33" bestFit="1" customWidth="1"/>
    <col min="1493" max="1493" width="16.85546875" style="33" customWidth="1"/>
    <col min="1494" max="1494" width="8.7109375" style="33" customWidth="1"/>
    <col min="1495" max="1495" width="24" style="33" bestFit="1" customWidth="1"/>
    <col min="1496" max="1496" width="21.42578125" style="33" bestFit="1" customWidth="1"/>
    <col min="1497" max="1497" width="24.7109375" style="33" customWidth="1"/>
    <col min="1498" max="1498" width="20.7109375" style="33" customWidth="1"/>
    <col min="1499" max="1499" width="25.5703125" style="33" bestFit="1" customWidth="1"/>
    <col min="1500" max="1500" width="25.28515625" style="33" customWidth="1"/>
    <col min="1501" max="1501" width="21" style="33" bestFit="1" customWidth="1"/>
    <col min="1502" max="1502" width="20" style="33" bestFit="1" customWidth="1"/>
    <col min="1503" max="1503" width="19.28515625" style="33" bestFit="1" customWidth="1"/>
    <col min="1504" max="1504" width="16.28515625" style="33" bestFit="1" customWidth="1"/>
    <col min="1505" max="1505" width="15.28515625" style="33" bestFit="1" customWidth="1"/>
    <col min="1506" max="1745" width="9.140625" style="33"/>
    <col min="1746" max="1746" width="3.85546875" style="33" bestFit="1" customWidth="1"/>
    <col min="1747" max="1747" width="44.5703125" style="33" bestFit="1" customWidth="1"/>
    <col min="1748" max="1748" width="28.7109375" style="33" bestFit="1" customWidth="1"/>
    <col min="1749" max="1749" width="16.85546875" style="33" customWidth="1"/>
    <col min="1750" max="1750" width="8.7109375" style="33" customWidth="1"/>
    <col min="1751" max="1751" width="24" style="33" bestFit="1" customWidth="1"/>
    <col min="1752" max="1752" width="21.42578125" style="33" bestFit="1" customWidth="1"/>
    <col min="1753" max="1753" width="24.7109375" style="33" customWidth="1"/>
    <col min="1754" max="1754" width="20.7109375" style="33" customWidth="1"/>
    <col min="1755" max="1755" width="25.5703125" style="33" bestFit="1" customWidth="1"/>
    <col min="1756" max="1756" width="25.28515625" style="33" customWidth="1"/>
    <col min="1757" max="1757" width="21" style="33" bestFit="1" customWidth="1"/>
    <col min="1758" max="1758" width="20" style="33" bestFit="1" customWidth="1"/>
    <col min="1759" max="1759" width="19.28515625" style="33" bestFit="1" customWidth="1"/>
    <col min="1760" max="1760" width="16.28515625" style="33" bestFit="1" customWidth="1"/>
    <col min="1761" max="1761" width="15.28515625" style="33" bestFit="1" customWidth="1"/>
    <col min="1762" max="2001" width="9.140625" style="33"/>
    <col min="2002" max="2002" width="3.85546875" style="33" bestFit="1" customWidth="1"/>
    <col min="2003" max="2003" width="44.5703125" style="33" bestFit="1" customWidth="1"/>
    <col min="2004" max="2004" width="28.7109375" style="33" bestFit="1" customWidth="1"/>
    <col min="2005" max="2005" width="16.85546875" style="33" customWidth="1"/>
    <col min="2006" max="2006" width="8.7109375" style="33" customWidth="1"/>
    <col min="2007" max="2007" width="24" style="33" bestFit="1" customWidth="1"/>
    <col min="2008" max="2008" width="21.42578125" style="33" bestFit="1" customWidth="1"/>
    <col min="2009" max="2009" width="24.7109375" style="33" customWidth="1"/>
    <col min="2010" max="2010" width="20.7109375" style="33" customWidth="1"/>
    <col min="2011" max="2011" width="25.5703125" style="33" bestFit="1" customWidth="1"/>
    <col min="2012" max="2012" width="25.28515625" style="33" customWidth="1"/>
    <col min="2013" max="2013" width="21" style="33" bestFit="1" customWidth="1"/>
    <col min="2014" max="2014" width="20" style="33" bestFit="1" customWidth="1"/>
    <col min="2015" max="2015" width="19.28515625" style="33" bestFit="1" customWidth="1"/>
    <col min="2016" max="2016" width="16.28515625" style="33" bestFit="1" customWidth="1"/>
    <col min="2017" max="2017" width="15.28515625" style="33" bestFit="1" customWidth="1"/>
    <col min="2018" max="2257" width="9.140625" style="33"/>
    <col min="2258" max="2258" width="3.85546875" style="33" bestFit="1" customWidth="1"/>
    <col min="2259" max="2259" width="44.5703125" style="33" bestFit="1" customWidth="1"/>
    <col min="2260" max="2260" width="28.7109375" style="33" bestFit="1" customWidth="1"/>
    <col min="2261" max="2261" width="16.85546875" style="33" customWidth="1"/>
    <col min="2262" max="2262" width="8.7109375" style="33" customWidth="1"/>
    <col min="2263" max="2263" width="24" style="33" bestFit="1" customWidth="1"/>
    <col min="2264" max="2264" width="21.42578125" style="33" bestFit="1" customWidth="1"/>
    <col min="2265" max="2265" width="24.7109375" style="33" customWidth="1"/>
    <col min="2266" max="2266" width="20.7109375" style="33" customWidth="1"/>
    <col min="2267" max="2267" width="25.5703125" style="33" bestFit="1" customWidth="1"/>
    <col min="2268" max="2268" width="25.28515625" style="33" customWidth="1"/>
    <col min="2269" max="2269" width="21" style="33" bestFit="1" customWidth="1"/>
    <col min="2270" max="2270" width="20" style="33" bestFit="1" customWidth="1"/>
    <col min="2271" max="2271" width="19.28515625" style="33" bestFit="1" customWidth="1"/>
    <col min="2272" max="2272" width="16.28515625" style="33" bestFit="1" customWidth="1"/>
    <col min="2273" max="2273" width="15.28515625" style="33" bestFit="1" customWidth="1"/>
    <col min="2274" max="2513" width="9.140625" style="33"/>
    <col min="2514" max="2514" width="3.85546875" style="33" bestFit="1" customWidth="1"/>
    <col min="2515" max="2515" width="44.5703125" style="33" bestFit="1" customWidth="1"/>
    <col min="2516" max="2516" width="28.7109375" style="33" bestFit="1" customWidth="1"/>
    <col min="2517" max="2517" width="16.85546875" style="33" customWidth="1"/>
    <col min="2518" max="2518" width="8.7109375" style="33" customWidth="1"/>
    <col min="2519" max="2519" width="24" style="33" bestFit="1" customWidth="1"/>
    <col min="2520" max="2520" width="21.42578125" style="33" bestFit="1" customWidth="1"/>
    <col min="2521" max="2521" width="24.7109375" style="33" customWidth="1"/>
    <col min="2522" max="2522" width="20.7109375" style="33" customWidth="1"/>
    <col min="2523" max="2523" width="25.5703125" style="33" bestFit="1" customWidth="1"/>
    <col min="2524" max="2524" width="25.28515625" style="33" customWidth="1"/>
    <col min="2525" max="2525" width="21" style="33" bestFit="1" customWidth="1"/>
    <col min="2526" max="2526" width="20" style="33" bestFit="1" customWidth="1"/>
    <col min="2527" max="2527" width="19.28515625" style="33" bestFit="1" customWidth="1"/>
    <col min="2528" max="2528" width="16.28515625" style="33" bestFit="1" customWidth="1"/>
    <col min="2529" max="2529" width="15.28515625" style="33" bestFit="1" customWidth="1"/>
    <col min="2530" max="2769" width="9.140625" style="33"/>
    <col min="2770" max="2770" width="3.85546875" style="33" bestFit="1" customWidth="1"/>
    <col min="2771" max="2771" width="44.5703125" style="33" bestFit="1" customWidth="1"/>
    <col min="2772" max="2772" width="28.7109375" style="33" bestFit="1" customWidth="1"/>
    <col min="2773" max="2773" width="16.85546875" style="33" customWidth="1"/>
    <col min="2774" max="2774" width="8.7109375" style="33" customWidth="1"/>
    <col min="2775" max="2775" width="24" style="33" bestFit="1" customWidth="1"/>
    <col min="2776" max="2776" width="21.42578125" style="33" bestFit="1" customWidth="1"/>
    <col min="2777" max="2777" width="24.7109375" style="33" customWidth="1"/>
    <col min="2778" max="2778" width="20.7109375" style="33" customWidth="1"/>
    <col min="2779" max="2779" width="25.5703125" style="33" bestFit="1" customWidth="1"/>
    <col min="2780" max="2780" width="25.28515625" style="33" customWidth="1"/>
    <col min="2781" max="2781" width="21" style="33" bestFit="1" customWidth="1"/>
    <col min="2782" max="2782" width="20" style="33" bestFit="1" customWidth="1"/>
    <col min="2783" max="2783" width="19.28515625" style="33" bestFit="1" customWidth="1"/>
    <col min="2784" max="2784" width="16.28515625" style="33" bestFit="1" customWidth="1"/>
    <col min="2785" max="2785" width="15.28515625" style="33" bestFit="1" customWidth="1"/>
    <col min="2786" max="3025" width="9.140625" style="33"/>
    <col min="3026" max="3026" width="3.85546875" style="33" bestFit="1" customWidth="1"/>
    <col min="3027" max="3027" width="44.5703125" style="33" bestFit="1" customWidth="1"/>
    <col min="3028" max="3028" width="28.7109375" style="33" bestFit="1" customWidth="1"/>
    <col min="3029" max="3029" width="16.85546875" style="33" customWidth="1"/>
    <col min="3030" max="3030" width="8.7109375" style="33" customWidth="1"/>
    <col min="3031" max="3031" width="24" style="33" bestFit="1" customWidth="1"/>
    <col min="3032" max="3032" width="21.42578125" style="33" bestFit="1" customWidth="1"/>
    <col min="3033" max="3033" width="24.7109375" style="33" customWidth="1"/>
    <col min="3034" max="3034" width="20.7109375" style="33" customWidth="1"/>
    <col min="3035" max="3035" width="25.5703125" style="33" bestFit="1" customWidth="1"/>
    <col min="3036" max="3036" width="25.28515625" style="33" customWidth="1"/>
    <col min="3037" max="3037" width="21" style="33" bestFit="1" customWidth="1"/>
    <col min="3038" max="3038" width="20" style="33" bestFit="1" customWidth="1"/>
    <col min="3039" max="3039" width="19.28515625" style="33" bestFit="1" customWidth="1"/>
    <col min="3040" max="3040" width="16.28515625" style="33" bestFit="1" customWidth="1"/>
    <col min="3041" max="3041" width="15.28515625" style="33" bestFit="1" customWidth="1"/>
    <col min="3042" max="3281" width="9.140625" style="33"/>
    <col min="3282" max="3282" width="3.85546875" style="33" bestFit="1" customWidth="1"/>
    <col min="3283" max="3283" width="44.5703125" style="33" bestFit="1" customWidth="1"/>
    <col min="3284" max="3284" width="28.7109375" style="33" bestFit="1" customWidth="1"/>
    <col min="3285" max="3285" width="16.85546875" style="33" customWidth="1"/>
    <col min="3286" max="3286" width="8.7109375" style="33" customWidth="1"/>
    <col min="3287" max="3287" width="24" style="33" bestFit="1" customWidth="1"/>
    <col min="3288" max="3288" width="21.42578125" style="33" bestFit="1" customWidth="1"/>
    <col min="3289" max="3289" width="24.7109375" style="33" customWidth="1"/>
    <col min="3290" max="3290" width="20.7109375" style="33" customWidth="1"/>
    <col min="3291" max="3291" width="25.5703125" style="33" bestFit="1" customWidth="1"/>
    <col min="3292" max="3292" width="25.28515625" style="33" customWidth="1"/>
    <col min="3293" max="3293" width="21" style="33" bestFit="1" customWidth="1"/>
    <col min="3294" max="3294" width="20" style="33" bestFit="1" customWidth="1"/>
    <col min="3295" max="3295" width="19.28515625" style="33" bestFit="1" customWidth="1"/>
    <col min="3296" max="3296" width="16.28515625" style="33" bestFit="1" customWidth="1"/>
    <col min="3297" max="3297" width="15.28515625" style="33" bestFit="1" customWidth="1"/>
    <col min="3298" max="3537" width="9.140625" style="33"/>
    <col min="3538" max="3538" width="3.85546875" style="33" bestFit="1" customWidth="1"/>
    <col min="3539" max="3539" width="44.5703125" style="33" bestFit="1" customWidth="1"/>
    <col min="3540" max="3540" width="28.7109375" style="33" bestFit="1" customWidth="1"/>
    <col min="3541" max="3541" width="16.85546875" style="33" customWidth="1"/>
    <col min="3542" max="3542" width="8.7109375" style="33" customWidth="1"/>
    <col min="3543" max="3543" width="24" style="33" bestFit="1" customWidth="1"/>
    <col min="3544" max="3544" width="21.42578125" style="33" bestFit="1" customWidth="1"/>
    <col min="3545" max="3545" width="24.7109375" style="33" customWidth="1"/>
    <col min="3546" max="3546" width="20.7109375" style="33" customWidth="1"/>
    <col min="3547" max="3547" width="25.5703125" style="33" bestFit="1" customWidth="1"/>
    <col min="3548" max="3548" width="25.28515625" style="33" customWidth="1"/>
    <col min="3549" max="3549" width="21" style="33" bestFit="1" customWidth="1"/>
    <col min="3550" max="3550" width="20" style="33" bestFit="1" customWidth="1"/>
    <col min="3551" max="3551" width="19.28515625" style="33" bestFit="1" customWidth="1"/>
    <col min="3552" max="3552" width="16.28515625" style="33" bestFit="1" customWidth="1"/>
    <col min="3553" max="3553" width="15.28515625" style="33" bestFit="1" customWidth="1"/>
    <col min="3554" max="3793" width="9.140625" style="33"/>
    <col min="3794" max="3794" width="3.85546875" style="33" bestFit="1" customWidth="1"/>
    <col min="3795" max="3795" width="44.5703125" style="33" bestFit="1" customWidth="1"/>
    <col min="3796" max="3796" width="28.7109375" style="33" bestFit="1" customWidth="1"/>
    <col min="3797" max="3797" width="16.85546875" style="33" customWidth="1"/>
    <col min="3798" max="3798" width="8.7109375" style="33" customWidth="1"/>
    <col min="3799" max="3799" width="24" style="33" bestFit="1" customWidth="1"/>
    <col min="3800" max="3800" width="21.42578125" style="33" bestFit="1" customWidth="1"/>
    <col min="3801" max="3801" width="24.7109375" style="33" customWidth="1"/>
    <col min="3802" max="3802" width="20.7109375" style="33" customWidth="1"/>
    <col min="3803" max="3803" width="25.5703125" style="33" bestFit="1" customWidth="1"/>
    <col min="3804" max="3804" width="25.28515625" style="33" customWidth="1"/>
    <col min="3805" max="3805" width="21" style="33" bestFit="1" customWidth="1"/>
    <col min="3806" max="3806" width="20" style="33" bestFit="1" customWidth="1"/>
    <col min="3807" max="3807" width="19.28515625" style="33" bestFit="1" customWidth="1"/>
    <col min="3808" max="3808" width="16.28515625" style="33" bestFit="1" customWidth="1"/>
    <col min="3809" max="3809" width="15.28515625" style="33" bestFit="1" customWidth="1"/>
    <col min="3810" max="4049" width="9.140625" style="33"/>
    <col min="4050" max="4050" width="3.85546875" style="33" bestFit="1" customWidth="1"/>
    <col min="4051" max="4051" width="44.5703125" style="33" bestFit="1" customWidth="1"/>
    <col min="4052" max="4052" width="28.7109375" style="33" bestFit="1" customWidth="1"/>
    <col min="4053" max="4053" width="16.85546875" style="33" customWidth="1"/>
    <col min="4054" max="4054" width="8.7109375" style="33" customWidth="1"/>
    <col min="4055" max="4055" width="24" style="33" bestFit="1" customWidth="1"/>
    <col min="4056" max="4056" width="21.42578125" style="33" bestFit="1" customWidth="1"/>
    <col min="4057" max="4057" width="24.7109375" style="33" customWidth="1"/>
    <col min="4058" max="4058" width="20.7109375" style="33" customWidth="1"/>
    <col min="4059" max="4059" width="25.5703125" style="33" bestFit="1" customWidth="1"/>
    <col min="4060" max="4060" width="25.28515625" style="33" customWidth="1"/>
    <col min="4061" max="4061" width="21" style="33" bestFit="1" customWidth="1"/>
    <col min="4062" max="4062" width="20" style="33" bestFit="1" customWidth="1"/>
    <col min="4063" max="4063" width="19.28515625" style="33" bestFit="1" customWidth="1"/>
    <col min="4064" max="4064" width="16.28515625" style="33" bestFit="1" customWidth="1"/>
    <col min="4065" max="4065" width="15.28515625" style="33" bestFit="1" customWidth="1"/>
    <col min="4066" max="4305" width="9.140625" style="33"/>
    <col min="4306" max="4306" width="3.85546875" style="33" bestFit="1" customWidth="1"/>
    <col min="4307" max="4307" width="44.5703125" style="33" bestFit="1" customWidth="1"/>
    <col min="4308" max="4308" width="28.7109375" style="33" bestFit="1" customWidth="1"/>
    <col min="4309" max="4309" width="16.85546875" style="33" customWidth="1"/>
    <col min="4310" max="4310" width="8.7109375" style="33" customWidth="1"/>
    <col min="4311" max="4311" width="24" style="33" bestFit="1" customWidth="1"/>
    <col min="4312" max="4312" width="21.42578125" style="33" bestFit="1" customWidth="1"/>
    <col min="4313" max="4313" width="24.7109375" style="33" customWidth="1"/>
    <col min="4314" max="4314" width="20.7109375" style="33" customWidth="1"/>
    <col min="4315" max="4315" width="25.5703125" style="33" bestFit="1" customWidth="1"/>
    <col min="4316" max="4316" width="25.28515625" style="33" customWidth="1"/>
    <col min="4317" max="4317" width="21" style="33" bestFit="1" customWidth="1"/>
    <col min="4318" max="4318" width="20" style="33" bestFit="1" customWidth="1"/>
    <col min="4319" max="4319" width="19.28515625" style="33" bestFit="1" customWidth="1"/>
    <col min="4320" max="4320" width="16.28515625" style="33" bestFit="1" customWidth="1"/>
    <col min="4321" max="4321" width="15.28515625" style="33" bestFit="1" customWidth="1"/>
    <col min="4322" max="4561" width="9.140625" style="33"/>
    <col min="4562" max="4562" width="3.85546875" style="33" bestFit="1" customWidth="1"/>
    <col min="4563" max="4563" width="44.5703125" style="33" bestFit="1" customWidth="1"/>
    <col min="4564" max="4564" width="28.7109375" style="33" bestFit="1" customWidth="1"/>
    <col min="4565" max="4565" width="16.85546875" style="33" customWidth="1"/>
    <col min="4566" max="4566" width="8.7109375" style="33" customWidth="1"/>
    <col min="4567" max="4567" width="24" style="33" bestFit="1" customWidth="1"/>
    <col min="4568" max="4568" width="21.42578125" style="33" bestFit="1" customWidth="1"/>
    <col min="4569" max="4569" width="24.7109375" style="33" customWidth="1"/>
    <col min="4570" max="4570" width="20.7109375" style="33" customWidth="1"/>
    <col min="4571" max="4571" width="25.5703125" style="33" bestFit="1" customWidth="1"/>
    <col min="4572" max="4572" width="25.28515625" style="33" customWidth="1"/>
    <col min="4573" max="4573" width="21" style="33" bestFit="1" customWidth="1"/>
    <col min="4574" max="4574" width="20" style="33" bestFit="1" customWidth="1"/>
    <col min="4575" max="4575" width="19.28515625" style="33" bestFit="1" customWidth="1"/>
    <col min="4576" max="4576" width="16.28515625" style="33" bestFit="1" customWidth="1"/>
    <col min="4577" max="4577" width="15.28515625" style="33" bestFit="1" customWidth="1"/>
    <col min="4578" max="4817" width="9.140625" style="33"/>
    <col min="4818" max="4818" width="3.85546875" style="33" bestFit="1" customWidth="1"/>
    <col min="4819" max="4819" width="44.5703125" style="33" bestFit="1" customWidth="1"/>
    <col min="4820" max="4820" width="28.7109375" style="33" bestFit="1" customWidth="1"/>
    <col min="4821" max="4821" width="16.85546875" style="33" customWidth="1"/>
    <col min="4822" max="4822" width="8.7109375" style="33" customWidth="1"/>
    <col min="4823" max="4823" width="24" style="33" bestFit="1" customWidth="1"/>
    <col min="4824" max="4824" width="21.42578125" style="33" bestFit="1" customWidth="1"/>
    <col min="4825" max="4825" width="24.7109375" style="33" customWidth="1"/>
    <col min="4826" max="4826" width="20.7109375" style="33" customWidth="1"/>
    <col min="4827" max="4827" width="25.5703125" style="33" bestFit="1" customWidth="1"/>
    <col min="4828" max="4828" width="25.28515625" style="33" customWidth="1"/>
    <col min="4829" max="4829" width="21" style="33" bestFit="1" customWidth="1"/>
    <col min="4830" max="4830" width="20" style="33" bestFit="1" customWidth="1"/>
    <col min="4831" max="4831" width="19.28515625" style="33" bestFit="1" customWidth="1"/>
    <col min="4832" max="4832" width="16.28515625" style="33" bestFit="1" customWidth="1"/>
    <col min="4833" max="4833" width="15.28515625" style="33" bestFit="1" customWidth="1"/>
    <col min="4834" max="5073" width="9.140625" style="33"/>
    <col min="5074" max="5074" width="3.85546875" style="33" bestFit="1" customWidth="1"/>
    <col min="5075" max="5075" width="44.5703125" style="33" bestFit="1" customWidth="1"/>
    <col min="5076" max="5076" width="28.7109375" style="33" bestFit="1" customWidth="1"/>
    <col min="5077" max="5077" width="16.85546875" style="33" customWidth="1"/>
    <col min="5078" max="5078" width="8.7109375" style="33" customWidth="1"/>
    <col min="5079" max="5079" width="24" style="33" bestFit="1" customWidth="1"/>
    <col min="5080" max="5080" width="21.42578125" style="33" bestFit="1" customWidth="1"/>
    <col min="5081" max="5081" width="24.7109375" style="33" customWidth="1"/>
    <col min="5082" max="5082" width="20.7109375" style="33" customWidth="1"/>
    <col min="5083" max="5083" width="25.5703125" style="33" bestFit="1" customWidth="1"/>
    <col min="5084" max="5084" width="25.28515625" style="33" customWidth="1"/>
    <col min="5085" max="5085" width="21" style="33" bestFit="1" customWidth="1"/>
    <col min="5086" max="5086" width="20" style="33" bestFit="1" customWidth="1"/>
    <col min="5087" max="5087" width="19.28515625" style="33" bestFit="1" customWidth="1"/>
    <col min="5088" max="5088" width="16.28515625" style="33" bestFit="1" customWidth="1"/>
    <col min="5089" max="5089" width="15.28515625" style="33" bestFit="1" customWidth="1"/>
    <col min="5090" max="5329" width="9.140625" style="33"/>
    <col min="5330" max="5330" width="3.85546875" style="33" bestFit="1" customWidth="1"/>
    <col min="5331" max="5331" width="44.5703125" style="33" bestFit="1" customWidth="1"/>
    <col min="5332" max="5332" width="28.7109375" style="33" bestFit="1" customWidth="1"/>
    <col min="5333" max="5333" width="16.85546875" style="33" customWidth="1"/>
    <col min="5334" max="5334" width="8.7109375" style="33" customWidth="1"/>
    <col min="5335" max="5335" width="24" style="33" bestFit="1" customWidth="1"/>
    <col min="5336" max="5336" width="21.42578125" style="33" bestFit="1" customWidth="1"/>
    <col min="5337" max="5337" width="24.7109375" style="33" customWidth="1"/>
    <col min="5338" max="5338" width="20.7109375" style="33" customWidth="1"/>
    <col min="5339" max="5339" width="25.5703125" style="33" bestFit="1" customWidth="1"/>
    <col min="5340" max="5340" width="25.28515625" style="33" customWidth="1"/>
    <col min="5341" max="5341" width="21" style="33" bestFit="1" customWidth="1"/>
    <col min="5342" max="5342" width="20" style="33" bestFit="1" customWidth="1"/>
    <col min="5343" max="5343" width="19.28515625" style="33" bestFit="1" customWidth="1"/>
    <col min="5344" max="5344" width="16.28515625" style="33" bestFit="1" customWidth="1"/>
    <col min="5345" max="5345" width="15.28515625" style="33" bestFit="1" customWidth="1"/>
    <col min="5346" max="5585" width="9.140625" style="33"/>
    <col min="5586" max="5586" width="3.85546875" style="33" bestFit="1" customWidth="1"/>
    <col min="5587" max="5587" width="44.5703125" style="33" bestFit="1" customWidth="1"/>
    <col min="5588" max="5588" width="28.7109375" style="33" bestFit="1" customWidth="1"/>
    <col min="5589" max="5589" width="16.85546875" style="33" customWidth="1"/>
    <col min="5590" max="5590" width="8.7109375" style="33" customWidth="1"/>
    <col min="5591" max="5591" width="24" style="33" bestFit="1" customWidth="1"/>
    <col min="5592" max="5592" width="21.42578125" style="33" bestFit="1" customWidth="1"/>
    <col min="5593" max="5593" width="24.7109375" style="33" customWidth="1"/>
    <col min="5594" max="5594" width="20.7109375" style="33" customWidth="1"/>
    <col min="5595" max="5595" width="25.5703125" style="33" bestFit="1" customWidth="1"/>
    <col min="5596" max="5596" width="25.28515625" style="33" customWidth="1"/>
    <col min="5597" max="5597" width="21" style="33" bestFit="1" customWidth="1"/>
    <col min="5598" max="5598" width="20" style="33" bestFit="1" customWidth="1"/>
    <col min="5599" max="5599" width="19.28515625" style="33" bestFit="1" customWidth="1"/>
    <col min="5600" max="5600" width="16.28515625" style="33" bestFit="1" customWidth="1"/>
    <col min="5601" max="5601" width="15.28515625" style="33" bestFit="1" customWidth="1"/>
    <col min="5602" max="5841" width="9.140625" style="33"/>
    <col min="5842" max="5842" width="3.85546875" style="33" bestFit="1" customWidth="1"/>
    <col min="5843" max="5843" width="44.5703125" style="33" bestFit="1" customWidth="1"/>
    <col min="5844" max="5844" width="28.7109375" style="33" bestFit="1" customWidth="1"/>
    <col min="5845" max="5845" width="16.85546875" style="33" customWidth="1"/>
    <col min="5846" max="5846" width="8.7109375" style="33" customWidth="1"/>
    <col min="5847" max="5847" width="24" style="33" bestFit="1" customWidth="1"/>
    <col min="5848" max="5848" width="21.42578125" style="33" bestFit="1" customWidth="1"/>
    <col min="5849" max="5849" width="24.7109375" style="33" customWidth="1"/>
    <col min="5850" max="5850" width="20.7109375" style="33" customWidth="1"/>
    <col min="5851" max="5851" width="25.5703125" style="33" bestFit="1" customWidth="1"/>
    <col min="5852" max="5852" width="25.28515625" style="33" customWidth="1"/>
    <col min="5853" max="5853" width="21" style="33" bestFit="1" customWidth="1"/>
    <col min="5854" max="5854" width="20" style="33" bestFit="1" customWidth="1"/>
    <col min="5855" max="5855" width="19.28515625" style="33" bestFit="1" customWidth="1"/>
    <col min="5856" max="5856" width="16.28515625" style="33" bestFit="1" customWidth="1"/>
    <col min="5857" max="5857" width="15.28515625" style="33" bestFit="1" customWidth="1"/>
    <col min="5858" max="6097" width="9.140625" style="33"/>
    <col min="6098" max="6098" width="3.85546875" style="33" bestFit="1" customWidth="1"/>
    <col min="6099" max="6099" width="44.5703125" style="33" bestFit="1" customWidth="1"/>
    <col min="6100" max="6100" width="28.7109375" style="33" bestFit="1" customWidth="1"/>
    <col min="6101" max="6101" width="16.85546875" style="33" customWidth="1"/>
    <col min="6102" max="6102" width="8.7109375" style="33" customWidth="1"/>
    <col min="6103" max="6103" width="24" style="33" bestFit="1" customWidth="1"/>
    <col min="6104" max="6104" width="21.42578125" style="33" bestFit="1" customWidth="1"/>
    <col min="6105" max="6105" width="24.7109375" style="33" customWidth="1"/>
    <col min="6106" max="6106" width="20.7109375" style="33" customWidth="1"/>
    <col min="6107" max="6107" width="25.5703125" style="33" bestFit="1" customWidth="1"/>
    <col min="6108" max="6108" width="25.28515625" style="33" customWidth="1"/>
    <col min="6109" max="6109" width="21" style="33" bestFit="1" customWidth="1"/>
    <col min="6110" max="6110" width="20" style="33" bestFit="1" customWidth="1"/>
    <col min="6111" max="6111" width="19.28515625" style="33" bestFit="1" customWidth="1"/>
    <col min="6112" max="6112" width="16.28515625" style="33" bestFit="1" customWidth="1"/>
    <col min="6113" max="6113" width="15.28515625" style="33" bestFit="1" customWidth="1"/>
    <col min="6114" max="6353" width="9.140625" style="33"/>
    <col min="6354" max="6354" width="3.85546875" style="33" bestFit="1" customWidth="1"/>
    <col min="6355" max="6355" width="44.5703125" style="33" bestFit="1" customWidth="1"/>
    <col min="6356" max="6356" width="28.7109375" style="33" bestFit="1" customWidth="1"/>
    <col min="6357" max="6357" width="16.85546875" style="33" customWidth="1"/>
    <col min="6358" max="6358" width="8.7109375" style="33" customWidth="1"/>
    <col min="6359" max="6359" width="24" style="33" bestFit="1" customWidth="1"/>
    <col min="6360" max="6360" width="21.42578125" style="33" bestFit="1" customWidth="1"/>
    <col min="6361" max="6361" width="24.7109375" style="33" customWidth="1"/>
    <col min="6362" max="6362" width="20.7109375" style="33" customWidth="1"/>
    <col min="6363" max="6363" width="25.5703125" style="33" bestFit="1" customWidth="1"/>
    <col min="6364" max="6364" width="25.28515625" style="33" customWidth="1"/>
    <col min="6365" max="6365" width="21" style="33" bestFit="1" customWidth="1"/>
    <col min="6366" max="6366" width="20" style="33" bestFit="1" customWidth="1"/>
    <col min="6367" max="6367" width="19.28515625" style="33" bestFit="1" customWidth="1"/>
    <col min="6368" max="6368" width="16.28515625" style="33" bestFit="1" customWidth="1"/>
    <col min="6369" max="6369" width="15.28515625" style="33" bestFit="1" customWidth="1"/>
    <col min="6370" max="6609" width="9.140625" style="33"/>
    <col min="6610" max="6610" width="3.85546875" style="33" bestFit="1" customWidth="1"/>
    <col min="6611" max="6611" width="44.5703125" style="33" bestFit="1" customWidth="1"/>
    <col min="6612" max="6612" width="28.7109375" style="33" bestFit="1" customWidth="1"/>
    <col min="6613" max="6613" width="16.85546875" style="33" customWidth="1"/>
    <col min="6614" max="6614" width="8.7109375" style="33" customWidth="1"/>
    <col min="6615" max="6615" width="24" style="33" bestFit="1" customWidth="1"/>
    <col min="6616" max="6616" width="21.42578125" style="33" bestFit="1" customWidth="1"/>
    <col min="6617" max="6617" width="24.7109375" style="33" customWidth="1"/>
    <col min="6618" max="6618" width="20.7109375" style="33" customWidth="1"/>
    <col min="6619" max="6619" width="25.5703125" style="33" bestFit="1" customWidth="1"/>
    <col min="6620" max="6620" width="25.28515625" style="33" customWidth="1"/>
    <col min="6621" max="6621" width="21" style="33" bestFit="1" customWidth="1"/>
    <col min="6622" max="6622" width="20" style="33" bestFit="1" customWidth="1"/>
    <col min="6623" max="6623" width="19.28515625" style="33" bestFit="1" customWidth="1"/>
    <col min="6624" max="6624" width="16.28515625" style="33" bestFit="1" customWidth="1"/>
    <col min="6625" max="6625" width="15.28515625" style="33" bestFit="1" customWidth="1"/>
    <col min="6626" max="6865" width="9.140625" style="33"/>
    <col min="6866" max="6866" width="3.85546875" style="33" bestFit="1" customWidth="1"/>
    <col min="6867" max="6867" width="44.5703125" style="33" bestFit="1" customWidth="1"/>
    <col min="6868" max="6868" width="28.7109375" style="33" bestFit="1" customWidth="1"/>
    <col min="6869" max="6869" width="16.85546875" style="33" customWidth="1"/>
    <col min="6870" max="6870" width="8.7109375" style="33" customWidth="1"/>
    <col min="6871" max="6871" width="24" style="33" bestFit="1" customWidth="1"/>
    <col min="6872" max="6872" width="21.42578125" style="33" bestFit="1" customWidth="1"/>
    <col min="6873" max="6873" width="24.7109375" style="33" customWidth="1"/>
    <col min="6874" max="6874" width="20.7109375" style="33" customWidth="1"/>
    <col min="6875" max="6875" width="25.5703125" style="33" bestFit="1" customWidth="1"/>
    <col min="6876" max="6876" width="25.28515625" style="33" customWidth="1"/>
    <col min="6877" max="6877" width="21" style="33" bestFit="1" customWidth="1"/>
    <col min="6878" max="6878" width="20" style="33" bestFit="1" customWidth="1"/>
    <col min="6879" max="6879" width="19.28515625" style="33" bestFit="1" customWidth="1"/>
    <col min="6880" max="6880" width="16.28515625" style="33" bestFit="1" customWidth="1"/>
    <col min="6881" max="6881" width="15.28515625" style="33" bestFit="1" customWidth="1"/>
    <col min="6882" max="7121" width="9.140625" style="33"/>
    <col min="7122" max="7122" width="3.85546875" style="33" bestFit="1" customWidth="1"/>
    <col min="7123" max="7123" width="44.5703125" style="33" bestFit="1" customWidth="1"/>
    <col min="7124" max="7124" width="28.7109375" style="33" bestFit="1" customWidth="1"/>
    <col min="7125" max="7125" width="16.85546875" style="33" customWidth="1"/>
    <col min="7126" max="7126" width="8.7109375" style="33" customWidth="1"/>
    <col min="7127" max="7127" width="24" style="33" bestFit="1" customWidth="1"/>
    <col min="7128" max="7128" width="21.42578125" style="33" bestFit="1" customWidth="1"/>
    <col min="7129" max="7129" width="24.7109375" style="33" customWidth="1"/>
    <col min="7130" max="7130" width="20.7109375" style="33" customWidth="1"/>
    <col min="7131" max="7131" width="25.5703125" style="33" bestFit="1" customWidth="1"/>
    <col min="7132" max="7132" width="25.28515625" style="33" customWidth="1"/>
    <col min="7133" max="7133" width="21" style="33" bestFit="1" customWidth="1"/>
    <col min="7134" max="7134" width="20" style="33" bestFit="1" customWidth="1"/>
    <col min="7135" max="7135" width="19.28515625" style="33" bestFit="1" customWidth="1"/>
    <col min="7136" max="7136" width="16.28515625" style="33" bestFit="1" customWidth="1"/>
    <col min="7137" max="7137" width="15.28515625" style="33" bestFit="1" customWidth="1"/>
    <col min="7138" max="7377" width="9.140625" style="33"/>
    <col min="7378" max="7378" width="3.85546875" style="33" bestFit="1" customWidth="1"/>
    <col min="7379" max="7379" width="44.5703125" style="33" bestFit="1" customWidth="1"/>
    <col min="7380" max="7380" width="28.7109375" style="33" bestFit="1" customWidth="1"/>
    <col min="7381" max="7381" width="16.85546875" style="33" customWidth="1"/>
    <col min="7382" max="7382" width="8.7109375" style="33" customWidth="1"/>
    <col min="7383" max="7383" width="24" style="33" bestFit="1" customWidth="1"/>
    <col min="7384" max="7384" width="21.42578125" style="33" bestFit="1" customWidth="1"/>
    <col min="7385" max="7385" width="24.7109375" style="33" customWidth="1"/>
    <col min="7386" max="7386" width="20.7109375" style="33" customWidth="1"/>
    <col min="7387" max="7387" width="25.5703125" style="33" bestFit="1" customWidth="1"/>
    <col min="7388" max="7388" width="25.28515625" style="33" customWidth="1"/>
    <col min="7389" max="7389" width="21" style="33" bestFit="1" customWidth="1"/>
    <col min="7390" max="7390" width="20" style="33" bestFit="1" customWidth="1"/>
    <col min="7391" max="7391" width="19.28515625" style="33" bestFit="1" customWidth="1"/>
    <col min="7392" max="7392" width="16.28515625" style="33" bestFit="1" customWidth="1"/>
    <col min="7393" max="7393" width="15.28515625" style="33" bestFit="1" customWidth="1"/>
    <col min="7394" max="7633" width="9.140625" style="33"/>
    <col min="7634" max="7634" width="3.85546875" style="33" bestFit="1" customWidth="1"/>
    <col min="7635" max="7635" width="44.5703125" style="33" bestFit="1" customWidth="1"/>
    <col min="7636" max="7636" width="28.7109375" style="33" bestFit="1" customWidth="1"/>
    <col min="7637" max="7637" width="16.85546875" style="33" customWidth="1"/>
    <col min="7638" max="7638" width="8.7109375" style="33" customWidth="1"/>
    <col min="7639" max="7639" width="24" style="33" bestFit="1" customWidth="1"/>
    <col min="7640" max="7640" width="21.42578125" style="33" bestFit="1" customWidth="1"/>
    <col min="7641" max="7641" width="24.7109375" style="33" customWidth="1"/>
    <col min="7642" max="7642" width="20.7109375" style="33" customWidth="1"/>
    <col min="7643" max="7643" width="25.5703125" style="33" bestFit="1" customWidth="1"/>
    <col min="7644" max="7644" width="25.28515625" style="33" customWidth="1"/>
    <col min="7645" max="7645" width="21" style="33" bestFit="1" customWidth="1"/>
    <col min="7646" max="7646" width="20" style="33" bestFit="1" customWidth="1"/>
    <col min="7647" max="7647" width="19.28515625" style="33" bestFit="1" customWidth="1"/>
    <col min="7648" max="7648" width="16.28515625" style="33" bestFit="1" customWidth="1"/>
    <col min="7649" max="7649" width="15.28515625" style="33" bestFit="1" customWidth="1"/>
    <col min="7650" max="7889" width="9.140625" style="33"/>
    <col min="7890" max="7890" width="3.85546875" style="33" bestFit="1" customWidth="1"/>
    <col min="7891" max="7891" width="44.5703125" style="33" bestFit="1" customWidth="1"/>
    <col min="7892" max="7892" width="28.7109375" style="33" bestFit="1" customWidth="1"/>
    <col min="7893" max="7893" width="16.85546875" style="33" customWidth="1"/>
    <col min="7894" max="7894" width="8.7109375" style="33" customWidth="1"/>
    <col min="7895" max="7895" width="24" style="33" bestFit="1" customWidth="1"/>
    <col min="7896" max="7896" width="21.42578125" style="33" bestFit="1" customWidth="1"/>
    <col min="7897" max="7897" width="24.7109375" style="33" customWidth="1"/>
    <col min="7898" max="7898" width="20.7109375" style="33" customWidth="1"/>
    <col min="7899" max="7899" width="25.5703125" style="33" bestFit="1" customWidth="1"/>
    <col min="7900" max="7900" width="25.28515625" style="33" customWidth="1"/>
    <col min="7901" max="7901" width="21" style="33" bestFit="1" customWidth="1"/>
    <col min="7902" max="7902" width="20" style="33" bestFit="1" customWidth="1"/>
    <col min="7903" max="7903" width="19.28515625" style="33" bestFit="1" customWidth="1"/>
    <col min="7904" max="7904" width="16.28515625" style="33" bestFit="1" customWidth="1"/>
    <col min="7905" max="7905" width="15.28515625" style="33" bestFit="1" customWidth="1"/>
    <col min="7906" max="8145" width="9.140625" style="33"/>
    <col min="8146" max="8146" width="3.85546875" style="33" bestFit="1" customWidth="1"/>
    <col min="8147" max="8147" width="44.5703125" style="33" bestFit="1" customWidth="1"/>
    <col min="8148" max="8148" width="28.7109375" style="33" bestFit="1" customWidth="1"/>
    <col min="8149" max="8149" width="16.85546875" style="33" customWidth="1"/>
    <col min="8150" max="8150" width="8.7109375" style="33" customWidth="1"/>
    <col min="8151" max="8151" width="24" style="33" bestFit="1" customWidth="1"/>
    <col min="8152" max="8152" width="21.42578125" style="33" bestFit="1" customWidth="1"/>
    <col min="8153" max="8153" width="24.7109375" style="33" customWidth="1"/>
    <col min="8154" max="8154" width="20.7109375" style="33" customWidth="1"/>
    <col min="8155" max="8155" width="25.5703125" style="33" bestFit="1" customWidth="1"/>
    <col min="8156" max="8156" width="25.28515625" style="33" customWidth="1"/>
    <col min="8157" max="8157" width="21" style="33" bestFit="1" customWidth="1"/>
    <col min="8158" max="8158" width="20" style="33" bestFit="1" customWidth="1"/>
    <col min="8159" max="8159" width="19.28515625" style="33" bestFit="1" customWidth="1"/>
    <col min="8160" max="8160" width="16.28515625" style="33" bestFit="1" customWidth="1"/>
    <col min="8161" max="8161" width="15.28515625" style="33" bestFit="1" customWidth="1"/>
    <col min="8162" max="8401" width="9.140625" style="33"/>
    <col min="8402" max="8402" width="3.85546875" style="33" bestFit="1" customWidth="1"/>
    <col min="8403" max="8403" width="44.5703125" style="33" bestFit="1" customWidth="1"/>
    <col min="8404" max="8404" width="28.7109375" style="33" bestFit="1" customWidth="1"/>
    <col min="8405" max="8405" width="16.85546875" style="33" customWidth="1"/>
    <col min="8406" max="8406" width="8.7109375" style="33" customWidth="1"/>
    <col min="8407" max="8407" width="24" style="33" bestFit="1" customWidth="1"/>
    <col min="8408" max="8408" width="21.42578125" style="33" bestFit="1" customWidth="1"/>
    <col min="8409" max="8409" width="24.7109375" style="33" customWidth="1"/>
    <col min="8410" max="8410" width="20.7109375" style="33" customWidth="1"/>
    <col min="8411" max="8411" width="25.5703125" style="33" bestFit="1" customWidth="1"/>
    <col min="8412" max="8412" width="25.28515625" style="33" customWidth="1"/>
    <col min="8413" max="8413" width="21" style="33" bestFit="1" customWidth="1"/>
    <col min="8414" max="8414" width="20" style="33" bestFit="1" customWidth="1"/>
    <col min="8415" max="8415" width="19.28515625" style="33" bestFit="1" customWidth="1"/>
    <col min="8416" max="8416" width="16.28515625" style="33" bestFit="1" customWidth="1"/>
    <col min="8417" max="8417" width="15.28515625" style="33" bestFit="1" customWidth="1"/>
    <col min="8418" max="8657" width="9.140625" style="33"/>
    <col min="8658" max="8658" width="3.85546875" style="33" bestFit="1" customWidth="1"/>
    <col min="8659" max="8659" width="44.5703125" style="33" bestFit="1" customWidth="1"/>
    <col min="8660" max="8660" width="28.7109375" style="33" bestFit="1" customWidth="1"/>
    <col min="8661" max="8661" width="16.85546875" style="33" customWidth="1"/>
    <col min="8662" max="8662" width="8.7109375" style="33" customWidth="1"/>
    <col min="8663" max="8663" width="24" style="33" bestFit="1" customWidth="1"/>
    <col min="8664" max="8664" width="21.42578125" style="33" bestFit="1" customWidth="1"/>
    <col min="8665" max="8665" width="24.7109375" style="33" customWidth="1"/>
    <col min="8666" max="8666" width="20.7109375" style="33" customWidth="1"/>
    <col min="8667" max="8667" width="25.5703125" style="33" bestFit="1" customWidth="1"/>
    <col min="8668" max="8668" width="25.28515625" style="33" customWidth="1"/>
    <col min="8669" max="8669" width="21" style="33" bestFit="1" customWidth="1"/>
    <col min="8670" max="8670" width="20" style="33" bestFit="1" customWidth="1"/>
    <col min="8671" max="8671" width="19.28515625" style="33" bestFit="1" customWidth="1"/>
    <col min="8672" max="8672" width="16.28515625" style="33" bestFit="1" customWidth="1"/>
    <col min="8673" max="8673" width="15.28515625" style="33" bestFit="1" customWidth="1"/>
    <col min="8674" max="8913" width="9.140625" style="33"/>
    <col min="8914" max="8914" width="3.85546875" style="33" bestFit="1" customWidth="1"/>
    <col min="8915" max="8915" width="44.5703125" style="33" bestFit="1" customWidth="1"/>
    <col min="8916" max="8916" width="28.7109375" style="33" bestFit="1" customWidth="1"/>
    <col min="8917" max="8917" width="16.85546875" style="33" customWidth="1"/>
    <col min="8918" max="8918" width="8.7109375" style="33" customWidth="1"/>
    <col min="8919" max="8919" width="24" style="33" bestFit="1" customWidth="1"/>
    <col min="8920" max="8920" width="21.42578125" style="33" bestFit="1" customWidth="1"/>
    <col min="8921" max="8921" width="24.7109375" style="33" customWidth="1"/>
    <col min="8922" max="8922" width="20.7109375" style="33" customWidth="1"/>
    <col min="8923" max="8923" width="25.5703125" style="33" bestFit="1" customWidth="1"/>
    <col min="8924" max="8924" width="25.28515625" style="33" customWidth="1"/>
    <col min="8925" max="8925" width="21" style="33" bestFit="1" customWidth="1"/>
    <col min="8926" max="8926" width="20" style="33" bestFit="1" customWidth="1"/>
    <col min="8927" max="8927" width="19.28515625" style="33" bestFit="1" customWidth="1"/>
    <col min="8928" max="8928" width="16.28515625" style="33" bestFit="1" customWidth="1"/>
    <col min="8929" max="8929" width="15.28515625" style="33" bestFit="1" customWidth="1"/>
    <col min="8930" max="9169" width="9.140625" style="33"/>
    <col min="9170" max="9170" width="3.85546875" style="33" bestFit="1" customWidth="1"/>
    <col min="9171" max="9171" width="44.5703125" style="33" bestFit="1" customWidth="1"/>
    <col min="9172" max="9172" width="28.7109375" style="33" bestFit="1" customWidth="1"/>
    <col min="9173" max="9173" width="16.85546875" style="33" customWidth="1"/>
    <col min="9174" max="9174" width="8.7109375" style="33" customWidth="1"/>
    <col min="9175" max="9175" width="24" style="33" bestFit="1" customWidth="1"/>
    <col min="9176" max="9176" width="21.42578125" style="33" bestFit="1" customWidth="1"/>
    <col min="9177" max="9177" width="24.7109375" style="33" customWidth="1"/>
    <col min="9178" max="9178" width="20.7109375" style="33" customWidth="1"/>
    <col min="9179" max="9179" width="25.5703125" style="33" bestFit="1" customWidth="1"/>
    <col min="9180" max="9180" width="25.28515625" style="33" customWidth="1"/>
    <col min="9181" max="9181" width="21" style="33" bestFit="1" customWidth="1"/>
    <col min="9182" max="9182" width="20" style="33" bestFit="1" customWidth="1"/>
    <col min="9183" max="9183" width="19.28515625" style="33" bestFit="1" customWidth="1"/>
    <col min="9184" max="9184" width="16.28515625" style="33" bestFit="1" customWidth="1"/>
    <col min="9185" max="9185" width="15.28515625" style="33" bestFit="1" customWidth="1"/>
    <col min="9186" max="9425" width="9.140625" style="33"/>
    <col min="9426" max="9426" width="3.85546875" style="33" bestFit="1" customWidth="1"/>
    <col min="9427" max="9427" width="44.5703125" style="33" bestFit="1" customWidth="1"/>
    <col min="9428" max="9428" width="28.7109375" style="33" bestFit="1" customWidth="1"/>
    <col min="9429" max="9429" width="16.85546875" style="33" customWidth="1"/>
    <col min="9430" max="9430" width="8.7109375" style="33" customWidth="1"/>
    <col min="9431" max="9431" width="24" style="33" bestFit="1" customWidth="1"/>
    <col min="9432" max="9432" width="21.42578125" style="33" bestFit="1" customWidth="1"/>
    <col min="9433" max="9433" width="24.7109375" style="33" customWidth="1"/>
    <col min="9434" max="9434" width="20.7109375" style="33" customWidth="1"/>
    <col min="9435" max="9435" width="25.5703125" style="33" bestFit="1" customWidth="1"/>
    <col min="9436" max="9436" width="25.28515625" style="33" customWidth="1"/>
    <col min="9437" max="9437" width="21" style="33" bestFit="1" customWidth="1"/>
    <col min="9438" max="9438" width="20" style="33" bestFit="1" customWidth="1"/>
    <col min="9439" max="9439" width="19.28515625" style="33" bestFit="1" customWidth="1"/>
    <col min="9440" max="9440" width="16.28515625" style="33" bestFit="1" customWidth="1"/>
    <col min="9441" max="9441" width="15.28515625" style="33" bestFit="1" customWidth="1"/>
    <col min="9442" max="9681" width="9.140625" style="33"/>
    <col min="9682" max="9682" width="3.85546875" style="33" bestFit="1" customWidth="1"/>
    <col min="9683" max="9683" width="44.5703125" style="33" bestFit="1" customWidth="1"/>
    <col min="9684" max="9684" width="28.7109375" style="33" bestFit="1" customWidth="1"/>
    <col min="9685" max="9685" width="16.85546875" style="33" customWidth="1"/>
    <col min="9686" max="9686" width="8.7109375" style="33" customWidth="1"/>
    <col min="9687" max="9687" width="24" style="33" bestFit="1" customWidth="1"/>
    <col min="9688" max="9688" width="21.42578125" style="33" bestFit="1" customWidth="1"/>
    <col min="9689" max="9689" width="24.7109375" style="33" customWidth="1"/>
    <col min="9690" max="9690" width="20.7109375" style="33" customWidth="1"/>
    <col min="9691" max="9691" width="25.5703125" style="33" bestFit="1" customWidth="1"/>
    <col min="9692" max="9692" width="25.28515625" style="33" customWidth="1"/>
    <col min="9693" max="9693" width="21" style="33" bestFit="1" customWidth="1"/>
    <col min="9694" max="9694" width="20" style="33" bestFit="1" customWidth="1"/>
    <col min="9695" max="9695" width="19.28515625" style="33" bestFit="1" customWidth="1"/>
    <col min="9696" max="9696" width="16.28515625" style="33" bestFit="1" customWidth="1"/>
    <col min="9697" max="9697" width="15.28515625" style="33" bestFit="1" customWidth="1"/>
    <col min="9698" max="9937" width="9.140625" style="33"/>
    <col min="9938" max="9938" width="3.85546875" style="33" bestFit="1" customWidth="1"/>
    <col min="9939" max="9939" width="44.5703125" style="33" bestFit="1" customWidth="1"/>
    <col min="9940" max="9940" width="28.7109375" style="33" bestFit="1" customWidth="1"/>
    <col min="9941" max="9941" width="16.85546875" style="33" customWidth="1"/>
    <col min="9942" max="9942" width="8.7109375" style="33" customWidth="1"/>
    <col min="9943" max="9943" width="24" style="33" bestFit="1" customWidth="1"/>
    <col min="9944" max="9944" width="21.42578125" style="33" bestFit="1" customWidth="1"/>
    <col min="9945" max="9945" width="24.7109375" style="33" customWidth="1"/>
    <col min="9946" max="9946" width="20.7109375" style="33" customWidth="1"/>
    <col min="9947" max="9947" width="25.5703125" style="33" bestFit="1" customWidth="1"/>
    <col min="9948" max="9948" width="25.28515625" style="33" customWidth="1"/>
    <col min="9949" max="9949" width="21" style="33" bestFit="1" customWidth="1"/>
    <col min="9950" max="9950" width="20" style="33" bestFit="1" customWidth="1"/>
    <col min="9951" max="9951" width="19.28515625" style="33" bestFit="1" customWidth="1"/>
    <col min="9952" max="9952" width="16.28515625" style="33" bestFit="1" customWidth="1"/>
    <col min="9953" max="9953" width="15.28515625" style="33" bestFit="1" customWidth="1"/>
    <col min="9954" max="10193" width="9.140625" style="33"/>
    <col min="10194" max="10194" width="3.85546875" style="33" bestFit="1" customWidth="1"/>
    <col min="10195" max="10195" width="44.5703125" style="33" bestFit="1" customWidth="1"/>
    <col min="10196" max="10196" width="28.7109375" style="33" bestFit="1" customWidth="1"/>
    <col min="10197" max="10197" width="16.85546875" style="33" customWidth="1"/>
    <col min="10198" max="10198" width="8.7109375" style="33" customWidth="1"/>
    <col min="10199" max="10199" width="24" style="33" bestFit="1" customWidth="1"/>
    <col min="10200" max="10200" width="21.42578125" style="33" bestFit="1" customWidth="1"/>
    <col min="10201" max="10201" width="24.7109375" style="33" customWidth="1"/>
    <col min="10202" max="10202" width="20.7109375" style="33" customWidth="1"/>
    <col min="10203" max="10203" width="25.5703125" style="33" bestFit="1" customWidth="1"/>
    <col min="10204" max="10204" width="25.28515625" style="33" customWidth="1"/>
    <col min="10205" max="10205" width="21" style="33" bestFit="1" customWidth="1"/>
    <col min="10206" max="10206" width="20" style="33" bestFit="1" customWidth="1"/>
    <col min="10207" max="10207" width="19.28515625" style="33" bestFit="1" customWidth="1"/>
    <col min="10208" max="10208" width="16.28515625" style="33" bestFit="1" customWidth="1"/>
    <col min="10209" max="10209" width="15.28515625" style="33" bestFit="1" customWidth="1"/>
    <col min="10210" max="10449" width="9.140625" style="33"/>
    <col min="10450" max="10450" width="3.85546875" style="33" bestFit="1" customWidth="1"/>
    <col min="10451" max="10451" width="44.5703125" style="33" bestFit="1" customWidth="1"/>
    <col min="10452" max="10452" width="28.7109375" style="33" bestFit="1" customWidth="1"/>
    <col min="10453" max="10453" width="16.85546875" style="33" customWidth="1"/>
    <col min="10454" max="10454" width="8.7109375" style="33" customWidth="1"/>
    <col min="10455" max="10455" width="24" style="33" bestFit="1" customWidth="1"/>
    <col min="10456" max="10456" width="21.42578125" style="33" bestFit="1" customWidth="1"/>
    <col min="10457" max="10457" width="24.7109375" style="33" customWidth="1"/>
    <col min="10458" max="10458" width="20.7109375" style="33" customWidth="1"/>
    <col min="10459" max="10459" width="25.5703125" style="33" bestFit="1" customWidth="1"/>
    <col min="10460" max="10460" width="25.28515625" style="33" customWidth="1"/>
    <col min="10461" max="10461" width="21" style="33" bestFit="1" customWidth="1"/>
    <col min="10462" max="10462" width="20" style="33" bestFit="1" customWidth="1"/>
    <col min="10463" max="10463" width="19.28515625" style="33" bestFit="1" customWidth="1"/>
    <col min="10464" max="10464" width="16.28515625" style="33" bestFit="1" customWidth="1"/>
    <col min="10465" max="10465" width="15.28515625" style="33" bestFit="1" customWidth="1"/>
    <col min="10466" max="10705" width="9.140625" style="33"/>
    <col min="10706" max="10706" width="3.85546875" style="33" bestFit="1" customWidth="1"/>
    <col min="10707" max="10707" width="44.5703125" style="33" bestFit="1" customWidth="1"/>
    <col min="10708" max="10708" width="28.7109375" style="33" bestFit="1" customWidth="1"/>
    <col min="10709" max="10709" width="16.85546875" style="33" customWidth="1"/>
    <col min="10710" max="10710" width="8.7109375" style="33" customWidth="1"/>
    <col min="10711" max="10711" width="24" style="33" bestFit="1" customWidth="1"/>
    <col min="10712" max="10712" width="21.42578125" style="33" bestFit="1" customWidth="1"/>
    <col min="10713" max="10713" width="24.7109375" style="33" customWidth="1"/>
    <col min="10714" max="10714" width="20.7109375" style="33" customWidth="1"/>
    <col min="10715" max="10715" width="25.5703125" style="33" bestFit="1" customWidth="1"/>
    <col min="10716" max="10716" width="25.28515625" style="33" customWidth="1"/>
    <col min="10717" max="10717" width="21" style="33" bestFit="1" customWidth="1"/>
    <col min="10718" max="10718" width="20" style="33" bestFit="1" customWidth="1"/>
    <col min="10719" max="10719" width="19.28515625" style="33" bestFit="1" customWidth="1"/>
    <col min="10720" max="10720" width="16.28515625" style="33" bestFit="1" customWidth="1"/>
    <col min="10721" max="10721" width="15.28515625" style="33" bestFit="1" customWidth="1"/>
    <col min="10722" max="10961" width="9.140625" style="33"/>
    <col min="10962" max="10962" width="3.85546875" style="33" bestFit="1" customWidth="1"/>
    <col min="10963" max="10963" width="44.5703125" style="33" bestFit="1" customWidth="1"/>
    <col min="10964" max="10964" width="28.7109375" style="33" bestFit="1" customWidth="1"/>
    <col min="10965" max="10965" width="16.85546875" style="33" customWidth="1"/>
    <col min="10966" max="10966" width="8.7109375" style="33" customWidth="1"/>
    <col min="10967" max="10967" width="24" style="33" bestFit="1" customWidth="1"/>
    <col min="10968" max="10968" width="21.42578125" style="33" bestFit="1" customWidth="1"/>
    <col min="10969" max="10969" width="24.7109375" style="33" customWidth="1"/>
    <col min="10970" max="10970" width="20.7109375" style="33" customWidth="1"/>
    <col min="10971" max="10971" width="25.5703125" style="33" bestFit="1" customWidth="1"/>
    <col min="10972" max="10972" width="25.28515625" style="33" customWidth="1"/>
    <col min="10973" max="10973" width="21" style="33" bestFit="1" customWidth="1"/>
    <col min="10974" max="10974" width="20" style="33" bestFit="1" customWidth="1"/>
    <col min="10975" max="10975" width="19.28515625" style="33" bestFit="1" customWidth="1"/>
    <col min="10976" max="10976" width="16.28515625" style="33" bestFit="1" customWidth="1"/>
    <col min="10977" max="10977" width="15.28515625" style="33" bestFit="1" customWidth="1"/>
    <col min="10978" max="11217" width="9.140625" style="33"/>
    <col min="11218" max="11218" width="3.85546875" style="33" bestFit="1" customWidth="1"/>
    <col min="11219" max="11219" width="44.5703125" style="33" bestFit="1" customWidth="1"/>
    <col min="11220" max="11220" width="28.7109375" style="33" bestFit="1" customWidth="1"/>
    <col min="11221" max="11221" width="16.85546875" style="33" customWidth="1"/>
    <col min="11222" max="11222" width="8.7109375" style="33" customWidth="1"/>
    <col min="11223" max="11223" width="24" style="33" bestFit="1" customWidth="1"/>
    <col min="11224" max="11224" width="21.42578125" style="33" bestFit="1" customWidth="1"/>
    <col min="11225" max="11225" width="24.7109375" style="33" customWidth="1"/>
    <col min="11226" max="11226" width="20.7109375" style="33" customWidth="1"/>
    <col min="11227" max="11227" width="25.5703125" style="33" bestFit="1" customWidth="1"/>
    <col min="11228" max="11228" width="25.28515625" style="33" customWidth="1"/>
    <col min="11229" max="11229" width="21" style="33" bestFit="1" customWidth="1"/>
    <col min="11230" max="11230" width="20" style="33" bestFit="1" customWidth="1"/>
    <col min="11231" max="11231" width="19.28515625" style="33" bestFit="1" customWidth="1"/>
    <col min="11232" max="11232" width="16.28515625" style="33" bestFit="1" customWidth="1"/>
    <col min="11233" max="11233" width="15.28515625" style="33" bestFit="1" customWidth="1"/>
    <col min="11234" max="11473" width="9.140625" style="33"/>
    <col min="11474" max="11474" width="3.85546875" style="33" bestFit="1" customWidth="1"/>
    <col min="11475" max="11475" width="44.5703125" style="33" bestFit="1" customWidth="1"/>
    <col min="11476" max="11476" width="28.7109375" style="33" bestFit="1" customWidth="1"/>
    <col min="11477" max="11477" width="16.85546875" style="33" customWidth="1"/>
    <col min="11478" max="11478" width="8.7109375" style="33" customWidth="1"/>
    <col min="11479" max="11479" width="24" style="33" bestFit="1" customWidth="1"/>
    <col min="11480" max="11480" width="21.42578125" style="33" bestFit="1" customWidth="1"/>
    <col min="11481" max="11481" width="24.7109375" style="33" customWidth="1"/>
    <col min="11482" max="11482" width="20.7109375" style="33" customWidth="1"/>
    <col min="11483" max="11483" width="25.5703125" style="33" bestFit="1" customWidth="1"/>
    <col min="11484" max="11484" width="25.28515625" style="33" customWidth="1"/>
    <col min="11485" max="11485" width="21" style="33" bestFit="1" customWidth="1"/>
    <col min="11486" max="11486" width="20" style="33" bestFit="1" customWidth="1"/>
    <col min="11487" max="11487" width="19.28515625" style="33" bestFit="1" customWidth="1"/>
    <col min="11488" max="11488" width="16.28515625" style="33" bestFit="1" customWidth="1"/>
    <col min="11489" max="11489" width="15.28515625" style="33" bestFit="1" customWidth="1"/>
    <col min="11490" max="11729" width="9.140625" style="33"/>
    <col min="11730" max="11730" width="3.85546875" style="33" bestFit="1" customWidth="1"/>
    <col min="11731" max="11731" width="44.5703125" style="33" bestFit="1" customWidth="1"/>
    <col min="11732" max="11732" width="28.7109375" style="33" bestFit="1" customWidth="1"/>
    <col min="11733" max="11733" width="16.85546875" style="33" customWidth="1"/>
    <col min="11734" max="11734" width="8.7109375" style="33" customWidth="1"/>
    <col min="11735" max="11735" width="24" style="33" bestFit="1" customWidth="1"/>
    <col min="11736" max="11736" width="21.42578125" style="33" bestFit="1" customWidth="1"/>
    <col min="11737" max="11737" width="24.7109375" style="33" customWidth="1"/>
    <col min="11738" max="11738" width="20.7109375" style="33" customWidth="1"/>
    <col min="11739" max="11739" width="25.5703125" style="33" bestFit="1" customWidth="1"/>
    <col min="11740" max="11740" width="25.28515625" style="33" customWidth="1"/>
    <col min="11741" max="11741" width="21" style="33" bestFit="1" customWidth="1"/>
    <col min="11742" max="11742" width="20" style="33" bestFit="1" customWidth="1"/>
    <col min="11743" max="11743" width="19.28515625" style="33" bestFit="1" customWidth="1"/>
    <col min="11744" max="11744" width="16.28515625" style="33" bestFit="1" customWidth="1"/>
    <col min="11745" max="11745" width="15.28515625" style="33" bestFit="1" customWidth="1"/>
    <col min="11746" max="11985" width="9.140625" style="33"/>
    <col min="11986" max="11986" width="3.85546875" style="33" bestFit="1" customWidth="1"/>
    <col min="11987" max="11987" width="44.5703125" style="33" bestFit="1" customWidth="1"/>
    <col min="11988" max="11988" width="28.7109375" style="33" bestFit="1" customWidth="1"/>
    <col min="11989" max="11989" width="16.85546875" style="33" customWidth="1"/>
    <col min="11990" max="11990" width="8.7109375" style="33" customWidth="1"/>
    <col min="11991" max="11991" width="24" style="33" bestFit="1" customWidth="1"/>
    <col min="11992" max="11992" width="21.42578125" style="33" bestFit="1" customWidth="1"/>
    <col min="11993" max="11993" width="24.7109375" style="33" customWidth="1"/>
    <col min="11994" max="11994" width="20.7109375" style="33" customWidth="1"/>
    <col min="11995" max="11995" width="25.5703125" style="33" bestFit="1" customWidth="1"/>
    <col min="11996" max="11996" width="25.28515625" style="33" customWidth="1"/>
    <col min="11997" max="11997" width="21" style="33" bestFit="1" customWidth="1"/>
    <col min="11998" max="11998" width="20" style="33" bestFit="1" customWidth="1"/>
    <col min="11999" max="11999" width="19.28515625" style="33" bestFit="1" customWidth="1"/>
    <col min="12000" max="12000" width="16.28515625" style="33" bestFit="1" customWidth="1"/>
    <col min="12001" max="12001" width="15.28515625" style="33" bestFit="1" customWidth="1"/>
    <col min="12002" max="12241" width="9.140625" style="33"/>
    <col min="12242" max="12242" width="3.85546875" style="33" bestFit="1" customWidth="1"/>
    <col min="12243" max="12243" width="44.5703125" style="33" bestFit="1" customWidth="1"/>
    <col min="12244" max="12244" width="28.7109375" style="33" bestFit="1" customWidth="1"/>
    <col min="12245" max="12245" width="16.85546875" style="33" customWidth="1"/>
    <col min="12246" max="12246" width="8.7109375" style="33" customWidth="1"/>
    <col min="12247" max="12247" width="24" style="33" bestFit="1" customWidth="1"/>
    <col min="12248" max="12248" width="21.42578125" style="33" bestFit="1" customWidth="1"/>
    <col min="12249" max="12249" width="24.7109375" style="33" customWidth="1"/>
    <col min="12250" max="12250" width="20.7109375" style="33" customWidth="1"/>
    <col min="12251" max="12251" width="25.5703125" style="33" bestFit="1" customWidth="1"/>
    <col min="12252" max="12252" width="25.28515625" style="33" customWidth="1"/>
    <col min="12253" max="12253" width="21" style="33" bestFit="1" customWidth="1"/>
    <col min="12254" max="12254" width="20" style="33" bestFit="1" customWidth="1"/>
    <col min="12255" max="12255" width="19.28515625" style="33" bestFit="1" customWidth="1"/>
    <col min="12256" max="12256" width="16.28515625" style="33" bestFit="1" customWidth="1"/>
    <col min="12257" max="12257" width="15.28515625" style="33" bestFit="1" customWidth="1"/>
    <col min="12258" max="12497" width="9.140625" style="33"/>
    <col min="12498" max="12498" width="3.85546875" style="33" bestFit="1" customWidth="1"/>
    <col min="12499" max="12499" width="44.5703125" style="33" bestFit="1" customWidth="1"/>
    <col min="12500" max="12500" width="28.7109375" style="33" bestFit="1" customWidth="1"/>
    <col min="12501" max="12501" width="16.85546875" style="33" customWidth="1"/>
    <col min="12502" max="12502" width="8.7109375" style="33" customWidth="1"/>
    <col min="12503" max="12503" width="24" style="33" bestFit="1" customWidth="1"/>
    <col min="12504" max="12504" width="21.42578125" style="33" bestFit="1" customWidth="1"/>
    <col min="12505" max="12505" width="24.7109375" style="33" customWidth="1"/>
    <col min="12506" max="12506" width="20.7109375" style="33" customWidth="1"/>
    <col min="12507" max="12507" width="25.5703125" style="33" bestFit="1" customWidth="1"/>
    <col min="12508" max="12508" width="25.28515625" style="33" customWidth="1"/>
    <col min="12509" max="12509" width="21" style="33" bestFit="1" customWidth="1"/>
    <col min="12510" max="12510" width="20" style="33" bestFit="1" customWidth="1"/>
    <col min="12511" max="12511" width="19.28515625" style="33" bestFit="1" customWidth="1"/>
    <col min="12512" max="12512" width="16.28515625" style="33" bestFit="1" customWidth="1"/>
    <col min="12513" max="12513" width="15.28515625" style="33" bestFit="1" customWidth="1"/>
    <col min="12514" max="12753" width="9.140625" style="33"/>
    <col min="12754" max="12754" width="3.85546875" style="33" bestFit="1" customWidth="1"/>
    <col min="12755" max="12755" width="44.5703125" style="33" bestFit="1" customWidth="1"/>
    <col min="12756" max="12756" width="28.7109375" style="33" bestFit="1" customWidth="1"/>
    <col min="12757" max="12757" width="16.85546875" style="33" customWidth="1"/>
    <col min="12758" max="12758" width="8.7109375" style="33" customWidth="1"/>
    <col min="12759" max="12759" width="24" style="33" bestFit="1" customWidth="1"/>
    <col min="12760" max="12760" width="21.42578125" style="33" bestFit="1" customWidth="1"/>
    <col min="12761" max="12761" width="24.7109375" style="33" customWidth="1"/>
    <col min="12762" max="12762" width="20.7109375" style="33" customWidth="1"/>
    <col min="12763" max="12763" width="25.5703125" style="33" bestFit="1" customWidth="1"/>
    <col min="12764" max="12764" width="25.28515625" style="33" customWidth="1"/>
    <col min="12765" max="12765" width="21" style="33" bestFit="1" customWidth="1"/>
    <col min="12766" max="12766" width="20" style="33" bestFit="1" customWidth="1"/>
    <col min="12767" max="12767" width="19.28515625" style="33" bestFit="1" customWidth="1"/>
    <col min="12768" max="12768" width="16.28515625" style="33" bestFit="1" customWidth="1"/>
    <col min="12769" max="12769" width="15.28515625" style="33" bestFit="1" customWidth="1"/>
    <col min="12770" max="13009" width="9.140625" style="33"/>
    <col min="13010" max="13010" width="3.85546875" style="33" bestFit="1" customWidth="1"/>
    <col min="13011" max="13011" width="44.5703125" style="33" bestFit="1" customWidth="1"/>
    <col min="13012" max="13012" width="28.7109375" style="33" bestFit="1" customWidth="1"/>
    <col min="13013" max="13013" width="16.85546875" style="33" customWidth="1"/>
    <col min="13014" max="13014" width="8.7109375" style="33" customWidth="1"/>
    <col min="13015" max="13015" width="24" style="33" bestFit="1" customWidth="1"/>
    <col min="13016" max="13016" width="21.42578125" style="33" bestFit="1" customWidth="1"/>
    <col min="13017" max="13017" width="24.7109375" style="33" customWidth="1"/>
    <col min="13018" max="13018" width="20.7109375" style="33" customWidth="1"/>
    <col min="13019" max="13019" width="25.5703125" style="33" bestFit="1" customWidth="1"/>
    <col min="13020" max="13020" width="25.28515625" style="33" customWidth="1"/>
    <col min="13021" max="13021" width="21" style="33" bestFit="1" customWidth="1"/>
    <col min="13022" max="13022" width="20" style="33" bestFit="1" customWidth="1"/>
    <col min="13023" max="13023" width="19.28515625" style="33" bestFit="1" customWidth="1"/>
    <col min="13024" max="13024" width="16.28515625" style="33" bestFit="1" customWidth="1"/>
    <col min="13025" max="13025" width="15.28515625" style="33" bestFit="1" customWidth="1"/>
    <col min="13026" max="13265" width="9.140625" style="33"/>
    <col min="13266" max="13266" width="3.85546875" style="33" bestFit="1" customWidth="1"/>
    <col min="13267" max="13267" width="44.5703125" style="33" bestFit="1" customWidth="1"/>
    <col min="13268" max="13268" width="28.7109375" style="33" bestFit="1" customWidth="1"/>
    <col min="13269" max="13269" width="16.85546875" style="33" customWidth="1"/>
    <col min="13270" max="13270" width="8.7109375" style="33" customWidth="1"/>
    <col min="13271" max="13271" width="24" style="33" bestFit="1" customWidth="1"/>
    <col min="13272" max="13272" width="21.42578125" style="33" bestFit="1" customWidth="1"/>
    <col min="13273" max="13273" width="24.7109375" style="33" customWidth="1"/>
    <col min="13274" max="13274" width="20.7109375" style="33" customWidth="1"/>
    <col min="13275" max="13275" width="25.5703125" style="33" bestFit="1" customWidth="1"/>
    <col min="13276" max="13276" width="25.28515625" style="33" customWidth="1"/>
    <col min="13277" max="13277" width="21" style="33" bestFit="1" customWidth="1"/>
    <col min="13278" max="13278" width="20" style="33" bestFit="1" customWidth="1"/>
    <col min="13279" max="13279" width="19.28515625" style="33" bestFit="1" customWidth="1"/>
    <col min="13280" max="13280" width="16.28515625" style="33" bestFit="1" customWidth="1"/>
    <col min="13281" max="13281" width="15.28515625" style="33" bestFit="1" customWidth="1"/>
    <col min="13282" max="13521" width="9.140625" style="33"/>
    <col min="13522" max="13522" width="3.85546875" style="33" bestFit="1" customWidth="1"/>
    <col min="13523" max="13523" width="44.5703125" style="33" bestFit="1" customWidth="1"/>
    <col min="13524" max="13524" width="28.7109375" style="33" bestFit="1" customWidth="1"/>
    <col min="13525" max="13525" width="16.85546875" style="33" customWidth="1"/>
    <col min="13526" max="13526" width="8.7109375" style="33" customWidth="1"/>
    <col min="13527" max="13527" width="24" style="33" bestFit="1" customWidth="1"/>
    <col min="13528" max="13528" width="21.42578125" style="33" bestFit="1" customWidth="1"/>
    <col min="13529" max="13529" width="24.7109375" style="33" customWidth="1"/>
    <col min="13530" max="13530" width="20.7109375" style="33" customWidth="1"/>
    <col min="13531" max="13531" width="25.5703125" style="33" bestFit="1" customWidth="1"/>
    <col min="13532" max="13532" width="25.28515625" style="33" customWidth="1"/>
    <col min="13533" max="13533" width="21" style="33" bestFit="1" customWidth="1"/>
    <col min="13534" max="13534" width="20" style="33" bestFit="1" customWidth="1"/>
    <col min="13535" max="13535" width="19.28515625" style="33" bestFit="1" customWidth="1"/>
    <col min="13536" max="13536" width="16.28515625" style="33" bestFit="1" customWidth="1"/>
    <col min="13537" max="13537" width="15.28515625" style="33" bestFit="1" customWidth="1"/>
    <col min="13538" max="13777" width="9.140625" style="33"/>
    <col min="13778" max="13778" width="3.85546875" style="33" bestFit="1" customWidth="1"/>
    <col min="13779" max="13779" width="44.5703125" style="33" bestFit="1" customWidth="1"/>
    <col min="13780" max="13780" width="28.7109375" style="33" bestFit="1" customWidth="1"/>
    <col min="13781" max="13781" width="16.85546875" style="33" customWidth="1"/>
    <col min="13782" max="13782" width="8.7109375" style="33" customWidth="1"/>
    <col min="13783" max="13783" width="24" style="33" bestFit="1" customWidth="1"/>
    <col min="13784" max="13784" width="21.42578125" style="33" bestFit="1" customWidth="1"/>
    <col min="13785" max="13785" width="24.7109375" style="33" customWidth="1"/>
    <col min="13786" max="13786" width="20.7109375" style="33" customWidth="1"/>
    <col min="13787" max="13787" width="25.5703125" style="33" bestFit="1" customWidth="1"/>
    <col min="13788" max="13788" width="25.28515625" style="33" customWidth="1"/>
    <col min="13789" max="13789" width="21" style="33" bestFit="1" customWidth="1"/>
    <col min="13790" max="13790" width="20" style="33" bestFit="1" customWidth="1"/>
    <col min="13791" max="13791" width="19.28515625" style="33" bestFit="1" customWidth="1"/>
    <col min="13792" max="13792" width="16.28515625" style="33" bestFit="1" customWidth="1"/>
    <col min="13793" max="13793" width="15.28515625" style="33" bestFit="1" customWidth="1"/>
    <col min="13794" max="14033" width="9.140625" style="33"/>
    <col min="14034" max="14034" width="3.85546875" style="33" bestFit="1" customWidth="1"/>
    <col min="14035" max="14035" width="44.5703125" style="33" bestFit="1" customWidth="1"/>
    <col min="14036" max="14036" width="28.7109375" style="33" bestFit="1" customWidth="1"/>
    <col min="14037" max="14037" width="16.85546875" style="33" customWidth="1"/>
    <col min="14038" max="14038" width="8.7109375" style="33" customWidth="1"/>
    <col min="14039" max="14039" width="24" style="33" bestFit="1" customWidth="1"/>
    <col min="14040" max="14040" width="21.42578125" style="33" bestFit="1" customWidth="1"/>
    <col min="14041" max="14041" width="24.7109375" style="33" customWidth="1"/>
    <col min="14042" max="14042" width="20.7109375" style="33" customWidth="1"/>
    <col min="14043" max="14043" width="25.5703125" style="33" bestFit="1" customWidth="1"/>
    <col min="14044" max="14044" width="25.28515625" style="33" customWidth="1"/>
    <col min="14045" max="14045" width="21" style="33" bestFit="1" customWidth="1"/>
    <col min="14046" max="14046" width="20" style="33" bestFit="1" customWidth="1"/>
    <col min="14047" max="14047" width="19.28515625" style="33" bestFit="1" customWidth="1"/>
    <col min="14048" max="14048" width="16.28515625" style="33" bestFit="1" customWidth="1"/>
    <col min="14049" max="14049" width="15.28515625" style="33" bestFit="1" customWidth="1"/>
    <col min="14050" max="14289" width="9.140625" style="33"/>
    <col min="14290" max="14290" width="3.85546875" style="33" bestFit="1" customWidth="1"/>
    <col min="14291" max="14291" width="44.5703125" style="33" bestFit="1" customWidth="1"/>
    <col min="14292" max="14292" width="28.7109375" style="33" bestFit="1" customWidth="1"/>
    <col min="14293" max="14293" width="16.85546875" style="33" customWidth="1"/>
    <col min="14294" max="14294" width="8.7109375" style="33" customWidth="1"/>
    <col min="14295" max="14295" width="24" style="33" bestFit="1" customWidth="1"/>
    <col min="14296" max="14296" width="21.42578125" style="33" bestFit="1" customWidth="1"/>
    <col min="14297" max="14297" width="24.7109375" style="33" customWidth="1"/>
    <col min="14298" max="14298" width="20.7109375" style="33" customWidth="1"/>
    <col min="14299" max="14299" width="25.5703125" style="33" bestFit="1" customWidth="1"/>
    <col min="14300" max="14300" width="25.28515625" style="33" customWidth="1"/>
    <col min="14301" max="14301" width="21" style="33" bestFit="1" customWidth="1"/>
    <col min="14302" max="14302" width="20" style="33" bestFit="1" customWidth="1"/>
    <col min="14303" max="14303" width="19.28515625" style="33" bestFit="1" customWidth="1"/>
    <col min="14304" max="14304" width="16.28515625" style="33" bestFit="1" customWidth="1"/>
    <col min="14305" max="14305" width="15.28515625" style="33" bestFit="1" customWidth="1"/>
    <col min="14306" max="14545" width="9.140625" style="33"/>
    <col min="14546" max="14546" width="3.85546875" style="33" bestFit="1" customWidth="1"/>
    <col min="14547" max="14547" width="44.5703125" style="33" bestFit="1" customWidth="1"/>
    <col min="14548" max="14548" width="28.7109375" style="33" bestFit="1" customWidth="1"/>
    <col min="14549" max="14549" width="16.85546875" style="33" customWidth="1"/>
    <col min="14550" max="14550" width="8.7109375" style="33" customWidth="1"/>
    <col min="14551" max="14551" width="24" style="33" bestFit="1" customWidth="1"/>
    <col min="14552" max="14552" width="21.42578125" style="33" bestFit="1" customWidth="1"/>
    <col min="14553" max="14553" width="24.7109375" style="33" customWidth="1"/>
    <col min="14554" max="14554" width="20.7109375" style="33" customWidth="1"/>
    <col min="14555" max="14555" width="25.5703125" style="33" bestFit="1" customWidth="1"/>
    <col min="14556" max="14556" width="25.28515625" style="33" customWidth="1"/>
    <col min="14557" max="14557" width="21" style="33" bestFit="1" customWidth="1"/>
    <col min="14558" max="14558" width="20" style="33" bestFit="1" customWidth="1"/>
    <col min="14559" max="14559" width="19.28515625" style="33" bestFit="1" customWidth="1"/>
    <col min="14560" max="14560" width="16.28515625" style="33" bestFit="1" customWidth="1"/>
    <col min="14561" max="14561" width="15.28515625" style="33" bestFit="1" customWidth="1"/>
    <col min="14562" max="14801" width="9.140625" style="33"/>
    <col min="14802" max="14802" width="3.85546875" style="33" bestFit="1" customWidth="1"/>
    <col min="14803" max="14803" width="44.5703125" style="33" bestFit="1" customWidth="1"/>
    <col min="14804" max="14804" width="28.7109375" style="33" bestFit="1" customWidth="1"/>
    <col min="14805" max="14805" width="16.85546875" style="33" customWidth="1"/>
    <col min="14806" max="14806" width="8.7109375" style="33" customWidth="1"/>
    <col min="14807" max="14807" width="24" style="33" bestFit="1" customWidth="1"/>
    <col min="14808" max="14808" width="21.42578125" style="33" bestFit="1" customWidth="1"/>
    <col min="14809" max="14809" width="24.7109375" style="33" customWidth="1"/>
    <col min="14810" max="14810" width="20.7109375" style="33" customWidth="1"/>
    <col min="14811" max="14811" width="25.5703125" style="33" bestFit="1" customWidth="1"/>
    <col min="14812" max="14812" width="25.28515625" style="33" customWidth="1"/>
    <col min="14813" max="14813" width="21" style="33" bestFit="1" customWidth="1"/>
    <col min="14814" max="14814" width="20" style="33" bestFit="1" customWidth="1"/>
    <col min="14815" max="14815" width="19.28515625" style="33" bestFit="1" customWidth="1"/>
    <col min="14816" max="14816" width="16.28515625" style="33" bestFit="1" customWidth="1"/>
    <col min="14817" max="14817" width="15.28515625" style="33" bestFit="1" customWidth="1"/>
    <col min="14818" max="15057" width="9.140625" style="33"/>
    <col min="15058" max="15058" width="3.85546875" style="33" bestFit="1" customWidth="1"/>
    <col min="15059" max="15059" width="44.5703125" style="33" bestFit="1" customWidth="1"/>
    <col min="15060" max="15060" width="28.7109375" style="33" bestFit="1" customWidth="1"/>
    <col min="15061" max="15061" width="16.85546875" style="33" customWidth="1"/>
    <col min="15062" max="15062" width="8.7109375" style="33" customWidth="1"/>
    <col min="15063" max="15063" width="24" style="33" bestFit="1" customWidth="1"/>
    <col min="15064" max="15064" width="21.42578125" style="33" bestFit="1" customWidth="1"/>
    <col min="15065" max="15065" width="24.7109375" style="33" customWidth="1"/>
    <col min="15066" max="15066" width="20.7109375" style="33" customWidth="1"/>
    <col min="15067" max="15067" width="25.5703125" style="33" bestFit="1" customWidth="1"/>
    <col min="15068" max="15068" width="25.28515625" style="33" customWidth="1"/>
    <col min="15069" max="15069" width="21" style="33" bestFit="1" customWidth="1"/>
    <col min="15070" max="15070" width="20" style="33" bestFit="1" customWidth="1"/>
    <col min="15071" max="15071" width="19.28515625" style="33" bestFit="1" customWidth="1"/>
    <col min="15072" max="15072" width="16.28515625" style="33" bestFit="1" customWidth="1"/>
    <col min="15073" max="15073" width="15.28515625" style="33" bestFit="1" customWidth="1"/>
    <col min="15074" max="15313" width="9.140625" style="33"/>
    <col min="15314" max="15314" width="3.85546875" style="33" bestFit="1" customWidth="1"/>
    <col min="15315" max="15315" width="44.5703125" style="33" bestFit="1" customWidth="1"/>
    <col min="15316" max="15316" width="28.7109375" style="33" bestFit="1" customWidth="1"/>
    <col min="15317" max="15317" width="16.85546875" style="33" customWidth="1"/>
    <col min="15318" max="15318" width="8.7109375" style="33" customWidth="1"/>
    <col min="15319" max="15319" width="24" style="33" bestFit="1" customWidth="1"/>
    <col min="15320" max="15320" width="21.42578125" style="33" bestFit="1" customWidth="1"/>
    <col min="15321" max="15321" width="24.7109375" style="33" customWidth="1"/>
    <col min="15322" max="15322" width="20.7109375" style="33" customWidth="1"/>
    <col min="15323" max="15323" width="25.5703125" style="33" bestFit="1" customWidth="1"/>
    <col min="15324" max="15324" width="25.28515625" style="33" customWidth="1"/>
    <col min="15325" max="15325" width="21" style="33" bestFit="1" customWidth="1"/>
    <col min="15326" max="15326" width="20" style="33" bestFit="1" customWidth="1"/>
    <col min="15327" max="15327" width="19.28515625" style="33" bestFit="1" customWidth="1"/>
    <col min="15328" max="15328" width="16.28515625" style="33" bestFit="1" customWidth="1"/>
    <col min="15329" max="15329" width="15.28515625" style="33" bestFit="1" customWidth="1"/>
    <col min="15330" max="15569" width="9.140625" style="33"/>
    <col min="15570" max="15570" width="3.85546875" style="33" bestFit="1" customWidth="1"/>
    <col min="15571" max="15571" width="44.5703125" style="33" bestFit="1" customWidth="1"/>
    <col min="15572" max="15572" width="28.7109375" style="33" bestFit="1" customWidth="1"/>
    <col min="15573" max="15573" width="16.85546875" style="33" customWidth="1"/>
    <col min="15574" max="15574" width="8.7109375" style="33" customWidth="1"/>
    <col min="15575" max="15575" width="24" style="33" bestFit="1" customWidth="1"/>
    <col min="15576" max="15576" width="21.42578125" style="33" bestFit="1" customWidth="1"/>
    <col min="15577" max="15577" width="24.7109375" style="33" customWidth="1"/>
    <col min="15578" max="15578" width="20.7109375" style="33" customWidth="1"/>
    <col min="15579" max="15579" width="25.5703125" style="33" bestFit="1" customWidth="1"/>
    <col min="15580" max="15580" width="25.28515625" style="33" customWidth="1"/>
    <col min="15581" max="15581" width="21" style="33" bestFit="1" customWidth="1"/>
    <col min="15582" max="15582" width="20" style="33" bestFit="1" customWidth="1"/>
    <col min="15583" max="15583" width="19.28515625" style="33" bestFit="1" customWidth="1"/>
    <col min="15584" max="15584" width="16.28515625" style="33" bestFit="1" customWidth="1"/>
    <col min="15585" max="15585" width="15.28515625" style="33" bestFit="1" customWidth="1"/>
    <col min="15586" max="15825" width="9.140625" style="33"/>
    <col min="15826" max="15826" width="3.85546875" style="33" bestFit="1" customWidth="1"/>
    <col min="15827" max="15827" width="44.5703125" style="33" bestFit="1" customWidth="1"/>
    <col min="15828" max="15828" width="28.7109375" style="33" bestFit="1" customWidth="1"/>
    <col min="15829" max="15829" width="16.85546875" style="33" customWidth="1"/>
    <col min="15830" max="15830" width="8.7109375" style="33" customWidth="1"/>
    <col min="15831" max="15831" width="24" style="33" bestFit="1" customWidth="1"/>
    <col min="15832" max="15832" width="21.42578125" style="33" bestFit="1" customWidth="1"/>
    <col min="15833" max="15833" width="24.7109375" style="33" customWidth="1"/>
    <col min="15834" max="15834" width="20.7109375" style="33" customWidth="1"/>
    <col min="15835" max="15835" width="25.5703125" style="33" bestFit="1" customWidth="1"/>
    <col min="15836" max="15836" width="25.28515625" style="33" customWidth="1"/>
    <col min="15837" max="15837" width="21" style="33" bestFit="1" customWidth="1"/>
    <col min="15838" max="15838" width="20" style="33" bestFit="1" customWidth="1"/>
    <col min="15839" max="15839" width="19.28515625" style="33" bestFit="1" customWidth="1"/>
    <col min="15840" max="15840" width="16.28515625" style="33" bestFit="1" customWidth="1"/>
    <col min="15841" max="15841" width="15.28515625" style="33" bestFit="1" customWidth="1"/>
    <col min="15842" max="16081" width="9.140625" style="33"/>
    <col min="16082" max="16082" width="3.85546875" style="33" bestFit="1" customWidth="1"/>
    <col min="16083" max="16083" width="44.5703125" style="33" bestFit="1" customWidth="1"/>
    <col min="16084" max="16084" width="28.7109375" style="33" bestFit="1" customWidth="1"/>
    <col min="16085" max="16085" width="16.85546875" style="33" customWidth="1"/>
    <col min="16086" max="16086" width="8.7109375" style="33" customWidth="1"/>
    <col min="16087" max="16087" width="24" style="33" bestFit="1" customWidth="1"/>
    <col min="16088" max="16088" width="21.42578125" style="33" bestFit="1" customWidth="1"/>
    <col min="16089" max="16089" width="24.7109375" style="33" customWidth="1"/>
    <col min="16090" max="16090" width="20.7109375" style="33" customWidth="1"/>
    <col min="16091" max="16091" width="25.5703125" style="33" bestFit="1" customWidth="1"/>
    <col min="16092" max="16092" width="25.28515625" style="33" customWidth="1"/>
    <col min="16093" max="16093" width="21" style="33" bestFit="1" customWidth="1"/>
    <col min="16094" max="16094" width="20" style="33" bestFit="1" customWidth="1"/>
    <col min="16095" max="16095" width="19.28515625" style="33" bestFit="1" customWidth="1"/>
    <col min="16096" max="16096" width="16.28515625" style="33" bestFit="1" customWidth="1"/>
    <col min="16097" max="16097" width="15.28515625" style="33" bestFit="1" customWidth="1"/>
    <col min="16098" max="16384" width="9.140625" style="33"/>
  </cols>
  <sheetData>
    <row r="1" spans="1:106" ht="17.25">
      <c r="A1" s="213" t="s">
        <v>2209</v>
      </c>
      <c r="J1" s="213" t="s">
        <v>2210</v>
      </c>
      <c r="S1" s="213" t="s">
        <v>2540</v>
      </c>
      <c r="AB1" s="213" t="s">
        <v>2541</v>
      </c>
      <c r="AK1" s="213" t="s">
        <v>2837</v>
      </c>
      <c r="AT1" s="213" t="s">
        <v>2835</v>
      </c>
      <c r="BC1" s="213" t="s">
        <v>2981</v>
      </c>
      <c r="BL1" s="213" t="s">
        <v>563</v>
      </c>
      <c r="BU1" s="213" t="s">
        <v>632</v>
      </c>
      <c r="CD1" s="213" t="s">
        <v>1668</v>
      </c>
      <c r="CM1" s="213" t="s">
        <v>1679</v>
      </c>
      <c r="CT1" s="646" t="s">
        <v>1711</v>
      </c>
      <c r="CV1" s="213" t="s">
        <v>1678</v>
      </c>
      <c r="CW1" s="474"/>
      <c r="CX1" s="474"/>
      <c r="DB1" s="646" t="s">
        <v>1711</v>
      </c>
    </row>
    <row r="2" spans="1:106">
      <c r="A2" s="124"/>
      <c r="J2" s="124"/>
      <c r="S2" s="124"/>
      <c r="AB2" s="124"/>
      <c r="AK2" s="124"/>
      <c r="AT2" s="124"/>
      <c r="BC2" s="124"/>
      <c r="BL2" s="124"/>
      <c r="BU2" s="124"/>
      <c r="CD2" s="124"/>
      <c r="CM2" s="124" t="s">
        <v>1676</v>
      </c>
      <c r="CV2" s="33" t="s">
        <v>1676</v>
      </c>
    </row>
    <row r="3" spans="1:106" s="122" customFormat="1" ht="18" customHeight="1">
      <c r="A3" s="1827" t="s">
        <v>6</v>
      </c>
      <c r="B3" s="1827" t="s">
        <v>198</v>
      </c>
      <c r="C3" s="1827" t="s">
        <v>199</v>
      </c>
      <c r="D3" s="1827" t="s">
        <v>3</v>
      </c>
      <c r="E3" s="1857" t="s">
        <v>141</v>
      </c>
      <c r="F3" s="1827" t="s">
        <v>51</v>
      </c>
      <c r="G3" s="1580" t="s">
        <v>296</v>
      </c>
      <c r="H3" s="1580"/>
      <c r="J3" s="1827" t="s">
        <v>6</v>
      </c>
      <c r="K3" s="1827" t="s">
        <v>198</v>
      </c>
      <c r="L3" s="1827" t="s">
        <v>199</v>
      </c>
      <c r="M3" s="1827" t="s">
        <v>3</v>
      </c>
      <c r="N3" s="1857" t="s">
        <v>141</v>
      </c>
      <c r="O3" s="1827" t="s">
        <v>51</v>
      </c>
      <c r="P3" s="1580" t="s">
        <v>296</v>
      </c>
      <c r="Q3" s="1580"/>
      <c r="S3" s="1827" t="s">
        <v>6</v>
      </c>
      <c r="T3" s="1827" t="s">
        <v>198</v>
      </c>
      <c r="U3" s="1827" t="s">
        <v>199</v>
      </c>
      <c r="V3" s="1827" t="s">
        <v>3</v>
      </c>
      <c r="W3" s="1857" t="s">
        <v>141</v>
      </c>
      <c r="X3" s="1827" t="s">
        <v>51</v>
      </c>
      <c r="Y3" s="1580" t="s">
        <v>296</v>
      </c>
      <c r="Z3" s="1580"/>
      <c r="AB3" s="1827" t="s">
        <v>6</v>
      </c>
      <c r="AC3" s="1827" t="s">
        <v>198</v>
      </c>
      <c r="AD3" s="1827" t="s">
        <v>199</v>
      </c>
      <c r="AE3" s="1827" t="s">
        <v>3</v>
      </c>
      <c r="AF3" s="1857" t="s">
        <v>141</v>
      </c>
      <c r="AG3" s="1827" t="s">
        <v>51</v>
      </c>
      <c r="AH3" s="1580" t="s">
        <v>296</v>
      </c>
      <c r="AI3" s="1580"/>
      <c r="AK3" s="1827" t="s">
        <v>6</v>
      </c>
      <c r="AL3" s="1827" t="s">
        <v>198</v>
      </c>
      <c r="AM3" s="1827" t="s">
        <v>199</v>
      </c>
      <c r="AN3" s="1827" t="s">
        <v>3</v>
      </c>
      <c r="AO3" s="1857" t="s">
        <v>141</v>
      </c>
      <c r="AP3" s="1827" t="s">
        <v>51</v>
      </c>
      <c r="AQ3" s="1580" t="s">
        <v>296</v>
      </c>
      <c r="AR3" s="1580"/>
      <c r="AT3" s="1827" t="s">
        <v>6</v>
      </c>
      <c r="AU3" s="1827" t="s">
        <v>198</v>
      </c>
      <c r="AV3" s="1827" t="s">
        <v>199</v>
      </c>
      <c r="AW3" s="1827" t="s">
        <v>3</v>
      </c>
      <c r="AX3" s="1857" t="s">
        <v>141</v>
      </c>
      <c r="AY3" s="1827" t="s">
        <v>51</v>
      </c>
      <c r="AZ3" s="1580" t="s">
        <v>296</v>
      </c>
      <c r="BA3" s="1580"/>
      <c r="BC3" s="1827" t="s">
        <v>6</v>
      </c>
      <c r="BD3" s="1827" t="s">
        <v>198</v>
      </c>
      <c r="BE3" s="1827" t="s">
        <v>199</v>
      </c>
      <c r="BF3" s="1827" t="s">
        <v>3</v>
      </c>
      <c r="BG3" s="1857" t="s">
        <v>141</v>
      </c>
      <c r="BH3" s="1827" t="s">
        <v>51</v>
      </c>
      <c r="BI3" s="1580" t="s">
        <v>296</v>
      </c>
      <c r="BJ3" s="1580"/>
      <c r="BL3" s="1827" t="s">
        <v>6</v>
      </c>
      <c r="BM3" s="1827" t="s">
        <v>198</v>
      </c>
      <c r="BN3" s="1827" t="s">
        <v>199</v>
      </c>
      <c r="BO3" s="1827" t="s">
        <v>3</v>
      </c>
      <c r="BP3" s="1857" t="s">
        <v>141</v>
      </c>
      <c r="BQ3" s="1827" t="s">
        <v>51</v>
      </c>
      <c r="BR3" s="1580" t="s">
        <v>296</v>
      </c>
      <c r="BS3" s="1580"/>
      <c r="BU3" s="1827" t="s">
        <v>6</v>
      </c>
      <c r="BV3" s="1827" t="s">
        <v>198</v>
      </c>
      <c r="BW3" s="1827" t="s">
        <v>199</v>
      </c>
      <c r="BX3" s="1827" t="s">
        <v>3</v>
      </c>
      <c r="BY3" s="1857" t="s">
        <v>141</v>
      </c>
      <c r="BZ3" s="1827" t="s">
        <v>51</v>
      </c>
      <c r="CA3" s="1580" t="s">
        <v>296</v>
      </c>
      <c r="CB3" s="1580"/>
      <c r="CD3" s="1827" t="s">
        <v>6</v>
      </c>
      <c r="CE3" s="1827" t="s">
        <v>198</v>
      </c>
      <c r="CF3" s="1827" t="s">
        <v>199</v>
      </c>
      <c r="CG3" s="1827" t="s">
        <v>3</v>
      </c>
      <c r="CH3" s="1857" t="s">
        <v>141</v>
      </c>
      <c r="CI3" s="1827" t="s">
        <v>51</v>
      </c>
      <c r="CJ3" s="1580" t="s">
        <v>296</v>
      </c>
      <c r="CK3" s="1580"/>
      <c r="CM3" s="1827" t="s">
        <v>6</v>
      </c>
      <c r="CN3" s="1827" t="s">
        <v>198</v>
      </c>
      <c r="CO3" s="1827" t="s">
        <v>199</v>
      </c>
      <c r="CP3" s="1827" t="s">
        <v>3</v>
      </c>
      <c r="CQ3" s="1857" t="s">
        <v>141</v>
      </c>
      <c r="CR3" s="1827" t="s">
        <v>51</v>
      </c>
      <c r="CS3" s="1580" t="s">
        <v>296</v>
      </c>
      <c r="CT3" s="1580"/>
      <c r="CV3" s="1827" t="s">
        <v>6</v>
      </c>
      <c r="CW3" s="1827" t="s">
        <v>198</v>
      </c>
      <c r="CX3" s="1827" t="s">
        <v>199</v>
      </c>
      <c r="CY3" s="1827" t="s">
        <v>3</v>
      </c>
      <c r="CZ3" s="1857" t="s">
        <v>141</v>
      </c>
      <c r="DA3" s="1827" t="s">
        <v>51</v>
      </c>
      <c r="DB3" s="524" t="s">
        <v>1672</v>
      </c>
    </row>
    <row r="4" spans="1:106" s="122" customFormat="1" ht="18" customHeight="1">
      <c r="A4" s="1856"/>
      <c r="B4" s="1856"/>
      <c r="C4" s="1856"/>
      <c r="D4" s="1856"/>
      <c r="E4" s="1858"/>
      <c r="F4" s="1856"/>
      <c r="G4" s="766" t="s">
        <v>54</v>
      </c>
      <c r="H4" s="766" t="s">
        <v>55</v>
      </c>
      <c r="J4" s="1856"/>
      <c r="K4" s="1856"/>
      <c r="L4" s="1856"/>
      <c r="M4" s="1856"/>
      <c r="N4" s="1858"/>
      <c r="O4" s="1856"/>
      <c r="P4" s="766" t="s">
        <v>54</v>
      </c>
      <c r="Q4" s="766" t="s">
        <v>55</v>
      </c>
      <c r="S4" s="1856"/>
      <c r="T4" s="1856"/>
      <c r="U4" s="1856"/>
      <c r="V4" s="1856"/>
      <c r="W4" s="1858"/>
      <c r="X4" s="1856"/>
      <c r="Y4" s="897" t="s">
        <v>54</v>
      </c>
      <c r="Z4" s="897" t="s">
        <v>55</v>
      </c>
      <c r="AB4" s="1856"/>
      <c r="AC4" s="1856"/>
      <c r="AD4" s="1856"/>
      <c r="AE4" s="1856"/>
      <c r="AF4" s="1858"/>
      <c r="AG4" s="1856"/>
      <c r="AH4" s="897" t="s">
        <v>54</v>
      </c>
      <c r="AI4" s="897" t="s">
        <v>55</v>
      </c>
      <c r="AK4" s="1856"/>
      <c r="AL4" s="1856"/>
      <c r="AM4" s="1856"/>
      <c r="AN4" s="1856"/>
      <c r="AO4" s="1858"/>
      <c r="AP4" s="1856"/>
      <c r="AQ4" s="982" t="s">
        <v>54</v>
      </c>
      <c r="AR4" s="982" t="s">
        <v>55</v>
      </c>
      <c r="AT4" s="1856"/>
      <c r="AU4" s="1856"/>
      <c r="AV4" s="1856"/>
      <c r="AW4" s="1856"/>
      <c r="AX4" s="1858"/>
      <c r="AY4" s="1856"/>
      <c r="AZ4" s="982" t="s">
        <v>54</v>
      </c>
      <c r="BA4" s="982" t="s">
        <v>55</v>
      </c>
      <c r="BC4" s="1856"/>
      <c r="BD4" s="1856"/>
      <c r="BE4" s="1856"/>
      <c r="BF4" s="1856"/>
      <c r="BG4" s="1858"/>
      <c r="BH4" s="1856"/>
      <c r="BI4" s="1056" t="s">
        <v>54</v>
      </c>
      <c r="BJ4" s="1056" t="s">
        <v>55</v>
      </c>
      <c r="BL4" s="1856"/>
      <c r="BM4" s="1856"/>
      <c r="BN4" s="1856"/>
      <c r="BO4" s="1856"/>
      <c r="BP4" s="1858"/>
      <c r="BQ4" s="1856"/>
      <c r="BR4" s="386" t="s">
        <v>54</v>
      </c>
      <c r="BS4" s="386" t="s">
        <v>55</v>
      </c>
      <c r="BU4" s="1856"/>
      <c r="BV4" s="1856"/>
      <c r="BW4" s="1856"/>
      <c r="BX4" s="1856"/>
      <c r="BY4" s="1858"/>
      <c r="BZ4" s="1856"/>
      <c r="CA4" s="401" t="s">
        <v>54</v>
      </c>
      <c r="CB4" s="401" t="s">
        <v>55</v>
      </c>
      <c r="CD4" s="1856"/>
      <c r="CE4" s="1856"/>
      <c r="CF4" s="1856"/>
      <c r="CG4" s="1856"/>
      <c r="CH4" s="1858"/>
      <c r="CI4" s="1856"/>
      <c r="CJ4" s="516" t="s">
        <v>54</v>
      </c>
      <c r="CK4" s="516" t="s">
        <v>55</v>
      </c>
      <c r="CM4" s="1856"/>
      <c r="CN4" s="1856"/>
      <c r="CO4" s="1856"/>
      <c r="CP4" s="1856"/>
      <c r="CQ4" s="1858"/>
      <c r="CR4" s="1856"/>
      <c r="CS4" s="524" t="s">
        <v>54</v>
      </c>
      <c r="CT4" s="524" t="s">
        <v>55</v>
      </c>
      <c r="CV4" s="1856"/>
      <c r="CW4" s="1856"/>
      <c r="CX4" s="1856"/>
      <c r="CY4" s="1856"/>
      <c r="CZ4" s="1858"/>
      <c r="DA4" s="1856"/>
      <c r="DB4" s="524" t="s">
        <v>55</v>
      </c>
    </row>
    <row r="5" spans="1:106" s="73" customFormat="1">
      <c r="A5" s="214">
        <v>1</v>
      </c>
      <c r="B5" s="42" t="s">
        <v>194</v>
      </c>
      <c r="C5" s="42">
        <v>16</v>
      </c>
      <c r="D5" s="123" t="s">
        <v>13</v>
      </c>
      <c r="E5" s="113" t="s">
        <v>354</v>
      </c>
      <c r="F5" s="113" t="s">
        <v>142</v>
      </c>
      <c r="G5" s="216">
        <v>0</v>
      </c>
      <c r="H5" s="220">
        <v>15000000</v>
      </c>
      <c r="J5" s="214">
        <v>1</v>
      </c>
      <c r="K5" s="42" t="s">
        <v>194</v>
      </c>
      <c r="L5" s="42">
        <v>16</v>
      </c>
      <c r="M5" s="123" t="s">
        <v>13</v>
      </c>
      <c r="N5" s="113" t="s">
        <v>354</v>
      </c>
      <c r="O5" s="113" t="s">
        <v>142</v>
      </c>
      <c r="P5" s="216">
        <v>0</v>
      </c>
      <c r="Q5" s="220">
        <v>15000000</v>
      </c>
      <c r="S5" s="214">
        <v>1</v>
      </c>
      <c r="T5" s="42" t="s">
        <v>239</v>
      </c>
      <c r="U5" s="42">
        <v>6</v>
      </c>
      <c r="V5" s="123" t="s">
        <v>126</v>
      </c>
      <c r="W5" s="113" t="s">
        <v>62</v>
      </c>
      <c r="X5" s="113" t="s">
        <v>2179</v>
      </c>
      <c r="Y5" s="914">
        <v>0</v>
      </c>
      <c r="Z5" s="915">
        <v>44495000</v>
      </c>
      <c r="AB5" s="214">
        <v>1</v>
      </c>
      <c r="AC5" s="42" t="s">
        <v>194</v>
      </c>
      <c r="AD5" s="42">
        <v>16</v>
      </c>
      <c r="AE5" s="123" t="s">
        <v>13</v>
      </c>
      <c r="AF5" s="113" t="s">
        <v>354</v>
      </c>
      <c r="AG5" s="113" t="s">
        <v>142</v>
      </c>
      <c r="AH5" s="216">
        <v>0</v>
      </c>
      <c r="AI5" s="220">
        <v>15000000</v>
      </c>
      <c r="AK5" s="214">
        <v>1</v>
      </c>
      <c r="AL5" s="42" t="s">
        <v>194</v>
      </c>
      <c r="AM5" s="42">
        <v>16</v>
      </c>
      <c r="AN5" s="123" t="s">
        <v>13</v>
      </c>
      <c r="AO5" s="113" t="s">
        <v>354</v>
      </c>
      <c r="AP5" s="113" t="s">
        <v>142</v>
      </c>
      <c r="AQ5" s="216">
        <v>0</v>
      </c>
      <c r="AR5" s="220">
        <v>15000000</v>
      </c>
      <c r="AT5" s="214">
        <v>1</v>
      </c>
      <c r="AU5" s="42" t="s">
        <v>194</v>
      </c>
      <c r="AV5" s="42">
        <v>16</v>
      </c>
      <c r="AW5" s="123" t="s">
        <v>13</v>
      </c>
      <c r="AX5" s="113" t="s">
        <v>354</v>
      </c>
      <c r="AY5" s="113" t="s">
        <v>142</v>
      </c>
      <c r="AZ5" s="216">
        <v>0</v>
      </c>
      <c r="BA5" s="220">
        <v>15000000</v>
      </c>
      <c r="BC5" s="214">
        <v>1</v>
      </c>
      <c r="BD5" s="42" t="s">
        <v>194</v>
      </c>
      <c r="BE5" s="42">
        <v>16</v>
      </c>
      <c r="BF5" s="123" t="s">
        <v>13</v>
      </c>
      <c r="BG5" s="113" t="s">
        <v>354</v>
      </c>
      <c r="BH5" s="113" t="s">
        <v>142</v>
      </c>
      <c r="BI5" s="216">
        <v>0</v>
      </c>
      <c r="BJ5" s="220">
        <v>15000000</v>
      </c>
      <c r="BL5" s="214">
        <v>1</v>
      </c>
      <c r="BM5" s="214" t="s">
        <v>238</v>
      </c>
      <c r="BN5" s="214">
        <v>2</v>
      </c>
      <c r="BO5" s="215" t="s">
        <v>13</v>
      </c>
      <c r="BP5" s="113" t="s">
        <v>354</v>
      </c>
      <c r="BQ5" s="113" t="s">
        <v>185</v>
      </c>
      <c r="BR5" s="216">
        <v>0</v>
      </c>
      <c r="BS5" s="220">
        <v>15000000</v>
      </c>
      <c r="BU5" s="214">
        <v>1</v>
      </c>
      <c r="BV5" s="214" t="s">
        <v>140</v>
      </c>
      <c r="BW5" s="214">
        <v>1</v>
      </c>
      <c r="BX5" s="404" t="s">
        <v>13</v>
      </c>
      <c r="BY5" s="113" t="s">
        <v>354</v>
      </c>
      <c r="BZ5" s="113" t="s">
        <v>186</v>
      </c>
      <c r="CA5" s="216">
        <v>0</v>
      </c>
      <c r="CB5" s="220">
        <v>15000000</v>
      </c>
      <c r="CD5" s="214">
        <v>1</v>
      </c>
      <c r="CE5" s="42" t="s">
        <v>194</v>
      </c>
      <c r="CF5" s="42">
        <v>16</v>
      </c>
      <c r="CG5" s="123" t="s">
        <v>13</v>
      </c>
      <c r="CH5" s="113" t="s">
        <v>354</v>
      </c>
      <c r="CI5" s="113" t="s">
        <v>142</v>
      </c>
      <c r="CJ5" s="216">
        <v>0</v>
      </c>
      <c r="CK5" s="220">
        <v>15000000</v>
      </c>
      <c r="CM5" s="214">
        <v>1</v>
      </c>
      <c r="CN5" s="42" t="s">
        <v>194</v>
      </c>
      <c r="CO5" s="42">
        <v>16</v>
      </c>
      <c r="CP5" s="123" t="s">
        <v>13</v>
      </c>
      <c r="CQ5" s="113" t="s">
        <v>354</v>
      </c>
      <c r="CR5" s="113" t="s">
        <v>142</v>
      </c>
      <c r="CS5" s="216">
        <v>0</v>
      </c>
      <c r="CT5" s="220">
        <v>15000000</v>
      </c>
      <c r="CV5" s="211">
        <v>1</v>
      </c>
      <c r="CW5" s="211" t="s">
        <v>238</v>
      </c>
      <c r="CX5" s="211">
        <v>16</v>
      </c>
      <c r="CY5" s="8" t="s">
        <v>20</v>
      </c>
      <c r="CZ5" s="9" t="s">
        <v>346</v>
      </c>
      <c r="DA5" s="9" t="s">
        <v>187</v>
      </c>
      <c r="DB5" s="115">
        <v>0.02</v>
      </c>
    </row>
    <row r="6" spans="1:106" s="73" customFormat="1">
      <c r="A6" s="211">
        <v>2</v>
      </c>
      <c r="B6" s="9" t="s">
        <v>195</v>
      </c>
      <c r="C6" s="9">
        <v>1</v>
      </c>
      <c r="D6" s="8" t="s">
        <v>13</v>
      </c>
      <c r="E6" s="10" t="s">
        <v>354</v>
      </c>
      <c r="F6" s="10" t="s">
        <v>143</v>
      </c>
      <c r="G6" s="210">
        <v>0</v>
      </c>
      <c r="H6" s="115">
        <v>15000000</v>
      </c>
      <c r="J6" s="211">
        <v>2</v>
      </c>
      <c r="K6" s="9" t="s">
        <v>195</v>
      </c>
      <c r="L6" s="9">
        <v>1</v>
      </c>
      <c r="M6" s="8" t="s">
        <v>13</v>
      </c>
      <c r="N6" s="10" t="s">
        <v>354</v>
      </c>
      <c r="O6" s="10" t="s">
        <v>143</v>
      </c>
      <c r="P6" s="210">
        <v>0</v>
      </c>
      <c r="Q6" s="115">
        <v>15000000</v>
      </c>
      <c r="S6" s="211">
        <v>2</v>
      </c>
      <c r="T6" s="9" t="s">
        <v>194</v>
      </c>
      <c r="U6" s="9">
        <v>16</v>
      </c>
      <c r="V6" s="8" t="s">
        <v>13</v>
      </c>
      <c r="W6" s="10" t="s">
        <v>354</v>
      </c>
      <c r="X6" s="10" t="s">
        <v>142</v>
      </c>
      <c r="Y6" s="210">
        <v>0</v>
      </c>
      <c r="Z6" s="115">
        <v>15000000</v>
      </c>
      <c r="AB6" s="211">
        <v>2</v>
      </c>
      <c r="AC6" s="9" t="s">
        <v>195</v>
      </c>
      <c r="AD6" s="9">
        <v>1</v>
      </c>
      <c r="AE6" s="8" t="s">
        <v>13</v>
      </c>
      <c r="AF6" s="10" t="s">
        <v>354</v>
      </c>
      <c r="AG6" s="10" t="s">
        <v>143</v>
      </c>
      <c r="AH6" s="210">
        <v>0</v>
      </c>
      <c r="AI6" s="115">
        <v>15000000</v>
      </c>
      <c r="AK6" s="211">
        <v>2</v>
      </c>
      <c r="AL6" s="9" t="s">
        <v>195</v>
      </c>
      <c r="AM6" s="9">
        <v>1</v>
      </c>
      <c r="AN6" s="8" t="s">
        <v>13</v>
      </c>
      <c r="AO6" s="10" t="s">
        <v>354</v>
      </c>
      <c r="AP6" s="10" t="s">
        <v>143</v>
      </c>
      <c r="AQ6" s="210">
        <v>0</v>
      </c>
      <c r="AR6" s="115">
        <v>15000000</v>
      </c>
      <c r="AT6" s="211">
        <v>2</v>
      </c>
      <c r="AU6" s="9" t="s">
        <v>195</v>
      </c>
      <c r="AV6" s="9">
        <v>1</v>
      </c>
      <c r="AW6" s="8" t="s">
        <v>13</v>
      </c>
      <c r="AX6" s="10" t="s">
        <v>354</v>
      </c>
      <c r="AY6" s="10" t="s">
        <v>143</v>
      </c>
      <c r="AZ6" s="210">
        <v>0</v>
      </c>
      <c r="BA6" s="115">
        <v>15000000</v>
      </c>
      <c r="BC6" s="211">
        <v>2</v>
      </c>
      <c r="BD6" s="9" t="s">
        <v>195</v>
      </c>
      <c r="BE6" s="9">
        <v>1</v>
      </c>
      <c r="BF6" s="8" t="s">
        <v>13</v>
      </c>
      <c r="BG6" s="10" t="s">
        <v>354</v>
      </c>
      <c r="BH6" s="10" t="s">
        <v>143</v>
      </c>
      <c r="BI6" s="210">
        <v>0</v>
      </c>
      <c r="BJ6" s="115">
        <v>15000000</v>
      </c>
      <c r="BL6" s="211">
        <v>2</v>
      </c>
      <c r="BM6" s="211" t="s">
        <v>140</v>
      </c>
      <c r="BN6" s="211">
        <v>1</v>
      </c>
      <c r="BO6" s="217" t="s">
        <v>13</v>
      </c>
      <c r="BP6" s="10" t="s">
        <v>354</v>
      </c>
      <c r="BQ6" s="10" t="s">
        <v>186</v>
      </c>
      <c r="BR6" s="210">
        <v>0</v>
      </c>
      <c r="BS6" s="115">
        <v>15000000</v>
      </c>
      <c r="BU6" s="211">
        <v>2</v>
      </c>
      <c r="BV6" s="9" t="s">
        <v>194</v>
      </c>
      <c r="BW6" s="9">
        <v>16</v>
      </c>
      <c r="BX6" s="8" t="s">
        <v>13</v>
      </c>
      <c r="BY6" s="10" t="s">
        <v>354</v>
      </c>
      <c r="BZ6" s="10" t="s">
        <v>142</v>
      </c>
      <c r="CA6" s="210">
        <v>0</v>
      </c>
      <c r="CB6" s="115">
        <v>15000000</v>
      </c>
      <c r="CD6" s="211">
        <v>2</v>
      </c>
      <c r="CE6" s="9" t="s">
        <v>195</v>
      </c>
      <c r="CF6" s="9">
        <v>1</v>
      </c>
      <c r="CG6" s="8" t="s">
        <v>13</v>
      </c>
      <c r="CH6" s="10" t="s">
        <v>354</v>
      </c>
      <c r="CI6" s="10" t="s">
        <v>143</v>
      </c>
      <c r="CJ6" s="210">
        <v>0</v>
      </c>
      <c r="CK6" s="115">
        <v>15000000</v>
      </c>
      <c r="CM6" s="211">
        <v>2</v>
      </c>
      <c r="CN6" s="9" t="s">
        <v>195</v>
      </c>
      <c r="CO6" s="9">
        <v>1</v>
      </c>
      <c r="CP6" s="8" t="s">
        <v>13</v>
      </c>
      <c r="CQ6" s="10" t="s">
        <v>354</v>
      </c>
      <c r="CR6" s="10" t="s">
        <v>143</v>
      </c>
      <c r="CS6" s="210">
        <v>0</v>
      </c>
      <c r="CT6" s="115">
        <v>15000000</v>
      </c>
      <c r="CV6" s="211">
        <v>2</v>
      </c>
      <c r="CW6" s="211" t="s">
        <v>238</v>
      </c>
      <c r="CX6" s="211">
        <v>16</v>
      </c>
      <c r="CY6" s="8" t="s">
        <v>20</v>
      </c>
      <c r="CZ6" s="10" t="s">
        <v>371</v>
      </c>
      <c r="DA6" s="9" t="s">
        <v>188</v>
      </c>
      <c r="DB6" s="115">
        <v>0.13</v>
      </c>
    </row>
    <row r="7" spans="1:106" s="73" customFormat="1">
      <c r="A7" s="211">
        <v>3</v>
      </c>
      <c r="B7" s="9" t="s">
        <v>239</v>
      </c>
      <c r="C7" s="9">
        <v>1</v>
      </c>
      <c r="D7" s="8" t="s">
        <v>13</v>
      </c>
      <c r="E7" s="10" t="s">
        <v>354</v>
      </c>
      <c r="F7" s="10" t="s">
        <v>394</v>
      </c>
      <c r="G7" s="210">
        <v>0</v>
      </c>
      <c r="H7" s="115">
        <v>15000000</v>
      </c>
      <c r="J7" s="211">
        <v>3</v>
      </c>
      <c r="K7" s="9" t="s">
        <v>239</v>
      </c>
      <c r="L7" s="9">
        <v>1</v>
      </c>
      <c r="M7" s="8" t="s">
        <v>13</v>
      </c>
      <c r="N7" s="10" t="s">
        <v>354</v>
      </c>
      <c r="O7" s="10" t="s">
        <v>394</v>
      </c>
      <c r="P7" s="210">
        <v>0</v>
      </c>
      <c r="Q7" s="115">
        <v>15000000</v>
      </c>
      <c r="S7" s="211">
        <v>3</v>
      </c>
      <c r="T7" s="9" t="s">
        <v>195</v>
      </c>
      <c r="U7" s="9">
        <v>1</v>
      </c>
      <c r="V7" s="8" t="s">
        <v>13</v>
      </c>
      <c r="W7" s="10" t="s">
        <v>354</v>
      </c>
      <c r="X7" s="10" t="s">
        <v>143</v>
      </c>
      <c r="Y7" s="210">
        <v>0</v>
      </c>
      <c r="Z7" s="115">
        <v>15000000</v>
      </c>
      <c r="AB7" s="211">
        <v>3</v>
      </c>
      <c r="AC7" s="9" t="s">
        <v>239</v>
      </c>
      <c r="AD7" s="9">
        <v>1</v>
      </c>
      <c r="AE7" s="8" t="s">
        <v>13</v>
      </c>
      <c r="AF7" s="10" t="s">
        <v>354</v>
      </c>
      <c r="AG7" s="10" t="s">
        <v>394</v>
      </c>
      <c r="AH7" s="210">
        <v>0</v>
      </c>
      <c r="AI7" s="115">
        <v>15000000</v>
      </c>
      <c r="AK7" s="211">
        <v>3</v>
      </c>
      <c r="AL7" s="9" t="s">
        <v>239</v>
      </c>
      <c r="AM7" s="9">
        <v>1</v>
      </c>
      <c r="AN7" s="8" t="s">
        <v>13</v>
      </c>
      <c r="AO7" s="10" t="s">
        <v>354</v>
      </c>
      <c r="AP7" s="10" t="s">
        <v>394</v>
      </c>
      <c r="AQ7" s="210">
        <v>0</v>
      </c>
      <c r="AR7" s="115">
        <v>15000000</v>
      </c>
      <c r="AT7" s="211">
        <v>3</v>
      </c>
      <c r="AU7" s="9" t="s">
        <v>239</v>
      </c>
      <c r="AV7" s="9">
        <v>1</v>
      </c>
      <c r="AW7" s="8" t="s">
        <v>13</v>
      </c>
      <c r="AX7" s="10" t="s">
        <v>354</v>
      </c>
      <c r="AY7" s="10" t="s">
        <v>394</v>
      </c>
      <c r="AZ7" s="210">
        <v>0</v>
      </c>
      <c r="BA7" s="115">
        <v>15000000</v>
      </c>
      <c r="BC7" s="211">
        <v>3</v>
      </c>
      <c r="BD7" s="9" t="s">
        <v>239</v>
      </c>
      <c r="BE7" s="9">
        <v>1</v>
      </c>
      <c r="BF7" s="8" t="s">
        <v>13</v>
      </c>
      <c r="BG7" s="10" t="s">
        <v>354</v>
      </c>
      <c r="BH7" s="10" t="s">
        <v>394</v>
      </c>
      <c r="BI7" s="210">
        <v>0</v>
      </c>
      <c r="BJ7" s="115">
        <v>15000000</v>
      </c>
      <c r="BL7" s="211">
        <v>3</v>
      </c>
      <c r="BM7" s="9" t="s">
        <v>194</v>
      </c>
      <c r="BN7" s="9">
        <v>16</v>
      </c>
      <c r="BO7" s="8" t="s">
        <v>13</v>
      </c>
      <c r="BP7" s="10" t="s">
        <v>354</v>
      </c>
      <c r="BQ7" s="10" t="s">
        <v>142</v>
      </c>
      <c r="BR7" s="210">
        <v>0</v>
      </c>
      <c r="BS7" s="115">
        <v>15000000</v>
      </c>
      <c r="BU7" s="211">
        <v>3</v>
      </c>
      <c r="BV7" s="9" t="s">
        <v>195</v>
      </c>
      <c r="BW7" s="9">
        <v>1</v>
      </c>
      <c r="BX7" s="8" t="s">
        <v>13</v>
      </c>
      <c r="BY7" s="10" t="s">
        <v>354</v>
      </c>
      <c r="BZ7" s="10" t="s">
        <v>143</v>
      </c>
      <c r="CA7" s="210">
        <v>0</v>
      </c>
      <c r="CB7" s="115">
        <v>15000000</v>
      </c>
      <c r="CD7" s="211">
        <v>3</v>
      </c>
      <c r="CE7" s="9" t="s">
        <v>239</v>
      </c>
      <c r="CF7" s="9">
        <v>1</v>
      </c>
      <c r="CG7" s="8" t="s">
        <v>13</v>
      </c>
      <c r="CH7" s="10" t="s">
        <v>354</v>
      </c>
      <c r="CI7" s="10" t="s">
        <v>394</v>
      </c>
      <c r="CJ7" s="210">
        <v>0</v>
      </c>
      <c r="CK7" s="115">
        <v>15000000</v>
      </c>
      <c r="CM7" s="211">
        <v>3</v>
      </c>
      <c r="CN7" s="9" t="s">
        <v>239</v>
      </c>
      <c r="CO7" s="9">
        <v>1</v>
      </c>
      <c r="CP7" s="8" t="s">
        <v>13</v>
      </c>
      <c r="CQ7" s="10" t="s">
        <v>354</v>
      </c>
      <c r="CR7" s="10" t="s">
        <v>394</v>
      </c>
      <c r="CS7" s="210">
        <v>0</v>
      </c>
      <c r="CT7" s="115">
        <v>15000000</v>
      </c>
      <c r="CV7" s="211">
        <v>3</v>
      </c>
      <c r="CW7" s="211" t="s">
        <v>140</v>
      </c>
      <c r="CX7" s="211">
        <v>16</v>
      </c>
      <c r="CY7" s="8" t="s">
        <v>20</v>
      </c>
      <c r="CZ7" s="10" t="s">
        <v>371</v>
      </c>
      <c r="DA7" s="9" t="s">
        <v>189</v>
      </c>
      <c r="DB7" s="115">
        <v>-7503434.7000000002</v>
      </c>
    </row>
    <row r="8" spans="1:106" s="73" customFormat="1">
      <c r="A8" s="211">
        <v>4</v>
      </c>
      <c r="B8" s="9" t="s">
        <v>240</v>
      </c>
      <c r="C8" s="9">
        <v>1</v>
      </c>
      <c r="D8" s="8" t="s">
        <v>13</v>
      </c>
      <c r="E8" s="10" t="s">
        <v>354</v>
      </c>
      <c r="F8" s="10" t="s">
        <v>406</v>
      </c>
      <c r="G8" s="210">
        <v>0</v>
      </c>
      <c r="H8" s="115">
        <v>15000000</v>
      </c>
      <c r="J8" s="211">
        <v>4</v>
      </c>
      <c r="K8" s="9" t="s">
        <v>240</v>
      </c>
      <c r="L8" s="9">
        <v>1</v>
      </c>
      <c r="M8" s="8" t="s">
        <v>13</v>
      </c>
      <c r="N8" s="10" t="s">
        <v>354</v>
      </c>
      <c r="O8" s="10" t="s">
        <v>406</v>
      </c>
      <c r="P8" s="210">
        <v>0</v>
      </c>
      <c r="Q8" s="115">
        <v>15000000</v>
      </c>
      <c r="S8" s="211">
        <v>4</v>
      </c>
      <c r="T8" s="9" t="s">
        <v>239</v>
      </c>
      <c r="U8" s="9">
        <v>1</v>
      </c>
      <c r="V8" s="8" t="s">
        <v>13</v>
      </c>
      <c r="W8" s="10" t="s">
        <v>354</v>
      </c>
      <c r="X8" s="10" t="s">
        <v>394</v>
      </c>
      <c r="Y8" s="210">
        <v>0</v>
      </c>
      <c r="Z8" s="115">
        <v>15000000</v>
      </c>
      <c r="AB8" s="211">
        <v>4</v>
      </c>
      <c r="AC8" s="9" t="s">
        <v>240</v>
      </c>
      <c r="AD8" s="9">
        <v>1</v>
      </c>
      <c r="AE8" s="8" t="s">
        <v>13</v>
      </c>
      <c r="AF8" s="10" t="s">
        <v>354</v>
      </c>
      <c r="AG8" s="10" t="s">
        <v>406</v>
      </c>
      <c r="AH8" s="210">
        <v>0</v>
      </c>
      <c r="AI8" s="115">
        <v>15000000</v>
      </c>
      <c r="AK8" s="211">
        <v>4</v>
      </c>
      <c r="AL8" s="9" t="s">
        <v>240</v>
      </c>
      <c r="AM8" s="9">
        <v>1</v>
      </c>
      <c r="AN8" s="8" t="s">
        <v>13</v>
      </c>
      <c r="AO8" s="10" t="s">
        <v>354</v>
      </c>
      <c r="AP8" s="10" t="s">
        <v>406</v>
      </c>
      <c r="AQ8" s="210">
        <v>0</v>
      </c>
      <c r="AR8" s="115">
        <v>15000000</v>
      </c>
      <c r="AT8" s="211">
        <v>4</v>
      </c>
      <c r="AU8" s="9" t="s">
        <v>240</v>
      </c>
      <c r="AV8" s="9">
        <v>1</v>
      </c>
      <c r="AW8" s="8" t="s">
        <v>13</v>
      </c>
      <c r="AX8" s="10" t="s">
        <v>354</v>
      </c>
      <c r="AY8" s="10" t="s">
        <v>406</v>
      </c>
      <c r="AZ8" s="210">
        <v>0</v>
      </c>
      <c r="BA8" s="115">
        <v>15000000</v>
      </c>
      <c r="BC8" s="211">
        <v>4</v>
      </c>
      <c r="BD8" s="9" t="s">
        <v>240</v>
      </c>
      <c r="BE8" s="9">
        <v>1</v>
      </c>
      <c r="BF8" s="8" t="s">
        <v>13</v>
      </c>
      <c r="BG8" s="10" t="s">
        <v>354</v>
      </c>
      <c r="BH8" s="10" t="s">
        <v>406</v>
      </c>
      <c r="BI8" s="210">
        <v>0</v>
      </c>
      <c r="BJ8" s="115">
        <v>15000000</v>
      </c>
      <c r="BL8" s="211">
        <v>4</v>
      </c>
      <c r="BM8" s="9" t="s">
        <v>195</v>
      </c>
      <c r="BN8" s="9">
        <v>1</v>
      </c>
      <c r="BO8" s="8" t="s">
        <v>13</v>
      </c>
      <c r="BP8" s="10" t="s">
        <v>354</v>
      </c>
      <c r="BQ8" s="10" t="s">
        <v>143</v>
      </c>
      <c r="BR8" s="210">
        <v>0</v>
      </c>
      <c r="BS8" s="115">
        <v>15000000</v>
      </c>
      <c r="BU8" s="211">
        <v>4</v>
      </c>
      <c r="BV8" s="9" t="s">
        <v>239</v>
      </c>
      <c r="BW8" s="9">
        <v>1</v>
      </c>
      <c r="BX8" s="8" t="s">
        <v>13</v>
      </c>
      <c r="BY8" s="10" t="s">
        <v>354</v>
      </c>
      <c r="BZ8" s="10" t="s">
        <v>394</v>
      </c>
      <c r="CA8" s="210">
        <v>0</v>
      </c>
      <c r="CB8" s="115">
        <v>15000000</v>
      </c>
      <c r="CD8" s="211">
        <v>4</v>
      </c>
      <c r="CE8" s="9" t="s">
        <v>240</v>
      </c>
      <c r="CF8" s="9">
        <v>1</v>
      </c>
      <c r="CG8" s="8" t="s">
        <v>13</v>
      </c>
      <c r="CH8" s="10" t="s">
        <v>354</v>
      </c>
      <c r="CI8" s="10" t="s">
        <v>406</v>
      </c>
      <c r="CJ8" s="210">
        <v>0</v>
      </c>
      <c r="CK8" s="115">
        <v>15000000</v>
      </c>
      <c r="CM8" s="211">
        <v>4</v>
      </c>
      <c r="CN8" s="9" t="s">
        <v>240</v>
      </c>
      <c r="CO8" s="9">
        <v>1</v>
      </c>
      <c r="CP8" s="8" t="s">
        <v>13</v>
      </c>
      <c r="CQ8" s="10" t="s">
        <v>354</v>
      </c>
      <c r="CR8" s="10" t="s">
        <v>406</v>
      </c>
      <c r="CS8" s="210">
        <v>0</v>
      </c>
      <c r="CT8" s="115">
        <v>15000000</v>
      </c>
      <c r="CV8" s="211">
        <v>4</v>
      </c>
      <c r="CW8" s="9" t="s">
        <v>195</v>
      </c>
      <c r="CX8" s="9">
        <v>18</v>
      </c>
      <c r="CY8" s="8" t="s">
        <v>20</v>
      </c>
      <c r="CZ8" s="10" t="s">
        <v>346</v>
      </c>
      <c r="DA8" s="10" t="s">
        <v>347</v>
      </c>
      <c r="DB8" s="115">
        <v>1.3813999965786934</v>
      </c>
    </row>
    <row r="9" spans="1:106" s="73" customFormat="1">
      <c r="A9" s="211">
        <v>5</v>
      </c>
      <c r="B9" s="9" t="s">
        <v>58</v>
      </c>
      <c r="C9" s="9">
        <v>2</v>
      </c>
      <c r="D9" s="8" t="s">
        <v>13</v>
      </c>
      <c r="E9" s="10" t="s">
        <v>354</v>
      </c>
      <c r="F9" s="10" t="s">
        <v>437</v>
      </c>
      <c r="G9" s="210">
        <v>0</v>
      </c>
      <c r="H9" s="115">
        <v>15000000</v>
      </c>
      <c r="J9" s="211">
        <v>5</v>
      </c>
      <c r="K9" s="9" t="s">
        <v>58</v>
      </c>
      <c r="L9" s="9">
        <v>2</v>
      </c>
      <c r="M9" s="8" t="s">
        <v>13</v>
      </c>
      <c r="N9" s="10" t="s">
        <v>354</v>
      </c>
      <c r="O9" s="10" t="s">
        <v>437</v>
      </c>
      <c r="P9" s="210">
        <v>0</v>
      </c>
      <c r="Q9" s="115">
        <v>15000000</v>
      </c>
      <c r="S9" s="211">
        <v>5</v>
      </c>
      <c r="T9" s="9" t="s">
        <v>240</v>
      </c>
      <c r="U9" s="9">
        <v>1</v>
      </c>
      <c r="V9" s="8" t="s">
        <v>13</v>
      </c>
      <c r="W9" s="10" t="s">
        <v>354</v>
      </c>
      <c r="X9" s="10" t="s">
        <v>406</v>
      </c>
      <c r="Y9" s="210">
        <v>0</v>
      </c>
      <c r="Z9" s="115">
        <v>15000000</v>
      </c>
      <c r="AB9" s="211">
        <v>5</v>
      </c>
      <c r="AC9" s="9" t="s">
        <v>58</v>
      </c>
      <c r="AD9" s="9">
        <v>2</v>
      </c>
      <c r="AE9" s="8" t="s">
        <v>13</v>
      </c>
      <c r="AF9" s="10" t="s">
        <v>354</v>
      </c>
      <c r="AG9" s="10" t="s">
        <v>437</v>
      </c>
      <c r="AH9" s="210">
        <v>0</v>
      </c>
      <c r="AI9" s="115">
        <v>15000000</v>
      </c>
      <c r="AK9" s="211">
        <v>5</v>
      </c>
      <c r="AL9" s="9" t="s">
        <v>58</v>
      </c>
      <c r="AM9" s="9">
        <v>2</v>
      </c>
      <c r="AN9" s="8" t="s">
        <v>13</v>
      </c>
      <c r="AO9" s="10" t="s">
        <v>354</v>
      </c>
      <c r="AP9" s="10" t="s">
        <v>437</v>
      </c>
      <c r="AQ9" s="210">
        <v>0</v>
      </c>
      <c r="AR9" s="115">
        <v>15000000</v>
      </c>
      <c r="AT9" s="211">
        <v>5</v>
      </c>
      <c r="AU9" s="9" t="s">
        <v>58</v>
      </c>
      <c r="AV9" s="9">
        <v>2</v>
      </c>
      <c r="AW9" s="8" t="s">
        <v>13</v>
      </c>
      <c r="AX9" s="10" t="s">
        <v>354</v>
      </c>
      <c r="AY9" s="10" t="s">
        <v>437</v>
      </c>
      <c r="AZ9" s="210">
        <v>0</v>
      </c>
      <c r="BA9" s="115">
        <v>15000000</v>
      </c>
      <c r="BC9" s="211">
        <v>5</v>
      </c>
      <c r="BD9" s="9" t="s">
        <v>58</v>
      </c>
      <c r="BE9" s="9">
        <v>2</v>
      </c>
      <c r="BF9" s="8" t="s">
        <v>13</v>
      </c>
      <c r="BG9" s="10" t="s">
        <v>354</v>
      </c>
      <c r="BH9" s="10" t="s">
        <v>437</v>
      </c>
      <c r="BI9" s="210">
        <v>0</v>
      </c>
      <c r="BJ9" s="115">
        <v>15000000</v>
      </c>
      <c r="BL9" s="211">
        <v>5</v>
      </c>
      <c r="BM9" s="9" t="s">
        <v>239</v>
      </c>
      <c r="BN9" s="9">
        <v>1</v>
      </c>
      <c r="BO9" s="8" t="s">
        <v>13</v>
      </c>
      <c r="BP9" s="10" t="s">
        <v>354</v>
      </c>
      <c r="BQ9" s="10" t="s">
        <v>394</v>
      </c>
      <c r="BR9" s="210">
        <v>0</v>
      </c>
      <c r="BS9" s="115">
        <v>15000000</v>
      </c>
      <c r="BU9" s="211">
        <v>5</v>
      </c>
      <c r="BV9" s="9" t="s">
        <v>240</v>
      </c>
      <c r="BW9" s="9">
        <v>1</v>
      </c>
      <c r="BX9" s="8" t="s">
        <v>13</v>
      </c>
      <c r="BY9" s="10" t="s">
        <v>354</v>
      </c>
      <c r="BZ9" s="10" t="s">
        <v>406</v>
      </c>
      <c r="CA9" s="210">
        <v>0</v>
      </c>
      <c r="CB9" s="115">
        <v>15000000</v>
      </c>
      <c r="CD9" s="211">
        <v>5</v>
      </c>
      <c r="CE9" s="9" t="s">
        <v>58</v>
      </c>
      <c r="CF9" s="9">
        <v>2</v>
      </c>
      <c r="CG9" s="8" t="s">
        <v>13</v>
      </c>
      <c r="CH9" s="10" t="s">
        <v>354</v>
      </c>
      <c r="CI9" s="10" t="s">
        <v>437</v>
      </c>
      <c r="CJ9" s="210">
        <v>0</v>
      </c>
      <c r="CK9" s="115">
        <v>15000000</v>
      </c>
      <c r="CM9" s="211">
        <v>5</v>
      </c>
      <c r="CN9" s="9" t="s">
        <v>58</v>
      </c>
      <c r="CO9" s="9">
        <v>2</v>
      </c>
      <c r="CP9" s="8" t="s">
        <v>13</v>
      </c>
      <c r="CQ9" s="10" t="s">
        <v>354</v>
      </c>
      <c r="CR9" s="10" t="s">
        <v>437</v>
      </c>
      <c r="CS9" s="210">
        <v>0</v>
      </c>
      <c r="CT9" s="115">
        <v>15000000</v>
      </c>
      <c r="CV9" s="211">
        <v>5</v>
      </c>
      <c r="CW9" s="9" t="s">
        <v>195</v>
      </c>
      <c r="CX9" s="9">
        <v>18</v>
      </c>
      <c r="CY9" s="8" t="s">
        <v>20</v>
      </c>
      <c r="CZ9" s="10" t="s">
        <v>371</v>
      </c>
      <c r="DA9" s="10" t="s">
        <v>348</v>
      </c>
      <c r="DB9" s="115">
        <v>0.72000002861022949</v>
      </c>
    </row>
    <row r="10" spans="1:106" s="73" customFormat="1">
      <c r="A10" s="211">
        <v>6</v>
      </c>
      <c r="B10" s="9" t="s">
        <v>241</v>
      </c>
      <c r="C10" s="9">
        <v>1</v>
      </c>
      <c r="D10" s="8" t="s">
        <v>13</v>
      </c>
      <c r="E10" s="10" t="s">
        <v>354</v>
      </c>
      <c r="F10" s="10" t="s">
        <v>466</v>
      </c>
      <c r="G10" s="210">
        <v>0</v>
      </c>
      <c r="H10" s="360">
        <v>15000000</v>
      </c>
      <c r="J10" s="211">
        <v>6</v>
      </c>
      <c r="K10" s="9" t="s">
        <v>241</v>
      </c>
      <c r="L10" s="9">
        <v>1</v>
      </c>
      <c r="M10" s="8" t="s">
        <v>13</v>
      </c>
      <c r="N10" s="10" t="s">
        <v>354</v>
      </c>
      <c r="O10" s="10" t="s">
        <v>466</v>
      </c>
      <c r="P10" s="210">
        <v>0</v>
      </c>
      <c r="Q10" s="360">
        <v>15000000</v>
      </c>
      <c r="S10" s="211">
        <v>6</v>
      </c>
      <c r="T10" s="9" t="s">
        <v>58</v>
      </c>
      <c r="U10" s="9">
        <v>2</v>
      </c>
      <c r="V10" s="8" t="s">
        <v>13</v>
      </c>
      <c r="W10" s="10" t="s">
        <v>354</v>
      </c>
      <c r="X10" s="10" t="s">
        <v>437</v>
      </c>
      <c r="Y10" s="210">
        <v>0</v>
      </c>
      <c r="Z10" s="115">
        <v>15000000</v>
      </c>
      <c r="AB10" s="211">
        <v>6</v>
      </c>
      <c r="AC10" s="9" t="s">
        <v>241</v>
      </c>
      <c r="AD10" s="9">
        <v>1</v>
      </c>
      <c r="AE10" s="8" t="s">
        <v>13</v>
      </c>
      <c r="AF10" s="10" t="s">
        <v>354</v>
      </c>
      <c r="AG10" s="10" t="s">
        <v>466</v>
      </c>
      <c r="AH10" s="210">
        <v>0</v>
      </c>
      <c r="AI10" s="360">
        <v>15000000</v>
      </c>
      <c r="AK10" s="211">
        <v>6</v>
      </c>
      <c r="AL10" s="9" t="s">
        <v>241</v>
      </c>
      <c r="AM10" s="9">
        <v>1</v>
      </c>
      <c r="AN10" s="8" t="s">
        <v>13</v>
      </c>
      <c r="AO10" s="10" t="s">
        <v>354</v>
      </c>
      <c r="AP10" s="10" t="s">
        <v>466</v>
      </c>
      <c r="AQ10" s="210">
        <v>0</v>
      </c>
      <c r="AR10" s="360">
        <v>15000000</v>
      </c>
      <c r="AT10" s="211">
        <v>6</v>
      </c>
      <c r="AU10" s="9" t="s">
        <v>241</v>
      </c>
      <c r="AV10" s="9">
        <v>1</v>
      </c>
      <c r="AW10" s="8" t="s">
        <v>13</v>
      </c>
      <c r="AX10" s="10" t="s">
        <v>354</v>
      </c>
      <c r="AY10" s="10" t="s">
        <v>466</v>
      </c>
      <c r="AZ10" s="210">
        <v>0</v>
      </c>
      <c r="BA10" s="360">
        <v>15000000</v>
      </c>
      <c r="BC10" s="211">
        <v>6</v>
      </c>
      <c r="BD10" s="9" t="s">
        <v>241</v>
      </c>
      <c r="BE10" s="9">
        <v>1</v>
      </c>
      <c r="BF10" s="8" t="s">
        <v>13</v>
      </c>
      <c r="BG10" s="10" t="s">
        <v>354</v>
      </c>
      <c r="BH10" s="10" t="s">
        <v>466</v>
      </c>
      <c r="BI10" s="210">
        <v>0</v>
      </c>
      <c r="BJ10" s="360">
        <v>15000000</v>
      </c>
      <c r="BL10" s="211">
        <v>6</v>
      </c>
      <c r="BM10" s="9" t="s">
        <v>240</v>
      </c>
      <c r="BN10" s="9">
        <v>1</v>
      </c>
      <c r="BO10" s="8" t="s">
        <v>13</v>
      </c>
      <c r="BP10" s="10" t="s">
        <v>354</v>
      </c>
      <c r="BQ10" s="10" t="s">
        <v>406</v>
      </c>
      <c r="BR10" s="210">
        <v>0</v>
      </c>
      <c r="BS10" s="115">
        <v>15000000</v>
      </c>
      <c r="BU10" s="211">
        <v>6</v>
      </c>
      <c r="BV10" s="9" t="s">
        <v>58</v>
      </c>
      <c r="BW10" s="9">
        <v>2</v>
      </c>
      <c r="BX10" s="8" t="s">
        <v>13</v>
      </c>
      <c r="BY10" s="10" t="s">
        <v>354</v>
      </c>
      <c r="BZ10" s="10" t="s">
        <v>437</v>
      </c>
      <c r="CA10" s="210">
        <v>0</v>
      </c>
      <c r="CB10" s="115">
        <v>15000000</v>
      </c>
      <c r="CD10" s="211">
        <v>6</v>
      </c>
      <c r="CE10" s="9" t="s">
        <v>241</v>
      </c>
      <c r="CF10" s="9">
        <v>1</v>
      </c>
      <c r="CG10" s="8" t="s">
        <v>13</v>
      </c>
      <c r="CH10" s="10" t="s">
        <v>354</v>
      </c>
      <c r="CI10" s="10" t="s">
        <v>466</v>
      </c>
      <c r="CJ10" s="210">
        <v>0</v>
      </c>
      <c r="CK10" s="360">
        <v>15000000</v>
      </c>
      <c r="CM10" s="211">
        <v>6</v>
      </c>
      <c r="CN10" s="9" t="s">
        <v>241</v>
      </c>
      <c r="CO10" s="9">
        <v>1</v>
      </c>
      <c r="CP10" s="8" t="s">
        <v>13</v>
      </c>
      <c r="CQ10" s="10" t="s">
        <v>354</v>
      </c>
      <c r="CR10" s="10" t="s">
        <v>466</v>
      </c>
      <c r="CS10" s="210">
        <v>0</v>
      </c>
      <c r="CT10" s="360">
        <v>15000000</v>
      </c>
      <c r="CV10" s="211">
        <v>6</v>
      </c>
      <c r="CW10" s="9" t="s">
        <v>239</v>
      </c>
      <c r="CX10" s="9">
        <v>21</v>
      </c>
      <c r="CY10" s="8" t="s">
        <v>20</v>
      </c>
      <c r="CZ10" s="10" t="s">
        <v>346</v>
      </c>
      <c r="DA10" s="10" t="s">
        <v>391</v>
      </c>
      <c r="DB10" s="115">
        <v>1.5764000043272972</v>
      </c>
    </row>
    <row r="11" spans="1:106" s="73" customFormat="1">
      <c r="A11" s="211">
        <v>7</v>
      </c>
      <c r="B11" s="9" t="s">
        <v>241</v>
      </c>
      <c r="C11" s="9">
        <v>2</v>
      </c>
      <c r="D11" s="8" t="s">
        <v>13</v>
      </c>
      <c r="E11" s="10" t="s">
        <v>118</v>
      </c>
      <c r="F11" s="10" t="s">
        <v>467</v>
      </c>
      <c r="G11" s="210">
        <v>0</v>
      </c>
      <c r="H11" s="360">
        <v>52500000</v>
      </c>
      <c r="J11" s="211">
        <v>7</v>
      </c>
      <c r="K11" s="9" t="s">
        <v>241</v>
      </c>
      <c r="L11" s="9">
        <v>2</v>
      </c>
      <c r="M11" s="8" t="s">
        <v>13</v>
      </c>
      <c r="N11" s="10" t="s">
        <v>118</v>
      </c>
      <c r="O11" s="10" t="s">
        <v>467</v>
      </c>
      <c r="P11" s="210">
        <v>0</v>
      </c>
      <c r="Q11" s="360">
        <v>52500000</v>
      </c>
      <c r="S11" s="211">
        <v>7</v>
      </c>
      <c r="T11" s="9" t="s">
        <v>241</v>
      </c>
      <c r="U11" s="9">
        <v>1</v>
      </c>
      <c r="V11" s="8" t="s">
        <v>13</v>
      </c>
      <c r="W11" s="10" t="s">
        <v>354</v>
      </c>
      <c r="X11" s="10" t="s">
        <v>466</v>
      </c>
      <c r="Y11" s="210">
        <v>0</v>
      </c>
      <c r="Z11" s="360">
        <v>15000000</v>
      </c>
      <c r="AB11" s="211">
        <v>7</v>
      </c>
      <c r="AC11" s="9" t="s">
        <v>241</v>
      </c>
      <c r="AD11" s="9">
        <v>2</v>
      </c>
      <c r="AE11" s="8" t="s">
        <v>13</v>
      </c>
      <c r="AF11" s="10" t="s">
        <v>118</v>
      </c>
      <c r="AG11" s="10" t="s">
        <v>467</v>
      </c>
      <c r="AH11" s="210">
        <v>0</v>
      </c>
      <c r="AI11" s="360">
        <v>52500000</v>
      </c>
      <c r="AK11" s="211">
        <v>7</v>
      </c>
      <c r="AL11" s="9" t="s">
        <v>241</v>
      </c>
      <c r="AM11" s="9">
        <v>2</v>
      </c>
      <c r="AN11" s="8" t="s">
        <v>13</v>
      </c>
      <c r="AO11" s="10" t="s">
        <v>118</v>
      </c>
      <c r="AP11" s="10" t="s">
        <v>467</v>
      </c>
      <c r="AQ11" s="210">
        <v>0</v>
      </c>
      <c r="AR11" s="360">
        <v>52500000</v>
      </c>
      <c r="AT11" s="211">
        <v>7</v>
      </c>
      <c r="AU11" s="9" t="s">
        <v>241</v>
      </c>
      <c r="AV11" s="9">
        <v>2</v>
      </c>
      <c r="AW11" s="8" t="s">
        <v>13</v>
      </c>
      <c r="AX11" s="10" t="s">
        <v>118</v>
      </c>
      <c r="AY11" s="10" t="s">
        <v>467</v>
      </c>
      <c r="AZ11" s="210">
        <v>0</v>
      </c>
      <c r="BA11" s="360">
        <v>52500000</v>
      </c>
      <c r="BC11" s="211">
        <v>7</v>
      </c>
      <c r="BD11" s="9" t="s">
        <v>241</v>
      </c>
      <c r="BE11" s="9">
        <v>2</v>
      </c>
      <c r="BF11" s="8" t="s">
        <v>13</v>
      </c>
      <c r="BG11" s="10" t="s">
        <v>118</v>
      </c>
      <c r="BH11" s="10" t="s">
        <v>467</v>
      </c>
      <c r="BI11" s="210">
        <v>0</v>
      </c>
      <c r="BJ11" s="360">
        <v>52500000</v>
      </c>
      <c r="BL11" s="211">
        <v>7</v>
      </c>
      <c r="BM11" s="9" t="s">
        <v>58</v>
      </c>
      <c r="BN11" s="9">
        <v>2</v>
      </c>
      <c r="BO11" s="8" t="s">
        <v>13</v>
      </c>
      <c r="BP11" s="10" t="s">
        <v>354</v>
      </c>
      <c r="BQ11" s="10" t="s">
        <v>437</v>
      </c>
      <c r="BR11" s="210">
        <v>0</v>
      </c>
      <c r="BS11" s="115">
        <v>15000000</v>
      </c>
      <c r="BU11" s="211">
        <v>7</v>
      </c>
      <c r="BV11" s="9" t="s">
        <v>241</v>
      </c>
      <c r="BW11" s="9">
        <v>1</v>
      </c>
      <c r="BX11" s="8" t="s">
        <v>13</v>
      </c>
      <c r="BY11" s="10" t="s">
        <v>354</v>
      </c>
      <c r="BZ11" s="10" t="s">
        <v>466</v>
      </c>
      <c r="CA11" s="210">
        <v>0</v>
      </c>
      <c r="CB11" s="360">
        <v>15000000</v>
      </c>
      <c r="CD11" s="211">
        <v>7</v>
      </c>
      <c r="CE11" s="9" t="s">
        <v>241</v>
      </c>
      <c r="CF11" s="9">
        <v>2</v>
      </c>
      <c r="CG11" s="8" t="s">
        <v>13</v>
      </c>
      <c r="CH11" s="10" t="s">
        <v>118</v>
      </c>
      <c r="CI11" s="10" t="s">
        <v>467</v>
      </c>
      <c r="CJ11" s="210">
        <v>0</v>
      </c>
      <c r="CK11" s="360">
        <v>52500000</v>
      </c>
      <c r="CM11" s="211">
        <v>7</v>
      </c>
      <c r="CN11" s="9" t="s">
        <v>241</v>
      </c>
      <c r="CO11" s="9">
        <v>2</v>
      </c>
      <c r="CP11" s="8" t="s">
        <v>13</v>
      </c>
      <c r="CQ11" s="10" t="s">
        <v>118</v>
      </c>
      <c r="CR11" s="10" t="s">
        <v>467</v>
      </c>
      <c r="CS11" s="210">
        <v>0</v>
      </c>
      <c r="CT11" s="360">
        <v>52500000</v>
      </c>
      <c r="CV11" s="211">
        <v>7</v>
      </c>
      <c r="CW11" s="9" t="s">
        <v>58</v>
      </c>
      <c r="CX11" s="9">
        <v>25</v>
      </c>
      <c r="CY11" s="8" t="s">
        <v>20</v>
      </c>
      <c r="CZ11" s="10" t="s">
        <v>346</v>
      </c>
      <c r="DA11" s="10" t="s">
        <v>435</v>
      </c>
      <c r="DB11" s="344">
        <v>1.19</v>
      </c>
    </row>
    <row r="12" spans="1:106" s="73" customFormat="1">
      <c r="A12" s="211">
        <v>8</v>
      </c>
      <c r="B12" s="211" t="s">
        <v>245</v>
      </c>
      <c r="C12" s="211">
        <v>3</v>
      </c>
      <c r="D12" s="219" t="s">
        <v>173</v>
      </c>
      <c r="E12" s="10" t="s">
        <v>354</v>
      </c>
      <c r="F12" s="9" t="s">
        <v>174</v>
      </c>
      <c r="G12" s="210">
        <v>550</v>
      </c>
      <c r="H12" s="115">
        <v>0</v>
      </c>
      <c r="J12" s="211">
        <v>8</v>
      </c>
      <c r="K12" s="211" t="s">
        <v>245</v>
      </c>
      <c r="L12" s="211">
        <v>3</v>
      </c>
      <c r="M12" s="219" t="s">
        <v>173</v>
      </c>
      <c r="N12" s="10" t="s">
        <v>354</v>
      </c>
      <c r="O12" s="9" t="s">
        <v>174</v>
      </c>
      <c r="P12" s="210">
        <v>550</v>
      </c>
      <c r="Q12" s="115">
        <v>0</v>
      </c>
      <c r="S12" s="211">
        <v>8</v>
      </c>
      <c r="T12" s="9" t="s">
        <v>241</v>
      </c>
      <c r="U12" s="9">
        <v>2</v>
      </c>
      <c r="V12" s="8" t="s">
        <v>13</v>
      </c>
      <c r="W12" s="10" t="s">
        <v>118</v>
      </c>
      <c r="X12" s="10" t="s">
        <v>467</v>
      </c>
      <c r="Y12" s="210">
        <v>0</v>
      </c>
      <c r="Z12" s="360">
        <v>52500000</v>
      </c>
      <c r="AB12" s="211">
        <v>8</v>
      </c>
      <c r="AC12" s="211" t="s">
        <v>245</v>
      </c>
      <c r="AD12" s="211">
        <v>3</v>
      </c>
      <c r="AE12" s="219" t="s">
        <v>173</v>
      </c>
      <c r="AF12" s="10" t="s">
        <v>354</v>
      </c>
      <c r="AG12" s="9" t="s">
        <v>174</v>
      </c>
      <c r="AH12" s="210">
        <v>550</v>
      </c>
      <c r="AI12" s="115">
        <v>0</v>
      </c>
      <c r="AK12" s="211">
        <v>8</v>
      </c>
      <c r="AL12" s="211" t="s">
        <v>245</v>
      </c>
      <c r="AM12" s="211">
        <v>3</v>
      </c>
      <c r="AN12" s="219" t="s">
        <v>173</v>
      </c>
      <c r="AO12" s="10" t="s">
        <v>354</v>
      </c>
      <c r="AP12" s="9" t="s">
        <v>174</v>
      </c>
      <c r="AQ12" s="210">
        <v>550</v>
      </c>
      <c r="AR12" s="115">
        <v>0</v>
      </c>
      <c r="AT12" s="211">
        <v>8</v>
      </c>
      <c r="AU12" s="211" t="s">
        <v>245</v>
      </c>
      <c r="AV12" s="211">
        <v>3</v>
      </c>
      <c r="AW12" s="219" t="s">
        <v>173</v>
      </c>
      <c r="AX12" s="10" t="s">
        <v>354</v>
      </c>
      <c r="AY12" s="9" t="s">
        <v>174</v>
      </c>
      <c r="AZ12" s="210">
        <v>550</v>
      </c>
      <c r="BA12" s="115">
        <v>0</v>
      </c>
      <c r="BC12" s="211">
        <v>8</v>
      </c>
      <c r="BD12" s="211" t="s">
        <v>245</v>
      </c>
      <c r="BE12" s="211">
        <v>3</v>
      </c>
      <c r="BF12" s="219" t="s">
        <v>173</v>
      </c>
      <c r="BG12" s="10" t="s">
        <v>354</v>
      </c>
      <c r="BH12" s="9" t="s">
        <v>174</v>
      </c>
      <c r="BI12" s="210">
        <v>550</v>
      </c>
      <c r="BJ12" s="115">
        <v>0</v>
      </c>
      <c r="BL12" s="211">
        <v>8</v>
      </c>
      <c r="BM12" s="9" t="s">
        <v>241</v>
      </c>
      <c r="BN12" s="9">
        <v>1</v>
      </c>
      <c r="BO12" s="8" t="s">
        <v>13</v>
      </c>
      <c r="BP12" s="10" t="s">
        <v>354</v>
      </c>
      <c r="BQ12" s="10" t="s">
        <v>466</v>
      </c>
      <c r="BR12" s="210">
        <v>0</v>
      </c>
      <c r="BS12" s="360">
        <v>15000000</v>
      </c>
      <c r="BU12" s="211">
        <v>8</v>
      </c>
      <c r="BV12" s="9" t="s">
        <v>241</v>
      </c>
      <c r="BW12" s="9">
        <v>2</v>
      </c>
      <c r="BX12" s="8" t="s">
        <v>13</v>
      </c>
      <c r="BY12" s="10" t="s">
        <v>118</v>
      </c>
      <c r="BZ12" s="10" t="s">
        <v>467</v>
      </c>
      <c r="CA12" s="210">
        <v>0</v>
      </c>
      <c r="CB12" s="360">
        <v>52500000</v>
      </c>
      <c r="CD12" s="211">
        <v>8</v>
      </c>
      <c r="CE12" s="211" t="s">
        <v>245</v>
      </c>
      <c r="CF12" s="211">
        <v>3</v>
      </c>
      <c r="CG12" s="219" t="s">
        <v>173</v>
      </c>
      <c r="CH12" s="10" t="s">
        <v>354</v>
      </c>
      <c r="CI12" s="9" t="s">
        <v>174</v>
      </c>
      <c r="CJ12" s="210">
        <v>550</v>
      </c>
      <c r="CK12" s="115">
        <v>0</v>
      </c>
      <c r="CM12" s="1855" t="s">
        <v>68</v>
      </c>
      <c r="CN12" s="1855"/>
      <c r="CO12" s="1855"/>
      <c r="CP12" s="1855"/>
      <c r="CQ12" s="1855"/>
      <c r="CR12" s="1855"/>
      <c r="CS12" s="546">
        <f>SUM(CS5:CS11)</f>
        <v>0</v>
      </c>
      <c r="CT12" s="547">
        <f>SUM(CT5:CT11)</f>
        <v>142500000</v>
      </c>
      <c r="CV12" s="211">
        <v>8</v>
      </c>
      <c r="CW12" s="9" t="s">
        <v>58</v>
      </c>
      <c r="CX12" s="9">
        <v>31</v>
      </c>
      <c r="CY12" s="8" t="s">
        <v>20</v>
      </c>
      <c r="CZ12" s="10" t="s">
        <v>371</v>
      </c>
      <c r="DA12" s="10" t="s">
        <v>451</v>
      </c>
      <c r="DB12" s="344">
        <v>-0.32</v>
      </c>
    </row>
    <row r="13" spans="1:106" s="73" customFormat="1">
      <c r="A13" s="211">
        <v>9</v>
      </c>
      <c r="B13" s="211" t="s">
        <v>238</v>
      </c>
      <c r="C13" s="211">
        <v>1</v>
      </c>
      <c r="D13" s="219" t="s">
        <v>173</v>
      </c>
      <c r="E13" s="10" t="s">
        <v>354</v>
      </c>
      <c r="F13" s="9" t="s">
        <v>175</v>
      </c>
      <c r="G13" s="210">
        <v>550</v>
      </c>
      <c r="H13" s="115">
        <v>0</v>
      </c>
      <c r="J13" s="211">
        <v>9</v>
      </c>
      <c r="K13" s="211" t="s">
        <v>238</v>
      </c>
      <c r="L13" s="211">
        <v>1</v>
      </c>
      <c r="M13" s="219" t="s">
        <v>173</v>
      </c>
      <c r="N13" s="10" t="s">
        <v>354</v>
      </c>
      <c r="O13" s="9" t="s">
        <v>175</v>
      </c>
      <c r="P13" s="210">
        <v>550</v>
      </c>
      <c r="Q13" s="115">
        <v>0</v>
      </c>
      <c r="S13" s="211">
        <v>9</v>
      </c>
      <c r="T13" s="211" t="s">
        <v>245</v>
      </c>
      <c r="U13" s="211">
        <v>3</v>
      </c>
      <c r="V13" s="219" t="s">
        <v>173</v>
      </c>
      <c r="W13" s="10" t="s">
        <v>354</v>
      </c>
      <c r="X13" s="9" t="s">
        <v>174</v>
      </c>
      <c r="Y13" s="210">
        <v>550</v>
      </c>
      <c r="Z13" s="115">
        <v>0</v>
      </c>
      <c r="AB13" s="211">
        <v>9</v>
      </c>
      <c r="AC13" s="211" t="s">
        <v>238</v>
      </c>
      <c r="AD13" s="211">
        <v>1</v>
      </c>
      <c r="AE13" s="219" t="s">
        <v>173</v>
      </c>
      <c r="AF13" s="10" t="s">
        <v>354</v>
      </c>
      <c r="AG13" s="9" t="s">
        <v>175</v>
      </c>
      <c r="AH13" s="210">
        <v>550</v>
      </c>
      <c r="AI13" s="115">
        <v>0</v>
      </c>
      <c r="AK13" s="211">
        <v>9</v>
      </c>
      <c r="AL13" s="211" t="s">
        <v>238</v>
      </c>
      <c r="AM13" s="211">
        <v>1</v>
      </c>
      <c r="AN13" s="219" t="s">
        <v>173</v>
      </c>
      <c r="AO13" s="10" t="s">
        <v>354</v>
      </c>
      <c r="AP13" s="9" t="s">
        <v>175</v>
      </c>
      <c r="AQ13" s="210">
        <v>550</v>
      </c>
      <c r="AR13" s="115">
        <v>0</v>
      </c>
      <c r="AT13" s="211">
        <v>9</v>
      </c>
      <c r="AU13" s="211" t="s">
        <v>238</v>
      </c>
      <c r="AV13" s="211">
        <v>1</v>
      </c>
      <c r="AW13" s="219" t="s">
        <v>173</v>
      </c>
      <c r="AX13" s="10" t="s">
        <v>354</v>
      </c>
      <c r="AY13" s="9" t="s">
        <v>175</v>
      </c>
      <c r="AZ13" s="210">
        <v>550</v>
      </c>
      <c r="BA13" s="115">
        <v>0</v>
      </c>
      <c r="BC13" s="211">
        <v>9</v>
      </c>
      <c r="BD13" s="211" t="s">
        <v>238</v>
      </c>
      <c r="BE13" s="211">
        <v>1</v>
      </c>
      <c r="BF13" s="219" t="s">
        <v>173</v>
      </c>
      <c r="BG13" s="10" t="s">
        <v>354</v>
      </c>
      <c r="BH13" s="9" t="s">
        <v>175</v>
      </c>
      <c r="BI13" s="210">
        <v>550</v>
      </c>
      <c r="BJ13" s="115">
        <v>0</v>
      </c>
      <c r="BL13" s="211">
        <v>9</v>
      </c>
      <c r="BM13" s="9" t="s">
        <v>241</v>
      </c>
      <c r="BN13" s="9">
        <v>2</v>
      </c>
      <c r="BO13" s="8" t="s">
        <v>13</v>
      </c>
      <c r="BP13" s="10" t="s">
        <v>118</v>
      </c>
      <c r="BQ13" s="10" t="s">
        <v>467</v>
      </c>
      <c r="BR13" s="210">
        <v>0</v>
      </c>
      <c r="BS13" s="360">
        <v>52500000</v>
      </c>
      <c r="BU13" s="211">
        <v>9</v>
      </c>
      <c r="BV13" s="211" t="s">
        <v>245</v>
      </c>
      <c r="BW13" s="211">
        <v>3</v>
      </c>
      <c r="BX13" s="219" t="s">
        <v>173</v>
      </c>
      <c r="BY13" s="10" t="s">
        <v>354</v>
      </c>
      <c r="BZ13" s="9" t="s">
        <v>174</v>
      </c>
      <c r="CA13" s="210">
        <v>550</v>
      </c>
      <c r="CB13" s="115">
        <v>0</v>
      </c>
      <c r="CD13" s="211">
        <v>9</v>
      </c>
      <c r="CE13" s="211" t="s">
        <v>238</v>
      </c>
      <c r="CF13" s="211">
        <v>1</v>
      </c>
      <c r="CG13" s="219" t="s">
        <v>173</v>
      </c>
      <c r="CH13" s="10" t="s">
        <v>354</v>
      </c>
      <c r="CI13" s="9" t="s">
        <v>175</v>
      </c>
      <c r="CJ13" s="210">
        <v>550</v>
      </c>
      <c r="CK13" s="115">
        <v>0</v>
      </c>
      <c r="CM13" s="211">
        <v>1</v>
      </c>
      <c r="CN13" s="211" t="s">
        <v>245</v>
      </c>
      <c r="CO13" s="211">
        <v>3</v>
      </c>
      <c r="CP13" s="219" t="s">
        <v>173</v>
      </c>
      <c r="CQ13" s="10" t="s">
        <v>354</v>
      </c>
      <c r="CR13" s="9" t="s">
        <v>174</v>
      </c>
      <c r="CS13" s="210">
        <v>550</v>
      </c>
      <c r="CT13" s="115">
        <v>0</v>
      </c>
      <c r="CV13" s="211">
        <v>9</v>
      </c>
      <c r="CW13" s="9" t="s">
        <v>241</v>
      </c>
      <c r="CX13" s="9">
        <v>7</v>
      </c>
      <c r="CY13" s="8" t="s">
        <v>20</v>
      </c>
      <c r="CZ13" s="10" t="s">
        <v>346</v>
      </c>
      <c r="DA13" s="10" t="s">
        <v>457</v>
      </c>
      <c r="DB13" s="344">
        <v>-1.525600254535675E-2</v>
      </c>
    </row>
    <row r="14" spans="1:106" s="73" customFormat="1">
      <c r="A14" s="211">
        <v>10</v>
      </c>
      <c r="B14" s="211" t="s">
        <v>140</v>
      </c>
      <c r="C14" s="211">
        <v>3</v>
      </c>
      <c r="D14" s="219" t="s">
        <v>173</v>
      </c>
      <c r="E14" s="10" t="s">
        <v>354</v>
      </c>
      <c r="F14" s="9" t="s">
        <v>176</v>
      </c>
      <c r="G14" s="210">
        <v>550</v>
      </c>
      <c r="H14" s="115">
        <v>0</v>
      </c>
      <c r="J14" s="211">
        <v>10</v>
      </c>
      <c r="K14" s="211" t="s">
        <v>140</v>
      </c>
      <c r="L14" s="211">
        <v>3</v>
      </c>
      <c r="M14" s="219" t="s">
        <v>173</v>
      </c>
      <c r="N14" s="10" t="s">
        <v>354</v>
      </c>
      <c r="O14" s="9" t="s">
        <v>176</v>
      </c>
      <c r="P14" s="210">
        <v>550</v>
      </c>
      <c r="Q14" s="115">
        <v>0</v>
      </c>
      <c r="S14" s="211">
        <v>10</v>
      </c>
      <c r="T14" s="211" t="s">
        <v>238</v>
      </c>
      <c r="U14" s="211">
        <v>1</v>
      </c>
      <c r="V14" s="219" t="s">
        <v>173</v>
      </c>
      <c r="W14" s="10" t="s">
        <v>354</v>
      </c>
      <c r="X14" s="9" t="s">
        <v>175</v>
      </c>
      <c r="Y14" s="210">
        <v>550</v>
      </c>
      <c r="Z14" s="115">
        <v>0</v>
      </c>
      <c r="AB14" s="211">
        <v>10</v>
      </c>
      <c r="AC14" s="211" t="s">
        <v>140</v>
      </c>
      <c r="AD14" s="211">
        <v>3</v>
      </c>
      <c r="AE14" s="219" t="s">
        <v>173</v>
      </c>
      <c r="AF14" s="10" t="s">
        <v>354</v>
      </c>
      <c r="AG14" s="9" t="s">
        <v>176</v>
      </c>
      <c r="AH14" s="210">
        <v>550</v>
      </c>
      <c r="AI14" s="115">
        <v>0</v>
      </c>
      <c r="AK14" s="211">
        <v>10</v>
      </c>
      <c r="AL14" s="211" t="s">
        <v>140</v>
      </c>
      <c r="AM14" s="211">
        <v>3</v>
      </c>
      <c r="AN14" s="219" t="s">
        <v>173</v>
      </c>
      <c r="AO14" s="10" t="s">
        <v>354</v>
      </c>
      <c r="AP14" s="9" t="s">
        <v>176</v>
      </c>
      <c r="AQ14" s="210">
        <v>550</v>
      </c>
      <c r="AR14" s="115">
        <v>0</v>
      </c>
      <c r="AT14" s="211">
        <v>10</v>
      </c>
      <c r="AU14" s="211" t="s">
        <v>140</v>
      </c>
      <c r="AV14" s="211">
        <v>3</v>
      </c>
      <c r="AW14" s="219" t="s">
        <v>173</v>
      </c>
      <c r="AX14" s="10" t="s">
        <v>354</v>
      </c>
      <c r="AY14" s="9" t="s">
        <v>176</v>
      </c>
      <c r="AZ14" s="210">
        <v>550</v>
      </c>
      <c r="BA14" s="115">
        <v>0</v>
      </c>
      <c r="BC14" s="211">
        <v>10</v>
      </c>
      <c r="BD14" s="211" t="s">
        <v>140</v>
      </c>
      <c r="BE14" s="211">
        <v>3</v>
      </c>
      <c r="BF14" s="219" t="s">
        <v>173</v>
      </c>
      <c r="BG14" s="10" t="s">
        <v>354</v>
      </c>
      <c r="BH14" s="9" t="s">
        <v>176</v>
      </c>
      <c r="BI14" s="210">
        <v>550</v>
      </c>
      <c r="BJ14" s="115">
        <v>0</v>
      </c>
      <c r="BL14" s="211">
        <v>10</v>
      </c>
      <c r="BM14" s="211" t="s">
        <v>245</v>
      </c>
      <c r="BN14" s="211">
        <v>3</v>
      </c>
      <c r="BO14" s="219" t="s">
        <v>173</v>
      </c>
      <c r="BP14" s="10" t="s">
        <v>354</v>
      </c>
      <c r="BQ14" s="9" t="s">
        <v>174</v>
      </c>
      <c r="BR14" s="210">
        <v>550</v>
      </c>
      <c r="BS14" s="115">
        <v>0</v>
      </c>
      <c r="BU14" s="211">
        <v>10</v>
      </c>
      <c r="BV14" s="211" t="s">
        <v>238</v>
      </c>
      <c r="BW14" s="211">
        <v>1</v>
      </c>
      <c r="BX14" s="219" t="s">
        <v>173</v>
      </c>
      <c r="BY14" s="10" t="s">
        <v>354</v>
      </c>
      <c r="BZ14" s="9" t="s">
        <v>175</v>
      </c>
      <c r="CA14" s="210">
        <v>550</v>
      </c>
      <c r="CB14" s="115">
        <v>0</v>
      </c>
      <c r="CD14" s="211">
        <v>10</v>
      </c>
      <c r="CE14" s="211" t="s">
        <v>140</v>
      </c>
      <c r="CF14" s="211">
        <v>3</v>
      </c>
      <c r="CG14" s="219" t="s">
        <v>173</v>
      </c>
      <c r="CH14" s="10" t="s">
        <v>354</v>
      </c>
      <c r="CI14" s="9" t="s">
        <v>176</v>
      </c>
      <c r="CJ14" s="210">
        <v>550</v>
      </c>
      <c r="CK14" s="115">
        <v>0</v>
      </c>
      <c r="CM14" s="211">
        <v>2</v>
      </c>
      <c r="CN14" s="211" t="s">
        <v>238</v>
      </c>
      <c r="CO14" s="211">
        <v>1</v>
      </c>
      <c r="CP14" s="219" t="s">
        <v>173</v>
      </c>
      <c r="CQ14" s="10" t="s">
        <v>354</v>
      </c>
      <c r="CR14" s="9" t="s">
        <v>175</v>
      </c>
      <c r="CS14" s="210">
        <v>550</v>
      </c>
      <c r="CT14" s="115">
        <v>0</v>
      </c>
      <c r="CV14" s="211">
        <v>10</v>
      </c>
      <c r="CW14" s="9" t="s">
        <v>242</v>
      </c>
      <c r="CX14" s="9">
        <v>29</v>
      </c>
      <c r="CY14" s="8" t="s">
        <v>20</v>
      </c>
      <c r="CZ14" s="10" t="s">
        <v>346</v>
      </c>
      <c r="DA14" s="10" t="s">
        <v>516</v>
      </c>
      <c r="DB14" s="344">
        <v>0.3895999938249588</v>
      </c>
    </row>
    <row r="15" spans="1:106" s="73" customFormat="1">
      <c r="A15" s="211">
        <v>11</v>
      </c>
      <c r="B15" s="211" t="s">
        <v>194</v>
      </c>
      <c r="C15" s="211">
        <v>7</v>
      </c>
      <c r="D15" s="219" t="s">
        <v>173</v>
      </c>
      <c r="E15" s="10" t="s">
        <v>354</v>
      </c>
      <c r="F15" s="9" t="s">
        <v>177</v>
      </c>
      <c r="G15" s="210">
        <v>550</v>
      </c>
      <c r="H15" s="115">
        <v>0</v>
      </c>
      <c r="J15" s="211">
        <v>11</v>
      </c>
      <c r="K15" s="211" t="s">
        <v>194</v>
      </c>
      <c r="L15" s="211">
        <v>7</v>
      </c>
      <c r="M15" s="219" t="s">
        <v>173</v>
      </c>
      <c r="N15" s="10" t="s">
        <v>354</v>
      </c>
      <c r="O15" s="9" t="s">
        <v>177</v>
      </c>
      <c r="P15" s="210">
        <v>550</v>
      </c>
      <c r="Q15" s="115">
        <v>0</v>
      </c>
      <c r="S15" s="211">
        <v>11</v>
      </c>
      <c r="T15" s="211" t="s">
        <v>140</v>
      </c>
      <c r="U15" s="211">
        <v>3</v>
      </c>
      <c r="V15" s="219" t="s">
        <v>173</v>
      </c>
      <c r="W15" s="10" t="s">
        <v>354</v>
      </c>
      <c r="X15" s="9" t="s">
        <v>176</v>
      </c>
      <c r="Y15" s="210">
        <v>550</v>
      </c>
      <c r="Z15" s="115">
        <v>0</v>
      </c>
      <c r="AB15" s="211">
        <v>11</v>
      </c>
      <c r="AC15" s="211" t="s">
        <v>194</v>
      </c>
      <c r="AD15" s="211">
        <v>7</v>
      </c>
      <c r="AE15" s="219" t="s">
        <v>173</v>
      </c>
      <c r="AF15" s="10" t="s">
        <v>354</v>
      </c>
      <c r="AG15" s="9" t="s">
        <v>177</v>
      </c>
      <c r="AH15" s="210">
        <v>550</v>
      </c>
      <c r="AI15" s="115">
        <v>0</v>
      </c>
      <c r="AK15" s="211">
        <v>11</v>
      </c>
      <c r="AL15" s="211" t="s">
        <v>194</v>
      </c>
      <c r="AM15" s="211">
        <v>7</v>
      </c>
      <c r="AN15" s="219" t="s">
        <v>173</v>
      </c>
      <c r="AO15" s="10" t="s">
        <v>354</v>
      </c>
      <c r="AP15" s="9" t="s">
        <v>177</v>
      </c>
      <c r="AQ15" s="210">
        <v>550</v>
      </c>
      <c r="AR15" s="115">
        <v>0</v>
      </c>
      <c r="AT15" s="211">
        <v>11</v>
      </c>
      <c r="AU15" s="211" t="s">
        <v>194</v>
      </c>
      <c r="AV15" s="211">
        <v>7</v>
      </c>
      <c r="AW15" s="219" t="s">
        <v>173</v>
      </c>
      <c r="AX15" s="10" t="s">
        <v>354</v>
      </c>
      <c r="AY15" s="9" t="s">
        <v>177</v>
      </c>
      <c r="AZ15" s="210">
        <v>550</v>
      </c>
      <c r="BA15" s="115">
        <v>0</v>
      </c>
      <c r="BC15" s="211">
        <v>11</v>
      </c>
      <c r="BD15" s="211" t="s">
        <v>194</v>
      </c>
      <c r="BE15" s="211">
        <v>7</v>
      </c>
      <c r="BF15" s="219" t="s">
        <v>173</v>
      </c>
      <c r="BG15" s="10" t="s">
        <v>354</v>
      </c>
      <c r="BH15" s="9" t="s">
        <v>177</v>
      </c>
      <c r="BI15" s="210">
        <v>550</v>
      </c>
      <c r="BJ15" s="115">
        <v>0</v>
      </c>
      <c r="BL15" s="211">
        <v>11</v>
      </c>
      <c r="BM15" s="211" t="s">
        <v>238</v>
      </c>
      <c r="BN15" s="211">
        <v>1</v>
      </c>
      <c r="BO15" s="219" t="s">
        <v>173</v>
      </c>
      <c r="BP15" s="10" t="s">
        <v>354</v>
      </c>
      <c r="BQ15" s="9" t="s">
        <v>175</v>
      </c>
      <c r="BR15" s="210">
        <v>550</v>
      </c>
      <c r="BS15" s="115">
        <v>0</v>
      </c>
      <c r="BU15" s="211">
        <v>11</v>
      </c>
      <c r="BV15" s="211" t="s">
        <v>140</v>
      </c>
      <c r="BW15" s="211">
        <v>3</v>
      </c>
      <c r="BX15" s="219" t="s">
        <v>173</v>
      </c>
      <c r="BY15" s="10" t="s">
        <v>354</v>
      </c>
      <c r="BZ15" s="9" t="s">
        <v>176</v>
      </c>
      <c r="CA15" s="210">
        <v>550</v>
      </c>
      <c r="CB15" s="115">
        <v>0</v>
      </c>
      <c r="CD15" s="211">
        <v>11</v>
      </c>
      <c r="CE15" s="211" t="s">
        <v>194</v>
      </c>
      <c r="CF15" s="211">
        <v>7</v>
      </c>
      <c r="CG15" s="219" t="s">
        <v>173</v>
      </c>
      <c r="CH15" s="10" t="s">
        <v>354</v>
      </c>
      <c r="CI15" s="9" t="s">
        <v>177</v>
      </c>
      <c r="CJ15" s="210">
        <v>550</v>
      </c>
      <c r="CK15" s="115">
        <v>0</v>
      </c>
      <c r="CM15" s="211">
        <v>3</v>
      </c>
      <c r="CN15" s="211" t="s">
        <v>140</v>
      </c>
      <c r="CO15" s="211">
        <v>3</v>
      </c>
      <c r="CP15" s="219" t="s">
        <v>173</v>
      </c>
      <c r="CQ15" s="10" t="s">
        <v>354</v>
      </c>
      <c r="CR15" s="9" t="s">
        <v>176</v>
      </c>
      <c r="CS15" s="210">
        <v>550</v>
      </c>
      <c r="CT15" s="115">
        <v>0</v>
      </c>
      <c r="CV15" s="211">
        <v>11</v>
      </c>
      <c r="CW15" s="9" t="s">
        <v>242</v>
      </c>
      <c r="CX15" s="9">
        <v>29</v>
      </c>
      <c r="CY15" s="8" t="s">
        <v>20</v>
      </c>
      <c r="CZ15" s="10" t="s">
        <v>371</v>
      </c>
      <c r="DA15" s="10" t="s">
        <v>517</v>
      </c>
      <c r="DB15" s="344">
        <v>0.97600007057189941</v>
      </c>
    </row>
    <row r="16" spans="1:106" s="73" customFormat="1">
      <c r="A16" s="211">
        <v>12</v>
      </c>
      <c r="B16" s="211" t="s">
        <v>195</v>
      </c>
      <c r="C16" s="211">
        <v>5</v>
      </c>
      <c r="D16" s="219" t="s">
        <v>173</v>
      </c>
      <c r="E16" s="10" t="s">
        <v>354</v>
      </c>
      <c r="F16" s="9" t="s">
        <v>178</v>
      </c>
      <c r="G16" s="210">
        <v>550</v>
      </c>
      <c r="H16" s="115">
        <v>0</v>
      </c>
      <c r="J16" s="211">
        <v>12</v>
      </c>
      <c r="K16" s="211" t="s">
        <v>195</v>
      </c>
      <c r="L16" s="211">
        <v>5</v>
      </c>
      <c r="M16" s="219" t="s">
        <v>173</v>
      </c>
      <c r="N16" s="10" t="s">
        <v>354</v>
      </c>
      <c r="O16" s="9" t="s">
        <v>178</v>
      </c>
      <c r="P16" s="210">
        <v>550</v>
      </c>
      <c r="Q16" s="115">
        <v>0</v>
      </c>
      <c r="S16" s="211">
        <v>12</v>
      </c>
      <c r="T16" s="211" t="s">
        <v>194</v>
      </c>
      <c r="U16" s="211">
        <v>7</v>
      </c>
      <c r="V16" s="219" t="s">
        <v>173</v>
      </c>
      <c r="W16" s="10" t="s">
        <v>354</v>
      </c>
      <c r="X16" s="9" t="s">
        <v>177</v>
      </c>
      <c r="Y16" s="210">
        <v>550</v>
      </c>
      <c r="Z16" s="115">
        <v>0</v>
      </c>
      <c r="AB16" s="211">
        <v>12</v>
      </c>
      <c r="AC16" s="211" t="s">
        <v>195</v>
      </c>
      <c r="AD16" s="211">
        <v>5</v>
      </c>
      <c r="AE16" s="219" t="s">
        <v>173</v>
      </c>
      <c r="AF16" s="10" t="s">
        <v>354</v>
      </c>
      <c r="AG16" s="9" t="s">
        <v>178</v>
      </c>
      <c r="AH16" s="210">
        <v>550</v>
      </c>
      <c r="AI16" s="115">
        <v>0</v>
      </c>
      <c r="AK16" s="211">
        <v>12</v>
      </c>
      <c r="AL16" s="211" t="s">
        <v>195</v>
      </c>
      <c r="AM16" s="211">
        <v>5</v>
      </c>
      <c r="AN16" s="219" t="s">
        <v>173</v>
      </c>
      <c r="AO16" s="10" t="s">
        <v>354</v>
      </c>
      <c r="AP16" s="9" t="s">
        <v>178</v>
      </c>
      <c r="AQ16" s="210">
        <v>550</v>
      </c>
      <c r="AR16" s="115">
        <v>0</v>
      </c>
      <c r="AT16" s="211">
        <v>12</v>
      </c>
      <c r="AU16" s="211" t="s">
        <v>195</v>
      </c>
      <c r="AV16" s="211">
        <v>5</v>
      </c>
      <c r="AW16" s="219" t="s">
        <v>173</v>
      </c>
      <c r="AX16" s="10" t="s">
        <v>354</v>
      </c>
      <c r="AY16" s="9" t="s">
        <v>178</v>
      </c>
      <c r="AZ16" s="210">
        <v>550</v>
      </c>
      <c r="BA16" s="115">
        <v>0</v>
      </c>
      <c r="BC16" s="211">
        <v>12</v>
      </c>
      <c r="BD16" s="211" t="s">
        <v>195</v>
      </c>
      <c r="BE16" s="211">
        <v>5</v>
      </c>
      <c r="BF16" s="219" t="s">
        <v>173</v>
      </c>
      <c r="BG16" s="10" t="s">
        <v>354</v>
      </c>
      <c r="BH16" s="9" t="s">
        <v>178</v>
      </c>
      <c r="BI16" s="210">
        <v>550</v>
      </c>
      <c r="BJ16" s="115">
        <v>0</v>
      </c>
      <c r="BL16" s="211">
        <v>12</v>
      </c>
      <c r="BM16" s="211" t="s">
        <v>140</v>
      </c>
      <c r="BN16" s="211">
        <v>3</v>
      </c>
      <c r="BO16" s="219" t="s">
        <v>173</v>
      </c>
      <c r="BP16" s="10" t="s">
        <v>354</v>
      </c>
      <c r="BQ16" s="9" t="s">
        <v>176</v>
      </c>
      <c r="BR16" s="210">
        <v>550</v>
      </c>
      <c r="BS16" s="115">
        <v>0</v>
      </c>
      <c r="BU16" s="211">
        <v>12</v>
      </c>
      <c r="BV16" s="211" t="s">
        <v>194</v>
      </c>
      <c r="BW16" s="211">
        <v>7</v>
      </c>
      <c r="BX16" s="219" t="s">
        <v>173</v>
      </c>
      <c r="BY16" s="10" t="s">
        <v>354</v>
      </c>
      <c r="BZ16" s="9" t="s">
        <v>177</v>
      </c>
      <c r="CA16" s="210">
        <v>550</v>
      </c>
      <c r="CB16" s="115">
        <v>0</v>
      </c>
      <c r="CD16" s="211">
        <v>12</v>
      </c>
      <c r="CE16" s="211" t="s">
        <v>195</v>
      </c>
      <c r="CF16" s="211">
        <v>5</v>
      </c>
      <c r="CG16" s="219" t="s">
        <v>173</v>
      </c>
      <c r="CH16" s="10" t="s">
        <v>354</v>
      </c>
      <c r="CI16" s="9" t="s">
        <v>178</v>
      </c>
      <c r="CJ16" s="210">
        <v>550</v>
      </c>
      <c r="CK16" s="115">
        <v>0</v>
      </c>
      <c r="CM16" s="211">
        <v>4</v>
      </c>
      <c r="CN16" s="211" t="s">
        <v>194</v>
      </c>
      <c r="CO16" s="211">
        <v>7</v>
      </c>
      <c r="CP16" s="219" t="s">
        <v>173</v>
      </c>
      <c r="CQ16" s="10" t="s">
        <v>354</v>
      </c>
      <c r="CR16" s="9" t="s">
        <v>177</v>
      </c>
      <c r="CS16" s="210">
        <v>550</v>
      </c>
      <c r="CT16" s="115">
        <v>0</v>
      </c>
      <c r="CV16" s="211">
        <v>12</v>
      </c>
      <c r="CW16" s="9" t="s">
        <v>243</v>
      </c>
      <c r="CX16" s="9">
        <v>29</v>
      </c>
      <c r="CY16" s="8" t="s">
        <v>20</v>
      </c>
      <c r="CZ16" s="10" t="s">
        <v>371</v>
      </c>
      <c r="DA16" s="10" t="s">
        <v>566</v>
      </c>
      <c r="DB16" s="344">
        <v>-0.28560006618499756</v>
      </c>
    </row>
    <row r="17" spans="1:106" s="73" customFormat="1">
      <c r="A17" s="211">
        <v>13</v>
      </c>
      <c r="B17" s="211" t="s">
        <v>239</v>
      </c>
      <c r="C17" s="211">
        <v>5</v>
      </c>
      <c r="D17" s="219" t="s">
        <v>173</v>
      </c>
      <c r="E17" s="10" t="s">
        <v>354</v>
      </c>
      <c r="F17" s="9" t="s">
        <v>179</v>
      </c>
      <c r="G17" s="210">
        <v>550</v>
      </c>
      <c r="H17" s="115">
        <v>0</v>
      </c>
      <c r="J17" s="211">
        <v>13</v>
      </c>
      <c r="K17" s="211" t="s">
        <v>239</v>
      </c>
      <c r="L17" s="211">
        <v>5</v>
      </c>
      <c r="M17" s="219" t="s">
        <v>173</v>
      </c>
      <c r="N17" s="10" t="s">
        <v>354</v>
      </c>
      <c r="O17" s="9" t="s">
        <v>179</v>
      </c>
      <c r="P17" s="210">
        <v>550</v>
      </c>
      <c r="Q17" s="115">
        <v>0</v>
      </c>
      <c r="S17" s="211">
        <v>13</v>
      </c>
      <c r="T17" s="211" t="s">
        <v>195</v>
      </c>
      <c r="U17" s="211">
        <v>5</v>
      </c>
      <c r="V17" s="219" t="s">
        <v>173</v>
      </c>
      <c r="W17" s="10" t="s">
        <v>354</v>
      </c>
      <c r="X17" s="9" t="s">
        <v>178</v>
      </c>
      <c r="Y17" s="210">
        <v>550</v>
      </c>
      <c r="Z17" s="115">
        <v>0</v>
      </c>
      <c r="AB17" s="211">
        <v>13</v>
      </c>
      <c r="AC17" s="211" t="s">
        <v>239</v>
      </c>
      <c r="AD17" s="211">
        <v>5</v>
      </c>
      <c r="AE17" s="219" t="s">
        <v>173</v>
      </c>
      <c r="AF17" s="10" t="s">
        <v>354</v>
      </c>
      <c r="AG17" s="9" t="s">
        <v>179</v>
      </c>
      <c r="AH17" s="210">
        <v>550</v>
      </c>
      <c r="AI17" s="115">
        <v>0</v>
      </c>
      <c r="AK17" s="211">
        <v>13</v>
      </c>
      <c r="AL17" s="211" t="s">
        <v>239</v>
      </c>
      <c r="AM17" s="211">
        <v>5</v>
      </c>
      <c r="AN17" s="219" t="s">
        <v>173</v>
      </c>
      <c r="AO17" s="10" t="s">
        <v>354</v>
      </c>
      <c r="AP17" s="9" t="s">
        <v>179</v>
      </c>
      <c r="AQ17" s="210">
        <v>550</v>
      </c>
      <c r="AR17" s="115">
        <v>0</v>
      </c>
      <c r="AT17" s="211">
        <v>13</v>
      </c>
      <c r="AU17" s="211" t="s">
        <v>239</v>
      </c>
      <c r="AV17" s="211">
        <v>5</v>
      </c>
      <c r="AW17" s="219" t="s">
        <v>173</v>
      </c>
      <c r="AX17" s="10" t="s">
        <v>354</v>
      </c>
      <c r="AY17" s="9" t="s">
        <v>179</v>
      </c>
      <c r="AZ17" s="210">
        <v>550</v>
      </c>
      <c r="BA17" s="115">
        <v>0</v>
      </c>
      <c r="BC17" s="211">
        <v>13</v>
      </c>
      <c r="BD17" s="211" t="s">
        <v>239</v>
      </c>
      <c r="BE17" s="211">
        <v>5</v>
      </c>
      <c r="BF17" s="219" t="s">
        <v>173</v>
      </c>
      <c r="BG17" s="10" t="s">
        <v>354</v>
      </c>
      <c r="BH17" s="9" t="s">
        <v>179</v>
      </c>
      <c r="BI17" s="210">
        <v>550</v>
      </c>
      <c r="BJ17" s="115">
        <v>0</v>
      </c>
      <c r="BL17" s="211">
        <v>13</v>
      </c>
      <c r="BM17" s="211" t="s">
        <v>194</v>
      </c>
      <c r="BN17" s="211">
        <v>7</v>
      </c>
      <c r="BO17" s="219" t="s">
        <v>173</v>
      </c>
      <c r="BP17" s="10" t="s">
        <v>354</v>
      </c>
      <c r="BQ17" s="9" t="s">
        <v>177</v>
      </c>
      <c r="BR17" s="210">
        <v>550</v>
      </c>
      <c r="BS17" s="115">
        <v>0</v>
      </c>
      <c r="BU17" s="211">
        <v>13</v>
      </c>
      <c r="BV17" s="211" t="s">
        <v>195</v>
      </c>
      <c r="BW17" s="211">
        <v>5</v>
      </c>
      <c r="BX17" s="219" t="s">
        <v>173</v>
      </c>
      <c r="BY17" s="10" t="s">
        <v>354</v>
      </c>
      <c r="BZ17" s="9" t="s">
        <v>178</v>
      </c>
      <c r="CA17" s="210">
        <v>550</v>
      </c>
      <c r="CB17" s="115">
        <v>0</v>
      </c>
      <c r="CD17" s="211">
        <v>13</v>
      </c>
      <c r="CE17" s="211" t="s">
        <v>239</v>
      </c>
      <c r="CF17" s="211">
        <v>5</v>
      </c>
      <c r="CG17" s="219" t="s">
        <v>173</v>
      </c>
      <c r="CH17" s="10" t="s">
        <v>354</v>
      </c>
      <c r="CI17" s="9" t="s">
        <v>179</v>
      </c>
      <c r="CJ17" s="210">
        <v>550</v>
      </c>
      <c r="CK17" s="115">
        <v>0</v>
      </c>
      <c r="CM17" s="211">
        <v>5</v>
      </c>
      <c r="CN17" s="211" t="s">
        <v>195</v>
      </c>
      <c r="CO17" s="211">
        <v>5</v>
      </c>
      <c r="CP17" s="219" t="s">
        <v>173</v>
      </c>
      <c r="CQ17" s="10" t="s">
        <v>354</v>
      </c>
      <c r="CR17" s="9" t="s">
        <v>178</v>
      </c>
      <c r="CS17" s="210">
        <v>550</v>
      </c>
      <c r="CT17" s="115">
        <v>0</v>
      </c>
      <c r="CV17" s="211">
        <v>13</v>
      </c>
      <c r="CW17" s="9" t="s">
        <v>245</v>
      </c>
      <c r="CX17" s="9">
        <v>10</v>
      </c>
      <c r="CY17" s="8" t="s">
        <v>20</v>
      </c>
      <c r="CZ17" s="10" t="s">
        <v>346</v>
      </c>
      <c r="DA17" s="10" t="s">
        <v>633</v>
      </c>
      <c r="DB17" s="344">
        <v>0.58399999886751175</v>
      </c>
    </row>
    <row r="18" spans="1:106" s="73" customFormat="1">
      <c r="A18" s="211">
        <v>14</v>
      </c>
      <c r="B18" s="211" t="s">
        <v>240</v>
      </c>
      <c r="C18" s="211">
        <v>1</v>
      </c>
      <c r="D18" s="219" t="s">
        <v>173</v>
      </c>
      <c r="E18" s="10" t="s">
        <v>354</v>
      </c>
      <c r="F18" s="9" t="s">
        <v>180</v>
      </c>
      <c r="G18" s="210">
        <v>550</v>
      </c>
      <c r="H18" s="115">
        <v>0</v>
      </c>
      <c r="J18" s="211">
        <v>14</v>
      </c>
      <c r="K18" s="211" t="s">
        <v>240</v>
      </c>
      <c r="L18" s="211">
        <v>1</v>
      </c>
      <c r="M18" s="219" t="s">
        <v>173</v>
      </c>
      <c r="N18" s="10" t="s">
        <v>354</v>
      </c>
      <c r="O18" s="9" t="s">
        <v>180</v>
      </c>
      <c r="P18" s="210">
        <v>550</v>
      </c>
      <c r="Q18" s="115">
        <v>0</v>
      </c>
      <c r="S18" s="211">
        <v>14</v>
      </c>
      <c r="T18" s="211" t="s">
        <v>239</v>
      </c>
      <c r="U18" s="211">
        <v>5</v>
      </c>
      <c r="V18" s="219" t="s">
        <v>173</v>
      </c>
      <c r="W18" s="10" t="s">
        <v>354</v>
      </c>
      <c r="X18" s="9" t="s">
        <v>179</v>
      </c>
      <c r="Y18" s="210">
        <v>550</v>
      </c>
      <c r="Z18" s="115">
        <v>0</v>
      </c>
      <c r="AB18" s="211">
        <v>14</v>
      </c>
      <c r="AC18" s="211" t="s">
        <v>240</v>
      </c>
      <c r="AD18" s="211">
        <v>1</v>
      </c>
      <c r="AE18" s="219" t="s">
        <v>173</v>
      </c>
      <c r="AF18" s="10" t="s">
        <v>354</v>
      </c>
      <c r="AG18" s="9" t="s">
        <v>180</v>
      </c>
      <c r="AH18" s="210">
        <v>550</v>
      </c>
      <c r="AI18" s="115">
        <v>0</v>
      </c>
      <c r="AK18" s="211">
        <v>14</v>
      </c>
      <c r="AL18" s="211" t="s">
        <v>240</v>
      </c>
      <c r="AM18" s="211">
        <v>1</v>
      </c>
      <c r="AN18" s="219" t="s">
        <v>173</v>
      </c>
      <c r="AO18" s="10" t="s">
        <v>354</v>
      </c>
      <c r="AP18" s="9" t="s">
        <v>180</v>
      </c>
      <c r="AQ18" s="210">
        <v>550</v>
      </c>
      <c r="AR18" s="115">
        <v>0</v>
      </c>
      <c r="AT18" s="211">
        <v>14</v>
      </c>
      <c r="AU18" s="211" t="s">
        <v>240</v>
      </c>
      <c r="AV18" s="211">
        <v>1</v>
      </c>
      <c r="AW18" s="219" t="s">
        <v>173</v>
      </c>
      <c r="AX18" s="10" t="s">
        <v>354</v>
      </c>
      <c r="AY18" s="9" t="s">
        <v>180</v>
      </c>
      <c r="AZ18" s="210">
        <v>550</v>
      </c>
      <c r="BA18" s="115">
        <v>0</v>
      </c>
      <c r="BC18" s="211">
        <v>14</v>
      </c>
      <c r="BD18" s="211" t="s">
        <v>240</v>
      </c>
      <c r="BE18" s="211">
        <v>1</v>
      </c>
      <c r="BF18" s="219" t="s">
        <v>173</v>
      </c>
      <c r="BG18" s="10" t="s">
        <v>354</v>
      </c>
      <c r="BH18" s="9" t="s">
        <v>180</v>
      </c>
      <c r="BI18" s="210">
        <v>550</v>
      </c>
      <c r="BJ18" s="115">
        <v>0</v>
      </c>
      <c r="BL18" s="211">
        <v>14</v>
      </c>
      <c r="BM18" s="211" t="s">
        <v>195</v>
      </c>
      <c r="BN18" s="211">
        <v>5</v>
      </c>
      <c r="BO18" s="219" t="s">
        <v>173</v>
      </c>
      <c r="BP18" s="10" t="s">
        <v>354</v>
      </c>
      <c r="BQ18" s="9" t="s">
        <v>178</v>
      </c>
      <c r="BR18" s="210">
        <v>550</v>
      </c>
      <c r="BS18" s="115">
        <v>0</v>
      </c>
      <c r="BU18" s="211">
        <v>14</v>
      </c>
      <c r="BV18" s="211" t="s">
        <v>239</v>
      </c>
      <c r="BW18" s="211">
        <v>5</v>
      </c>
      <c r="BX18" s="219" t="s">
        <v>173</v>
      </c>
      <c r="BY18" s="10" t="s">
        <v>354</v>
      </c>
      <c r="BZ18" s="9" t="s">
        <v>179</v>
      </c>
      <c r="CA18" s="210">
        <v>550</v>
      </c>
      <c r="CB18" s="115">
        <v>0</v>
      </c>
      <c r="CD18" s="211">
        <v>14</v>
      </c>
      <c r="CE18" s="211" t="s">
        <v>240</v>
      </c>
      <c r="CF18" s="211">
        <v>1</v>
      </c>
      <c r="CG18" s="219" t="s">
        <v>173</v>
      </c>
      <c r="CH18" s="10" t="s">
        <v>354</v>
      </c>
      <c r="CI18" s="9" t="s">
        <v>180</v>
      </c>
      <c r="CJ18" s="210">
        <v>550</v>
      </c>
      <c r="CK18" s="115">
        <v>0</v>
      </c>
      <c r="CM18" s="211">
        <v>6</v>
      </c>
      <c r="CN18" s="211" t="s">
        <v>239</v>
      </c>
      <c r="CO18" s="211">
        <v>5</v>
      </c>
      <c r="CP18" s="219" t="s">
        <v>173</v>
      </c>
      <c r="CQ18" s="10" t="s">
        <v>354</v>
      </c>
      <c r="CR18" s="9" t="s">
        <v>179</v>
      </c>
      <c r="CS18" s="210">
        <v>550</v>
      </c>
      <c r="CT18" s="115">
        <v>0</v>
      </c>
      <c r="CV18" s="211">
        <v>14</v>
      </c>
      <c r="CW18" s="9" t="s">
        <v>245</v>
      </c>
      <c r="CX18" s="9">
        <v>31</v>
      </c>
      <c r="CY18" s="8" t="s">
        <v>20</v>
      </c>
      <c r="CZ18" s="10" t="s">
        <v>346</v>
      </c>
      <c r="DA18" s="10" t="s">
        <v>651</v>
      </c>
      <c r="DB18" s="344">
        <v>1.6737600043416023</v>
      </c>
    </row>
    <row r="19" spans="1:106" s="73" customFormat="1">
      <c r="A19" s="211">
        <v>15</v>
      </c>
      <c r="B19" s="211" t="s">
        <v>58</v>
      </c>
      <c r="C19" s="211">
        <v>2</v>
      </c>
      <c r="D19" s="219" t="s">
        <v>173</v>
      </c>
      <c r="E19" s="10" t="s">
        <v>354</v>
      </c>
      <c r="F19" s="9" t="s">
        <v>181</v>
      </c>
      <c r="G19" s="210">
        <v>550</v>
      </c>
      <c r="H19" s="115">
        <v>0</v>
      </c>
      <c r="J19" s="211">
        <v>15</v>
      </c>
      <c r="K19" s="211" t="s">
        <v>58</v>
      </c>
      <c r="L19" s="211">
        <v>2</v>
      </c>
      <c r="M19" s="219" t="s">
        <v>173</v>
      </c>
      <c r="N19" s="10" t="s">
        <v>354</v>
      </c>
      <c r="O19" s="9" t="s">
        <v>181</v>
      </c>
      <c r="P19" s="210">
        <v>550</v>
      </c>
      <c r="Q19" s="115">
        <v>0</v>
      </c>
      <c r="S19" s="211">
        <v>15</v>
      </c>
      <c r="T19" s="211" t="s">
        <v>240</v>
      </c>
      <c r="U19" s="211">
        <v>1</v>
      </c>
      <c r="V19" s="219" t="s">
        <v>173</v>
      </c>
      <c r="W19" s="10" t="s">
        <v>354</v>
      </c>
      <c r="X19" s="9" t="s">
        <v>180</v>
      </c>
      <c r="Y19" s="210">
        <v>550</v>
      </c>
      <c r="Z19" s="115">
        <v>0</v>
      </c>
      <c r="AB19" s="211">
        <v>15</v>
      </c>
      <c r="AC19" s="211" t="s">
        <v>58</v>
      </c>
      <c r="AD19" s="211">
        <v>2</v>
      </c>
      <c r="AE19" s="219" t="s">
        <v>173</v>
      </c>
      <c r="AF19" s="10" t="s">
        <v>354</v>
      </c>
      <c r="AG19" s="9" t="s">
        <v>181</v>
      </c>
      <c r="AH19" s="210">
        <v>550</v>
      </c>
      <c r="AI19" s="115">
        <v>0</v>
      </c>
      <c r="AK19" s="211">
        <v>15</v>
      </c>
      <c r="AL19" s="211" t="s">
        <v>58</v>
      </c>
      <c r="AM19" s="211">
        <v>2</v>
      </c>
      <c r="AN19" s="219" t="s">
        <v>173</v>
      </c>
      <c r="AO19" s="10" t="s">
        <v>354</v>
      </c>
      <c r="AP19" s="9" t="s">
        <v>181</v>
      </c>
      <c r="AQ19" s="210">
        <v>550</v>
      </c>
      <c r="AR19" s="115">
        <v>0</v>
      </c>
      <c r="AT19" s="211">
        <v>15</v>
      </c>
      <c r="AU19" s="211" t="s">
        <v>58</v>
      </c>
      <c r="AV19" s="211">
        <v>2</v>
      </c>
      <c r="AW19" s="219" t="s">
        <v>173</v>
      </c>
      <c r="AX19" s="10" t="s">
        <v>354</v>
      </c>
      <c r="AY19" s="9" t="s">
        <v>181</v>
      </c>
      <c r="AZ19" s="210">
        <v>550</v>
      </c>
      <c r="BA19" s="115">
        <v>0</v>
      </c>
      <c r="BC19" s="211">
        <v>15</v>
      </c>
      <c r="BD19" s="211" t="s">
        <v>58</v>
      </c>
      <c r="BE19" s="211">
        <v>2</v>
      </c>
      <c r="BF19" s="219" t="s">
        <v>173</v>
      </c>
      <c r="BG19" s="10" t="s">
        <v>354</v>
      </c>
      <c r="BH19" s="9" t="s">
        <v>181</v>
      </c>
      <c r="BI19" s="210">
        <v>550</v>
      </c>
      <c r="BJ19" s="115">
        <v>0</v>
      </c>
      <c r="BL19" s="211">
        <v>15</v>
      </c>
      <c r="BM19" s="211" t="s">
        <v>239</v>
      </c>
      <c r="BN19" s="211">
        <v>5</v>
      </c>
      <c r="BO19" s="219" t="s">
        <v>173</v>
      </c>
      <c r="BP19" s="10" t="s">
        <v>354</v>
      </c>
      <c r="BQ19" s="9" t="s">
        <v>179</v>
      </c>
      <c r="BR19" s="210">
        <v>550</v>
      </c>
      <c r="BS19" s="115">
        <v>0</v>
      </c>
      <c r="BU19" s="211">
        <v>15</v>
      </c>
      <c r="BV19" s="211" t="s">
        <v>240</v>
      </c>
      <c r="BW19" s="211">
        <v>1</v>
      </c>
      <c r="BX19" s="219" t="s">
        <v>173</v>
      </c>
      <c r="BY19" s="10" t="s">
        <v>354</v>
      </c>
      <c r="BZ19" s="9" t="s">
        <v>180</v>
      </c>
      <c r="CA19" s="210">
        <v>550</v>
      </c>
      <c r="CB19" s="115">
        <v>0</v>
      </c>
      <c r="CD19" s="211">
        <v>15</v>
      </c>
      <c r="CE19" s="211" t="s">
        <v>58</v>
      </c>
      <c r="CF19" s="211">
        <v>2</v>
      </c>
      <c r="CG19" s="219" t="s">
        <v>173</v>
      </c>
      <c r="CH19" s="10" t="s">
        <v>354</v>
      </c>
      <c r="CI19" s="9" t="s">
        <v>181</v>
      </c>
      <c r="CJ19" s="210">
        <v>550</v>
      </c>
      <c r="CK19" s="115">
        <v>0</v>
      </c>
      <c r="CM19" s="211">
        <v>7</v>
      </c>
      <c r="CN19" s="211" t="s">
        <v>240</v>
      </c>
      <c r="CO19" s="211">
        <v>1</v>
      </c>
      <c r="CP19" s="219" t="s">
        <v>173</v>
      </c>
      <c r="CQ19" s="10" t="s">
        <v>354</v>
      </c>
      <c r="CR19" s="9" t="s">
        <v>180</v>
      </c>
      <c r="CS19" s="210">
        <v>550</v>
      </c>
      <c r="CT19" s="115">
        <v>0</v>
      </c>
      <c r="CV19" s="1855" t="s">
        <v>68</v>
      </c>
      <c r="CW19" s="1855"/>
      <c r="CX19" s="1855"/>
      <c r="CY19" s="1855"/>
      <c r="CZ19" s="1855"/>
      <c r="DA19" s="1855"/>
      <c r="DB19" s="547">
        <f>SUM(DB5:DB18)</f>
        <v>-7503426.6796959713</v>
      </c>
    </row>
    <row r="20" spans="1:106" s="73" customFormat="1">
      <c r="A20" s="211">
        <v>16</v>
      </c>
      <c r="B20" s="211" t="s">
        <v>241</v>
      </c>
      <c r="C20" s="211">
        <v>4</v>
      </c>
      <c r="D20" s="219" t="s">
        <v>173</v>
      </c>
      <c r="E20" s="10" t="s">
        <v>354</v>
      </c>
      <c r="F20" s="9" t="s">
        <v>182</v>
      </c>
      <c r="G20" s="210">
        <v>550</v>
      </c>
      <c r="H20" s="115">
        <v>0</v>
      </c>
      <c r="J20" s="211">
        <v>16</v>
      </c>
      <c r="K20" s="211" t="s">
        <v>241</v>
      </c>
      <c r="L20" s="211">
        <v>4</v>
      </c>
      <c r="M20" s="219" t="s">
        <v>173</v>
      </c>
      <c r="N20" s="10" t="s">
        <v>354</v>
      </c>
      <c r="O20" s="9" t="s">
        <v>182</v>
      </c>
      <c r="P20" s="210">
        <v>550</v>
      </c>
      <c r="Q20" s="115">
        <v>0</v>
      </c>
      <c r="S20" s="211">
        <v>16</v>
      </c>
      <c r="T20" s="211" t="s">
        <v>58</v>
      </c>
      <c r="U20" s="211">
        <v>2</v>
      </c>
      <c r="V20" s="219" t="s">
        <v>173</v>
      </c>
      <c r="W20" s="10" t="s">
        <v>354</v>
      </c>
      <c r="X20" s="9" t="s">
        <v>181</v>
      </c>
      <c r="Y20" s="210">
        <v>550</v>
      </c>
      <c r="Z20" s="115">
        <v>0</v>
      </c>
      <c r="AB20" s="211">
        <v>16</v>
      </c>
      <c r="AC20" s="211" t="s">
        <v>241</v>
      </c>
      <c r="AD20" s="211">
        <v>4</v>
      </c>
      <c r="AE20" s="219" t="s">
        <v>173</v>
      </c>
      <c r="AF20" s="10" t="s">
        <v>354</v>
      </c>
      <c r="AG20" s="9" t="s">
        <v>182</v>
      </c>
      <c r="AH20" s="210">
        <v>550</v>
      </c>
      <c r="AI20" s="115">
        <v>0</v>
      </c>
      <c r="AK20" s="211">
        <v>16</v>
      </c>
      <c r="AL20" s="211" t="s">
        <v>241</v>
      </c>
      <c r="AM20" s="211">
        <v>4</v>
      </c>
      <c r="AN20" s="219" t="s">
        <v>173</v>
      </c>
      <c r="AO20" s="10" t="s">
        <v>354</v>
      </c>
      <c r="AP20" s="9" t="s">
        <v>182</v>
      </c>
      <c r="AQ20" s="210">
        <v>550</v>
      </c>
      <c r="AR20" s="115">
        <v>0</v>
      </c>
      <c r="AT20" s="211">
        <v>16</v>
      </c>
      <c r="AU20" s="211" t="s">
        <v>241</v>
      </c>
      <c r="AV20" s="211">
        <v>4</v>
      </c>
      <c r="AW20" s="219" t="s">
        <v>173</v>
      </c>
      <c r="AX20" s="10" t="s">
        <v>354</v>
      </c>
      <c r="AY20" s="9" t="s">
        <v>182</v>
      </c>
      <c r="AZ20" s="210">
        <v>550</v>
      </c>
      <c r="BA20" s="115">
        <v>0</v>
      </c>
      <c r="BC20" s="211">
        <v>16</v>
      </c>
      <c r="BD20" s="211" t="s">
        <v>241</v>
      </c>
      <c r="BE20" s="211">
        <v>4</v>
      </c>
      <c r="BF20" s="219" t="s">
        <v>173</v>
      </c>
      <c r="BG20" s="10" t="s">
        <v>354</v>
      </c>
      <c r="BH20" s="9" t="s">
        <v>182</v>
      </c>
      <c r="BI20" s="210">
        <v>550</v>
      </c>
      <c r="BJ20" s="115">
        <v>0</v>
      </c>
      <c r="BL20" s="211">
        <v>16</v>
      </c>
      <c r="BM20" s="211" t="s">
        <v>240</v>
      </c>
      <c r="BN20" s="211">
        <v>1</v>
      </c>
      <c r="BO20" s="219" t="s">
        <v>173</v>
      </c>
      <c r="BP20" s="10" t="s">
        <v>354</v>
      </c>
      <c r="BQ20" s="9" t="s">
        <v>180</v>
      </c>
      <c r="BR20" s="210">
        <v>550</v>
      </c>
      <c r="BS20" s="115">
        <v>0</v>
      </c>
      <c r="BU20" s="211">
        <v>16</v>
      </c>
      <c r="BV20" s="211" t="s">
        <v>58</v>
      </c>
      <c r="BW20" s="211">
        <v>2</v>
      </c>
      <c r="BX20" s="219" t="s">
        <v>173</v>
      </c>
      <c r="BY20" s="10" t="s">
        <v>354</v>
      </c>
      <c r="BZ20" s="9" t="s">
        <v>181</v>
      </c>
      <c r="CA20" s="210">
        <v>550</v>
      </c>
      <c r="CB20" s="115">
        <v>0</v>
      </c>
      <c r="CD20" s="211">
        <v>16</v>
      </c>
      <c r="CE20" s="211" t="s">
        <v>241</v>
      </c>
      <c r="CF20" s="211">
        <v>4</v>
      </c>
      <c r="CG20" s="219" t="s">
        <v>173</v>
      </c>
      <c r="CH20" s="10" t="s">
        <v>354</v>
      </c>
      <c r="CI20" s="9" t="s">
        <v>182</v>
      </c>
      <c r="CJ20" s="210">
        <v>550</v>
      </c>
      <c r="CK20" s="115">
        <v>0</v>
      </c>
      <c r="CM20" s="211">
        <v>8</v>
      </c>
      <c r="CN20" s="211" t="s">
        <v>58</v>
      </c>
      <c r="CO20" s="211">
        <v>2</v>
      </c>
      <c r="CP20" s="219" t="s">
        <v>173</v>
      </c>
      <c r="CQ20" s="10" t="s">
        <v>354</v>
      </c>
      <c r="CR20" s="9" t="s">
        <v>181</v>
      </c>
      <c r="CS20" s="210">
        <v>550</v>
      </c>
      <c r="CT20" s="115">
        <v>0</v>
      </c>
      <c r="CV20" s="211">
        <v>1</v>
      </c>
      <c r="CW20" s="9" t="s">
        <v>240</v>
      </c>
      <c r="CX20" s="9">
        <v>19</v>
      </c>
      <c r="CY20" s="8" t="s">
        <v>22</v>
      </c>
      <c r="CZ20" s="9" t="s">
        <v>372</v>
      </c>
      <c r="DA20" s="9" t="s">
        <v>414</v>
      </c>
      <c r="DB20" s="344">
        <v>-0.22719999961555004</v>
      </c>
    </row>
    <row r="21" spans="1:106" s="73" customFormat="1">
      <c r="A21" s="211">
        <v>17</v>
      </c>
      <c r="B21" s="211" t="s">
        <v>242</v>
      </c>
      <c r="C21" s="211">
        <v>1</v>
      </c>
      <c r="D21" s="219" t="s">
        <v>173</v>
      </c>
      <c r="E21" s="10" t="s">
        <v>354</v>
      </c>
      <c r="F21" s="9" t="s">
        <v>183</v>
      </c>
      <c r="G21" s="210">
        <v>550</v>
      </c>
      <c r="H21" s="115">
        <v>0</v>
      </c>
      <c r="J21" s="211">
        <v>17</v>
      </c>
      <c r="K21" s="211" t="s">
        <v>242</v>
      </c>
      <c r="L21" s="211">
        <v>1</v>
      </c>
      <c r="M21" s="219" t="s">
        <v>173</v>
      </c>
      <c r="N21" s="10" t="s">
        <v>354</v>
      </c>
      <c r="O21" s="9" t="s">
        <v>183</v>
      </c>
      <c r="P21" s="210">
        <v>550</v>
      </c>
      <c r="Q21" s="115">
        <v>0</v>
      </c>
      <c r="S21" s="211">
        <v>17</v>
      </c>
      <c r="T21" s="211" t="s">
        <v>241</v>
      </c>
      <c r="U21" s="211">
        <v>4</v>
      </c>
      <c r="V21" s="219" t="s">
        <v>173</v>
      </c>
      <c r="W21" s="10" t="s">
        <v>354</v>
      </c>
      <c r="X21" s="9" t="s">
        <v>182</v>
      </c>
      <c r="Y21" s="210">
        <v>550</v>
      </c>
      <c r="Z21" s="115">
        <v>0</v>
      </c>
      <c r="AB21" s="211">
        <v>17</v>
      </c>
      <c r="AC21" s="211" t="s">
        <v>242</v>
      </c>
      <c r="AD21" s="211">
        <v>1</v>
      </c>
      <c r="AE21" s="219" t="s">
        <v>173</v>
      </c>
      <c r="AF21" s="10" t="s">
        <v>354</v>
      </c>
      <c r="AG21" s="9" t="s">
        <v>183</v>
      </c>
      <c r="AH21" s="210">
        <v>550</v>
      </c>
      <c r="AI21" s="115">
        <v>0</v>
      </c>
      <c r="AK21" s="211">
        <v>17</v>
      </c>
      <c r="AL21" s="211" t="s">
        <v>242</v>
      </c>
      <c r="AM21" s="211">
        <v>1</v>
      </c>
      <c r="AN21" s="219" t="s">
        <v>173</v>
      </c>
      <c r="AO21" s="10" t="s">
        <v>354</v>
      </c>
      <c r="AP21" s="9" t="s">
        <v>183</v>
      </c>
      <c r="AQ21" s="210">
        <v>550</v>
      </c>
      <c r="AR21" s="115">
        <v>0</v>
      </c>
      <c r="AT21" s="211">
        <v>17</v>
      </c>
      <c r="AU21" s="211" t="s">
        <v>242</v>
      </c>
      <c r="AV21" s="211">
        <v>1</v>
      </c>
      <c r="AW21" s="219" t="s">
        <v>173</v>
      </c>
      <c r="AX21" s="10" t="s">
        <v>354</v>
      </c>
      <c r="AY21" s="9" t="s">
        <v>183</v>
      </c>
      <c r="AZ21" s="210">
        <v>550</v>
      </c>
      <c r="BA21" s="115">
        <v>0</v>
      </c>
      <c r="BC21" s="211">
        <v>17</v>
      </c>
      <c r="BD21" s="211" t="s">
        <v>242</v>
      </c>
      <c r="BE21" s="211">
        <v>1</v>
      </c>
      <c r="BF21" s="219" t="s">
        <v>173</v>
      </c>
      <c r="BG21" s="10" t="s">
        <v>354</v>
      </c>
      <c r="BH21" s="9" t="s">
        <v>183</v>
      </c>
      <c r="BI21" s="210">
        <v>550</v>
      </c>
      <c r="BJ21" s="115">
        <v>0</v>
      </c>
      <c r="BL21" s="211">
        <v>17</v>
      </c>
      <c r="BM21" s="211" t="s">
        <v>58</v>
      </c>
      <c r="BN21" s="211">
        <v>2</v>
      </c>
      <c r="BO21" s="219" t="s">
        <v>173</v>
      </c>
      <c r="BP21" s="10" t="s">
        <v>354</v>
      </c>
      <c r="BQ21" s="9" t="s">
        <v>181</v>
      </c>
      <c r="BR21" s="210">
        <v>550</v>
      </c>
      <c r="BS21" s="115">
        <v>0</v>
      </c>
      <c r="BU21" s="211">
        <v>17</v>
      </c>
      <c r="BV21" s="211" t="s">
        <v>241</v>
      </c>
      <c r="BW21" s="211">
        <v>4</v>
      </c>
      <c r="BX21" s="219" t="s">
        <v>173</v>
      </c>
      <c r="BY21" s="10" t="s">
        <v>354</v>
      </c>
      <c r="BZ21" s="9" t="s">
        <v>182</v>
      </c>
      <c r="CA21" s="210">
        <v>550</v>
      </c>
      <c r="CB21" s="115">
        <v>0</v>
      </c>
      <c r="CD21" s="211">
        <v>17</v>
      </c>
      <c r="CE21" s="211" t="s">
        <v>242</v>
      </c>
      <c r="CF21" s="211">
        <v>1</v>
      </c>
      <c r="CG21" s="219" t="s">
        <v>173</v>
      </c>
      <c r="CH21" s="10" t="s">
        <v>354</v>
      </c>
      <c r="CI21" s="9" t="s">
        <v>183</v>
      </c>
      <c r="CJ21" s="210">
        <v>550</v>
      </c>
      <c r="CK21" s="115">
        <v>0</v>
      </c>
      <c r="CM21" s="211">
        <v>9</v>
      </c>
      <c r="CN21" s="211" t="s">
        <v>241</v>
      </c>
      <c r="CO21" s="211">
        <v>4</v>
      </c>
      <c r="CP21" s="219" t="s">
        <v>173</v>
      </c>
      <c r="CQ21" s="10" t="s">
        <v>354</v>
      </c>
      <c r="CR21" s="9" t="s">
        <v>182</v>
      </c>
      <c r="CS21" s="210">
        <v>550</v>
      </c>
      <c r="CT21" s="115">
        <v>0</v>
      </c>
      <c r="CV21" s="1855" t="s">
        <v>68</v>
      </c>
      <c r="CW21" s="1855"/>
      <c r="CX21" s="1855"/>
      <c r="CY21" s="1855"/>
      <c r="CZ21" s="1855"/>
      <c r="DA21" s="1855"/>
      <c r="DB21" s="547">
        <f>SUM(DB20)</f>
        <v>-0.22719999961555004</v>
      </c>
    </row>
    <row r="22" spans="1:106" s="73" customFormat="1">
      <c r="A22" s="211">
        <v>18</v>
      </c>
      <c r="B22" s="211" t="s">
        <v>243</v>
      </c>
      <c r="C22" s="211">
        <v>7</v>
      </c>
      <c r="D22" s="219" t="s">
        <v>173</v>
      </c>
      <c r="E22" s="10" t="s">
        <v>354</v>
      </c>
      <c r="F22" s="9" t="s">
        <v>184</v>
      </c>
      <c r="G22" s="210">
        <v>550</v>
      </c>
      <c r="H22" s="115">
        <v>0</v>
      </c>
      <c r="J22" s="211">
        <v>18</v>
      </c>
      <c r="K22" s="211" t="s">
        <v>243</v>
      </c>
      <c r="L22" s="211">
        <v>7</v>
      </c>
      <c r="M22" s="219" t="s">
        <v>173</v>
      </c>
      <c r="N22" s="10" t="s">
        <v>354</v>
      </c>
      <c r="O22" s="9" t="s">
        <v>184</v>
      </c>
      <c r="P22" s="210">
        <v>550</v>
      </c>
      <c r="Q22" s="115">
        <v>0</v>
      </c>
      <c r="S22" s="211">
        <v>18</v>
      </c>
      <c r="T22" s="211" t="s">
        <v>242</v>
      </c>
      <c r="U22" s="211">
        <v>1</v>
      </c>
      <c r="V22" s="219" t="s">
        <v>173</v>
      </c>
      <c r="W22" s="10" t="s">
        <v>354</v>
      </c>
      <c r="X22" s="9" t="s">
        <v>183</v>
      </c>
      <c r="Y22" s="210">
        <v>550</v>
      </c>
      <c r="Z22" s="115">
        <v>0</v>
      </c>
      <c r="AB22" s="211">
        <v>18</v>
      </c>
      <c r="AC22" s="211" t="s">
        <v>243</v>
      </c>
      <c r="AD22" s="211">
        <v>7</v>
      </c>
      <c r="AE22" s="219" t="s">
        <v>173</v>
      </c>
      <c r="AF22" s="10" t="s">
        <v>354</v>
      </c>
      <c r="AG22" s="9" t="s">
        <v>184</v>
      </c>
      <c r="AH22" s="210">
        <v>550</v>
      </c>
      <c r="AI22" s="115">
        <v>0</v>
      </c>
      <c r="AK22" s="211">
        <v>18</v>
      </c>
      <c r="AL22" s="211" t="s">
        <v>243</v>
      </c>
      <c r="AM22" s="211">
        <v>7</v>
      </c>
      <c r="AN22" s="219" t="s">
        <v>173</v>
      </c>
      <c r="AO22" s="10" t="s">
        <v>354</v>
      </c>
      <c r="AP22" s="9" t="s">
        <v>184</v>
      </c>
      <c r="AQ22" s="210">
        <v>550</v>
      </c>
      <c r="AR22" s="115">
        <v>0</v>
      </c>
      <c r="AT22" s="211">
        <v>18</v>
      </c>
      <c r="AU22" s="211" t="s">
        <v>243</v>
      </c>
      <c r="AV22" s="211">
        <v>7</v>
      </c>
      <c r="AW22" s="219" t="s">
        <v>173</v>
      </c>
      <c r="AX22" s="10" t="s">
        <v>354</v>
      </c>
      <c r="AY22" s="9" t="s">
        <v>184</v>
      </c>
      <c r="AZ22" s="210">
        <v>550</v>
      </c>
      <c r="BA22" s="115">
        <v>0</v>
      </c>
      <c r="BC22" s="211">
        <v>18</v>
      </c>
      <c r="BD22" s="211" t="s">
        <v>243</v>
      </c>
      <c r="BE22" s="211">
        <v>7</v>
      </c>
      <c r="BF22" s="219" t="s">
        <v>173</v>
      </c>
      <c r="BG22" s="10" t="s">
        <v>354</v>
      </c>
      <c r="BH22" s="9" t="s">
        <v>184</v>
      </c>
      <c r="BI22" s="210">
        <v>550</v>
      </c>
      <c r="BJ22" s="115">
        <v>0</v>
      </c>
      <c r="BL22" s="211">
        <v>18</v>
      </c>
      <c r="BM22" s="211" t="s">
        <v>241</v>
      </c>
      <c r="BN22" s="211">
        <v>4</v>
      </c>
      <c r="BO22" s="219" t="s">
        <v>173</v>
      </c>
      <c r="BP22" s="10" t="s">
        <v>354</v>
      </c>
      <c r="BQ22" s="9" t="s">
        <v>182</v>
      </c>
      <c r="BR22" s="210">
        <v>550</v>
      </c>
      <c r="BS22" s="115">
        <v>0</v>
      </c>
      <c r="BU22" s="211">
        <v>18</v>
      </c>
      <c r="BV22" s="211" t="s">
        <v>242</v>
      </c>
      <c r="BW22" s="211">
        <v>1</v>
      </c>
      <c r="BX22" s="219" t="s">
        <v>173</v>
      </c>
      <c r="BY22" s="10" t="s">
        <v>354</v>
      </c>
      <c r="BZ22" s="9" t="s">
        <v>183</v>
      </c>
      <c r="CA22" s="210">
        <v>550</v>
      </c>
      <c r="CB22" s="115">
        <v>0</v>
      </c>
      <c r="CD22" s="211">
        <v>18</v>
      </c>
      <c r="CE22" s="211" t="s">
        <v>243</v>
      </c>
      <c r="CF22" s="211">
        <v>7</v>
      </c>
      <c r="CG22" s="219" t="s">
        <v>173</v>
      </c>
      <c r="CH22" s="10" t="s">
        <v>354</v>
      </c>
      <c r="CI22" s="9" t="s">
        <v>184</v>
      </c>
      <c r="CJ22" s="210">
        <v>550</v>
      </c>
      <c r="CK22" s="115">
        <v>0</v>
      </c>
      <c r="CM22" s="211">
        <v>10</v>
      </c>
      <c r="CN22" s="211" t="s">
        <v>242</v>
      </c>
      <c r="CO22" s="211">
        <v>1</v>
      </c>
      <c r="CP22" s="219" t="s">
        <v>173</v>
      </c>
      <c r="CQ22" s="10" t="s">
        <v>354</v>
      </c>
      <c r="CR22" s="9" t="s">
        <v>183</v>
      </c>
      <c r="CS22" s="210">
        <v>550</v>
      </c>
      <c r="CT22" s="115">
        <v>0</v>
      </c>
      <c r="CV22" s="211">
        <v>1</v>
      </c>
      <c r="CW22" s="211" t="s">
        <v>245</v>
      </c>
      <c r="CX22" s="211">
        <v>5</v>
      </c>
      <c r="CY22" s="8" t="s">
        <v>49</v>
      </c>
      <c r="CZ22" s="9" t="s">
        <v>355</v>
      </c>
      <c r="DA22" s="10" t="s">
        <v>246</v>
      </c>
      <c r="DB22" s="115">
        <v>0.04</v>
      </c>
    </row>
    <row r="23" spans="1:106" s="73" customFormat="1">
      <c r="A23" s="211">
        <v>19</v>
      </c>
      <c r="B23" s="9" t="s">
        <v>241</v>
      </c>
      <c r="C23" s="9">
        <v>28</v>
      </c>
      <c r="D23" s="8" t="s">
        <v>20</v>
      </c>
      <c r="E23" s="10" t="s">
        <v>118</v>
      </c>
      <c r="F23" s="10" t="s">
        <v>488</v>
      </c>
      <c r="G23" s="342">
        <v>0</v>
      </c>
      <c r="H23" s="361">
        <v>3684200</v>
      </c>
      <c r="J23" s="211">
        <v>19</v>
      </c>
      <c r="K23" s="9" t="s">
        <v>241</v>
      </c>
      <c r="L23" s="9">
        <v>28</v>
      </c>
      <c r="M23" s="8" t="s">
        <v>20</v>
      </c>
      <c r="N23" s="10" t="s">
        <v>118</v>
      </c>
      <c r="O23" s="10" t="s">
        <v>488</v>
      </c>
      <c r="P23" s="342">
        <v>0</v>
      </c>
      <c r="Q23" s="361">
        <v>3684200</v>
      </c>
      <c r="S23" s="211">
        <v>19</v>
      </c>
      <c r="T23" s="211" t="s">
        <v>243</v>
      </c>
      <c r="U23" s="211">
        <v>7</v>
      </c>
      <c r="V23" s="219" t="s">
        <v>173</v>
      </c>
      <c r="W23" s="10" t="s">
        <v>354</v>
      </c>
      <c r="X23" s="9" t="s">
        <v>184</v>
      </c>
      <c r="Y23" s="210">
        <v>550</v>
      </c>
      <c r="Z23" s="115">
        <v>0</v>
      </c>
      <c r="AB23" s="211">
        <v>19</v>
      </c>
      <c r="AC23" s="9" t="s">
        <v>241</v>
      </c>
      <c r="AD23" s="9">
        <v>28</v>
      </c>
      <c r="AE23" s="8" t="s">
        <v>20</v>
      </c>
      <c r="AF23" s="10" t="s">
        <v>118</v>
      </c>
      <c r="AG23" s="10" t="s">
        <v>488</v>
      </c>
      <c r="AH23" s="342">
        <v>0</v>
      </c>
      <c r="AI23" s="361">
        <v>3684200</v>
      </c>
      <c r="AK23" s="211">
        <v>19</v>
      </c>
      <c r="AL23" s="9" t="s">
        <v>241</v>
      </c>
      <c r="AM23" s="9">
        <v>28</v>
      </c>
      <c r="AN23" s="8" t="s">
        <v>20</v>
      </c>
      <c r="AO23" s="10" t="s">
        <v>118</v>
      </c>
      <c r="AP23" s="10" t="s">
        <v>488</v>
      </c>
      <c r="AQ23" s="342">
        <v>0</v>
      </c>
      <c r="AR23" s="361">
        <v>3684200</v>
      </c>
      <c r="AT23" s="211">
        <v>19</v>
      </c>
      <c r="AU23" s="9" t="s">
        <v>241</v>
      </c>
      <c r="AV23" s="9">
        <v>28</v>
      </c>
      <c r="AW23" s="8" t="s">
        <v>20</v>
      </c>
      <c r="AX23" s="10" t="s">
        <v>118</v>
      </c>
      <c r="AY23" s="10" t="s">
        <v>488</v>
      </c>
      <c r="AZ23" s="342">
        <v>0</v>
      </c>
      <c r="BA23" s="361">
        <v>3684200</v>
      </c>
      <c r="BC23" s="211">
        <v>19</v>
      </c>
      <c r="BD23" s="9" t="s">
        <v>241</v>
      </c>
      <c r="BE23" s="9">
        <v>28</v>
      </c>
      <c r="BF23" s="8" t="s">
        <v>20</v>
      </c>
      <c r="BG23" s="10" t="s">
        <v>118</v>
      </c>
      <c r="BH23" s="10" t="s">
        <v>488</v>
      </c>
      <c r="BI23" s="342">
        <v>0</v>
      </c>
      <c r="BJ23" s="361">
        <v>3684200</v>
      </c>
      <c r="BL23" s="211">
        <v>19</v>
      </c>
      <c r="BM23" s="211" t="s">
        <v>242</v>
      </c>
      <c r="BN23" s="211">
        <v>1</v>
      </c>
      <c r="BO23" s="219" t="s">
        <v>173</v>
      </c>
      <c r="BP23" s="10" t="s">
        <v>354</v>
      </c>
      <c r="BQ23" s="9" t="s">
        <v>183</v>
      </c>
      <c r="BR23" s="210">
        <v>550</v>
      </c>
      <c r="BS23" s="115">
        <v>0</v>
      </c>
      <c r="BU23" s="211">
        <v>19</v>
      </c>
      <c r="BV23" s="211" t="s">
        <v>243</v>
      </c>
      <c r="BW23" s="211">
        <v>7</v>
      </c>
      <c r="BX23" s="219" t="s">
        <v>173</v>
      </c>
      <c r="BY23" s="10" t="s">
        <v>354</v>
      </c>
      <c r="BZ23" s="9" t="s">
        <v>184</v>
      </c>
      <c r="CA23" s="210">
        <v>550</v>
      </c>
      <c r="CB23" s="115">
        <v>0</v>
      </c>
      <c r="CD23" s="211">
        <v>19</v>
      </c>
      <c r="CE23" s="211" t="s">
        <v>238</v>
      </c>
      <c r="CF23" s="211">
        <v>16</v>
      </c>
      <c r="CG23" s="8" t="s">
        <v>20</v>
      </c>
      <c r="CH23" s="9" t="s">
        <v>346</v>
      </c>
      <c r="CI23" s="9" t="s">
        <v>187</v>
      </c>
      <c r="CJ23" s="210">
        <v>0</v>
      </c>
      <c r="CK23" s="537">
        <v>0.02</v>
      </c>
      <c r="CM23" s="211">
        <v>11</v>
      </c>
      <c r="CN23" s="211" t="s">
        <v>243</v>
      </c>
      <c r="CO23" s="211">
        <v>7</v>
      </c>
      <c r="CP23" s="219" t="s">
        <v>173</v>
      </c>
      <c r="CQ23" s="10" t="s">
        <v>354</v>
      </c>
      <c r="CR23" s="9" t="s">
        <v>184</v>
      </c>
      <c r="CS23" s="210">
        <v>550</v>
      </c>
      <c r="CT23" s="115">
        <v>0</v>
      </c>
      <c r="CV23" s="211">
        <v>2</v>
      </c>
      <c r="CW23" s="211" t="s">
        <v>238</v>
      </c>
      <c r="CX23" s="211">
        <v>3</v>
      </c>
      <c r="CY23" s="8" t="s">
        <v>49</v>
      </c>
      <c r="CZ23" s="9" t="s">
        <v>355</v>
      </c>
      <c r="DA23" s="10" t="s">
        <v>247</v>
      </c>
      <c r="DB23" s="115">
        <v>0.44</v>
      </c>
    </row>
    <row r="24" spans="1:106" s="73" customFormat="1">
      <c r="A24" s="211">
        <v>20</v>
      </c>
      <c r="B24" s="9" t="s">
        <v>241</v>
      </c>
      <c r="C24" s="9">
        <v>28</v>
      </c>
      <c r="D24" s="8" t="s">
        <v>20</v>
      </c>
      <c r="E24" s="10" t="s">
        <v>118</v>
      </c>
      <c r="F24" s="10" t="s">
        <v>489</v>
      </c>
      <c r="G24" s="342">
        <v>0</v>
      </c>
      <c r="H24" s="361">
        <v>820000</v>
      </c>
      <c r="J24" s="211">
        <v>20</v>
      </c>
      <c r="K24" s="9" t="s">
        <v>241</v>
      </c>
      <c r="L24" s="9">
        <v>28</v>
      </c>
      <c r="M24" s="8" t="s">
        <v>20</v>
      </c>
      <c r="N24" s="10" t="s">
        <v>118</v>
      </c>
      <c r="O24" s="10" t="s">
        <v>489</v>
      </c>
      <c r="P24" s="342">
        <v>0</v>
      </c>
      <c r="Q24" s="361">
        <v>820000</v>
      </c>
      <c r="S24" s="211">
        <v>20</v>
      </c>
      <c r="T24" s="9" t="s">
        <v>241</v>
      </c>
      <c r="U24" s="9">
        <v>28</v>
      </c>
      <c r="V24" s="8" t="s">
        <v>20</v>
      </c>
      <c r="W24" s="10" t="s">
        <v>118</v>
      </c>
      <c r="X24" s="10" t="s">
        <v>488</v>
      </c>
      <c r="Y24" s="342">
        <v>0</v>
      </c>
      <c r="Z24" s="361">
        <v>3684200</v>
      </c>
      <c r="AB24" s="211">
        <v>20</v>
      </c>
      <c r="AC24" s="9" t="s">
        <v>241</v>
      </c>
      <c r="AD24" s="9">
        <v>28</v>
      </c>
      <c r="AE24" s="8" t="s">
        <v>20</v>
      </c>
      <c r="AF24" s="10" t="s">
        <v>118</v>
      </c>
      <c r="AG24" s="10" t="s">
        <v>489</v>
      </c>
      <c r="AH24" s="342">
        <v>0</v>
      </c>
      <c r="AI24" s="361">
        <v>820000</v>
      </c>
      <c r="AK24" s="211">
        <v>20</v>
      </c>
      <c r="AL24" s="9" t="s">
        <v>241</v>
      </c>
      <c r="AM24" s="9">
        <v>28</v>
      </c>
      <c r="AN24" s="8" t="s">
        <v>20</v>
      </c>
      <c r="AO24" s="10" t="s">
        <v>118</v>
      </c>
      <c r="AP24" s="10" t="s">
        <v>489</v>
      </c>
      <c r="AQ24" s="342">
        <v>0</v>
      </c>
      <c r="AR24" s="361">
        <v>820000</v>
      </c>
      <c r="AT24" s="211">
        <v>20</v>
      </c>
      <c r="AU24" s="9" t="s">
        <v>241</v>
      </c>
      <c r="AV24" s="9">
        <v>28</v>
      </c>
      <c r="AW24" s="8" t="s">
        <v>20</v>
      </c>
      <c r="AX24" s="10" t="s">
        <v>118</v>
      </c>
      <c r="AY24" s="10" t="s">
        <v>489</v>
      </c>
      <c r="AZ24" s="342">
        <v>0</v>
      </c>
      <c r="BA24" s="361">
        <v>820000</v>
      </c>
      <c r="BC24" s="211">
        <v>20</v>
      </c>
      <c r="BD24" s="9" t="s">
        <v>241</v>
      </c>
      <c r="BE24" s="9">
        <v>28</v>
      </c>
      <c r="BF24" s="8" t="s">
        <v>20</v>
      </c>
      <c r="BG24" s="10" t="s">
        <v>118</v>
      </c>
      <c r="BH24" s="10" t="s">
        <v>489</v>
      </c>
      <c r="BI24" s="342">
        <v>0</v>
      </c>
      <c r="BJ24" s="361">
        <v>820000</v>
      </c>
      <c r="BL24" s="211">
        <v>20</v>
      </c>
      <c r="BM24" s="211" t="s">
        <v>243</v>
      </c>
      <c r="BN24" s="211">
        <v>7</v>
      </c>
      <c r="BO24" s="219" t="s">
        <v>173</v>
      </c>
      <c r="BP24" s="10" t="s">
        <v>354</v>
      </c>
      <c r="BQ24" s="9" t="s">
        <v>184</v>
      </c>
      <c r="BR24" s="210">
        <v>550</v>
      </c>
      <c r="BS24" s="115">
        <v>0</v>
      </c>
      <c r="BU24" s="211">
        <v>20</v>
      </c>
      <c r="BV24" s="211" t="s">
        <v>238</v>
      </c>
      <c r="BW24" s="211">
        <v>16</v>
      </c>
      <c r="BX24" s="8" t="s">
        <v>20</v>
      </c>
      <c r="BY24" s="9" t="s">
        <v>346</v>
      </c>
      <c r="BZ24" s="9" t="s">
        <v>187</v>
      </c>
      <c r="CA24" s="210">
        <v>0</v>
      </c>
      <c r="CB24" s="115">
        <v>0.02</v>
      </c>
      <c r="CD24" s="211">
        <v>20</v>
      </c>
      <c r="CE24" s="211" t="s">
        <v>238</v>
      </c>
      <c r="CF24" s="211">
        <v>16</v>
      </c>
      <c r="CG24" s="8" t="s">
        <v>20</v>
      </c>
      <c r="CH24" s="10" t="s">
        <v>371</v>
      </c>
      <c r="CI24" s="9" t="s">
        <v>188</v>
      </c>
      <c r="CJ24" s="210">
        <v>0</v>
      </c>
      <c r="CK24" s="537">
        <v>0.13</v>
      </c>
      <c r="CM24" s="1855" t="s">
        <v>68</v>
      </c>
      <c r="CN24" s="1855"/>
      <c r="CO24" s="1855"/>
      <c r="CP24" s="1855"/>
      <c r="CQ24" s="1855"/>
      <c r="CR24" s="1855"/>
      <c r="CS24" s="546">
        <f>SUM(CS13:CS23)</f>
        <v>6050</v>
      </c>
      <c r="CT24" s="547">
        <f>SUM(CT13:CT23)</f>
        <v>0</v>
      </c>
      <c r="CV24" s="211">
        <v>3</v>
      </c>
      <c r="CW24" s="211" t="s">
        <v>140</v>
      </c>
      <c r="CX24" s="211">
        <v>2</v>
      </c>
      <c r="CY24" s="8" t="s">
        <v>49</v>
      </c>
      <c r="CZ24" s="9" t="s">
        <v>355</v>
      </c>
      <c r="DA24" s="10" t="s">
        <v>248</v>
      </c>
      <c r="DB24" s="115">
        <v>0.32</v>
      </c>
    </row>
    <row r="25" spans="1:106" s="73" customFormat="1">
      <c r="A25" s="211">
        <v>21</v>
      </c>
      <c r="B25" s="53" t="s">
        <v>194</v>
      </c>
      <c r="C25" s="53">
        <v>30</v>
      </c>
      <c r="D25" s="193" t="s">
        <v>20</v>
      </c>
      <c r="E25" s="672" t="s">
        <v>354</v>
      </c>
      <c r="F25" s="672" t="s">
        <v>2023</v>
      </c>
      <c r="G25" s="342">
        <v>0</v>
      </c>
      <c r="H25" s="360">
        <v>843643508.39999998</v>
      </c>
      <c r="J25" s="211">
        <v>21</v>
      </c>
      <c r="K25" s="9" t="s">
        <v>195</v>
      </c>
      <c r="L25" s="9">
        <v>28</v>
      </c>
      <c r="M25" s="8" t="s">
        <v>20</v>
      </c>
      <c r="N25" s="10" t="s">
        <v>346</v>
      </c>
      <c r="O25" s="10" t="s">
        <v>2175</v>
      </c>
      <c r="P25" s="342">
        <v>0</v>
      </c>
      <c r="Q25" s="115">
        <v>63380625.448799998</v>
      </c>
      <c r="S25" s="211">
        <v>21</v>
      </c>
      <c r="T25" s="9" t="s">
        <v>241</v>
      </c>
      <c r="U25" s="9">
        <v>28</v>
      </c>
      <c r="V25" s="8" t="s">
        <v>20</v>
      </c>
      <c r="W25" s="10" t="s">
        <v>118</v>
      </c>
      <c r="X25" s="10" t="s">
        <v>489</v>
      </c>
      <c r="Y25" s="342">
        <v>0</v>
      </c>
      <c r="Z25" s="361">
        <v>820000</v>
      </c>
      <c r="AB25" s="211">
        <v>21</v>
      </c>
      <c r="AC25" s="9" t="s">
        <v>239</v>
      </c>
      <c r="AD25" s="9">
        <v>30</v>
      </c>
      <c r="AE25" s="8" t="s">
        <v>20</v>
      </c>
      <c r="AF25" s="10" t="s">
        <v>354</v>
      </c>
      <c r="AG25" s="10" t="s">
        <v>2232</v>
      </c>
      <c r="AH25" s="342">
        <v>0</v>
      </c>
      <c r="AI25" s="360">
        <v>63246790.899599999</v>
      </c>
      <c r="AK25" s="211">
        <v>21</v>
      </c>
      <c r="AL25" s="300" t="s">
        <v>240</v>
      </c>
      <c r="AM25" s="9">
        <v>28</v>
      </c>
      <c r="AN25" s="8" t="s">
        <v>20</v>
      </c>
      <c r="AO25" s="10" t="s">
        <v>346</v>
      </c>
      <c r="AP25" s="10" t="s">
        <v>2411</v>
      </c>
      <c r="AQ25" s="342">
        <v>0</v>
      </c>
      <c r="AR25" s="360">
        <v>63121498.98120001</v>
      </c>
      <c r="AT25" s="211">
        <v>21</v>
      </c>
      <c r="AU25" s="9" t="s">
        <v>241</v>
      </c>
      <c r="AV25" s="9">
        <v>14</v>
      </c>
      <c r="AW25" s="8" t="s">
        <v>20</v>
      </c>
      <c r="AX25" s="10" t="s">
        <v>354</v>
      </c>
      <c r="AY25" s="10" t="s">
        <v>2681</v>
      </c>
      <c r="AZ25" s="342">
        <v>0</v>
      </c>
      <c r="BA25" s="360">
        <v>834265322</v>
      </c>
      <c r="BC25" s="211">
        <v>21</v>
      </c>
      <c r="BD25" s="53" t="s">
        <v>242</v>
      </c>
      <c r="BE25" s="53">
        <v>11</v>
      </c>
      <c r="BF25" s="8" t="s">
        <v>20</v>
      </c>
      <c r="BG25" s="672" t="s">
        <v>354</v>
      </c>
      <c r="BH25" s="672" t="s">
        <v>2845</v>
      </c>
      <c r="BI25" s="342">
        <v>0</v>
      </c>
      <c r="BJ25" s="115">
        <v>822331659.60000002</v>
      </c>
      <c r="BL25" s="211">
        <v>21</v>
      </c>
      <c r="BM25" s="211" t="s">
        <v>238</v>
      </c>
      <c r="BN25" s="211">
        <v>16</v>
      </c>
      <c r="BO25" s="8" t="s">
        <v>20</v>
      </c>
      <c r="BP25" s="9" t="s">
        <v>346</v>
      </c>
      <c r="BQ25" s="9" t="s">
        <v>187</v>
      </c>
      <c r="BR25" s="210">
        <v>0</v>
      </c>
      <c r="BS25" s="115">
        <v>0.02</v>
      </c>
      <c r="BU25" s="211">
        <v>21</v>
      </c>
      <c r="BV25" s="211" t="s">
        <v>238</v>
      </c>
      <c r="BW25" s="211">
        <v>16</v>
      </c>
      <c r="BX25" s="8" t="s">
        <v>20</v>
      </c>
      <c r="BY25" s="10" t="s">
        <v>371</v>
      </c>
      <c r="BZ25" s="9" t="s">
        <v>188</v>
      </c>
      <c r="CA25" s="210">
        <v>0</v>
      </c>
      <c r="CB25" s="115">
        <v>0.13</v>
      </c>
      <c r="CD25" s="211">
        <v>21</v>
      </c>
      <c r="CE25" s="211" t="s">
        <v>140</v>
      </c>
      <c r="CF25" s="211">
        <v>16</v>
      </c>
      <c r="CG25" s="8" t="s">
        <v>20</v>
      </c>
      <c r="CH25" s="10" t="s">
        <v>371</v>
      </c>
      <c r="CI25" s="9" t="s">
        <v>189</v>
      </c>
      <c r="CJ25" s="210">
        <v>0</v>
      </c>
      <c r="CK25" s="537">
        <v>-7503434.7000000002</v>
      </c>
      <c r="CM25" s="211">
        <v>1</v>
      </c>
      <c r="CN25" s="9" t="s">
        <v>241</v>
      </c>
      <c r="CO25" s="9">
        <v>28</v>
      </c>
      <c r="CP25" s="8" t="s">
        <v>20</v>
      </c>
      <c r="CQ25" s="10" t="s">
        <v>118</v>
      </c>
      <c r="CR25" s="10" t="s">
        <v>488</v>
      </c>
      <c r="CS25" s="342">
        <v>0</v>
      </c>
      <c r="CT25" s="361">
        <v>3684200</v>
      </c>
      <c r="CV25" s="211">
        <v>4</v>
      </c>
      <c r="CW25" s="9" t="s">
        <v>194</v>
      </c>
      <c r="CX25" s="9">
        <v>11</v>
      </c>
      <c r="CY25" s="8" t="s">
        <v>49</v>
      </c>
      <c r="CZ25" s="9" t="s">
        <v>355</v>
      </c>
      <c r="DA25" s="10" t="s">
        <v>145</v>
      </c>
      <c r="DB25" s="115">
        <v>-0.39999999850988388</v>
      </c>
    </row>
    <row r="26" spans="1:106" s="73" customFormat="1">
      <c r="A26" s="211">
        <v>22</v>
      </c>
      <c r="B26" s="53" t="s">
        <v>194</v>
      </c>
      <c r="C26" s="9">
        <v>30</v>
      </c>
      <c r="D26" s="8" t="s">
        <v>20</v>
      </c>
      <c r="E26" s="10" t="s">
        <v>346</v>
      </c>
      <c r="F26" s="10" t="s">
        <v>2024</v>
      </c>
      <c r="G26" s="342">
        <v>0</v>
      </c>
      <c r="H26" s="360">
        <v>63335064.751199998</v>
      </c>
      <c r="J26" s="211">
        <v>22</v>
      </c>
      <c r="K26" s="9" t="s">
        <v>195</v>
      </c>
      <c r="L26" s="9">
        <v>28</v>
      </c>
      <c r="M26" s="8" t="s">
        <v>20</v>
      </c>
      <c r="N26" s="10" t="s">
        <v>354</v>
      </c>
      <c r="O26" s="10" t="s">
        <v>2176</v>
      </c>
      <c r="P26" s="342">
        <v>0</v>
      </c>
      <c r="Q26" s="115">
        <v>837639765.60000002</v>
      </c>
      <c r="S26" s="211">
        <v>22</v>
      </c>
      <c r="T26" s="9" t="s">
        <v>239</v>
      </c>
      <c r="U26" s="9">
        <v>30</v>
      </c>
      <c r="V26" s="8" t="s">
        <v>20</v>
      </c>
      <c r="W26" s="10" t="s">
        <v>354</v>
      </c>
      <c r="X26" s="10" t="s">
        <v>2232</v>
      </c>
      <c r="Y26" s="342">
        <v>0</v>
      </c>
      <c r="Z26" s="360">
        <v>63246790.899599999</v>
      </c>
      <c r="AB26" s="211">
        <v>22</v>
      </c>
      <c r="AC26" s="9" t="s">
        <v>239</v>
      </c>
      <c r="AD26" s="9">
        <v>30</v>
      </c>
      <c r="AE26" s="8" t="s">
        <v>20</v>
      </c>
      <c r="AF26" s="10" t="s">
        <v>346</v>
      </c>
      <c r="AG26" s="10" t="s">
        <v>2233</v>
      </c>
      <c r="AH26" s="342">
        <v>0</v>
      </c>
      <c r="AI26" s="360">
        <v>835871005.20000005</v>
      </c>
      <c r="AK26" s="211">
        <v>22</v>
      </c>
      <c r="AL26" s="9" t="s">
        <v>240</v>
      </c>
      <c r="AM26" s="9">
        <v>28</v>
      </c>
      <c r="AN26" s="8" t="s">
        <v>20</v>
      </c>
      <c r="AO26" s="10" t="s">
        <v>354</v>
      </c>
      <c r="AP26" s="10" t="s">
        <v>2413</v>
      </c>
      <c r="AQ26" s="342">
        <v>0</v>
      </c>
      <c r="AR26" s="360">
        <v>834215144.39999998</v>
      </c>
      <c r="AT26" s="211">
        <v>22</v>
      </c>
      <c r="AU26" s="9" t="s">
        <v>241</v>
      </c>
      <c r="AV26" s="9">
        <v>2</v>
      </c>
      <c r="AW26" s="8" t="s">
        <v>24</v>
      </c>
      <c r="AX26" s="10" t="s">
        <v>362</v>
      </c>
      <c r="AY26" s="10" t="s">
        <v>2599</v>
      </c>
      <c r="AZ26" s="210">
        <v>0</v>
      </c>
      <c r="BA26" s="360">
        <v>4400000</v>
      </c>
      <c r="BC26" s="211">
        <v>22</v>
      </c>
      <c r="BD26" s="53" t="s">
        <v>242</v>
      </c>
      <c r="BE26" s="53">
        <v>3</v>
      </c>
      <c r="BF26" s="8" t="s">
        <v>20</v>
      </c>
      <c r="BG26" s="672" t="s">
        <v>346</v>
      </c>
      <c r="BH26" s="672" t="s">
        <v>2847</v>
      </c>
      <c r="BI26" s="342">
        <v>0</v>
      </c>
      <c r="BJ26" s="1100">
        <v>45012000</v>
      </c>
      <c r="BL26" s="211">
        <v>22</v>
      </c>
      <c r="BM26" s="211" t="s">
        <v>238</v>
      </c>
      <c r="BN26" s="211">
        <v>16</v>
      </c>
      <c r="BO26" s="8" t="s">
        <v>20</v>
      </c>
      <c r="BP26" s="10" t="s">
        <v>371</v>
      </c>
      <c r="BQ26" s="9" t="s">
        <v>188</v>
      </c>
      <c r="BR26" s="210">
        <v>0</v>
      </c>
      <c r="BS26" s="115">
        <v>0.13</v>
      </c>
      <c r="BU26" s="211">
        <v>22</v>
      </c>
      <c r="BV26" s="211" t="s">
        <v>140</v>
      </c>
      <c r="BW26" s="211">
        <v>16</v>
      </c>
      <c r="BX26" s="8" t="s">
        <v>20</v>
      </c>
      <c r="BY26" s="10" t="s">
        <v>371</v>
      </c>
      <c r="BZ26" s="9" t="s">
        <v>189</v>
      </c>
      <c r="CA26" s="210">
        <v>0</v>
      </c>
      <c r="CB26" s="115">
        <v>-7503434.7000000002</v>
      </c>
      <c r="CD26" s="211">
        <v>22</v>
      </c>
      <c r="CE26" s="9" t="s">
        <v>195</v>
      </c>
      <c r="CF26" s="9">
        <v>18</v>
      </c>
      <c r="CG26" s="8" t="s">
        <v>20</v>
      </c>
      <c r="CH26" s="10" t="s">
        <v>346</v>
      </c>
      <c r="CI26" s="10" t="s">
        <v>347</v>
      </c>
      <c r="CJ26" s="210">
        <v>0</v>
      </c>
      <c r="CK26" s="537">
        <v>1.3813999965786934</v>
      </c>
      <c r="CM26" s="211">
        <v>2</v>
      </c>
      <c r="CN26" s="9" t="s">
        <v>241</v>
      </c>
      <c r="CO26" s="9">
        <v>28</v>
      </c>
      <c r="CP26" s="8" t="s">
        <v>20</v>
      </c>
      <c r="CQ26" s="10" t="s">
        <v>118</v>
      </c>
      <c r="CR26" s="10" t="s">
        <v>489</v>
      </c>
      <c r="CS26" s="342">
        <v>0</v>
      </c>
      <c r="CT26" s="361">
        <v>820000</v>
      </c>
      <c r="CV26" s="211">
        <v>5</v>
      </c>
      <c r="CW26" s="9" t="s">
        <v>195</v>
      </c>
      <c r="CX26" s="9">
        <v>3</v>
      </c>
      <c r="CY26" s="8" t="s">
        <v>49</v>
      </c>
      <c r="CZ26" s="9" t="s">
        <v>355</v>
      </c>
      <c r="DA26" s="10" t="s">
        <v>146</v>
      </c>
      <c r="DB26" s="115">
        <v>0.32000000029802322</v>
      </c>
    </row>
    <row r="27" spans="1:106" s="73" customFormat="1">
      <c r="A27" s="211">
        <v>23</v>
      </c>
      <c r="B27" s="53" t="s">
        <v>194</v>
      </c>
      <c r="C27" s="9">
        <v>9</v>
      </c>
      <c r="D27" s="8" t="s">
        <v>24</v>
      </c>
      <c r="E27" s="10" t="s">
        <v>362</v>
      </c>
      <c r="F27" s="10" t="s">
        <v>1767</v>
      </c>
      <c r="G27" s="210">
        <v>0</v>
      </c>
      <c r="H27" s="360">
        <v>4400000</v>
      </c>
      <c r="J27" s="211">
        <v>23</v>
      </c>
      <c r="K27" s="9" t="s">
        <v>195</v>
      </c>
      <c r="L27" s="9">
        <v>16</v>
      </c>
      <c r="M27" s="8" t="s">
        <v>2070</v>
      </c>
      <c r="N27" s="10" t="s">
        <v>118</v>
      </c>
      <c r="O27" s="10" t="s">
        <v>2072</v>
      </c>
      <c r="P27" s="342">
        <v>0</v>
      </c>
      <c r="Q27" s="361">
        <v>2854087.5</v>
      </c>
      <c r="S27" s="211">
        <v>23</v>
      </c>
      <c r="T27" s="9" t="s">
        <v>239</v>
      </c>
      <c r="U27" s="9">
        <v>30</v>
      </c>
      <c r="V27" s="8" t="s">
        <v>20</v>
      </c>
      <c r="W27" s="10" t="s">
        <v>346</v>
      </c>
      <c r="X27" s="10" t="s">
        <v>2233</v>
      </c>
      <c r="Y27" s="342">
        <v>0</v>
      </c>
      <c r="Z27" s="360">
        <v>835871005.20000005</v>
      </c>
      <c r="AB27" s="211">
        <v>23</v>
      </c>
      <c r="AC27" s="300" t="s">
        <v>240</v>
      </c>
      <c r="AD27" s="9">
        <v>28</v>
      </c>
      <c r="AE27" s="8" t="s">
        <v>20</v>
      </c>
      <c r="AF27" s="10" t="s">
        <v>346</v>
      </c>
      <c r="AG27" s="10" t="s">
        <v>2411</v>
      </c>
      <c r="AH27" s="342">
        <v>0</v>
      </c>
      <c r="AI27" s="361">
        <v>63121498.98120001</v>
      </c>
      <c r="AK27" s="211">
        <v>23</v>
      </c>
      <c r="AL27" s="9" t="s">
        <v>58</v>
      </c>
      <c r="AM27" s="9">
        <v>31</v>
      </c>
      <c r="AN27" s="8" t="s">
        <v>20</v>
      </c>
      <c r="AO27" s="10" t="s">
        <v>346</v>
      </c>
      <c r="AP27" s="10" t="s">
        <v>2679</v>
      </c>
      <c r="AQ27" s="342">
        <v>0</v>
      </c>
      <c r="AR27" s="361">
        <v>45012000</v>
      </c>
      <c r="AT27" s="211">
        <v>23</v>
      </c>
      <c r="AU27" s="211" t="s">
        <v>238</v>
      </c>
      <c r="AV27" s="211">
        <v>10</v>
      </c>
      <c r="AW27" s="8" t="s">
        <v>190</v>
      </c>
      <c r="AX27" s="211" t="s">
        <v>144</v>
      </c>
      <c r="AY27" s="9" t="s">
        <v>191</v>
      </c>
      <c r="AZ27" s="210">
        <v>0</v>
      </c>
      <c r="BA27" s="115">
        <v>50000000</v>
      </c>
      <c r="BC27" s="211">
        <v>23</v>
      </c>
      <c r="BD27" s="53" t="s">
        <v>242</v>
      </c>
      <c r="BE27" s="9">
        <v>3</v>
      </c>
      <c r="BF27" s="8" t="s">
        <v>24</v>
      </c>
      <c r="BG27" s="10" t="s">
        <v>362</v>
      </c>
      <c r="BH27" s="10" t="s">
        <v>2765</v>
      </c>
      <c r="BI27" s="210">
        <v>0</v>
      </c>
      <c r="BJ27" s="360">
        <v>4400000</v>
      </c>
      <c r="BL27" s="211">
        <v>23</v>
      </c>
      <c r="BM27" s="211" t="s">
        <v>140</v>
      </c>
      <c r="BN27" s="211">
        <v>16</v>
      </c>
      <c r="BO27" s="8" t="s">
        <v>20</v>
      </c>
      <c r="BP27" s="10" t="s">
        <v>371</v>
      </c>
      <c r="BQ27" s="9" t="s">
        <v>189</v>
      </c>
      <c r="BR27" s="210">
        <v>0</v>
      </c>
      <c r="BS27" s="115">
        <v>-7503434.7000000002</v>
      </c>
      <c r="BU27" s="211">
        <v>23</v>
      </c>
      <c r="BV27" s="9" t="s">
        <v>195</v>
      </c>
      <c r="BW27" s="9">
        <v>18</v>
      </c>
      <c r="BX27" s="8" t="s">
        <v>20</v>
      </c>
      <c r="BY27" s="10" t="s">
        <v>346</v>
      </c>
      <c r="BZ27" s="10" t="s">
        <v>347</v>
      </c>
      <c r="CA27" s="210">
        <v>0</v>
      </c>
      <c r="CB27" s="115">
        <v>1.3813999965786934</v>
      </c>
      <c r="CD27" s="211">
        <v>23</v>
      </c>
      <c r="CE27" s="9" t="s">
        <v>195</v>
      </c>
      <c r="CF27" s="9">
        <v>18</v>
      </c>
      <c r="CG27" s="8" t="s">
        <v>20</v>
      </c>
      <c r="CH27" s="10" t="s">
        <v>371</v>
      </c>
      <c r="CI27" s="10" t="s">
        <v>348</v>
      </c>
      <c r="CJ27" s="210">
        <v>0</v>
      </c>
      <c r="CK27" s="537">
        <v>0.72000002861022949</v>
      </c>
      <c r="CM27" s="211">
        <v>3</v>
      </c>
      <c r="CN27" s="9" t="s">
        <v>238</v>
      </c>
      <c r="CO27" s="9">
        <v>30</v>
      </c>
      <c r="CP27" s="8" t="s">
        <v>20</v>
      </c>
      <c r="CQ27" s="10" t="s">
        <v>346</v>
      </c>
      <c r="CR27" s="10" t="s">
        <v>1573</v>
      </c>
      <c r="CS27" s="342">
        <v>0</v>
      </c>
      <c r="CT27" s="344">
        <v>64017526.033999994</v>
      </c>
      <c r="CV27" s="211">
        <v>6</v>
      </c>
      <c r="CW27" s="9" t="s">
        <v>240</v>
      </c>
      <c r="CX27" s="9">
        <v>7</v>
      </c>
      <c r="CY27" s="8" t="s">
        <v>49</v>
      </c>
      <c r="CZ27" s="9" t="s">
        <v>355</v>
      </c>
      <c r="DA27" s="10" t="s">
        <v>410</v>
      </c>
      <c r="DB27" s="344">
        <v>-0.2800000011920929</v>
      </c>
    </row>
    <row r="28" spans="1:106" s="73" customFormat="1">
      <c r="A28" s="211">
        <v>24</v>
      </c>
      <c r="B28" s="211" t="s">
        <v>238</v>
      </c>
      <c r="C28" s="211">
        <v>10</v>
      </c>
      <c r="D28" s="8" t="s">
        <v>190</v>
      </c>
      <c r="E28" s="211" t="s">
        <v>144</v>
      </c>
      <c r="F28" s="9" t="s">
        <v>191</v>
      </c>
      <c r="G28" s="210">
        <v>0</v>
      </c>
      <c r="H28" s="115">
        <v>50000000</v>
      </c>
      <c r="J28" s="211">
        <v>24</v>
      </c>
      <c r="K28" s="9" t="s">
        <v>194</v>
      </c>
      <c r="L28" s="9">
        <v>9</v>
      </c>
      <c r="M28" s="8" t="s">
        <v>24</v>
      </c>
      <c r="N28" s="10" t="s">
        <v>362</v>
      </c>
      <c r="O28" s="10" t="s">
        <v>1936</v>
      </c>
      <c r="P28" s="210">
        <v>0</v>
      </c>
      <c r="Q28" s="360">
        <v>4400000</v>
      </c>
      <c r="S28" s="211">
        <v>24</v>
      </c>
      <c r="T28" s="9" t="s">
        <v>239</v>
      </c>
      <c r="U28" s="9">
        <v>1</v>
      </c>
      <c r="V28" s="8" t="s">
        <v>24</v>
      </c>
      <c r="W28" s="10" t="s">
        <v>362</v>
      </c>
      <c r="X28" s="10" t="s">
        <v>2096</v>
      </c>
      <c r="Y28" s="210">
        <v>0</v>
      </c>
      <c r="Z28" s="360">
        <v>4400000</v>
      </c>
      <c r="AB28" s="211">
        <v>24</v>
      </c>
      <c r="AC28" s="9" t="s">
        <v>240</v>
      </c>
      <c r="AD28" s="9">
        <v>28</v>
      </c>
      <c r="AE28" s="8" t="s">
        <v>20</v>
      </c>
      <c r="AF28" s="10" t="s">
        <v>354</v>
      </c>
      <c r="AG28" s="10" t="s">
        <v>2413</v>
      </c>
      <c r="AH28" s="342">
        <v>0</v>
      </c>
      <c r="AI28" s="361">
        <v>834215144.39999998</v>
      </c>
      <c r="AK28" s="211">
        <v>24</v>
      </c>
      <c r="AL28" s="9" t="s">
        <v>58</v>
      </c>
      <c r="AM28" s="9">
        <v>2</v>
      </c>
      <c r="AN28" s="8" t="s">
        <v>24</v>
      </c>
      <c r="AO28" s="10" t="s">
        <v>362</v>
      </c>
      <c r="AP28" s="10" t="s">
        <v>2415</v>
      </c>
      <c r="AQ28" s="210">
        <v>0</v>
      </c>
      <c r="AR28" s="360">
        <v>4400000</v>
      </c>
      <c r="AT28" s="211">
        <v>24</v>
      </c>
      <c r="AU28" s="9" t="s">
        <v>241</v>
      </c>
      <c r="AV28" s="9">
        <v>2</v>
      </c>
      <c r="AW28" s="8" t="s">
        <v>49</v>
      </c>
      <c r="AX28" s="10" t="s">
        <v>355</v>
      </c>
      <c r="AY28" s="10" t="s">
        <v>2623</v>
      </c>
      <c r="AZ28" s="342">
        <v>0</v>
      </c>
      <c r="BA28" s="361">
        <v>29723463</v>
      </c>
      <c r="BC28" s="211">
        <v>24</v>
      </c>
      <c r="BD28" s="211" t="s">
        <v>238</v>
      </c>
      <c r="BE28" s="211">
        <v>10</v>
      </c>
      <c r="BF28" s="8" t="s">
        <v>190</v>
      </c>
      <c r="BG28" s="211" t="s">
        <v>144</v>
      </c>
      <c r="BH28" s="9" t="s">
        <v>191</v>
      </c>
      <c r="BI28" s="210">
        <v>0</v>
      </c>
      <c r="BJ28" s="115">
        <v>50000000</v>
      </c>
      <c r="BL28" s="211">
        <v>24</v>
      </c>
      <c r="BM28" s="9" t="s">
        <v>195</v>
      </c>
      <c r="BN28" s="9">
        <v>18</v>
      </c>
      <c r="BO28" s="8" t="s">
        <v>20</v>
      </c>
      <c r="BP28" s="10" t="s">
        <v>346</v>
      </c>
      <c r="BQ28" s="10" t="s">
        <v>347</v>
      </c>
      <c r="BR28" s="210">
        <v>0</v>
      </c>
      <c r="BS28" s="115">
        <v>1.3813999965786934</v>
      </c>
      <c r="BU28" s="211">
        <v>24</v>
      </c>
      <c r="BV28" s="9" t="s">
        <v>195</v>
      </c>
      <c r="BW28" s="9">
        <v>18</v>
      </c>
      <c r="BX28" s="8" t="s">
        <v>20</v>
      </c>
      <c r="BY28" s="10" t="s">
        <v>371</v>
      </c>
      <c r="BZ28" s="10" t="s">
        <v>348</v>
      </c>
      <c r="CA28" s="210">
        <v>0</v>
      </c>
      <c r="CB28" s="115">
        <v>0.72000002861022949</v>
      </c>
      <c r="CD28" s="211">
        <v>24</v>
      </c>
      <c r="CE28" s="9" t="s">
        <v>239</v>
      </c>
      <c r="CF28" s="9">
        <v>21</v>
      </c>
      <c r="CG28" s="8" t="s">
        <v>20</v>
      </c>
      <c r="CH28" s="10" t="s">
        <v>346</v>
      </c>
      <c r="CI28" s="10" t="s">
        <v>391</v>
      </c>
      <c r="CJ28" s="210">
        <v>0</v>
      </c>
      <c r="CK28" s="537">
        <v>1.5764000043272972</v>
      </c>
      <c r="CM28" s="211">
        <v>4</v>
      </c>
      <c r="CN28" s="9" t="s">
        <v>238</v>
      </c>
      <c r="CO28" s="9">
        <v>30</v>
      </c>
      <c r="CP28" s="8" t="s">
        <v>20</v>
      </c>
      <c r="CQ28" s="10" t="s">
        <v>371</v>
      </c>
      <c r="CR28" s="10" t="s">
        <v>1576</v>
      </c>
      <c r="CS28" s="342">
        <v>0</v>
      </c>
      <c r="CT28" s="344">
        <v>827658062</v>
      </c>
      <c r="CV28" s="211">
        <v>7</v>
      </c>
      <c r="CW28" s="9" t="s">
        <v>240</v>
      </c>
      <c r="CX28" s="9">
        <v>7</v>
      </c>
      <c r="CY28" s="8" t="s">
        <v>49</v>
      </c>
      <c r="CZ28" s="9" t="s">
        <v>355</v>
      </c>
      <c r="DA28" s="10" t="s">
        <v>411</v>
      </c>
      <c r="DB28" s="344">
        <v>-0.19999999925494194</v>
      </c>
    </row>
    <row r="29" spans="1:106" s="73" customFormat="1">
      <c r="A29" s="211">
        <v>25</v>
      </c>
      <c r="B29" s="53" t="s">
        <v>194</v>
      </c>
      <c r="C29" s="9">
        <v>9</v>
      </c>
      <c r="D29" s="8" t="s">
        <v>49</v>
      </c>
      <c r="E29" s="10" t="s">
        <v>355</v>
      </c>
      <c r="F29" s="10" t="s">
        <v>1780</v>
      </c>
      <c r="G29" s="342">
        <v>0</v>
      </c>
      <c r="H29" s="361">
        <v>29888705</v>
      </c>
      <c r="J29" s="211">
        <v>25</v>
      </c>
      <c r="K29" s="211" t="s">
        <v>238</v>
      </c>
      <c r="L29" s="211">
        <v>10</v>
      </c>
      <c r="M29" s="8" t="s">
        <v>190</v>
      </c>
      <c r="N29" s="211" t="s">
        <v>144</v>
      </c>
      <c r="O29" s="9" t="s">
        <v>191</v>
      </c>
      <c r="P29" s="210">
        <v>0</v>
      </c>
      <c r="Q29" s="115">
        <v>50000000</v>
      </c>
      <c r="S29" s="211">
        <v>25</v>
      </c>
      <c r="T29" s="211" t="s">
        <v>238</v>
      </c>
      <c r="U29" s="211">
        <v>10</v>
      </c>
      <c r="V29" s="8" t="s">
        <v>190</v>
      </c>
      <c r="W29" s="211" t="s">
        <v>144</v>
      </c>
      <c r="X29" s="9" t="s">
        <v>191</v>
      </c>
      <c r="Y29" s="210">
        <v>0</v>
      </c>
      <c r="Z29" s="115">
        <v>50000000</v>
      </c>
      <c r="AB29" s="211">
        <v>25</v>
      </c>
      <c r="AC29" s="9" t="s">
        <v>240</v>
      </c>
      <c r="AD29" s="9">
        <v>3</v>
      </c>
      <c r="AE29" s="8" t="s">
        <v>24</v>
      </c>
      <c r="AF29" s="10" t="s">
        <v>362</v>
      </c>
      <c r="AG29" s="10" t="s">
        <v>2242</v>
      </c>
      <c r="AH29" s="210">
        <v>0</v>
      </c>
      <c r="AI29" s="360">
        <v>4400000</v>
      </c>
      <c r="AK29" s="211">
        <v>25</v>
      </c>
      <c r="AL29" s="211" t="s">
        <v>238</v>
      </c>
      <c r="AM29" s="211">
        <v>10</v>
      </c>
      <c r="AN29" s="8" t="s">
        <v>190</v>
      </c>
      <c r="AO29" s="211" t="s">
        <v>144</v>
      </c>
      <c r="AP29" s="9" t="s">
        <v>191</v>
      </c>
      <c r="AQ29" s="210">
        <v>0</v>
      </c>
      <c r="AR29" s="115">
        <v>50000000</v>
      </c>
      <c r="AT29" s="211">
        <v>25</v>
      </c>
      <c r="AU29" s="9" t="s">
        <v>195</v>
      </c>
      <c r="AV29" s="9">
        <v>1</v>
      </c>
      <c r="AW29" s="8" t="s">
        <v>28</v>
      </c>
      <c r="AX29" s="10" t="s">
        <v>355</v>
      </c>
      <c r="AY29" s="10" t="s">
        <v>1942</v>
      </c>
      <c r="AZ29" s="342">
        <v>0</v>
      </c>
      <c r="BA29" s="361">
        <v>35200000</v>
      </c>
      <c r="BC29" s="211">
        <v>25</v>
      </c>
      <c r="BD29" s="9" t="s">
        <v>195</v>
      </c>
      <c r="BE29" s="9">
        <v>1</v>
      </c>
      <c r="BF29" s="8" t="s">
        <v>28</v>
      </c>
      <c r="BG29" s="10" t="s">
        <v>364</v>
      </c>
      <c r="BH29" s="10" t="s">
        <v>1943</v>
      </c>
      <c r="BI29" s="342">
        <v>0</v>
      </c>
      <c r="BJ29" s="361">
        <v>1100000</v>
      </c>
      <c r="BL29" s="211">
        <v>25</v>
      </c>
      <c r="BM29" s="9" t="s">
        <v>195</v>
      </c>
      <c r="BN29" s="9">
        <v>18</v>
      </c>
      <c r="BO29" s="8" t="s">
        <v>20</v>
      </c>
      <c r="BP29" s="10" t="s">
        <v>371</v>
      </c>
      <c r="BQ29" s="10" t="s">
        <v>348</v>
      </c>
      <c r="BR29" s="210">
        <v>0</v>
      </c>
      <c r="BS29" s="115">
        <v>0.72000002861022949</v>
      </c>
      <c r="BU29" s="211">
        <v>25</v>
      </c>
      <c r="BV29" s="9" t="s">
        <v>239</v>
      </c>
      <c r="BW29" s="9">
        <v>21</v>
      </c>
      <c r="BX29" s="8" t="s">
        <v>20</v>
      </c>
      <c r="BY29" s="10" t="s">
        <v>346</v>
      </c>
      <c r="BZ29" s="10" t="s">
        <v>391</v>
      </c>
      <c r="CA29" s="210">
        <v>0</v>
      </c>
      <c r="CB29" s="115">
        <v>1.5764000043272972</v>
      </c>
      <c r="CD29" s="211">
        <v>25</v>
      </c>
      <c r="CE29" s="9" t="s">
        <v>58</v>
      </c>
      <c r="CF29" s="9">
        <v>25</v>
      </c>
      <c r="CG29" s="8" t="s">
        <v>20</v>
      </c>
      <c r="CH29" s="10" t="s">
        <v>346</v>
      </c>
      <c r="CI29" s="10" t="s">
        <v>435</v>
      </c>
      <c r="CJ29" s="342">
        <v>0</v>
      </c>
      <c r="CK29" s="538">
        <v>1.19</v>
      </c>
      <c r="CM29" s="211">
        <v>5</v>
      </c>
      <c r="CN29" s="53" t="s">
        <v>140</v>
      </c>
      <c r="CO29" s="9">
        <v>30</v>
      </c>
      <c r="CP29" s="8" t="s">
        <v>20</v>
      </c>
      <c r="CQ29" s="10" t="s">
        <v>346</v>
      </c>
      <c r="CR29" s="10" t="s">
        <v>1716</v>
      </c>
      <c r="CS29" s="342">
        <v>0</v>
      </c>
      <c r="CT29" s="344">
        <v>63822943.887999997</v>
      </c>
      <c r="CV29" s="211">
        <v>8</v>
      </c>
      <c r="CW29" s="9" t="s">
        <v>241</v>
      </c>
      <c r="CX29" s="9">
        <v>15</v>
      </c>
      <c r="CY29" s="8" t="s">
        <v>49</v>
      </c>
      <c r="CZ29" s="9" t="s">
        <v>355</v>
      </c>
      <c r="DA29" s="10" t="s">
        <v>483</v>
      </c>
      <c r="DB29" s="344">
        <v>0.19999999925494194</v>
      </c>
    </row>
    <row r="30" spans="1:106" s="73" customFormat="1">
      <c r="A30" s="211">
        <v>26</v>
      </c>
      <c r="B30" s="9" t="s">
        <v>238</v>
      </c>
      <c r="C30" s="9">
        <v>4</v>
      </c>
      <c r="D30" s="8" t="s">
        <v>28</v>
      </c>
      <c r="E30" s="9" t="s">
        <v>364</v>
      </c>
      <c r="F30" s="10" t="s">
        <v>654</v>
      </c>
      <c r="G30" s="342">
        <v>0</v>
      </c>
      <c r="H30" s="344">
        <v>1100000</v>
      </c>
      <c r="J30" s="211">
        <v>26</v>
      </c>
      <c r="K30" s="9" t="s">
        <v>195</v>
      </c>
      <c r="L30" s="9">
        <v>1</v>
      </c>
      <c r="M30" s="8" t="s">
        <v>49</v>
      </c>
      <c r="N30" s="10" t="s">
        <v>355</v>
      </c>
      <c r="O30" s="10" t="s">
        <v>1978</v>
      </c>
      <c r="P30" s="342">
        <v>0</v>
      </c>
      <c r="Q30" s="361">
        <v>29808317</v>
      </c>
      <c r="S30" s="211">
        <v>26</v>
      </c>
      <c r="T30" s="9" t="s">
        <v>239</v>
      </c>
      <c r="U30" s="9">
        <v>1</v>
      </c>
      <c r="V30" s="8" t="s">
        <v>49</v>
      </c>
      <c r="W30" s="10" t="s">
        <v>355</v>
      </c>
      <c r="X30" s="10" t="s">
        <v>2145</v>
      </c>
      <c r="Y30" s="342">
        <v>0</v>
      </c>
      <c r="Z30" s="361">
        <v>29835113</v>
      </c>
      <c r="AB30" s="211">
        <v>26</v>
      </c>
      <c r="AC30" s="211" t="s">
        <v>238</v>
      </c>
      <c r="AD30" s="211">
        <v>10</v>
      </c>
      <c r="AE30" s="8" t="s">
        <v>190</v>
      </c>
      <c r="AF30" s="211" t="s">
        <v>144</v>
      </c>
      <c r="AG30" s="9" t="s">
        <v>191</v>
      </c>
      <c r="AH30" s="210">
        <v>0</v>
      </c>
      <c r="AI30" s="115">
        <v>50000000</v>
      </c>
      <c r="AK30" s="211">
        <v>26</v>
      </c>
      <c r="AL30" s="9" t="s">
        <v>58</v>
      </c>
      <c r="AM30" s="9">
        <v>2</v>
      </c>
      <c r="AN30" s="8" t="s">
        <v>49</v>
      </c>
      <c r="AO30" s="10" t="s">
        <v>355</v>
      </c>
      <c r="AP30" s="10" t="s">
        <v>2480</v>
      </c>
      <c r="AQ30" s="342">
        <v>0</v>
      </c>
      <c r="AR30" s="361">
        <v>29734628</v>
      </c>
      <c r="AT30" s="211">
        <v>26</v>
      </c>
      <c r="AU30" s="9" t="s">
        <v>195</v>
      </c>
      <c r="AV30" s="9">
        <v>1</v>
      </c>
      <c r="AW30" s="8" t="s">
        <v>28</v>
      </c>
      <c r="AX30" s="10" t="s">
        <v>364</v>
      </c>
      <c r="AY30" s="10" t="s">
        <v>1943</v>
      </c>
      <c r="AZ30" s="342">
        <v>0</v>
      </c>
      <c r="BA30" s="361">
        <v>1100000</v>
      </c>
      <c r="BC30" s="211">
        <v>26</v>
      </c>
      <c r="BD30" s="9" t="s">
        <v>239</v>
      </c>
      <c r="BE30" s="9">
        <v>1</v>
      </c>
      <c r="BF30" s="8" t="s">
        <v>28</v>
      </c>
      <c r="BG30" s="10" t="s">
        <v>364</v>
      </c>
      <c r="BH30" s="10" t="s">
        <v>2102</v>
      </c>
      <c r="BI30" s="342">
        <v>0</v>
      </c>
      <c r="BJ30" s="361">
        <v>843324.9</v>
      </c>
      <c r="BL30" s="211">
        <v>26</v>
      </c>
      <c r="BM30" s="9" t="s">
        <v>239</v>
      </c>
      <c r="BN30" s="9">
        <v>21</v>
      </c>
      <c r="BO30" s="8" t="s">
        <v>20</v>
      </c>
      <c r="BP30" s="10" t="s">
        <v>346</v>
      </c>
      <c r="BQ30" s="10" t="s">
        <v>391</v>
      </c>
      <c r="BR30" s="210">
        <v>0</v>
      </c>
      <c r="BS30" s="115">
        <v>1.5764000043272972</v>
      </c>
      <c r="BU30" s="211">
        <v>26</v>
      </c>
      <c r="BV30" s="9" t="s">
        <v>58</v>
      </c>
      <c r="BW30" s="9">
        <v>25</v>
      </c>
      <c r="BX30" s="8" t="s">
        <v>20</v>
      </c>
      <c r="BY30" s="10" t="s">
        <v>346</v>
      </c>
      <c r="BZ30" s="10" t="s">
        <v>435</v>
      </c>
      <c r="CA30" s="342">
        <v>0</v>
      </c>
      <c r="CB30" s="344">
        <v>1.19</v>
      </c>
      <c r="CD30" s="211">
        <v>26</v>
      </c>
      <c r="CE30" s="9" t="s">
        <v>58</v>
      </c>
      <c r="CF30" s="9">
        <v>31</v>
      </c>
      <c r="CG30" s="8" t="s">
        <v>20</v>
      </c>
      <c r="CH30" s="10" t="s">
        <v>371</v>
      </c>
      <c r="CI30" s="10" t="s">
        <v>451</v>
      </c>
      <c r="CJ30" s="342">
        <v>0</v>
      </c>
      <c r="CK30" s="538">
        <v>-0.32</v>
      </c>
      <c r="CM30" s="211">
        <v>6</v>
      </c>
      <c r="CN30" s="53" t="s">
        <v>140</v>
      </c>
      <c r="CO30" s="9">
        <v>30</v>
      </c>
      <c r="CP30" s="8" t="s">
        <v>20</v>
      </c>
      <c r="CQ30" s="10" t="s">
        <v>371</v>
      </c>
      <c r="CR30" s="10" t="s">
        <v>1719</v>
      </c>
      <c r="CS30" s="342">
        <v>0</v>
      </c>
      <c r="CT30" s="344">
        <v>838455904</v>
      </c>
      <c r="CV30" s="211">
        <v>9</v>
      </c>
      <c r="CW30" s="9" t="s">
        <v>241</v>
      </c>
      <c r="CX30" s="9">
        <v>15</v>
      </c>
      <c r="CY30" s="8" t="s">
        <v>49</v>
      </c>
      <c r="CZ30" s="9" t="s">
        <v>355</v>
      </c>
      <c r="DA30" s="10" t="s">
        <v>484</v>
      </c>
      <c r="DB30" s="344">
        <v>0.19999999925494194</v>
      </c>
    </row>
    <row r="31" spans="1:106" s="73" customFormat="1">
      <c r="A31" s="211">
        <v>27</v>
      </c>
      <c r="B31" s="9" t="s">
        <v>140</v>
      </c>
      <c r="C31" s="9">
        <v>1</v>
      </c>
      <c r="D31" s="8" t="s">
        <v>28</v>
      </c>
      <c r="E31" s="9" t="s">
        <v>364</v>
      </c>
      <c r="F31" s="10" t="s">
        <v>1544</v>
      </c>
      <c r="G31" s="342">
        <v>0</v>
      </c>
      <c r="H31" s="344">
        <v>1100000</v>
      </c>
      <c r="J31" s="211">
        <v>27</v>
      </c>
      <c r="K31" s="9" t="s">
        <v>195</v>
      </c>
      <c r="L31" s="9">
        <v>1</v>
      </c>
      <c r="M31" s="8" t="s">
        <v>49</v>
      </c>
      <c r="N31" s="10" t="s">
        <v>118</v>
      </c>
      <c r="O31" s="10" t="s">
        <v>2021</v>
      </c>
      <c r="P31" s="342">
        <v>0</v>
      </c>
      <c r="Q31" s="361">
        <v>2952400</v>
      </c>
      <c r="S31" s="211">
        <v>27</v>
      </c>
      <c r="T31" s="9" t="s">
        <v>238</v>
      </c>
      <c r="U31" s="9">
        <v>4</v>
      </c>
      <c r="V31" s="8" t="s">
        <v>28</v>
      </c>
      <c r="W31" s="9" t="s">
        <v>364</v>
      </c>
      <c r="X31" s="10" t="s">
        <v>654</v>
      </c>
      <c r="Y31" s="342">
        <v>0</v>
      </c>
      <c r="Z31" s="344">
        <v>1100000</v>
      </c>
      <c r="AB31" s="211">
        <v>27</v>
      </c>
      <c r="AC31" s="9" t="s">
        <v>240</v>
      </c>
      <c r="AD31" s="9">
        <v>3</v>
      </c>
      <c r="AE31" s="8" t="s">
        <v>49</v>
      </c>
      <c r="AF31" s="10" t="s">
        <v>355</v>
      </c>
      <c r="AG31" s="10" t="s">
        <v>2244</v>
      </c>
      <c r="AH31" s="342">
        <v>0</v>
      </c>
      <c r="AI31" s="361">
        <v>29752492</v>
      </c>
      <c r="AK31" s="211">
        <v>27</v>
      </c>
      <c r="AL31" s="9" t="s">
        <v>195</v>
      </c>
      <c r="AM31" s="9">
        <v>1</v>
      </c>
      <c r="AN31" s="8" t="s">
        <v>28</v>
      </c>
      <c r="AO31" s="10" t="s">
        <v>355</v>
      </c>
      <c r="AP31" s="10" t="s">
        <v>1942</v>
      </c>
      <c r="AQ31" s="342">
        <v>0</v>
      </c>
      <c r="AR31" s="361">
        <v>35200000</v>
      </c>
      <c r="AT31" s="211">
        <v>27</v>
      </c>
      <c r="AU31" s="9" t="s">
        <v>239</v>
      </c>
      <c r="AV31" s="9">
        <v>1</v>
      </c>
      <c r="AW31" s="8" t="s">
        <v>28</v>
      </c>
      <c r="AX31" s="10" t="s">
        <v>355</v>
      </c>
      <c r="AY31" s="10" t="s">
        <v>2100</v>
      </c>
      <c r="AZ31" s="342">
        <v>0</v>
      </c>
      <c r="BA31" s="361">
        <v>21120006.600000001</v>
      </c>
      <c r="BC31" s="211">
        <v>27</v>
      </c>
      <c r="BD31" s="211" t="s">
        <v>239</v>
      </c>
      <c r="BE31" s="211">
        <v>3</v>
      </c>
      <c r="BF31" s="217" t="s">
        <v>205</v>
      </c>
      <c r="BG31" s="10" t="s">
        <v>147</v>
      </c>
      <c r="BH31" s="10" t="s">
        <v>249</v>
      </c>
      <c r="BI31" s="210">
        <v>0</v>
      </c>
      <c r="BJ31" s="115">
        <v>10500000</v>
      </c>
      <c r="BL31" s="211">
        <v>27</v>
      </c>
      <c r="BM31" s="9" t="s">
        <v>58</v>
      </c>
      <c r="BN31" s="9">
        <v>25</v>
      </c>
      <c r="BO31" s="8" t="s">
        <v>20</v>
      </c>
      <c r="BP31" s="10" t="s">
        <v>346</v>
      </c>
      <c r="BQ31" s="10" t="s">
        <v>435</v>
      </c>
      <c r="BR31" s="342">
        <v>0</v>
      </c>
      <c r="BS31" s="344">
        <v>1.19</v>
      </c>
      <c r="BU31" s="211">
        <v>27</v>
      </c>
      <c r="BV31" s="9" t="s">
        <v>58</v>
      </c>
      <c r="BW31" s="9">
        <v>31</v>
      </c>
      <c r="BX31" s="8" t="s">
        <v>20</v>
      </c>
      <c r="BY31" s="10" t="s">
        <v>371</v>
      </c>
      <c r="BZ31" s="10" t="s">
        <v>451</v>
      </c>
      <c r="CA31" s="342">
        <v>0</v>
      </c>
      <c r="CB31" s="344">
        <v>-0.32</v>
      </c>
      <c r="CD31" s="211">
        <v>27</v>
      </c>
      <c r="CE31" s="9" t="s">
        <v>241</v>
      </c>
      <c r="CF31" s="9">
        <v>7</v>
      </c>
      <c r="CG31" s="8" t="s">
        <v>20</v>
      </c>
      <c r="CH31" s="10" t="s">
        <v>346</v>
      </c>
      <c r="CI31" s="10" t="s">
        <v>457</v>
      </c>
      <c r="CJ31" s="342">
        <v>0</v>
      </c>
      <c r="CK31" s="538">
        <v>-1.525600254535675E-2</v>
      </c>
      <c r="CM31" s="1855" t="s">
        <v>68</v>
      </c>
      <c r="CN31" s="1855"/>
      <c r="CO31" s="1855"/>
      <c r="CP31" s="1855"/>
      <c r="CQ31" s="1855"/>
      <c r="CR31" s="1859"/>
      <c r="CS31" s="546">
        <f>SUM(CS25:CS28)</f>
        <v>0</v>
      </c>
      <c r="CT31" s="547">
        <f>SUM(CT25:CT30)</f>
        <v>1798458635.9219999</v>
      </c>
      <c r="CV31" s="211">
        <v>10</v>
      </c>
      <c r="CW31" s="9" t="s">
        <v>243</v>
      </c>
      <c r="CX31" s="9">
        <v>10</v>
      </c>
      <c r="CY31" s="8" t="s">
        <v>49</v>
      </c>
      <c r="CZ31" s="9" t="s">
        <v>355</v>
      </c>
      <c r="DA31" s="10" t="s">
        <v>540</v>
      </c>
      <c r="DB31" s="344">
        <v>0.19999999925494194</v>
      </c>
    </row>
    <row r="32" spans="1:106" s="73" customFormat="1">
      <c r="A32" s="211">
        <v>28</v>
      </c>
      <c r="B32" s="53" t="s">
        <v>194</v>
      </c>
      <c r="C32" s="9">
        <v>9</v>
      </c>
      <c r="D32" s="8" t="s">
        <v>28</v>
      </c>
      <c r="E32" s="10" t="s">
        <v>364</v>
      </c>
      <c r="F32" s="10" t="s">
        <v>1783</v>
      </c>
      <c r="G32" s="342">
        <v>0</v>
      </c>
      <c r="H32" s="344">
        <v>1100000</v>
      </c>
      <c r="J32" s="211">
        <v>28</v>
      </c>
      <c r="K32" s="9" t="s">
        <v>238</v>
      </c>
      <c r="L32" s="9">
        <v>4</v>
      </c>
      <c r="M32" s="8" t="s">
        <v>28</v>
      </c>
      <c r="N32" s="9" t="s">
        <v>364</v>
      </c>
      <c r="O32" s="10" t="s">
        <v>654</v>
      </c>
      <c r="P32" s="342">
        <v>0</v>
      </c>
      <c r="Q32" s="344">
        <v>1100000</v>
      </c>
      <c r="S32" s="211">
        <v>28</v>
      </c>
      <c r="T32" s="9" t="s">
        <v>140</v>
      </c>
      <c r="U32" s="9">
        <v>1</v>
      </c>
      <c r="V32" s="8" t="s">
        <v>28</v>
      </c>
      <c r="W32" s="9" t="s">
        <v>364</v>
      </c>
      <c r="X32" s="10" t="s">
        <v>1544</v>
      </c>
      <c r="Y32" s="342">
        <v>0</v>
      </c>
      <c r="Z32" s="344">
        <v>1100000</v>
      </c>
      <c r="AB32" s="211">
        <v>28</v>
      </c>
      <c r="AC32" s="9" t="s">
        <v>238</v>
      </c>
      <c r="AD32" s="9">
        <v>4</v>
      </c>
      <c r="AE32" s="8" t="s">
        <v>28</v>
      </c>
      <c r="AF32" s="9" t="s">
        <v>364</v>
      </c>
      <c r="AG32" s="10" t="s">
        <v>654</v>
      </c>
      <c r="AH32" s="342">
        <v>0</v>
      </c>
      <c r="AI32" s="344">
        <v>1100000</v>
      </c>
      <c r="AK32" s="211">
        <v>28</v>
      </c>
      <c r="AL32" s="9" t="s">
        <v>195</v>
      </c>
      <c r="AM32" s="9">
        <v>1</v>
      </c>
      <c r="AN32" s="8" t="s">
        <v>28</v>
      </c>
      <c r="AO32" s="10" t="s">
        <v>364</v>
      </c>
      <c r="AP32" s="10" t="s">
        <v>1943</v>
      </c>
      <c r="AQ32" s="342">
        <v>0</v>
      </c>
      <c r="AR32" s="361">
        <v>1100000</v>
      </c>
      <c r="AT32" s="211">
        <v>28</v>
      </c>
      <c r="AU32" s="9" t="s">
        <v>239</v>
      </c>
      <c r="AV32" s="9">
        <v>1</v>
      </c>
      <c r="AW32" s="8" t="s">
        <v>28</v>
      </c>
      <c r="AX32" s="10" t="s">
        <v>364</v>
      </c>
      <c r="AY32" s="10" t="s">
        <v>2102</v>
      </c>
      <c r="AZ32" s="342">
        <v>0</v>
      </c>
      <c r="BA32" s="361">
        <v>843324.9</v>
      </c>
      <c r="BC32" s="211">
        <v>28</v>
      </c>
      <c r="BD32" s="211" t="s">
        <v>239</v>
      </c>
      <c r="BE32" s="211">
        <v>3</v>
      </c>
      <c r="BF32" s="217" t="s">
        <v>205</v>
      </c>
      <c r="BG32" s="10" t="s">
        <v>118</v>
      </c>
      <c r="BH32" s="10" t="s">
        <v>250</v>
      </c>
      <c r="BI32" s="210">
        <v>0</v>
      </c>
      <c r="BJ32" s="115">
        <v>9106100</v>
      </c>
      <c r="BL32" s="211">
        <v>28</v>
      </c>
      <c r="BM32" s="9" t="s">
        <v>58</v>
      </c>
      <c r="BN32" s="9">
        <v>31</v>
      </c>
      <c r="BO32" s="8" t="s">
        <v>20</v>
      </c>
      <c r="BP32" s="10" t="s">
        <v>371</v>
      </c>
      <c r="BQ32" s="10" t="s">
        <v>451</v>
      </c>
      <c r="BR32" s="342">
        <v>0</v>
      </c>
      <c r="BS32" s="344">
        <v>-0.32</v>
      </c>
      <c r="BU32" s="211">
        <v>28</v>
      </c>
      <c r="BV32" s="9" t="s">
        <v>241</v>
      </c>
      <c r="BW32" s="9">
        <v>7</v>
      </c>
      <c r="BX32" s="8" t="s">
        <v>20</v>
      </c>
      <c r="BY32" s="10" t="s">
        <v>346</v>
      </c>
      <c r="BZ32" s="10" t="s">
        <v>457</v>
      </c>
      <c r="CA32" s="342">
        <v>0</v>
      </c>
      <c r="CB32" s="344">
        <v>-1.525600254535675E-2</v>
      </c>
      <c r="CD32" s="211">
        <v>28</v>
      </c>
      <c r="CE32" s="9" t="s">
        <v>241</v>
      </c>
      <c r="CF32" s="9">
        <v>28</v>
      </c>
      <c r="CG32" s="8" t="s">
        <v>20</v>
      </c>
      <c r="CH32" s="10" t="s">
        <v>118</v>
      </c>
      <c r="CI32" s="10" t="s">
        <v>488</v>
      </c>
      <c r="CJ32" s="342">
        <v>0</v>
      </c>
      <c r="CK32" s="361">
        <v>3684200</v>
      </c>
      <c r="CM32" s="211">
        <v>1</v>
      </c>
      <c r="CN32" s="9" t="s">
        <v>140</v>
      </c>
      <c r="CO32" s="9">
        <v>1</v>
      </c>
      <c r="CP32" s="8" t="s">
        <v>24</v>
      </c>
      <c r="CQ32" s="9" t="s">
        <v>362</v>
      </c>
      <c r="CR32" s="9" t="s">
        <v>1541</v>
      </c>
      <c r="CS32" s="342">
        <v>0</v>
      </c>
      <c r="CT32" s="361">
        <v>4400000</v>
      </c>
      <c r="CV32" s="211">
        <v>11</v>
      </c>
      <c r="CW32" s="9" t="s">
        <v>243</v>
      </c>
      <c r="CX32" s="9">
        <v>10</v>
      </c>
      <c r="CY32" s="8" t="s">
        <v>49</v>
      </c>
      <c r="CZ32" s="9" t="s">
        <v>355</v>
      </c>
      <c r="DA32" s="10" t="s">
        <v>541</v>
      </c>
      <c r="DB32" s="344">
        <v>0.19999999925494194</v>
      </c>
    </row>
    <row r="33" spans="1:106" s="73" customFormat="1">
      <c r="A33" s="211">
        <v>29</v>
      </c>
      <c r="B33" s="211" t="s">
        <v>239</v>
      </c>
      <c r="C33" s="211">
        <v>3</v>
      </c>
      <c r="D33" s="217" t="s">
        <v>205</v>
      </c>
      <c r="E33" s="10" t="s">
        <v>147</v>
      </c>
      <c r="F33" s="10" t="s">
        <v>249</v>
      </c>
      <c r="G33" s="210">
        <v>0</v>
      </c>
      <c r="H33" s="115">
        <v>10500000</v>
      </c>
      <c r="J33" s="211">
        <v>29</v>
      </c>
      <c r="K33" s="9" t="s">
        <v>140</v>
      </c>
      <c r="L33" s="9">
        <v>1</v>
      </c>
      <c r="M33" s="8" t="s">
        <v>28</v>
      </c>
      <c r="N33" s="9" t="s">
        <v>364</v>
      </c>
      <c r="O33" s="10" t="s">
        <v>1544</v>
      </c>
      <c r="P33" s="342">
        <v>0</v>
      </c>
      <c r="Q33" s="344">
        <v>1100000</v>
      </c>
      <c r="S33" s="211">
        <v>29</v>
      </c>
      <c r="T33" s="9" t="s">
        <v>194</v>
      </c>
      <c r="U33" s="9">
        <v>9</v>
      </c>
      <c r="V33" s="8" t="s">
        <v>28</v>
      </c>
      <c r="W33" s="10" t="s">
        <v>364</v>
      </c>
      <c r="X33" s="10" t="s">
        <v>1783</v>
      </c>
      <c r="Y33" s="342">
        <v>0</v>
      </c>
      <c r="Z33" s="344">
        <v>1100000</v>
      </c>
      <c r="AB33" s="211">
        <v>29</v>
      </c>
      <c r="AC33" s="9" t="s">
        <v>140</v>
      </c>
      <c r="AD33" s="9">
        <v>1</v>
      </c>
      <c r="AE33" s="8" t="s">
        <v>28</v>
      </c>
      <c r="AF33" s="9" t="s">
        <v>364</v>
      </c>
      <c r="AG33" s="10" t="s">
        <v>1544</v>
      </c>
      <c r="AH33" s="342">
        <v>0</v>
      </c>
      <c r="AI33" s="344">
        <v>1100000</v>
      </c>
      <c r="AK33" s="211">
        <v>29</v>
      </c>
      <c r="AL33" s="9" t="s">
        <v>239</v>
      </c>
      <c r="AM33" s="9">
        <v>1</v>
      </c>
      <c r="AN33" s="8" t="s">
        <v>28</v>
      </c>
      <c r="AO33" s="10" t="s">
        <v>355</v>
      </c>
      <c r="AP33" s="10" t="s">
        <v>2100</v>
      </c>
      <c r="AQ33" s="342">
        <v>0</v>
      </c>
      <c r="AR33" s="361">
        <v>21120006.600000001</v>
      </c>
      <c r="AT33" s="211">
        <v>29</v>
      </c>
      <c r="AU33" s="211" t="s">
        <v>239</v>
      </c>
      <c r="AV33" s="211">
        <v>3</v>
      </c>
      <c r="AW33" s="217" t="s">
        <v>205</v>
      </c>
      <c r="AX33" s="10" t="s">
        <v>147</v>
      </c>
      <c r="AY33" s="10" t="s">
        <v>249</v>
      </c>
      <c r="AZ33" s="210">
        <v>0</v>
      </c>
      <c r="BA33" s="115">
        <v>10500000</v>
      </c>
      <c r="BC33" s="211">
        <v>29</v>
      </c>
      <c r="BD33" s="53" t="s">
        <v>242</v>
      </c>
      <c r="BE33" s="9">
        <v>3</v>
      </c>
      <c r="BF33" s="8" t="s">
        <v>95</v>
      </c>
      <c r="BG33" s="10" t="s">
        <v>357</v>
      </c>
      <c r="BH33" s="10" t="s">
        <v>2778</v>
      </c>
      <c r="BI33" s="342">
        <v>0</v>
      </c>
      <c r="BJ33" s="344">
        <v>41096440</v>
      </c>
      <c r="BL33" s="211">
        <v>29</v>
      </c>
      <c r="BM33" s="9" t="s">
        <v>241</v>
      </c>
      <c r="BN33" s="9">
        <v>7</v>
      </c>
      <c r="BO33" s="8" t="s">
        <v>20</v>
      </c>
      <c r="BP33" s="10" t="s">
        <v>346</v>
      </c>
      <c r="BQ33" s="10" t="s">
        <v>457</v>
      </c>
      <c r="BR33" s="342">
        <v>0</v>
      </c>
      <c r="BS33" s="344">
        <v>-1.525600254535675E-2</v>
      </c>
      <c r="BU33" s="211">
        <v>29</v>
      </c>
      <c r="BV33" s="9" t="s">
        <v>241</v>
      </c>
      <c r="BW33" s="9">
        <v>28</v>
      </c>
      <c r="BX33" s="8" t="s">
        <v>20</v>
      </c>
      <c r="BY33" s="10" t="s">
        <v>118</v>
      </c>
      <c r="BZ33" s="10" t="s">
        <v>488</v>
      </c>
      <c r="CA33" s="342">
        <v>0</v>
      </c>
      <c r="CB33" s="361">
        <v>3684200</v>
      </c>
      <c r="CD33" s="211">
        <v>29</v>
      </c>
      <c r="CE33" s="9" t="s">
        <v>241</v>
      </c>
      <c r="CF33" s="9">
        <v>28</v>
      </c>
      <c r="CG33" s="8" t="s">
        <v>20</v>
      </c>
      <c r="CH33" s="10" t="s">
        <v>118</v>
      </c>
      <c r="CI33" s="10" t="s">
        <v>489</v>
      </c>
      <c r="CJ33" s="342">
        <v>0</v>
      </c>
      <c r="CK33" s="361">
        <v>820000</v>
      </c>
      <c r="CM33" s="1855" t="s">
        <v>68</v>
      </c>
      <c r="CN33" s="1855"/>
      <c r="CO33" s="1855"/>
      <c r="CP33" s="1855"/>
      <c r="CQ33" s="1855"/>
      <c r="CR33" s="1855"/>
      <c r="CS33" s="546">
        <f>SUM(CS32)</f>
        <v>0</v>
      </c>
      <c r="CT33" s="547">
        <f>SUM(CT32)</f>
        <v>4400000</v>
      </c>
      <c r="CV33" s="211">
        <v>12</v>
      </c>
      <c r="CW33" s="9" t="s">
        <v>244</v>
      </c>
      <c r="CX33" s="9">
        <v>20</v>
      </c>
      <c r="CY33" s="8" t="s">
        <v>49</v>
      </c>
      <c r="CZ33" s="9" t="s">
        <v>355</v>
      </c>
      <c r="DA33" s="10" t="s">
        <v>601</v>
      </c>
      <c r="DB33" s="344">
        <v>-0.19999999925494194</v>
      </c>
    </row>
    <row r="34" spans="1:106" s="73" customFormat="1">
      <c r="A34" s="211">
        <v>30</v>
      </c>
      <c r="B34" s="211" t="s">
        <v>239</v>
      </c>
      <c r="C34" s="211">
        <v>3</v>
      </c>
      <c r="D34" s="217" t="s">
        <v>205</v>
      </c>
      <c r="E34" s="10" t="s">
        <v>118</v>
      </c>
      <c r="F34" s="10" t="s">
        <v>250</v>
      </c>
      <c r="G34" s="210">
        <v>0</v>
      </c>
      <c r="H34" s="115">
        <v>9106100</v>
      </c>
      <c r="J34" s="211">
        <v>30</v>
      </c>
      <c r="K34" s="9" t="s">
        <v>194</v>
      </c>
      <c r="L34" s="9">
        <v>9</v>
      </c>
      <c r="M34" s="8" t="s">
        <v>28</v>
      </c>
      <c r="N34" s="10" t="s">
        <v>364</v>
      </c>
      <c r="O34" s="10" t="s">
        <v>1783</v>
      </c>
      <c r="P34" s="342">
        <v>0</v>
      </c>
      <c r="Q34" s="344">
        <v>1100000</v>
      </c>
      <c r="S34" s="211">
        <v>30</v>
      </c>
      <c r="T34" s="9" t="s">
        <v>195</v>
      </c>
      <c r="U34" s="9">
        <v>1</v>
      </c>
      <c r="V34" s="8" t="s">
        <v>28</v>
      </c>
      <c r="W34" s="10" t="s">
        <v>355</v>
      </c>
      <c r="X34" s="10" t="s">
        <v>1942</v>
      </c>
      <c r="Y34" s="342">
        <v>0</v>
      </c>
      <c r="Z34" s="361">
        <v>35200000</v>
      </c>
      <c r="AB34" s="211">
        <v>30</v>
      </c>
      <c r="AC34" s="9" t="s">
        <v>194</v>
      </c>
      <c r="AD34" s="9">
        <v>9</v>
      </c>
      <c r="AE34" s="8" t="s">
        <v>28</v>
      </c>
      <c r="AF34" s="10" t="s">
        <v>364</v>
      </c>
      <c r="AG34" s="10" t="s">
        <v>1783</v>
      </c>
      <c r="AH34" s="342">
        <v>0</v>
      </c>
      <c r="AI34" s="344">
        <v>1100000</v>
      </c>
      <c r="AK34" s="211">
        <v>30</v>
      </c>
      <c r="AL34" s="9" t="s">
        <v>239</v>
      </c>
      <c r="AM34" s="9">
        <v>1</v>
      </c>
      <c r="AN34" s="8" t="s">
        <v>28</v>
      </c>
      <c r="AO34" s="10" t="s">
        <v>364</v>
      </c>
      <c r="AP34" s="10" t="s">
        <v>2102</v>
      </c>
      <c r="AQ34" s="342">
        <v>0</v>
      </c>
      <c r="AR34" s="361">
        <v>843324.9</v>
      </c>
      <c r="AT34" s="211">
        <v>30</v>
      </c>
      <c r="AU34" s="211" t="s">
        <v>239</v>
      </c>
      <c r="AV34" s="211">
        <v>3</v>
      </c>
      <c r="AW34" s="217" t="s">
        <v>205</v>
      </c>
      <c r="AX34" s="10" t="s">
        <v>118</v>
      </c>
      <c r="AY34" s="10" t="s">
        <v>250</v>
      </c>
      <c r="AZ34" s="210">
        <v>0</v>
      </c>
      <c r="BA34" s="115">
        <v>9106100</v>
      </c>
      <c r="BC34" s="211">
        <v>30</v>
      </c>
      <c r="BD34" s="53" t="s">
        <v>242</v>
      </c>
      <c r="BE34" s="9">
        <v>3</v>
      </c>
      <c r="BF34" s="8" t="s">
        <v>95</v>
      </c>
      <c r="BG34" s="10" t="s">
        <v>357</v>
      </c>
      <c r="BH34" s="10" t="s">
        <v>2779</v>
      </c>
      <c r="BI34" s="342">
        <v>0</v>
      </c>
      <c r="BJ34" s="344">
        <v>17589000</v>
      </c>
      <c r="BL34" s="211">
        <v>30</v>
      </c>
      <c r="BM34" s="9" t="s">
        <v>241</v>
      </c>
      <c r="BN34" s="9">
        <v>28</v>
      </c>
      <c r="BO34" s="8" t="s">
        <v>20</v>
      </c>
      <c r="BP34" s="10" t="s">
        <v>118</v>
      </c>
      <c r="BQ34" s="10" t="s">
        <v>488</v>
      </c>
      <c r="BR34" s="342">
        <v>0</v>
      </c>
      <c r="BS34" s="361">
        <v>3684200</v>
      </c>
      <c r="BU34" s="211">
        <v>30</v>
      </c>
      <c r="BV34" s="9" t="s">
        <v>241</v>
      </c>
      <c r="BW34" s="9">
        <v>28</v>
      </c>
      <c r="BX34" s="8" t="s">
        <v>20</v>
      </c>
      <c r="BY34" s="10" t="s">
        <v>118</v>
      </c>
      <c r="BZ34" s="10" t="s">
        <v>489</v>
      </c>
      <c r="CA34" s="342">
        <v>0</v>
      </c>
      <c r="CB34" s="361">
        <v>820000</v>
      </c>
      <c r="CD34" s="211">
        <v>30</v>
      </c>
      <c r="CE34" s="9" t="s">
        <v>242</v>
      </c>
      <c r="CF34" s="9">
        <v>29</v>
      </c>
      <c r="CG34" s="8" t="s">
        <v>20</v>
      </c>
      <c r="CH34" s="10" t="s">
        <v>346</v>
      </c>
      <c r="CI34" s="10" t="s">
        <v>516</v>
      </c>
      <c r="CJ34" s="342">
        <v>0</v>
      </c>
      <c r="CK34" s="538">
        <v>0.3895999938249588</v>
      </c>
      <c r="CM34" s="211">
        <v>1</v>
      </c>
      <c r="CN34" s="211" t="s">
        <v>238</v>
      </c>
      <c r="CO34" s="211">
        <v>10</v>
      </c>
      <c r="CP34" s="8" t="s">
        <v>190</v>
      </c>
      <c r="CQ34" s="211" t="s">
        <v>144</v>
      </c>
      <c r="CR34" s="9" t="s">
        <v>191</v>
      </c>
      <c r="CS34" s="210">
        <v>0</v>
      </c>
      <c r="CT34" s="115">
        <v>50000000</v>
      </c>
      <c r="CV34" s="211">
        <v>13</v>
      </c>
      <c r="CW34" s="9" t="s">
        <v>245</v>
      </c>
      <c r="CX34" s="9">
        <v>4</v>
      </c>
      <c r="CY34" s="8" t="s">
        <v>49</v>
      </c>
      <c r="CZ34" s="9" t="s">
        <v>355</v>
      </c>
      <c r="DA34" s="10" t="s">
        <v>635</v>
      </c>
      <c r="DB34" s="344">
        <v>0.19999999925494194</v>
      </c>
    </row>
    <row r="35" spans="1:106" s="73" customFormat="1">
      <c r="A35" s="211">
        <v>31</v>
      </c>
      <c r="B35" s="53" t="s">
        <v>194</v>
      </c>
      <c r="C35" s="9">
        <v>9</v>
      </c>
      <c r="D35" s="8" t="s">
        <v>96</v>
      </c>
      <c r="E35" s="10" t="s">
        <v>357</v>
      </c>
      <c r="F35" s="10" t="s">
        <v>1798</v>
      </c>
      <c r="G35" s="210">
        <v>0</v>
      </c>
      <c r="H35" s="361">
        <v>19140550</v>
      </c>
      <c r="J35" s="211">
        <v>31</v>
      </c>
      <c r="K35" s="9" t="s">
        <v>195</v>
      </c>
      <c r="L35" s="9">
        <v>1</v>
      </c>
      <c r="M35" s="8" t="s">
        <v>28</v>
      </c>
      <c r="N35" s="10" t="s">
        <v>355</v>
      </c>
      <c r="O35" s="10" t="s">
        <v>1942</v>
      </c>
      <c r="P35" s="342">
        <v>0</v>
      </c>
      <c r="Q35" s="361">
        <v>35200000</v>
      </c>
      <c r="S35" s="211">
        <v>31</v>
      </c>
      <c r="T35" s="9" t="s">
        <v>195</v>
      </c>
      <c r="U35" s="9">
        <v>1</v>
      </c>
      <c r="V35" s="8" t="s">
        <v>28</v>
      </c>
      <c r="W35" s="10" t="s">
        <v>364</v>
      </c>
      <c r="X35" s="10" t="s">
        <v>1943</v>
      </c>
      <c r="Y35" s="342">
        <v>0</v>
      </c>
      <c r="Z35" s="361">
        <v>1100000</v>
      </c>
      <c r="AB35" s="211">
        <v>31</v>
      </c>
      <c r="AC35" s="9" t="s">
        <v>195</v>
      </c>
      <c r="AD35" s="9">
        <v>1</v>
      </c>
      <c r="AE35" s="8" t="s">
        <v>28</v>
      </c>
      <c r="AF35" s="10" t="s">
        <v>355</v>
      </c>
      <c r="AG35" s="10" t="s">
        <v>1942</v>
      </c>
      <c r="AH35" s="342">
        <v>0</v>
      </c>
      <c r="AI35" s="361">
        <v>35200000</v>
      </c>
      <c r="AK35" s="211">
        <v>31</v>
      </c>
      <c r="AL35" s="211" t="s">
        <v>239</v>
      </c>
      <c r="AM35" s="211">
        <v>3</v>
      </c>
      <c r="AN35" s="217" t="s">
        <v>205</v>
      </c>
      <c r="AO35" s="10" t="s">
        <v>147</v>
      </c>
      <c r="AP35" s="10" t="s">
        <v>249</v>
      </c>
      <c r="AQ35" s="210">
        <v>0</v>
      </c>
      <c r="AR35" s="115">
        <v>10500000</v>
      </c>
      <c r="AT35" s="211">
        <v>31</v>
      </c>
      <c r="AU35" s="9" t="s">
        <v>241</v>
      </c>
      <c r="AV35" s="9">
        <v>2</v>
      </c>
      <c r="AW35" s="8" t="s">
        <v>95</v>
      </c>
      <c r="AX35" s="10" t="s">
        <v>357</v>
      </c>
      <c r="AY35" s="10" t="s">
        <v>2631</v>
      </c>
      <c r="AZ35" s="342">
        <v>0</v>
      </c>
      <c r="BA35" s="361">
        <v>41096440</v>
      </c>
      <c r="BC35" s="211">
        <v>31</v>
      </c>
      <c r="BD35" s="53" t="s">
        <v>242</v>
      </c>
      <c r="BE35" s="9">
        <v>3</v>
      </c>
      <c r="BF35" s="8" t="s">
        <v>95</v>
      </c>
      <c r="BG35" s="10" t="s">
        <v>357</v>
      </c>
      <c r="BH35" s="10" t="s">
        <v>2780</v>
      </c>
      <c r="BI35" s="342">
        <v>0</v>
      </c>
      <c r="BJ35" s="344">
        <v>21986250</v>
      </c>
      <c r="BL35" s="211">
        <v>31</v>
      </c>
      <c r="BM35" s="9" t="s">
        <v>241</v>
      </c>
      <c r="BN35" s="9">
        <v>28</v>
      </c>
      <c r="BO35" s="8" t="s">
        <v>20</v>
      </c>
      <c r="BP35" s="10" t="s">
        <v>118</v>
      </c>
      <c r="BQ35" s="10" t="s">
        <v>489</v>
      </c>
      <c r="BR35" s="342">
        <v>0</v>
      </c>
      <c r="BS35" s="361">
        <v>820000</v>
      </c>
      <c r="BU35" s="211">
        <v>31</v>
      </c>
      <c r="BV35" s="9" t="s">
        <v>242</v>
      </c>
      <c r="BW35" s="9">
        <v>29</v>
      </c>
      <c r="BX35" s="8" t="s">
        <v>20</v>
      </c>
      <c r="BY35" s="10" t="s">
        <v>346</v>
      </c>
      <c r="BZ35" s="10" t="s">
        <v>516</v>
      </c>
      <c r="CA35" s="342">
        <v>0</v>
      </c>
      <c r="CB35" s="344">
        <v>0.3895999938249588</v>
      </c>
      <c r="CD35" s="211">
        <v>31</v>
      </c>
      <c r="CE35" s="9" t="s">
        <v>242</v>
      </c>
      <c r="CF35" s="9">
        <v>29</v>
      </c>
      <c r="CG35" s="8" t="s">
        <v>20</v>
      </c>
      <c r="CH35" s="10" t="s">
        <v>371</v>
      </c>
      <c r="CI35" s="10" t="s">
        <v>517</v>
      </c>
      <c r="CJ35" s="342">
        <v>0</v>
      </c>
      <c r="CK35" s="538">
        <v>0.97600007057189941</v>
      </c>
      <c r="CM35" s="1855" t="s">
        <v>68</v>
      </c>
      <c r="CN35" s="1855"/>
      <c r="CO35" s="1855"/>
      <c r="CP35" s="1855"/>
      <c r="CQ35" s="1855"/>
      <c r="CR35" s="1855"/>
      <c r="CS35" s="546">
        <f>SUM(CS34)</f>
        <v>0</v>
      </c>
      <c r="CT35" s="547">
        <f>SUM(CT34)</f>
        <v>50000000</v>
      </c>
      <c r="CV35" s="211">
        <v>14</v>
      </c>
      <c r="CW35" s="9" t="s">
        <v>238</v>
      </c>
      <c r="CX35" s="9">
        <v>10</v>
      </c>
      <c r="CY35" s="8" t="s">
        <v>49</v>
      </c>
      <c r="CZ35" s="9" t="s">
        <v>355</v>
      </c>
      <c r="DA35" s="10" t="s">
        <v>659</v>
      </c>
      <c r="DB35" s="344">
        <v>0.19999999925494194</v>
      </c>
    </row>
    <row r="36" spans="1:106" s="73" customFormat="1">
      <c r="A36" s="211">
        <v>32</v>
      </c>
      <c r="B36" s="53" t="s">
        <v>194</v>
      </c>
      <c r="C36" s="9">
        <v>9</v>
      </c>
      <c r="D36" s="8" t="s">
        <v>96</v>
      </c>
      <c r="E36" s="10" t="s">
        <v>354</v>
      </c>
      <c r="F36" s="10" t="s">
        <v>1799</v>
      </c>
      <c r="G36" s="210">
        <v>0</v>
      </c>
      <c r="H36" s="361">
        <v>9900000</v>
      </c>
      <c r="J36" s="211">
        <v>32</v>
      </c>
      <c r="K36" s="9" t="s">
        <v>195</v>
      </c>
      <c r="L36" s="9">
        <v>1</v>
      </c>
      <c r="M36" s="8" t="s">
        <v>28</v>
      </c>
      <c r="N36" s="10" t="s">
        <v>364</v>
      </c>
      <c r="O36" s="10" t="s">
        <v>1943</v>
      </c>
      <c r="P36" s="342">
        <v>0</v>
      </c>
      <c r="Q36" s="361">
        <v>1100000</v>
      </c>
      <c r="S36" s="211">
        <v>32</v>
      </c>
      <c r="T36" s="9" t="s">
        <v>239</v>
      </c>
      <c r="U36" s="9">
        <v>1</v>
      </c>
      <c r="V36" s="8" t="s">
        <v>28</v>
      </c>
      <c r="W36" s="10" t="s">
        <v>355</v>
      </c>
      <c r="X36" s="10" t="s">
        <v>2100</v>
      </c>
      <c r="Y36" s="342">
        <v>0</v>
      </c>
      <c r="Z36" s="361">
        <v>21120006.600000001</v>
      </c>
      <c r="AB36" s="211">
        <v>32</v>
      </c>
      <c r="AC36" s="9" t="s">
        <v>195</v>
      </c>
      <c r="AD36" s="9">
        <v>1</v>
      </c>
      <c r="AE36" s="8" t="s">
        <v>28</v>
      </c>
      <c r="AF36" s="10" t="s">
        <v>364</v>
      </c>
      <c r="AG36" s="10" t="s">
        <v>1943</v>
      </c>
      <c r="AH36" s="342">
        <v>0</v>
      </c>
      <c r="AI36" s="361">
        <v>1100000</v>
      </c>
      <c r="AK36" s="211">
        <v>32</v>
      </c>
      <c r="AL36" s="211" t="s">
        <v>239</v>
      </c>
      <c r="AM36" s="211">
        <v>3</v>
      </c>
      <c r="AN36" s="217" t="s">
        <v>205</v>
      </c>
      <c r="AO36" s="10" t="s">
        <v>118</v>
      </c>
      <c r="AP36" s="10" t="s">
        <v>250</v>
      </c>
      <c r="AQ36" s="210">
        <v>0</v>
      </c>
      <c r="AR36" s="115">
        <v>9106100</v>
      </c>
      <c r="AT36" s="211">
        <v>32</v>
      </c>
      <c r="AU36" s="9" t="s">
        <v>241</v>
      </c>
      <c r="AV36" s="9">
        <v>2</v>
      </c>
      <c r="AW36" s="8" t="s">
        <v>95</v>
      </c>
      <c r="AX36" s="10" t="s">
        <v>357</v>
      </c>
      <c r="AY36" s="10" t="s">
        <v>2632</v>
      </c>
      <c r="AZ36" s="342">
        <v>0</v>
      </c>
      <c r="BA36" s="361">
        <v>17570520</v>
      </c>
      <c r="BC36" s="211">
        <v>32</v>
      </c>
      <c r="BD36" s="53" t="s">
        <v>242</v>
      </c>
      <c r="BE36" s="9">
        <v>3</v>
      </c>
      <c r="BF36" s="8" t="s">
        <v>95</v>
      </c>
      <c r="BG36" s="10" t="s">
        <v>357</v>
      </c>
      <c r="BH36" s="10" t="s">
        <v>2781</v>
      </c>
      <c r="BI36" s="342">
        <v>0</v>
      </c>
      <c r="BJ36" s="344">
        <v>19054750</v>
      </c>
      <c r="BL36" s="211">
        <v>32</v>
      </c>
      <c r="BM36" s="9" t="s">
        <v>242</v>
      </c>
      <c r="BN36" s="9">
        <v>29</v>
      </c>
      <c r="BO36" s="8" t="s">
        <v>20</v>
      </c>
      <c r="BP36" s="10" t="s">
        <v>346</v>
      </c>
      <c r="BQ36" s="10" t="s">
        <v>516</v>
      </c>
      <c r="BR36" s="342">
        <v>0</v>
      </c>
      <c r="BS36" s="361">
        <v>62192250.581999995</v>
      </c>
      <c r="BU36" s="211">
        <v>32</v>
      </c>
      <c r="BV36" s="9" t="s">
        <v>242</v>
      </c>
      <c r="BW36" s="9">
        <v>29</v>
      </c>
      <c r="BX36" s="8" t="s">
        <v>20</v>
      </c>
      <c r="BY36" s="10" t="s">
        <v>371</v>
      </c>
      <c r="BZ36" s="10" t="s">
        <v>517</v>
      </c>
      <c r="CA36" s="342">
        <v>0</v>
      </c>
      <c r="CB36" s="344">
        <v>0.97600007057189941</v>
      </c>
      <c r="CD36" s="211">
        <v>32</v>
      </c>
      <c r="CE36" s="9" t="s">
        <v>243</v>
      </c>
      <c r="CF36" s="9">
        <v>29</v>
      </c>
      <c r="CG36" s="8" t="s">
        <v>20</v>
      </c>
      <c r="CH36" s="10" t="s">
        <v>371</v>
      </c>
      <c r="CI36" s="10" t="s">
        <v>566</v>
      </c>
      <c r="CJ36" s="342">
        <v>0</v>
      </c>
      <c r="CK36" s="538">
        <v>-0.28560006618499756</v>
      </c>
      <c r="CM36" s="211">
        <v>1</v>
      </c>
      <c r="CN36" s="9" t="s">
        <v>140</v>
      </c>
      <c r="CO36" s="9">
        <v>15</v>
      </c>
      <c r="CP36" s="8" t="s">
        <v>1625</v>
      </c>
      <c r="CQ36" s="9" t="s">
        <v>144</v>
      </c>
      <c r="CR36" s="9" t="s">
        <v>1626</v>
      </c>
      <c r="CS36" s="342">
        <v>0</v>
      </c>
      <c r="CT36" s="344">
        <v>53415450</v>
      </c>
      <c r="CV36" s="1855" t="s">
        <v>68</v>
      </c>
      <c r="CW36" s="1855"/>
      <c r="CX36" s="1855"/>
      <c r="CY36" s="1855"/>
      <c r="CZ36" s="1855"/>
      <c r="DA36" s="1855"/>
      <c r="DB36" s="547">
        <f>SUM(DB22:DB35)</f>
        <v>1.2399999976158143</v>
      </c>
    </row>
    <row r="37" spans="1:106" s="73" customFormat="1">
      <c r="A37" s="211">
        <v>33</v>
      </c>
      <c r="B37" s="53" t="s">
        <v>194</v>
      </c>
      <c r="C37" s="9">
        <v>9</v>
      </c>
      <c r="D37" s="8" t="s">
        <v>96</v>
      </c>
      <c r="E37" s="10" t="s">
        <v>354</v>
      </c>
      <c r="F37" s="10" t="s">
        <v>1800</v>
      </c>
      <c r="G37" s="210">
        <v>0</v>
      </c>
      <c r="H37" s="361">
        <v>9900000</v>
      </c>
      <c r="J37" s="211">
        <v>33</v>
      </c>
      <c r="K37" s="211" t="s">
        <v>239</v>
      </c>
      <c r="L37" s="211">
        <v>3</v>
      </c>
      <c r="M37" s="217" t="s">
        <v>205</v>
      </c>
      <c r="N37" s="10" t="s">
        <v>147</v>
      </c>
      <c r="O37" s="10" t="s">
        <v>249</v>
      </c>
      <c r="P37" s="210">
        <v>0</v>
      </c>
      <c r="Q37" s="115">
        <v>10500000</v>
      </c>
      <c r="S37" s="211">
        <v>33</v>
      </c>
      <c r="T37" s="9" t="s">
        <v>239</v>
      </c>
      <c r="U37" s="9">
        <v>1</v>
      </c>
      <c r="V37" s="8" t="s">
        <v>28</v>
      </c>
      <c r="W37" s="10" t="s">
        <v>364</v>
      </c>
      <c r="X37" s="10" t="s">
        <v>2102</v>
      </c>
      <c r="Y37" s="342">
        <v>0</v>
      </c>
      <c r="Z37" s="361">
        <v>843324.9</v>
      </c>
      <c r="AB37" s="211">
        <v>33</v>
      </c>
      <c r="AC37" s="9" t="s">
        <v>239</v>
      </c>
      <c r="AD37" s="9">
        <v>1</v>
      </c>
      <c r="AE37" s="8" t="s">
        <v>28</v>
      </c>
      <c r="AF37" s="10" t="s">
        <v>355</v>
      </c>
      <c r="AG37" s="10" t="s">
        <v>2100</v>
      </c>
      <c r="AH37" s="342">
        <v>0</v>
      </c>
      <c r="AI37" s="361">
        <v>21120006.600000001</v>
      </c>
      <c r="AK37" s="211">
        <v>33</v>
      </c>
      <c r="AL37" s="9" t="s">
        <v>58</v>
      </c>
      <c r="AM37" s="9">
        <v>4</v>
      </c>
      <c r="AN37" s="8" t="s">
        <v>95</v>
      </c>
      <c r="AO37" s="10" t="s">
        <v>357</v>
      </c>
      <c r="AP37" s="10" t="s">
        <v>2501</v>
      </c>
      <c r="AQ37" s="342">
        <v>0</v>
      </c>
      <c r="AR37" s="361">
        <v>19178338.662999999</v>
      </c>
      <c r="AT37" s="211">
        <v>33</v>
      </c>
      <c r="AU37" s="9" t="s">
        <v>241</v>
      </c>
      <c r="AV37" s="9">
        <v>2</v>
      </c>
      <c r="AW37" s="8" t="s">
        <v>95</v>
      </c>
      <c r="AX37" s="10" t="s">
        <v>357</v>
      </c>
      <c r="AY37" s="10" t="s">
        <v>2633</v>
      </c>
      <c r="AZ37" s="342">
        <v>0</v>
      </c>
      <c r="BA37" s="361">
        <v>21963150</v>
      </c>
      <c r="BC37" s="211">
        <v>33</v>
      </c>
      <c r="BD37" s="53" t="s">
        <v>242</v>
      </c>
      <c r="BE37" s="9">
        <v>3</v>
      </c>
      <c r="BF37" s="8" t="s">
        <v>95</v>
      </c>
      <c r="BG37" s="10" t="s">
        <v>354</v>
      </c>
      <c r="BH37" s="10" t="s">
        <v>2782</v>
      </c>
      <c r="BI37" s="342">
        <v>0</v>
      </c>
      <c r="BJ37" s="344">
        <v>31900000</v>
      </c>
      <c r="BL37" s="211">
        <v>33</v>
      </c>
      <c r="BM37" s="9" t="s">
        <v>242</v>
      </c>
      <c r="BN37" s="9">
        <v>29</v>
      </c>
      <c r="BO37" s="8" t="s">
        <v>20</v>
      </c>
      <c r="BP37" s="10" t="s">
        <v>371</v>
      </c>
      <c r="BQ37" s="10" t="s">
        <v>517</v>
      </c>
      <c r="BR37" s="342">
        <v>0</v>
      </c>
      <c r="BS37" s="344">
        <v>0.97600007057189941</v>
      </c>
      <c r="BU37" s="211">
        <v>33</v>
      </c>
      <c r="BV37" s="9" t="s">
        <v>243</v>
      </c>
      <c r="BW37" s="9">
        <v>29</v>
      </c>
      <c r="BX37" s="8" t="s">
        <v>20</v>
      </c>
      <c r="BY37" s="10" t="s">
        <v>346</v>
      </c>
      <c r="BZ37" s="10" t="s">
        <v>565</v>
      </c>
      <c r="CA37" s="342">
        <v>0</v>
      </c>
      <c r="CB37" s="344">
        <v>62811116.728799999</v>
      </c>
      <c r="CD37" s="211">
        <v>33</v>
      </c>
      <c r="CE37" s="9" t="s">
        <v>245</v>
      </c>
      <c r="CF37" s="9">
        <v>10</v>
      </c>
      <c r="CG37" s="8" t="s">
        <v>20</v>
      </c>
      <c r="CH37" s="10" t="s">
        <v>346</v>
      </c>
      <c r="CI37" s="10" t="s">
        <v>633</v>
      </c>
      <c r="CJ37" s="342">
        <v>0</v>
      </c>
      <c r="CK37" s="538">
        <v>0.58399999886751175</v>
      </c>
      <c r="CM37" s="1855" t="s">
        <v>68</v>
      </c>
      <c r="CN37" s="1855"/>
      <c r="CO37" s="1855"/>
      <c r="CP37" s="1855"/>
      <c r="CQ37" s="1855"/>
      <c r="CR37" s="1855"/>
      <c r="CS37" s="546">
        <f>SUM(CS36)</f>
        <v>0</v>
      </c>
      <c r="CT37" s="547">
        <f>SUM(CT36)</f>
        <v>53415450</v>
      </c>
      <c r="CV37" s="211">
        <v>1</v>
      </c>
      <c r="CW37" s="9" t="s">
        <v>194</v>
      </c>
      <c r="CX37" s="9">
        <v>18</v>
      </c>
      <c r="CY37" s="8" t="s">
        <v>95</v>
      </c>
      <c r="CZ37" s="10" t="s">
        <v>357</v>
      </c>
      <c r="DA37" s="10" t="s">
        <v>148</v>
      </c>
      <c r="DB37" s="344">
        <v>-0.39999999990686774</v>
      </c>
    </row>
    <row r="38" spans="1:106" s="73" customFormat="1">
      <c r="A38" s="211">
        <v>34</v>
      </c>
      <c r="B38" s="53" t="s">
        <v>194</v>
      </c>
      <c r="C38" s="9">
        <v>9</v>
      </c>
      <c r="D38" s="8" t="s">
        <v>96</v>
      </c>
      <c r="E38" s="10" t="s">
        <v>354</v>
      </c>
      <c r="F38" s="10" t="s">
        <v>1801</v>
      </c>
      <c r="G38" s="210">
        <v>0</v>
      </c>
      <c r="H38" s="361">
        <v>9900000</v>
      </c>
      <c r="J38" s="211">
        <v>34</v>
      </c>
      <c r="K38" s="211" t="s">
        <v>239</v>
      </c>
      <c r="L38" s="211">
        <v>3</v>
      </c>
      <c r="M38" s="217" t="s">
        <v>205</v>
      </c>
      <c r="N38" s="10" t="s">
        <v>118</v>
      </c>
      <c r="O38" s="10" t="s">
        <v>250</v>
      </c>
      <c r="P38" s="210">
        <v>0</v>
      </c>
      <c r="Q38" s="115">
        <v>9106100</v>
      </c>
      <c r="S38" s="211">
        <v>34</v>
      </c>
      <c r="T38" s="211" t="s">
        <v>239</v>
      </c>
      <c r="U38" s="211">
        <v>3</v>
      </c>
      <c r="V38" s="217" t="s">
        <v>205</v>
      </c>
      <c r="W38" s="10" t="s">
        <v>147</v>
      </c>
      <c r="X38" s="10" t="s">
        <v>249</v>
      </c>
      <c r="Y38" s="210">
        <v>0</v>
      </c>
      <c r="Z38" s="115">
        <v>10500000</v>
      </c>
      <c r="AB38" s="211">
        <v>34</v>
      </c>
      <c r="AC38" s="9" t="s">
        <v>239</v>
      </c>
      <c r="AD38" s="9">
        <v>1</v>
      </c>
      <c r="AE38" s="8" t="s">
        <v>28</v>
      </c>
      <c r="AF38" s="10" t="s">
        <v>364</v>
      </c>
      <c r="AG38" s="10" t="s">
        <v>2102</v>
      </c>
      <c r="AH38" s="342">
        <v>0</v>
      </c>
      <c r="AI38" s="361">
        <v>843324.9</v>
      </c>
      <c r="AK38" s="211">
        <v>34</v>
      </c>
      <c r="AL38" s="9" t="s">
        <v>58</v>
      </c>
      <c r="AM38" s="9">
        <v>4</v>
      </c>
      <c r="AN38" s="8" t="s">
        <v>95</v>
      </c>
      <c r="AO38" s="10" t="s">
        <v>357</v>
      </c>
      <c r="AP38" s="10" t="s">
        <v>2503</v>
      </c>
      <c r="AQ38" s="342">
        <v>0</v>
      </c>
      <c r="AR38" s="361">
        <v>12316920</v>
      </c>
      <c r="AT38" s="211">
        <v>34</v>
      </c>
      <c r="AU38" s="9" t="s">
        <v>241</v>
      </c>
      <c r="AV38" s="9">
        <v>2</v>
      </c>
      <c r="AW38" s="8" t="s">
        <v>95</v>
      </c>
      <c r="AX38" s="10" t="s">
        <v>357</v>
      </c>
      <c r="AY38" s="10" t="s">
        <v>2634</v>
      </c>
      <c r="AZ38" s="342">
        <v>0</v>
      </c>
      <c r="BA38" s="361">
        <v>19034730</v>
      </c>
      <c r="BC38" s="211">
        <v>34</v>
      </c>
      <c r="BD38" s="53" t="s">
        <v>242</v>
      </c>
      <c r="BE38" s="9">
        <v>3</v>
      </c>
      <c r="BF38" s="8" t="s">
        <v>95</v>
      </c>
      <c r="BG38" s="10" t="s">
        <v>354</v>
      </c>
      <c r="BH38" s="10" t="s">
        <v>2783</v>
      </c>
      <c r="BI38" s="342">
        <v>0</v>
      </c>
      <c r="BJ38" s="344">
        <v>6600000</v>
      </c>
      <c r="BL38" s="211">
        <v>34</v>
      </c>
      <c r="BM38" s="9" t="s">
        <v>243</v>
      </c>
      <c r="BN38" s="9">
        <v>29</v>
      </c>
      <c r="BO38" s="8" t="s">
        <v>20</v>
      </c>
      <c r="BP38" s="10" t="s">
        <v>346</v>
      </c>
      <c r="BQ38" s="10" t="s">
        <v>565</v>
      </c>
      <c r="BR38" s="342">
        <v>0</v>
      </c>
      <c r="BS38" s="344">
        <v>62811116.728799999</v>
      </c>
      <c r="BU38" s="211">
        <v>34</v>
      </c>
      <c r="BV38" s="9" t="s">
        <v>243</v>
      </c>
      <c r="BW38" s="9">
        <v>29</v>
      </c>
      <c r="BX38" s="8" t="s">
        <v>20</v>
      </c>
      <c r="BY38" s="10" t="s">
        <v>371</v>
      </c>
      <c r="BZ38" s="10" t="s">
        <v>566</v>
      </c>
      <c r="CA38" s="342">
        <v>0</v>
      </c>
      <c r="CB38" s="344">
        <v>731543815.94799995</v>
      </c>
      <c r="CD38" s="211">
        <v>34</v>
      </c>
      <c r="CE38" s="9" t="s">
        <v>245</v>
      </c>
      <c r="CF38" s="9">
        <v>31</v>
      </c>
      <c r="CG38" s="8" t="s">
        <v>20</v>
      </c>
      <c r="CH38" s="10" t="s">
        <v>346</v>
      </c>
      <c r="CI38" s="10" t="s">
        <v>651</v>
      </c>
      <c r="CJ38" s="342">
        <v>0</v>
      </c>
      <c r="CK38" s="538">
        <v>1.6737600043416023</v>
      </c>
      <c r="CM38" s="211">
        <v>1</v>
      </c>
      <c r="CN38" s="9" t="s">
        <v>140</v>
      </c>
      <c r="CO38" s="9">
        <v>1</v>
      </c>
      <c r="CP38" s="8" t="s">
        <v>49</v>
      </c>
      <c r="CQ38" s="9" t="s">
        <v>355</v>
      </c>
      <c r="CR38" s="10" t="s">
        <v>1577</v>
      </c>
      <c r="CS38" s="342">
        <v>0</v>
      </c>
      <c r="CT38" s="344">
        <v>30328606</v>
      </c>
      <c r="CV38" s="1855" t="s">
        <v>68</v>
      </c>
      <c r="CW38" s="1855"/>
      <c r="CX38" s="1855"/>
      <c r="CY38" s="1855"/>
      <c r="CZ38" s="1855"/>
      <c r="DA38" s="1855"/>
      <c r="DB38" s="547">
        <f>SUM(DB37)</f>
        <v>-0.39999999990686774</v>
      </c>
    </row>
    <row r="39" spans="1:106" s="73" customFormat="1">
      <c r="A39" s="211">
        <v>35</v>
      </c>
      <c r="B39" s="53" t="s">
        <v>194</v>
      </c>
      <c r="C39" s="9">
        <v>9</v>
      </c>
      <c r="D39" s="8" t="s">
        <v>206</v>
      </c>
      <c r="E39" s="10" t="s">
        <v>354</v>
      </c>
      <c r="F39" s="10" t="s">
        <v>1822</v>
      </c>
      <c r="G39" s="342">
        <v>0</v>
      </c>
      <c r="H39" s="361">
        <v>24200000</v>
      </c>
      <c r="J39" s="211">
        <v>35</v>
      </c>
      <c r="K39" s="9" t="s">
        <v>195</v>
      </c>
      <c r="L39" s="9">
        <v>1</v>
      </c>
      <c r="M39" s="8" t="s">
        <v>95</v>
      </c>
      <c r="N39" s="10" t="s">
        <v>357</v>
      </c>
      <c r="O39" s="10" t="s">
        <v>1987</v>
      </c>
      <c r="P39" s="342">
        <v>0</v>
      </c>
      <c r="Q39" s="361">
        <v>30949380</v>
      </c>
      <c r="S39" s="211">
        <v>35</v>
      </c>
      <c r="T39" s="211" t="s">
        <v>239</v>
      </c>
      <c r="U39" s="211">
        <v>3</v>
      </c>
      <c r="V39" s="217" t="s">
        <v>205</v>
      </c>
      <c r="W39" s="10" t="s">
        <v>118</v>
      </c>
      <c r="X39" s="10" t="s">
        <v>250</v>
      </c>
      <c r="Y39" s="210">
        <v>0</v>
      </c>
      <c r="Z39" s="115">
        <v>9106100</v>
      </c>
      <c r="AB39" s="211">
        <v>35</v>
      </c>
      <c r="AC39" s="211" t="s">
        <v>239</v>
      </c>
      <c r="AD39" s="211">
        <v>3</v>
      </c>
      <c r="AE39" s="217" t="s">
        <v>205</v>
      </c>
      <c r="AF39" s="10" t="s">
        <v>147</v>
      </c>
      <c r="AG39" s="10" t="s">
        <v>249</v>
      </c>
      <c r="AH39" s="210">
        <v>0</v>
      </c>
      <c r="AI39" s="115">
        <v>10500000</v>
      </c>
      <c r="AK39" s="211">
        <v>35</v>
      </c>
      <c r="AL39" s="9" t="s">
        <v>58</v>
      </c>
      <c r="AM39" s="9">
        <v>4</v>
      </c>
      <c r="AN39" s="8" t="s">
        <v>95</v>
      </c>
      <c r="AO39" s="10" t="s">
        <v>357</v>
      </c>
      <c r="AP39" s="10" t="s">
        <v>2509</v>
      </c>
      <c r="AQ39" s="342">
        <v>0</v>
      </c>
      <c r="AR39" s="361">
        <v>15249520</v>
      </c>
      <c r="AT39" s="211">
        <v>35</v>
      </c>
      <c r="AU39" s="9" t="s">
        <v>241</v>
      </c>
      <c r="AV39" s="9">
        <v>2</v>
      </c>
      <c r="AW39" s="8" t="s">
        <v>95</v>
      </c>
      <c r="AX39" s="10" t="s">
        <v>354</v>
      </c>
      <c r="AY39" s="10" t="s">
        <v>2635</v>
      </c>
      <c r="AZ39" s="342">
        <v>0</v>
      </c>
      <c r="BA39" s="361">
        <v>31900000</v>
      </c>
      <c r="BC39" s="211">
        <v>35</v>
      </c>
      <c r="BD39" s="53" t="s">
        <v>242</v>
      </c>
      <c r="BE39" s="9">
        <v>3</v>
      </c>
      <c r="BF39" s="8" t="s">
        <v>95</v>
      </c>
      <c r="BG39" s="10" t="s">
        <v>354</v>
      </c>
      <c r="BH39" s="10" t="s">
        <v>2784</v>
      </c>
      <c r="BI39" s="342">
        <v>0</v>
      </c>
      <c r="BJ39" s="344">
        <v>23100000</v>
      </c>
      <c r="BL39" s="211">
        <v>35</v>
      </c>
      <c r="BM39" s="9" t="s">
        <v>243</v>
      </c>
      <c r="BN39" s="9">
        <v>29</v>
      </c>
      <c r="BO39" s="8" t="s">
        <v>20</v>
      </c>
      <c r="BP39" s="10" t="s">
        <v>371</v>
      </c>
      <c r="BQ39" s="10" t="s">
        <v>566</v>
      </c>
      <c r="BR39" s="342">
        <v>0</v>
      </c>
      <c r="BS39" s="344">
        <v>731543815.94799995</v>
      </c>
      <c r="BU39" s="211">
        <v>35</v>
      </c>
      <c r="BV39" s="9" t="s">
        <v>244</v>
      </c>
      <c r="BW39" s="9">
        <v>29</v>
      </c>
      <c r="BX39" s="8" t="s">
        <v>20</v>
      </c>
      <c r="BY39" s="10" t="s">
        <v>371</v>
      </c>
      <c r="BZ39" s="10" t="s">
        <v>616</v>
      </c>
      <c r="CA39" s="342">
        <v>0</v>
      </c>
      <c r="CB39" s="344">
        <v>818629240</v>
      </c>
      <c r="CD39" s="211">
        <v>35</v>
      </c>
      <c r="CE39" s="9" t="s">
        <v>238</v>
      </c>
      <c r="CF39" s="9">
        <v>30</v>
      </c>
      <c r="CG39" s="8" t="s">
        <v>20</v>
      </c>
      <c r="CH39" s="10" t="s">
        <v>346</v>
      </c>
      <c r="CI39" s="10" t="s">
        <v>1573</v>
      </c>
      <c r="CJ39" s="342">
        <v>0</v>
      </c>
      <c r="CK39" s="344">
        <v>64017526.033999994</v>
      </c>
      <c r="CM39" s="1855" t="s">
        <v>68</v>
      </c>
      <c r="CN39" s="1855"/>
      <c r="CO39" s="1855"/>
      <c r="CP39" s="1855"/>
      <c r="CQ39" s="1855"/>
      <c r="CR39" s="1855"/>
      <c r="CS39" s="546">
        <f>SUM(CS38)</f>
        <v>0</v>
      </c>
      <c r="CT39" s="547">
        <f>SUM(CT38)</f>
        <v>30328606</v>
      </c>
      <c r="CV39" s="211">
        <v>1</v>
      </c>
      <c r="CW39" s="211" t="s">
        <v>238</v>
      </c>
      <c r="CX39" s="211">
        <v>24</v>
      </c>
      <c r="CY39" s="186" t="s">
        <v>35</v>
      </c>
      <c r="CZ39" s="9" t="s">
        <v>354</v>
      </c>
      <c r="DA39" s="9" t="s">
        <v>251</v>
      </c>
      <c r="DB39" s="115">
        <v>44004894</v>
      </c>
    </row>
    <row r="40" spans="1:106" s="73" customFormat="1">
      <c r="A40" s="211">
        <v>36</v>
      </c>
      <c r="B40" s="53" t="s">
        <v>194</v>
      </c>
      <c r="C40" s="9">
        <v>9</v>
      </c>
      <c r="D40" s="8" t="s">
        <v>206</v>
      </c>
      <c r="E40" s="10" t="s">
        <v>354</v>
      </c>
      <c r="F40" s="10" t="s">
        <v>1823</v>
      </c>
      <c r="G40" s="342">
        <v>0</v>
      </c>
      <c r="H40" s="361">
        <v>24200000</v>
      </c>
      <c r="J40" s="211">
        <v>36</v>
      </c>
      <c r="K40" s="9" t="s">
        <v>195</v>
      </c>
      <c r="L40" s="9">
        <v>1</v>
      </c>
      <c r="M40" s="8" t="s">
        <v>95</v>
      </c>
      <c r="N40" s="10" t="s">
        <v>357</v>
      </c>
      <c r="O40" s="10" t="s">
        <v>1989</v>
      </c>
      <c r="P40" s="342">
        <v>0</v>
      </c>
      <c r="Q40" s="361">
        <v>17620680</v>
      </c>
      <c r="S40" s="211">
        <v>36</v>
      </c>
      <c r="T40" s="9" t="s">
        <v>239</v>
      </c>
      <c r="U40" s="9">
        <v>1</v>
      </c>
      <c r="V40" s="8" t="s">
        <v>95</v>
      </c>
      <c r="W40" s="10" t="s">
        <v>354</v>
      </c>
      <c r="X40" s="10" t="s">
        <v>1997</v>
      </c>
      <c r="Y40" s="342">
        <v>0</v>
      </c>
      <c r="Z40" s="361">
        <v>2310000</v>
      </c>
      <c r="AB40" s="211">
        <v>36</v>
      </c>
      <c r="AC40" s="211" t="s">
        <v>239</v>
      </c>
      <c r="AD40" s="211">
        <v>3</v>
      </c>
      <c r="AE40" s="217" t="s">
        <v>205</v>
      </c>
      <c r="AF40" s="10" t="s">
        <v>118</v>
      </c>
      <c r="AG40" s="10" t="s">
        <v>250</v>
      </c>
      <c r="AH40" s="210">
        <v>0</v>
      </c>
      <c r="AI40" s="115">
        <v>9106100</v>
      </c>
      <c r="AK40" s="211">
        <v>36</v>
      </c>
      <c r="AL40" s="9" t="s">
        <v>58</v>
      </c>
      <c r="AM40" s="9">
        <v>4</v>
      </c>
      <c r="AN40" s="8" t="s">
        <v>95</v>
      </c>
      <c r="AO40" s="10" t="s">
        <v>354</v>
      </c>
      <c r="AP40" s="10" t="s">
        <v>2510</v>
      </c>
      <c r="AQ40" s="342">
        <v>0</v>
      </c>
      <c r="AR40" s="361">
        <v>16940000</v>
      </c>
      <c r="AT40" s="211">
        <v>36</v>
      </c>
      <c r="AU40" s="9" t="s">
        <v>241</v>
      </c>
      <c r="AV40" s="9">
        <v>2</v>
      </c>
      <c r="AW40" s="8" t="s">
        <v>95</v>
      </c>
      <c r="AX40" s="10" t="s">
        <v>354</v>
      </c>
      <c r="AY40" s="10" t="s">
        <v>2636</v>
      </c>
      <c r="AZ40" s="342">
        <v>0</v>
      </c>
      <c r="BA40" s="361">
        <v>6600000</v>
      </c>
      <c r="BC40" s="211">
        <v>36</v>
      </c>
      <c r="BD40" s="53" t="s">
        <v>242</v>
      </c>
      <c r="BE40" s="9">
        <v>3</v>
      </c>
      <c r="BF40" s="8" t="s">
        <v>95</v>
      </c>
      <c r="BG40" s="10" t="s">
        <v>354</v>
      </c>
      <c r="BH40" s="10" t="s">
        <v>2829</v>
      </c>
      <c r="BI40" s="342">
        <v>0</v>
      </c>
      <c r="BJ40" s="344">
        <v>6600000</v>
      </c>
      <c r="BL40" s="211">
        <v>36</v>
      </c>
      <c r="BM40" s="9" t="s">
        <v>240</v>
      </c>
      <c r="BN40" s="9">
        <v>19</v>
      </c>
      <c r="BO40" s="8" t="s">
        <v>22</v>
      </c>
      <c r="BP40" s="9" t="s">
        <v>372</v>
      </c>
      <c r="BQ40" s="9" t="s">
        <v>414</v>
      </c>
      <c r="BR40" s="342">
        <v>0</v>
      </c>
      <c r="BS40" s="344">
        <v>-0.22719999961555004</v>
      </c>
      <c r="BU40" s="211">
        <v>36</v>
      </c>
      <c r="BV40" s="9" t="s">
        <v>240</v>
      </c>
      <c r="BW40" s="9">
        <v>19</v>
      </c>
      <c r="BX40" s="8" t="s">
        <v>22</v>
      </c>
      <c r="BY40" s="9" t="s">
        <v>372</v>
      </c>
      <c r="BZ40" s="9" t="s">
        <v>414</v>
      </c>
      <c r="CA40" s="342">
        <v>0</v>
      </c>
      <c r="CB40" s="344">
        <v>-0.22719999961555004</v>
      </c>
      <c r="CD40" s="211">
        <v>36</v>
      </c>
      <c r="CE40" s="9" t="s">
        <v>238</v>
      </c>
      <c r="CF40" s="9">
        <v>30</v>
      </c>
      <c r="CG40" s="8" t="s">
        <v>20</v>
      </c>
      <c r="CH40" s="10" t="s">
        <v>371</v>
      </c>
      <c r="CI40" s="10" t="s">
        <v>1576</v>
      </c>
      <c r="CJ40" s="342">
        <v>0</v>
      </c>
      <c r="CK40" s="344">
        <v>827658062</v>
      </c>
      <c r="CM40" s="211">
        <v>1</v>
      </c>
      <c r="CN40" s="9" t="s">
        <v>238</v>
      </c>
      <c r="CO40" s="9">
        <v>4</v>
      </c>
      <c r="CP40" s="8" t="s">
        <v>28</v>
      </c>
      <c r="CQ40" s="9" t="s">
        <v>355</v>
      </c>
      <c r="CR40" s="10" t="s">
        <v>652</v>
      </c>
      <c r="CS40" s="343">
        <v>0</v>
      </c>
      <c r="CT40" s="345">
        <v>35200000</v>
      </c>
      <c r="CV40" s="211">
        <v>2</v>
      </c>
      <c r="CW40" s="211" t="s">
        <v>140</v>
      </c>
      <c r="CX40" s="211">
        <v>17</v>
      </c>
      <c r="CY40" s="186" t="s">
        <v>35</v>
      </c>
      <c r="CZ40" s="9" t="s">
        <v>354</v>
      </c>
      <c r="DA40" s="9" t="s">
        <v>252</v>
      </c>
      <c r="DB40" s="115">
        <v>21479240</v>
      </c>
    </row>
    <row r="41" spans="1:106" s="73" customFormat="1">
      <c r="A41" s="211">
        <v>37</v>
      </c>
      <c r="B41" s="53" t="s">
        <v>194</v>
      </c>
      <c r="C41" s="9">
        <v>9</v>
      </c>
      <c r="D41" s="8" t="s">
        <v>206</v>
      </c>
      <c r="E41" s="10" t="s">
        <v>354</v>
      </c>
      <c r="F41" s="10" t="s">
        <v>1824</v>
      </c>
      <c r="G41" s="342">
        <v>0</v>
      </c>
      <c r="H41" s="361">
        <v>24200000</v>
      </c>
      <c r="J41" s="211">
        <v>37</v>
      </c>
      <c r="K41" s="9" t="s">
        <v>195</v>
      </c>
      <c r="L41" s="9">
        <v>1</v>
      </c>
      <c r="M41" s="8" t="s">
        <v>95</v>
      </c>
      <c r="N41" s="10" t="s">
        <v>357</v>
      </c>
      <c r="O41" s="10" t="s">
        <v>1995</v>
      </c>
      <c r="P41" s="342">
        <v>0</v>
      </c>
      <c r="Q41" s="361">
        <v>22025850</v>
      </c>
      <c r="S41" s="211">
        <v>37</v>
      </c>
      <c r="T41" s="9" t="s">
        <v>239</v>
      </c>
      <c r="U41" s="9">
        <v>1</v>
      </c>
      <c r="V41" s="8" t="s">
        <v>95</v>
      </c>
      <c r="W41" s="10" t="s">
        <v>354</v>
      </c>
      <c r="X41" s="10" t="s">
        <v>2148</v>
      </c>
      <c r="Y41" s="342">
        <v>0</v>
      </c>
      <c r="Z41" s="361">
        <v>30949380</v>
      </c>
      <c r="AB41" s="211">
        <v>37</v>
      </c>
      <c r="AC41" s="9" t="s">
        <v>240</v>
      </c>
      <c r="AD41" s="9">
        <v>4</v>
      </c>
      <c r="AE41" s="8" t="s">
        <v>95</v>
      </c>
      <c r="AF41" s="10" t="s">
        <v>357</v>
      </c>
      <c r="AG41" s="10" t="s">
        <v>2304</v>
      </c>
      <c r="AH41" s="342">
        <v>0</v>
      </c>
      <c r="AI41" s="361">
        <v>31811626</v>
      </c>
      <c r="AK41" s="211">
        <v>37</v>
      </c>
      <c r="AL41" s="9" t="s">
        <v>58</v>
      </c>
      <c r="AM41" s="9">
        <v>4</v>
      </c>
      <c r="AN41" s="8" t="s">
        <v>95</v>
      </c>
      <c r="AO41" s="10" t="s">
        <v>354</v>
      </c>
      <c r="AP41" s="10" t="s">
        <v>2511</v>
      </c>
      <c r="AQ41" s="342">
        <v>0</v>
      </c>
      <c r="AR41" s="361">
        <v>880000</v>
      </c>
      <c r="AT41" s="211">
        <v>37</v>
      </c>
      <c r="AU41" s="9" t="s">
        <v>241</v>
      </c>
      <c r="AV41" s="9">
        <v>2</v>
      </c>
      <c r="AW41" s="8" t="s">
        <v>95</v>
      </c>
      <c r="AX41" s="10" t="s">
        <v>354</v>
      </c>
      <c r="AY41" s="10" t="s">
        <v>2637</v>
      </c>
      <c r="AZ41" s="342">
        <v>0</v>
      </c>
      <c r="BA41" s="361">
        <v>23100000</v>
      </c>
      <c r="BC41" s="211">
        <v>37</v>
      </c>
      <c r="BD41" s="53" t="s">
        <v>242</v>
      </c>
      <c r="BE41" s="9">
        <v>3</v>
      </c>
      <c r="BF41" s="8" t="s">
        <v>206</v>
      </c>
      <c r="BG41" s="10" t="s">
        <v>354</v>
      </c>
      <c r="BH41" s="10" t="s">
        <v>2754</v>
      </c>
      <c r="BI41" s="342">
        <v>0</v>
      </c>
      <c r="BJ41" s="361">
        <v>24200000</v>
      </c>
      <c r="BL41" s="211">
        <v>37</v>
      </c>
      <c r="BM41" s="9" t="s">
        <v>243</v>
      </c>
      <c r="BN41" s="9">
        <v>2</v>
      </c>
      <c r="BO41" s="8" t="s">
        <v>22</v>
      </c>
      <c r="BP41" s="9" t="s">
        <v>372</v>
      </c>
      <c r="BQ41" s="9" t="s">
        <v>521</v>
      </c>
      <c r="BR41" s="342">
        <v>0</v>
      </c>
      <c r="BS41" s="344">
        <v>27527500</v>
      </c>
      <c r="BU41" s="211">
        <v>37</v>
      </c>
      <c r="BV41" s="9" t="s">
        <v>244</v>
      </c>
      <c r="BW41" s="9">
        <v>13</v>
      </c>
      <c r="BX41" s="8" t="s">
        <v>22</v>
      </c>
      <c r="BY41" s="9" t="s">
        <v>372</v>
      </c>
      <c r="BZ41" s="9" t="s">
        <v>596</v>
      </c>
      <c r="CA41" s="342">
        <v>0</v>
      </c>
      <c r="CB41" s="344">
        <v>27527500</v>
      </c>
      <c r="CD41" s="211">
        <v>37</v>
      </c>
      <c r="CE41" s="9" t="s">
        <v>240</v>
      </c>
      <c r="CF41" s="9">
        <v>19</v>
      </c>
      <c r="CG41" s="8" t="s">
        <v>22</v>
      </c>
      <c r="CH41" s="9" t="s">
        <v>372</v>
      </c>
      <c r="CI41" s="9" t="s">
        <v>414</v>
      </c>
      <c r="CJ41" s="342">
        <v>0</v>
      </c>
      <c r="CK41" s="538">
        <v>-0.22719999961555004</v>
      </c>
      <c r="CM41" s="211">
        <v>2</v>
      </c>
      <c r="CN41" s="9" t="s">
        <v>238</v>
      </c>
      <c r="CO41" s="9">
        <v>4</v>
      </c>
      <c r="CP41" s="8" t="s">
        <v>28</v>
      </c>
      <c r="CQ41" s="9" t="s">
        <v>364</v>
      </c>
      <c r="CR41" s="10" t="s">
        <v>654</v>
      </c>
      <c r="CS41" s="343">
        <v>0</v>
      </c>
      <c r="CT41" s="115">
        <v>1100000</v>
      </c>
      <c r="CV41" s="211">
        <v>3</v>
      </c>
      <c r="CW41" s="211" t="s">
        <v>14</v>
      </c>
      <c r="CX41" s="211" t="s">
        <v>14</v>
      </c>
      <c r="CY41" s="186" t="s">
        <v>35</v>
      </c>
      <c r="CZ41" s="9" t="s">
        <v>354</v>
      </c>
      <c r="DA41" s="9" t="s">
        <v>386</v>
      </c>
      <c r="DB41" s="115">
        <v>202783333</v>
      </c>
    </row>
    <row r="42" spans="1:106" s="73" customFormat="1">
      <c r="A42" s="211">
        <v>38</v>
      </c>
      <c r="B42" s="53" t="s">
        <v>194</v>
      </c>
      <c r="C42" s="9">
        <v>9</v>
      </c>
      <c r="D42" s="8" t="s">
        <v>206</v>
      </c>
      <c r="E42" s="10" t="s">
        <v>354</v>
      </c>
      <c r="F42" s="10" t="s">
        <v>1825</v>
      </c>
      <c r="G42" s="342">
        <v>0</v>
      </c>
      <c r="H42" s="361">
        <v>24200000</v>
      </c>
      <c r="J42" s="211">
        <v>38</v>
      </c>
      <c r="K42" s="9" t="s">
        <v>195</v>
      </c>
      <c r="L42" s="9">
        <v>1</v>
      </c>
      <c r="M42" s="8" t="s">
        <v>95</v>
      </c>
      <c r="N42" s="10" t="s">
        <v>357</v>
      </c>
      <c r="O42" s="10" t="s">
        <v>1996</v>
      </c>
      <c r="P42" s="342">
        <v>0</v>
      </c>
      <c r="Q42" s="361">
        <v>19089070</v>
      </c>
      <c r="S42" s="211">
        <v>38</v>
      </c>
      <c r="T42" s="9" t="s">
        <v>239</v>
      </c>
      <c r="U42" s="9">
        <v>1</v>
      </c>
      <c r="V42" s="8" t="s">
        <v>95</v>
      </c>
      <c r="W42" s="10" t="s">
        <v>357</v>
      </c>
      <c r="X42" s="10" t="s">
        <v>2150</v>
      </c>
      <c r="Y42" s="342">
        <v>0</v>
      </c>
      <c r="Z42" s="361">
        <v>17636520</v>
      </c>
      <c r="AB42" s="211">
        <v>38</v>
      </c>
      <c r="AC42" s="9" t="s">
        <v>240</v>
      </c>
      <c r="AD42" s="9">
        <v>4</v>
      </c>
      <c r="AE42" s="8" t="s">
        <v>95</v>
      </c>
      <c r="AF42" s="10" t="s">
        <v>357</v>
      </c>
      <c r="AG42" s="10" t="s">
        <v>2306</v>
      </c>
      <c r="AH42" s="342">
        <v>0</v>
      </c>
      <c r="AI42" s="361">
        <v>17590320</v>
      </c>
      <c r="AK42" s="211">
        <v>38</v>
      </c>
      <c r="AL42" s="9" t="s">
        <v>58</v>
      </c>
      <c r="AM42" s="9">
        <v>4</v>
      </c>
      <c r="AN42" s="8" t="s">
        <v>95</v>
      </c>
      <c r="AO42" s="10" t="s">
        <v>354</v>
      </c>
      <c r="AP42" s="10" t="s">
        <v>2512</v>
      </c>
      <c r="AQ42" s="342">
        <v>0</v>
      </c>
      <c r="AR42" s="361">
        <v>9240000</v>
      </c>
      <c r="AT42" s="211">
        <v>38</v>
      </c>
      <c r="AU42" s="9" t="s">
        <v>241</v>
      </c>
      <c r="AV42" s="9">
        <v>2</v>
      </c>
      <c r="AW42" s="8" t="s">
        <v>95</v>
      </c>
      <c r="AX42" s="10" t="s">
        <v>433</v>
      </c>
      <c r="AY42" s="10" t="s">
        <v>2638</v>
      </c>
      <c r="AZ42" s="342">
        <v>0</v>
      </c>
      <c r="BA42" s="361">
        <v>8800000</v>
      </c>
      <c r="BC42" s="211">
        <v>38</v>
      </c>
      <c r="BD42" s="53" t="s">
        <v>242</v>
      </c>
      <c r="BE42" s="9">
        <v>3</v>
      </c>
      <c r="BF42" s="8" t="s">
        <v>206</v>
      </c>
      <c r="BG42" s="10" t="s">
        <v>354</v>
      </c>
      <c r="BH42" s="10" t="s">
        <v>2755</v>
      </c>
      <c r="BI42" s="342">
        <v>0</v>
      </c>
      <c r="BJ42" s="361">
        <v>24200000</v>
      </c>
      <c r="BL42" s="211">
        <v>38</v>
      </c>
      <c r="BM42" s="9" t="s">
        <v>243</v>
      </c>
      <c r="BN42" s="9">
        <v>2</v>
      </c>
      <c r="BO42" s="8" t="s">
        <v>22</v>
      </c>
      <c r="BP42" s="9" t="s">
        <v>372</v>
      </c>
      <c r="BQ42" s="9" t="s">
        <v>522</v>
      </c>
      <c r="BR42" s="342">
        <v>0</v>
      </c>
      <c r="BS42" s="344">
        <v>49742000</v>
      </c>
      <c r="BU42" s="211">
        <v>38</v>
      </c>
      <c r="BV42" s="9" t="s">
        <v>244</v>
      </c>
      <c r="BW42" s="9">
        <v>13</v>
      </c>
      <c r="BX42" s="8" t="s">
        <v>22</v>
      </c>
      <c r="BY42" s="9" t="s">
        <v>372</v>
      </c>
      <c r="BZ42" s="9" t="s">
        <v>597</v>
      </c>
      <c r="CA42" s="342">
        <v>0</v>
      </c>
      <c r="CB42" s="344">
        <v>49742000</v>
      </c>
      <c r="CD42" s="211">
        <v>38</v>
      </c>
      <c r="CE42" s="9" t="s">
        <v>140</v>
      </c>
      <c r="CF42" s="9">
        <v>1</v>
      </c>
      <c r="CG42" s="8" t="s">
        <v>24</v>
      </c>
      <c r="CH42" s="9" t="s">
        <v>362</v>
      </c>
      <c r="CI42" s="9" t="s">
        <v>1541</v>
      </c>
      <c r="CJ42" s="342">
        <v>0</v>
      </c>
      <c r="CK42" s="361">
        <v>4400000</v>
      </c>
      <c r="CM42" s="211">
        <v>3</v>
      </c>
      <c r="CN42" s="9" t="s">
        <v>140</v>
      </c>
      <c r="CO42" s="9">
        <v>1</v>
      </c>
      <c r="CP42" s="8" t="s">
        <v>28</v>
      </c>
      <c r="CQ42" s="9" t="s">
        <v>355</v>
      </c>
      <c r="CR42" s="10" t="s">
        <v>1543</v>
      </c>
      <c r="CS42" s="343">
        <v>0</v>
      </c>
      <c r="CT42" s="345">
        <v>35200000</v>
      </c>
      <c r="CV42" s="211">
        <v>4</v>
      </c>
      <c r="CW42" s="211" t="s">
        <v>140</v>
      </c>
      <c r="CX42" s="211">
        <v>17</v>
      </c>
      <c r="CY42" s="186" t="s">
        <v>35</v>
      </c>
      <c r="CZ42" s="9" t="s">
        <v>354</v>
      </c>
      <c r="DA42" s="9" t="s">
        <v>253</v>
      </c>
      <c r="DB42" s="115">
        <v>-0.16</v>
      </c>
    </row>
    <row r="43" spans="1:106" s="73" customFormat="1">
      <c r="A43" s="211">
        <v>39</v>
      </c>
      <c r="B43" s="9" t="s">
        <v>244</v>
      </c>
      <c r="C43" s="9">
        <v>1</v>
      </c>
      <c r="D43" s="8" t="s">
        <v>131</v>
      </c>
      <c r="E43" s="9" t="s">
        <v>147</v>
      </c>
      <c r="F43" s="9" t="s">
        <v>573</v>
      </c>
      <c r="G43" s="342">
        <v>0</v>
      </c>
      <c r="H43" s="344">
        <v>1890240000</v>
      </c>
      <c r="J43" s="211">
        <v>39</v>
      </c>
      <c r="K43" s="9" t="s">
        <v>195</v>
      </c>
      <c r="L43" s="9">
        <v>1</v>
      </c>
      <c r="M43" s="8" t="s">
        <v>95</v>
      </c>
      <c r="N43" s="10" t="s">
        <v>354</v>
      </c>
      <c r="O43" s="10" t="s">
        <v>1998</v>
      </c>
      <c r="P43" s="342">
        <v>0</v>
      </c>
      <c r="Q43" s="361">
        <v>6600000</v>
      </c>
      <c r="S43" s="211">
        <v>39</v>
      </c>
      <c r="T43" s="9" t="s">
        <v>239</v>
      </c>
      <c r="U43" s="9">
        <v>1</v>
      </c>
      <c r="V43" s="8" t="s">
        <v>95</v>
      </c>
      <c r="W43" s="10" t="s">
        <v>357</v>
      </c>
      <c r="X43" s="10" t="s">
        <v>2151</v>
      </c>
      <c r="Y43" s="342">
        <v>0</v>
      </c>
      <c r="Z43" s="361">
        <v>22045650</v>
      </c>
      <c r="AB43" s="211">
        <v>39</v>
      </c>
      <c r="AC43" s="9" t="s">
        <v>240</v>
      </c>
      <c r="AD43" s="9">
        <v>4</v>
      </c>
      <c r="AE43" s="8" t="s">
        <v>95</v>
      </c>
      <c r="AF43" s="10" t="s">
        <v>357</v>
      </c>
      <c r="AG43" s="10" t="s">
        <v>2308</v>
      </c>
      <c r="AH43" s="342">
        <v>0</v>
      </c>
      <c r="AI43" s="361">
        <v>21987900</v>
      </c>
      <c r="AK43" s="211">
        <v>39</v>
      </c>
      <c r="AL43" s="9" t="s">
        <v>58</v>
      </c>
      <c r="AM43" s="9">
        <v>4</v>
      </c>
      <c r="AN43" s="8" t="s">
        <v>96</v>
      </c>
      <c r="AO43" s="10" t="s">
        <v>354</v>
      </c>
      <c r="AP43" s="10" t="s">
        <v>2495</v>
      </c>
      <c r="AQ43" s="342">
        <v>0</v>
      </c>
      <c r="AR43" s="361">
        <v>16170000</v>
      </c>
      <c r="AT43" s="211">
        <v>39</v>
      </c>
      <c r="AU43" s="9" t="s">
        <v>241</v>
      </c>
      <c r="AV43" s="9">
        <v>2</v>
      </c>
      <c r="AW43" s="8" t="s">
        <v>96</v>
      </c>
      <c r="AX43" s="10" t="s">
        <v>354</v>
      </c>
      <c r="AY43" s="10" t="s">
        <v>2624</v>
      </c>
      <c r="AZ43" s="342">
        <v>0</v>
      </c>
      <c r="BA43" s="361">
        <v>23100000</v>
      </c>
      <c r="BC43" s="211">
        <v>39</v>
      </c>
      <c r="BD43" s="53" t="s">
        <v>242</v>
      </c>
      <c r="BE43" s="9">
        <v>3</v>
      </c>
      <c r="BF43" s="8" t="s">
        <v>206</v>
      </c>
      <c r="BG43" s="10" t="s">
        <v>354</v>
      </c>
      <c r="BH43" s="10" t="s">
        <v>2756</v>
      </c>
      <c r="BI43" s="342">
        <v>0</v>
      </c>
      <c r="BJ43" s="361">
        <v>24200000</v>
      </c>
      <c r="BL43" s="211">
        <v>39</v>
      </c>
      <c r="BM43" s="9" t="s">
        <v>242</v>
      </c>
      <c r="BN43" s="9">
        <v>11</v>
      </c>
      <c r="BO43" s="8" t="s">
        <v>24</v>
      </c>
      <c r="BP43" s="9" t="s">
        <v>362</v>
      </c>
      <c r="BQ43" s="9" t="s">
        <v>490</v>
      </c>
      <c r="BR43" s="342">
        <v>0</v>
      </c>
      <c r="BS43" s="344">
        <v>400000</v>
      </c>
      <c r="BU43" s="211">
        <v>39</v>
      </c>
      <c r="BV43" s="9" t="s">
        <v>244</v>
      </c>
      <c r="BW43" s="9">
        <v>5</v>
      </c>
      <c r="BX43" s="8" t="s">
        <v>24</v>
      </c>
      <c r="BY43" s="9" t="s">
        <v>362</v>
      </c>
      <c r="BZ43" s="9" t="s">
        <v>575</v>
      </c>
      <c r="CA43" s="342">
        <v>0</v>
      </c>
      <c r="CB43" s="361">
        <v>4400000</v>
      </c>
      <c r="CD43" s="211">
        <v>39</v>
      </c>
      <c r="CE43" s="211" t="s">
        <v>238</v>
      </c>
      <c r="CF43" s="211">
        <v>10</v>
      </c>
      <c r="CG43" s="8" t="s">
        <v>190</v>
      </c>
      <c r="CH43" s="211" t="s">
        <v>144</v>
      </c>
      <c r="CI43" s="9" t="s">
        <v>191</v>
      </c>
      <c r="CJ43" s="210">
        <v>0</v>
      </c>
      <c r="CK43" s="115">
        <v>50000000</v>
      </c>
      <c r="CM43" s="211">
        <v>4</v>
      </c>
      <c r="CN43" s="9" t="s">
        <v>140</v>
      </c>
      <c r="CO43" s="9">
        <v>1</v>
      </c>
      <c r="CP43" s="8" t="s">
        <v>28</v>
      </c>
      <c r="CQ43" s="9" t="s">
        <v>364</v>
      </c>
      <c r="CR43" s="10" t="s">
        <v>1544</v>
      </c>
      <c r="CS43" s="343">
        <v>0</v>
      </c>
      <c r="CT43" s="345">
        <v>1100000</v>
      </c>
      <c r="CV43" s="211">
        <v>5</v>
      </c>
      <c r="CW43" s="9" t="s">
        <v>194</v>
      </c>
      <c r="CX43" s="9">
        <v>15</v>
      </c>
      <c r="CY43" s="8" t="s">
        <v>35</v>
      </c>
      <c r="CZ43" s="9" t="s">
        <v>354</v>
      </c>
      <c r="DA43" s="9" t="s">
        <v>149</v>
      </c>
      <c r="DB43" s="115">
        <v>-0.08</v>
      </c>
    </row>
    <row r="44" spans="1:106" s="73" customFormat="1">
      <c r="A44" s="211">
        <v>40</v>
      </c>
      <c r="B44" s="211" t="s">
        <v>239</v>
      </c>
      <c r="C44" s="211">
        <v>20</v>
      </c>
      <c r="D44" s="186" t="s">
        <v>112</v>
      </c>
      <c r="E44" s="10" t="s">
        <v>354</v>
      </c>
      <c r="F44" s="10" t="s">
        <v>254</v>
      </c>
      <c r="G44" s="210">
        <v>330</v>
      </c>
      <c r="H44" s="115">
        <v>0</v>
      </c>
      <c r="J44" s="211">
        <v>40</v>
      </c>
      <c r="K44" s="9" t="s">
        <v>195</v>
      </c>
      <c r="L44" s="9">
        <v>1</v>
      </c>
      <c r="M44" s="8" t="s">
        <v>95</v>
      </c>
      <c r="N44" s="10" t="s">
        <v>354</v>
      </c>
      <c r="O44" s="10" t="s">
        <v>1999</v>
      </c>
      <c r="P44" s="342">
        <v>0</v>
      </c>
      <c r="Q44" s="361">
        <v>9900000</v>
      </c>
      <c r="S44" s="211">
        <v>40</v>
      </c>
      <c r="T44" s="9" t="s">
        <v>239</v>
      </c>
      <c r="U44" s="9">
        <v>1</v>
      </c>
      <c r="V44" s="8" t="s">
        <v>95</v>
      </c>
      <c r="W44" s="10" t="s">
        <v>357</v>
      </c>
      <c r="X44" s="10" t="s">
        <v>2152</v>
      </c>
      <c r="Y44" s="342">
        <v>0</v>
      </c>
      <c r="Z44" s="361">
        <v>19106230</v>
      </c>
      <c r="AB44" s="211">
        <v>40</v>
      </c>
      <c r="AC44" s="9" t="s">
        <v>240</v>
      </c>
      <c r="AD44" s="9">
        <v>4</v>
      </c>
      <c r="AE44" s="8" t="s">
        <v>95</v>
      </c>
      <c r="AF44" s="10" t="s">
        <v>357</v>
      </c>
      <c r="AG44" s="10" t="s">
        <v>2314</v>
      </c>
      <c r="AH44" s="342">
        <v>0</v>
      </c>
      <c r="AI44" s="361">
        <v>19056180</v>
      </c>
      <c r="AK44" s="211">
        <v>40</v>
      </c>
      <c r="AL44" s="9" t="s">
        <v>58</v>
      </c>
      <c r="AM44" s="9">
        <v>4</v>
      </c>
      <c r="AN44" s="8" t="s">
        <v>96</v>
      </c>
      <c r="AO44" s="10" t="s">
        <v>354</v>
      </c>
      <c r="AP44" s="10" t="s">
        <v>2497</v>
      </c>
      <c r="AQ44" s="342">
        <v>0</v>
      </c>
      <c r="AR44" s="361">
        <v>12320000</v>
      </c>
      <c r="AT44" s="211">
        <v>40</v>
      </c>
      <c r="AU44" s="9" t="s">
        <v>241</v>
      </c>
      <c r="AV44" s="9">
        <v>2</v>
      </c>
      <c r="AW44" s="8" t="s">
        <v>96</v>
      </c>
      <c r="AX44" s="10" t="s">
        <v>354</v>
      </c>
      <c r="AY44" s="10" t="s">
        <v>2625</v>
      </c>
      <c r="AZ44" s="342">
        <v>0</v>
      </c>
      <c r="BA44" s="361">
        <v>23100000</v>
      </c>
      <c r="BC44" s="211">
        <v>40</v>
      </c>
      <c r="BD44" s="53" t="s">
        <v>242</v>
      </c>
      <c r="BE44" s="9">
        <v>3</v>
      </c>
      <c r="BF44" s="8" t="s">
        <v>206</v>
      </c>
      <c r="BG44" s="10" t="s">
        <v>354</v>
      </c>
      <c r="BH44" s="10" t="s">
        <v>2757</v>
      </c>
      <c r="BI44" s="342">
        <v>0</v>
      </c>
      <c r="BJ44" s="361">
        <v>24200000</v>
      </c>
      <c r="BL44" s="211">
        <v>40</v>
      </c>
      <c r="BM44" s="9" t="s">
        <v>243</v>
      </c>
      <c r="BN44" s="9">
        <v>2</v>
      </c>
      <c r="BO44" s="8" t="s">
        <v>24</v>
      </c>
      <c r="BP44" s="9" t="s">
        <v>362</v>
      </c>
      <c r="BQ44" s="9" t="s">
        <v>523</v>
      </c>
      <c r="BR44" s="342">
        <v>0</v>
      </c>
      <c r="BS44" s="361">
        <v>4400000</v>
      </c>
      <c r="BU44" s="211">
        <v>40</v>
      </c>
      <c r="BV44" s="211" t="s">
        <v>238</v>
      </c>
      <c r="BW44" s="211">
        <v>10</v>
      </c>
      <c r="BX44" s="8" t="s">
        <v>190</v>
      </c>
      <c r="BY44" s="211" t="s">
        <v>144</v>
      </c>
      <c r="BZ44" s="9" t="s">
        <v>191</v>
      </c>
      <c r="CA44" s="210">
        <v>0</v>
      </c>
      <c r="CB44" s="115">
        <v>50000000</v>
      </c>
      <c r="CD44" s="211">
        <v>40</v>
      </c>
      <c r="CE44" s="9" t="s">
        <v>140</v>
      </c>
      <c r="CF44" s="9">
        <v>15</v>
      </c>
      <c r="CG44" s="8" t="s">
        <v>1625</v>
      </c>
      <c r="CH44" s="9" t="s">
        <v>144</v>
      </c>
      <c r="CI44" s="9" t="s">
        <v>1626</v>
      </c>
      <c r="CJ44" s="342">
        <v>0</v>
      </c>
      <c r="CK44" s="344">
        <v>53415450</v>
      </c>
      <c r="CM44" s="1855" t="s">
        <v>68</v>
      </c>
      <c r="CN44" s="1855"/>
      <c r="CO44" s="1855"/>
      <c r="CP44" s="1855"/>
      <c r="CQ44" s="1855"/>
      <c r="CR44" s="1855"/>
      <c r="CS44" s="546">
        <f>SUM(CS40:CS43)</f>
        <v>0</v>
      </c>
      <c r="CT44" s="547">
        <f>SUM(CT40:CT43)</f>
        <v>72600000</v>
      </c>
      <c r="CV44" s="211">
        <v>6</v>
      </c>
      <c r="CW44" s="9" t="s">
        <v>195</v>
      </c>
      <c r="CX44" s="9">
        <v>10</v>
      </c>
      <c r="CY44" s="8" t="s">
        <v>35</v>
      </c>
      <c r="CZ44" s="9" t="s">
        <v>354</v>
      </c>
      <c r="DA44" s="9" t="s">
        <v>150</v>
      </c>
      <c r="DB44" s="115">
        <v>0.52</v>
      </c>
    </row>
    <row r="45" spans="1:106" s="73" customFormat="1">
      <c r="A45" s="211">
        <v>41</v>
      </c>
      <c r="B45" s="53" t="s">
        <v>194</v>
      </c>
      <c r="C45" s="9">
        <v>9</v>
      </c>
      <c r="D45" s="8" t="s">
        <v>121</v>
      </c>
      <c r="E45" s="10" t="s">
        <v>355</v>
      </c>
      <c r="F45" s="10" t="s">
        <v>1832</v>
      </c>
      <c r="G45" s="210">
        <v>0</v>
      </c>
      <c r="H45" s="360">
        <v>57200000</v>
      </c>
      <c r="J45" s="211">
        <v>41</v>
      </c>
      <c r="K45" s="9" t="s">
        <v>195</v>
      </c>
      <c r="L45" s="9">
        <v>1</v>
      </c>
      <c r="M45" s="8" t="s">
        <v>96</v>
      </c>
      <c r="N45" s="10" t="s">
        <v>357</v>
      </c>
      <c r="O45" s="10" t="s">
        <v>1979</v>
      </c>
      <c r="P45" s="210">
        <v>0</v>
      </c>
      <c r="Q45" s="361">
        <v>19089070</v>
      </c>
      <c r="S45" s="211">
        <v>41</v>
      </c>
      <c r="T45" s="9" t="s">
        <v>239</v>
      </c>
      <c r="U45" s="9">
        <v>1</v>
      </c>
      <c r="V45" s="8" t="s">
        <v>95</v>
      </c>
      <c r="W45" s="10" t="s">
        <v>433</v>
      </c>
      <c r="X45" s="10" t="s">
        <v>2153</v>
      </c>
      <c r="Y45" s="342">
        <v>0</v>
      </c>
      <c r="Z45" s="361">
        <v>25300000</v>
      </c>
      <c r="AB45" s="211">
        <v>41</v>
      </c>
      <c r="AC45" s="9" t="s">
        <v>240</v>
      </c>
      <c r="AD45" s="9">
        <v>6</v>
      </c>
      <c r="AE45" s="8" t="s">
        <v>95</v>
      </c>
      <c r="AF45" s="10" t="s">
        <v>354</v>
      </c>
      <c r="AG45" s="10" t="s">
        <v>2315</v>
      </c>
      <c r="AH45" s="342">
        <v>0</v>
      </c>
      <c r="AI45" s="361">
        <v>23100000</v>
      </c>
      <c r="AK45" s="211">
        <v>41</v>
      </c>
      <c r="AL45" s="9" t="s">
        <v>58</v>
      </c>
      <c r="AM45" s="9">
        <v>4</v>
      </c>
      <c r="AN45" s="8" t="s">
        <v>96</v>
      </c>
      <c r="AO45" s="10" t="s">
        <v>354</v>
      </c>
      <c r="AP45" s="10" t="s">
        <v>2500</v>
      </c>
      <c r="AQ45" s="342">
        <v>0</v>
      </c>
      <c r="AR45" s="361">
        <v>10780000</v>
      </c>
      <c r="AT45" s="211">
        <v>41</v>
      </c>
      <c r="AU45" s="9" t="s">
        <v>241</v>
      </c>
      <c r="AV45" s="9">
        <v>2</v>
      </c>
      <c r="AW45" s="8" t="s">
        <v>96</v>
      </c>
      <c r="AX45" s="10" t="s">
        <v>354</v>
      </c>
      <c r="AY45" s="10" t="s">
        <v>2626</v>
      </c>
      <c r="AZ45" s="342">
        <v>0</v>
      </c>
      <c r="BA45" s="361">
        <v>23100000</v>
      </c>
      <c r="BC45" s="211">
        <v>41</v>
      </c>
      <c r="BD45" s="211" t="s">
        <v>239</v>
      </c>
      <c r="BE45" s="211">
        <v>20</v>
      </c>
      <c r="BF45" s="186" t="s">
        <v>112</v>
      </c>
      <c r="BG45" s="10" t="s">
        <v>354</v>
      </c>
      <c r="BH45" s="10" t="s">
        <v>254</v>
      </c>
      <c r="BI45" s="210">
        <v>330</v>
      </c>
      <c r="BJ45" s="115">
        <v>0</v>
      </c>
      <c r="BL45" s="211">
        <v>41</v>
      </c>
      <c r="BM45" s="211" t="s">
        <v>238</v>
      </c>
      <c r="BN45" s="211">
        <v>10</v>
      </c>
      <c r="BO45" s="8" t="s">
        <v>190</v>
      </c>
      <c r="BP45" s="211" t="s">
        <v>144</v>
      </c>
      <c r="BQ45" s="9" t="s">
        <v>191</v>
      </c>
      <c r="BR45" s="210">
        <v>0</v>
      </c>
      <c r="BS45" s="115">
        <v>50000000</v>
      </c>
      <c r="BU45" s="211">
        <v>41</v>
      </c>
      <c r="BV45" s="211" t="s">
        <v>245</v>
      </c>
      <c r="BW45" s="211">
        <v>5</v>
      </c>
      <c r="BX45" s="8" t="s">
        <v>49</v>
      </c>
      <c r="BY45" s="9" t="s">
        <v>355</v>
      </c>
      <c r="BZ45" s="10" t="s">
        <v>246</v>
      </c>
      <c r="CA45" s="210">
        <v>0</v>
      </c>
      <c r="CB45" s="115">
        <v>0.04</v>
      </c>
      <c r="CD45" s="211">
        <v>41</v>
      </c>
      <c r="CE45" s="211" t="s">
        <v>245</v>
      </c>
      <c r="CF45" s="211">
        <v>5</v>
      </c>
      <c r="CG45" s="8" t="s">
        <v>49</v>
      </c>
      <c r="CH45" s="9" t="s">
        <v>355</v>
      </c>
      <c r="CI45" s="10" t="s">
        <v>246</v>
      </c>
      <c r="CJ45" s="210">
        <v>0</v>
      </c>
      <c r="CK45" s="537">
        <v>0.04</v>
      </c>
      <c r="CM45" s="211">
        <v>1</v>
      </c>
      <c r="CN45" s="211" t="s">
        <v>239</v>
      </c>
      <c r="CO45" s="211">
        <v>3</v>
      </c>
      <c r="CP45" s="217" t="s">
        <v>205</v>
      </c>
      <c r="CQ45" s="10" t="s">
        <v>147</v>
      </c>
      <c r="CR45" s="10" t="s">
        <v>249</v>
      </c>
      <c r="CS45" s="210">
        <v>0</v>
      </c>
      <c r="CT45" s="115">
        <v>10500000</v>
      </c>
      <c r="CV45" s="211">
        <v>7</v>
      </c>
      <c r="CW45" s="9" t="s">
        <v>239</v>
      </c>
      <c r="CX45" s="9">
        <v>1</v>
      </c>
      <c r="CY45" s="8" t="s">
        <v>35</v>
      </c>
      <c r="CZ45" s="9" t="s">
        <v>144</v>
      </c>
      <c r="DA45" s="9" t="s">
        <v>401</v>
      </c>
      <c r="DB45" s="115">
        <v>-2.16</v>
      </c>
    </row>
    <row r="46" spans="1:106" s="73" customFormat="1">
      <c r="A46" s="211">
        <v>42</v>
      </c>
      <c r="B46" s="211" t="s">
        <v>241</v>
      </c>
      <c r="C46" s="211">
        <v>19</v>
      </c>
      <c r="D46" s="186" t="s">
        <v>207</v>
      </c>
      <c r="E46" s="211" t="s">
        <v>256</v>
      </c>
      <c r="F46" s="127" t="s">
        <v>255</v>
      </c>
      <c r="G46" s="210">
        <v>0</v>
      </c>
      <c r="H46" s="115">
        <v>13640000</v>
      </c>
      <c r="J46" s="211">
        <v>42</v>
      </c>
      <c r="K46" s="9" t="s">
        <v>195</v>
      </c>
      <c r="L46" s="9">
        <v>1</v>
      </c>
      <c r="M46" s="8" t="s">
        <v>96</v>
      </c>
      <c r="N46" s="10" t="s">
        <v>354</v>
      </c>
      <c r="O46" s="10" t="s">
        <v>1981</v>
      </c>
      <c r="P46" s="210">
        <v>0</v>
      </c>
      <c r="Q46" s="361">
        <v>9900000</v>
      </c>
      <c r="S46" s="211">
        <v>42</v>
      </c>
      <c r="T46" s="9" t="s">
        <v>239</v>
      </c>
      <c r="U46" s="9">
        <v>1</v>
      </c>
      <c r="V46" s="8" t="s">
        <v>95</v>
      </c>
      <c r="W46" s="10" t="s">
        <v>354</v>
      </c>
      <c r="X46" s="10" t="s">
        <v>2154</v>
      </c>
      <c r="Y46" s="342">
        <v>0</v>
      </c>
      <c r="Z46" s="361">
        <v>6600000</v>
      </c>
      <c r="AB46" s="211">
        <v>42</v>
      </c>
      <c r="AC46" s="9" t="s">
        <v>240</v>
      </c>
      <c r="AD46" s="9">
        <v>6</v>
      </c>
      <c r="AE46" s="8" t="s">
        <v>95</v>
      </c>
      <c r="AF46" s="10" t="s">
        <v>354</v>
      </c>
      <c r="AG46" s="10" t="s">
        <v>2316</v>
      </c>
      <c r="AH46" s="342">
        <v>0</v>
      </c>
      <c r="AI46" s="361">
        <v>6600000</v>
      </c>
      <c r="AK46" s="211">
        <v>42</v>
      </c>
      <c r="AL46" s="9" t="s">
        <v>58</v>
      </c>
      <c r="AM46" s="9">
        <v>4</v>
      </c>
      <c r="AN46" s="8" t="s">
        <v>206</v>
      </c>
      <c r="AO46" s="10" t="s">
        <v>144</v>
      </c>
      <c r="AP46" s="10" t="s">
        <v>2522</v>
      </c>
      <c r="AQ46" s="342">
        <v>0</v>
      </c>
      <c r="AR46" s="361">
        <v>5500000</v>
      </c>
      <c r="AT46" s="211">
        <v>42</v>
      </c>
      <c r="AU46" s="9" t="s">
        <v>241</v>
      </c>
      <c r="AV46" s="9">
        <v>2</v>
      </c>
      <c r="AW46" s="8" t="s">
        <v>96</v>
      </c>
      <c r="AX46" s="10" t="s">
        <v>144</v>
      </c>
      <c r="AY46" s="10" t="s">
        <v>2629</v>
      </c>
      <c r="AZ46" s="342">
        <v>0</v>
      </c>
      <c r="BA46" s="361">
        <v>1650000</v>
      </c>
      <c r="BC46" s="211">
        <v>42</v>
      </c>
      <c r="BD46" s="9" t="s">
        <v>241</v>
      </c>
      <c r="BE46" s="9">
        <v>7</v>
      </c>
      <c r="BF46" s="8" t="s">
        <v>121</v>
      </c>
      <c r="BG46" s="10" t="s">
        <v>118</v>
      </c>
      <c r="BH46" s="10" t="s">
        <v>2685</v>
      </c>
      <c r="BI46" s="658">
        <v>0</v>
      </c>
      <c r="BJ46" s="189">
        <v>27504300</v>
      </c>
      <c r="BL46" s="211">
        <v>42</v>
      </c>
      <c r="BM46" s="211" t="s">
        <v>245</v>
      </c>
      <c r="BN46" s="211">
        <v>5</v>
      </c>
      <c r="BO46" s="8" t="s">
        <v>49</v>
      </c>
      <c r="BP46" s="9" t="s">
        <v>355</v>
      </c>
      <c r="BQ46" s="10" t="s">
        <v>246</v>
      </c>
      <c r="BR46" s="210">
        <v>0</v>
      </c>
      <c r="BS46" s="115">
        <v>0.04</v>
      </c>
      <c r="BU46" s="211">
        <v>42</v>
      </c>
      <c r="BV46" s="211" t="s">
        <v>238</v>
      </c>
      <c r="BW46" s="211">
        <v>3</v>
      </c>
      <c r="BX46" s="8" t="s">
        <v>49</v>
      </c>
      <c r="BY46" s="9" t="s">
        <v>355</v>
      </c>
      <c r="BZ46" s="10" t="s">
        <v>247</v>
      </c>
      <c r="CA46" s="210">
        <v>0</v>
      </c>
      <c r="CB46" s="115">
        <v>0.44</v>
      </c>
      <c r="CD46" s="211">
        <v>42</v>
      </c>
      <c r="CE46" s="211" t="s">
        <v>238</v>
      </c>
      <c r="CF46" s="211">
        <v>3</v>
      </c>
      <c r="CG46" s="8" t="s">
        <v>49</v>
      </c>
      <c r="CH46" s="9" t="s">
        <v>355</v>
      </c>
      <c r="CI46" s="10" t="s">
        <v>247</v>
      </c>
      <c r="CJ46" s="210">
        <v>0</v>
      </c>
      <c r="CK46" s="537">
        <v>0.44</v>
      </c>
      <c r="CM46" s="211">
        <v>2</v>
      </c>
      <c r="CN46" s="211" t="s">
        <v>239</v>
      </c>
      <c r="CO46" s="211">
        <v>3</v>
      </c>
      <c r="CP46" s="217" t="s">
        <v>205</v>
      </c>
      <c r="CQ46" s="10" t="s">
        <v>118</v>
      </c>
      <c r="CR46" s="10" t="s">
        <v>250</v>
      </c>
      <c r="CS46" s="210">
        <v>0</v>
      </c>
      <c r="CT46" s="115">
        <v>9106100</v>
      </c>
      <c r="CV46" s="211">
        <v>8</v>
      </c>
      <c r="CW46" s="9" t="s">
        <v>241</v>
      </c>
      <c r="CX46" s="9">
        <v>8</v>
      </c>
      <c r="CY46" s="8" t="s">
        <v>35</v>
      </c>
      <c r="CZ46" s="9" t="s">
        <v>354</v>
      </c>
      <c r="DA46" s="9" t="s">
        <v>477</v>
      </c>
      <c r="DB46" s="344">
        <v>1</v>
      </c>
    </row>
    <row r="47" spans="1:106" s="73" customFormat="1">
      <c r="A47" s="211">
        <v>43</v>
      </c>
      <c r="B47" s="53" t="s">
        <v>194</v>
      </c>
      <c r="C47" s="9">
        <v>9</v>
      </c>
      <c r="D47" s="8" t="s">
        <v>151</v>
      </c>
      <c r="E47" s="10" t="s">
        <v>354</v>
      </c>
      <c r="F47" s="10" t="s">
        <v>1820</v>
      </c>
      <c r="G47" s="210">
        <v>0</v>
      </c>
      <c r="H47" s="360">
        <v>24200000</v>
      </c>
      <c r="J47" s="211">
        <v>43</v>
      </c>
      <c r="K47" s="9" t="s">
        <v>195</v>
      </c>
      <c r="L47" s="9">
        <v>1</v>
      </c>
      <c r="M47" s="8" t="s">
        <v>96</v>
      </c>
      <c r="N47" s="10" t="s">
        <v>354</v>
      </c>
      <c r="O47" s="10" t="s">
        <v>1985</v>
      </c>
      <c r="P47" s="210">
        <v>0</v>
      </c>
      <c r="Q47" s="361">
        <v>9900000</v>
      </c>
      <c r="S47" s="211">
        <v>43</v>
      </c>
      <c r="T47" s="9" t="s">
        <v>239</v>
      </c>
      <c r="U47" s="9">
        <v>1</v>
      </c>
      <c r="V47" s="8" t="s">
        <v>95</v>
      </c>
      <c r="W47" s="10" t="s">
        <v>354</v>
      </c>
      <c r="X47" s="10" t="s">
        <v>2155</v>
      </c>
      <c r="Y47" s="342">
        <v>0</v>
      </c>
      <c r="Z47" s="361">
        <v>9900000</v>
      </c>
      <c r="AB47" s="211">
        <v>43</v>
      </c>
      <c r="AC47" s="9" t="s">
        <v>240</v>
      </c>
      <c r="AD47" s="9">
        <v>6</v>
      </c>
      <c r="AE47" s="8" t="s">
        <v>95</v>
      </c>
      <c r="AF47" s="10" t="s">
        <v>354</v>
      </c>
      <c r="AG47" s="10" t="s">
        <v>2317</v>
      </c>
      <c r="AH47" s="342">
        <v>0</v>
      </c>
      <c r="AI47" s="361">
        <v>25960000</v>
      </c>
      <c r="AK47" s="211">
        <v>43</v>
      </c>
      <c r="AL47" s="9" t="s">
        <v>58</v>
      </c>
      <c r="AM47" s="9">
        <v>4</v>
      </c>
      <c r="AN47" s="8" t="s">
        <v>206</v>
      </c>
      <c r="AO47" s="10" t="s">
        <v>118</v>
      </c>
      <c r="AP47" s="10" t="s">
        <v>2524</v>
      </c>
      <c r="AQ47" s="342">
        <v>0</v>
      </c>
      <c r="AR47" s="361">
        <v>3139809</v>
      </c>
      <c r="AT47" s="211">
        <v>43</v>
      </c>
      <c r="AU47" s="9" t="s">
        <v>58</v>
      </c>
      <c r="AV47" s="9">
        <v>4</v>
      </c>
      <c r="AW47" s="8" t="s">
        <v>206</v>
      </c>
      <c r="AX47" s="10" t="s">
        <v>144</v>
      </c>
      <c r="AY47" s="10" t="s">
        <v>2522</v>
      </c>
      <c r="AZ47" s="342">
        <v>0</v>
      </c>
      <c r="BA47" s="361">
        <v>5500000</v>
      </c>
      <c r="BC47" s="211">
        <v>43</v>
      </c>
      <c r="BD47" s="53" t="s">
        <v>242</v>
      </c>
      <c r="BE47" s="9">
        <v>3</v>
      </c>
      <c r="BF47" s="8" t="s">
        <v>121</v>
      </c>
      <c r="BG47" s="10" t="s">
        <v>355</v>
      </c>
      <c r="BH47" s="10" t="s">
        <v>2843</v>
      </c>
      <c r="BI47" s="658">
        <v>0</v>
      </c>
      <c r="BJ47" s="341">
        <v>62975000</v>
      </c>
      <c r="BL47" s="211">
        <v>43</v>
      </c>
      <c r="BM47" s="211" t="s">
        <v>238</v>
      </c>
      <c r="BN47" s="211">
        <v>3</v>
      </c>
      <c r="BO47" s="8" t="s">
        <v>49</v>
      </c>
      <c r="BP47" s="9" t="s">
        <v>355</v>
      </c>
      <c r="BQ47" s="10" t="s">
        <v>247</v>
      </c>
      <c r="BR47" s="210">
        <v>0</v>
      </c>
      <c r="BS47" s="115">
        <v>0.44</v>
      </c>
      <c r="BU47" s="211">
        <v>43</v>
      </c>
      <c r="BV47" s="211" t="s">
        <v>140</v>
      </c>
      <c r="BW47" s="211">
        <v>2</v>
      </c>
      <c r="BX47" s="8" t="s">
        <v>49</v>
      </c>
      <c r="BY47" s="9" t="s">
        <v>355</v>
      </c>
      <c r="BZ47" s="10" t="s">
        <v>248</v>
      </c>
      <c r="CA47" s="210">
        <v>0</v>
      </c>
      <c r="CB47" s="115">
        <v>0.32</v>
      </c>
      <c r="CD47" s="211">
        <v>43</v>
      </c>
      <c r="CE47" s="211" t="s">
        <v>140</v>
      </c>
      <c r="CF47" s="211">
        <v>2</v>
      </c>
      <c r="CG47" s="8" t="s">
        <v>49</v>
      </c>
      <c r="CH47" s="9" t="s">
        <v>355</v>
      </c>
      <c r="CI47" s="10" t="s">
        <v>248</v>
      </c>
      <c r="CJ47" s="210">
        <v>0</v>
      </c>
      <c r="CK47" s="537">
        <v>0.32</v>
      </c>
      <c r="CM47" s="1855" t="s">
        <v>68</v>
      </c>
      <c r="CN47" s="1855"/>
      <c r="CO47" s="1855"/>
      <c r="CP47" s="1855"/>
      <c r="CQ47" s="1855"/>
      <c r="CR47" s="1855"/>
      <c r="CS47" s="546">
        <f>SUM(CS45:CS46)</f>
        <v>0</v>
      </c>
      <c r="CT47" s="547">
        <f>SUM(CT45:CT46)</f>
        <v>19606100</v>
      </c>
      <c r="CV47" s="1855" t="s">
        <v>68</v>
      </c>
      <c r="CW47" s="1855"/>
      <c r="CX47" s="1855"/>
      <c r="CY47" s="1855"/>
      <c r="CZ47" s="1855"/>
      <c r="DA47" s="1855"/>
      <c r="DB47" s="547">
        <f>SUM(DB39:DB46)</f>
        <v>268267466.12</v>
      </c>
    </row>
    <row r="48" spans="1:106" s="73" customFormat="1">
      <c r="A48" s="211">
        <v>44</v>
      </c>
      <c r="B48" s="53" t="s">
        <v>194</v>
      </c>
      <c r="C48" s="9">
        <v>9</v>
      </c>
      <c r="D48" s="8" t="s">
        <v>117</v>
      </c>
      <c r="E48" s="10" t="s">
        <v>354</v>
      </c>
      <c r="F48" s="10" t="s">
        <v>1806</v>
      </c>
      <c r="G48" s="210">
        <v>0</v>
      </c>
      <c r="H48" s="360">
        <v>24200000</v>
      </c>
      <c r="J48" s="211">
        <v>44</v>
      </c>
      <c r="K48" s="9" t="s">
        <v>195</v>
      </c>
      <c r="L48" s="9">
        <v>1</v>
      </c>
      <c r="M48" s="8" t="s">
        <v>96</v>
      </c>
      <c r="N48" s="10" t="s">
        <v>354</v>
      </c>
      <c r="O48" s="10" t="s">
        <v>1986</v>
      </c>
      <c r="P48" s="210">
        <v>0</v>
      </c>
      <c r="Q48" s="361">
        <v>9900000</v>
      </c>
      <c r="S48" s="211">
        <v>44</v>
      </c>
      <c r="T48" s="9" t="s">
        <v>244</v>
      </c>
      <c r="U48" s="9">
        <v>1</v>
      </c>
      <c r="V48" s="8" t="s">
        <v>131</v>
      </c>
      <c r="W48" s="9" t="s">
        <v>147</v>
      </c>
      <c r="X48" s="9" t="s">
        <v>573</v>
      </c>
      <c r="Y48" s="342">
        <v>0</v>
      </c>
      <c r="Z48" s="344">
        <v>1890240000</v>
      </c>
      <c r="AB48" s="211">
        <v>44</v>
      </c>
      <c r="AC48" s="9" t="s">
        <v>240</v>
      </c>
      <c r="AD48" s="9">
        <v>6</v>
      </c>
      <c r="AE48" s="8" t="s">
        <v>96</v>
      </c>
      <c r="AF48" s="10" t="s">
        <v>357</v>
      </c>
      <c r="AG48" s="10" t="s">
        <v>2162</v>
      </c>
      <c r="AH48" s="342">
        <v>0</v>
      </c>
      <c r="AI48" s="361">
        <v>12099681.517000001</v>
      </c>
      <c r="AK48" s="211">
        <v>44</v>
      </c>
      <c r="AL48" s="9" t="s">
        <v>244</v>
      </c>
      <c r="AM48" s="9">
        <v>1</v>
      </c>
      <c r="AN48" s="8" t="s">
        <v>131</v>
      </c>
      <c r="AO48" s="9" t="s">
        <v>147</v>
      </c>
      <c r="AP48" s="9" t="s">
        <v>573</v>
      </c>
      <c r="AQ48" s="342">
        <v>0</v>
      </c>
      <c r="AR48" s="344">
        <v>1890240000</v>
      </c>
      <c r="AT48" s="211">
        <v>44</v>
      </c>
      <c r="AU48" s="9" t="s">
        <v>58</v>
      </c>
      <c r="AV48" s="9">
        <v>4</v>
      </c>
      <c r="AW48" s="8" t="s">
        <v>206</v>
      </c>
      <c r="AX48" s="10" t="s">
        <v>118</v>
      </c>
      <c r="AY48" s="10" t="s">
        <v>2524</v>
      </c>
      <c r="AZ48" s="342">
        <v>0</v>
      </c>
      <c r="BA48" s="361">
        <v>3139809</v>
      </c>
      <c r="BC48" s="211">
        <v>44</v>
      </c>
      <c r="BD48" s="211" t="s">
        <v>241</v>
      </c>
      <c r="BE48" s="211">
        <v>19</v>
      </c>
      <c r="BF48" s="186" t="s">
        <v>207</v>
      </c>
      <c r="BG48" s="211" t="s">
        <v>256</v>
      </c>
      <c r="BH48" s="127" t="s">
        <v>255</v>
      </c>
      <c r="BI48" s="210">
        <v>0</v>
      </c>
      <c r="BJ48" s="115">
        <v>13640000</v>
      </c>
      <c r="BL48" s="211">
        <v>44</v>
      </c>
      <c r="BM48" s="211" t="s">
        <v>140</v>
      </c>
      <c r="BN48" s="211">
        <v>2</v>
      </c>
      <c r="BO48" s="8" t="s">
        <v>49</v>
      </c>
      <c r="BP48" s="9" t="s">
        <v>355</v>
      </c>
      <c r="BQ48" s="10" t="s">
        <v>248</v>
      </c>
      <c r="BR48" s="210">
        <v>0</v>
      </c>
      <c r="BS48" s="115">
        <v>0.32</v>
      </c>
      <c r="BU48" s="211">
        <v>44</v>
      </c>
      <c r="BV48" s="9" t="s">
        <v>194</v>
      </c>
      <c r="BW48" s="9">
        <v>11</v>
      </c>
      <c r="BX48" s="8" t="s">
        <v>49</v>
      </c>
      <c r="BY48" s="9" t="s">
        <v>355</v>
      </c>
      <c r="BZ48" s="10" t="s">
        <v>145</v>
      </c>
      <c r="CA48" s="210">
        <v>0</v>
      </c>
      <c r="CB48" s="115">
        <v>-0.39999999850988388</v>
      </c>
      <c r="CD48" s="211">
        <v>44</v>
      </c>
      <c r="CE48" s="9" t="s">
        <v>194</v>
      </c>
      <c r="CF48" s="9">
        <v>11</v>
      </c>
      <c r="CG48" s="8" t="s">
        <v>49</v>
      </c>
      <c r="CH48" s="9" t="s">
        <v>355</v>
      </c>
      <c r="CI48" s="10" t="s">
        <v>145</v>
      </c>
      <c r="CJ48" s="210">
        <v>0</v>
      </c>
      <c r="CK48" s="537">
        <v>-0.39999999850988388</v>
      </c>
      <c r="CM48" s="211">
        <v>1</v>
      </c>
      <c r="CN48" s="9" t="s">
        <v>140</v>
      </c>
      <c r="CO48" s="9">
        <v>6</v>
      </c>
      <c r="CP48" s="8" t="s">
        <v>95</v>
      </c>
      <c r="CQ48" s="10" t="s">
        <v>144</v>
      </c>
      <c r="CR48" s="10" t="s">
        <v>1583</v>
      </c>
      <c r="CS48" s="342">
        <v>0</v>
      </c>
      <c r="CT48" s="344">
        <v>3850000</v>
      </c>
      <c r="CV48" s="211">
        <v>1</v>
      </c>
      <c r="CW48" s="9" t="s">
        <v>244</v>
      </c>
      <c r="CX48" s="9">
        <v>15</v>
      </c>
      <c r="CY48" s="8" t="s">
        <v>121</v>
      </c>
      <c r="CZ48" s="10" t="s">
        <v>357</v>
      </c>
      <c r="DA48" s="127" t="s">
        <v>594</v>
      </c>
      <c r="DB48" s="344">
        <v>0.99639999866485596</v>
      </c>
    </row>
    <row r="49" spans="1:106" s="73" customFormat="1">
      <c r="A49" s="211">
        <v>45</v>
      </c>
      <c r="B49" s="53" t="s">
        <v>194</v>
      </c>
      <c r="C49" s="9">
        <v>9</v>
      </c>
      <c r="D49" s="8" t="s">
        <v>117</v>
      </c>
      <c r="E49" s="10" t="s">
        <v>354</v>
      </c>
      <c r="F49" s="10" t="s">
        <v>1807</v>
      </c>
      <c r="G49" s="210">
        <v>0</v>
      </c>
      <c r="H49" s="360">
        <v>24200000</v>
      </c>
      <c r="J49" s="211">
        <v>45</v>
      </c>
      <c r="K49" s="9" t="s">
        <v>195</v>
      </c>
      <c r="L49" s="9">
        <v>1</v>
      </c>
      <c r="M49" s="8" t="s">
        <v>206</v>
      </c>
      <c r="N49" s="10" t="s">
        <v>354</v>
      </c>
      <c r="O49" s="10" t="s">
        <v>2002</v>
      </c>
      <c r="P49" s="342">
        <v>0</v>
      </c>
      <c r="Q49" s="361">
        <v>24200000</v>
      </c>
      <c r="S49" s="211">
        <v>45</v>
      </c>
      <c r="T49" s="211" t="s">
        <v>239</v>
      </c>
      <c r="U49" s="211">
        <v>20</v>
      </c>
      <c r="V49" s="186" t="s">
        <v>112</v>
      </c>
      <c r="W49" s="10" t="s">
        <v>354</v>
      </c>
      <c r="X49" s="10" t="s">
        <v>254</v>
      </c>
      <c r="Y49" s="210">
        <v>330</v>
      </c>
      <c r="Z49" s="115">
        <v>0</v>
      </c>
      <c r="AB49" s="211">
        <v>45</v>
      </c>
      <c r="AC49" s="9" t="s">
        <v>240</v>
      </c>
      <c r="AD49" s="9">
        <v>4</v>
      </c>
      <c r="AE49" s="8" t="s">
        <v>96</v>
      </c>
      <c r="AF49" s="10" t="s">
        <v>354</v>
      </c>
      <c r="AG49" s="10" t="s">
        <v>2296</v>
      </c>
      <c r="AH49" s="342">
        <v>0</v>
      </c>
      <c r="AI49" s="361">
        <v>3300000</v>
      </c>
      <c r="AK49" s="211">
        <v>45</v>
      </c>
      <c r="AL49" s="211" t="s">
        <v>239</v>
      </c>
      <c r="AM49" s="211">
        <v>20</v>
      </c>
      <c r="AN49" s="186" t="s">
        <v>112</v>
      </c>
      <c r="AO49" s="10" t="s">
        <v>354</v>
      </c>
      <c r="AP49" s="10" t="s">
        <v>254</v>
      </c>
      <c r="AQ49" s="210">
        <v>330</v>
      </c>
      <c r="AR49" s="115">
        <v>0</v>
      </c>
      <c r="AT49" s="211">
        <v>45</v>
      </c>
      <c r="AU49" s="9" t="s">
        <v>241</v>
      </c>
      <c r="AV49" s="9">
        <v>2</v>
      </c>
      <c r="AW49" s="8" t="s">
        <v>206</v>
      </c>
      <c r="AX49" s="10" t="s">
        <v>354</v>
      </c>
      <c r="AY49" s="10" t="s">
        <v>2613</v>
      </c>
      <c r="AZ49" s="342">
        <v>0</v>
      </c>
      <c r="BA49" s="361">
        <v>24200000</v>
      </c>
      <c r="BC49" s="211">
        <v>45</v>
      </c>
      <c r="BD49" s="53" t="s">
        <v>242</v>
      </c>
      <c r="BE49" s="9">
        <v>3</v>
      </c>
      <c r="BF49" s="8" t="s">
        <v>151</v>
      </c>
      <c r="BG49" s="10" t="s">
        <v>354</v>
      </c>
      <c r="BH49" s="10" t="s">
        <v>2758</v>
      </c>
      <c r="BI49" s="342">
        <v>0</v>
      </c>
      <c r="BJ49" s="361">
        <v>24200000</v>
      </c>
      <c r="BL49" s="211">
        <v>45</v>
      </c>
      <c r="BM49" s="9" t="s">
        <v>194</v>
      </c>
      <c r="BN49" s="9">
        <v>11</v>
      </c>
      <c r="BO49" s="8" t="s">
        <v>49</v>
      </c>
      <c r="BP49" s="9" t="s">
        <v>355</v>
      </c>
      <c r="BQ49" s="10" t="s">
        <v>145</v>
      </c>
      <c r="BR49" s="210">
        <v>0</v>
      </c>
      <c r="BS49" s="115">
        <v>-0.39999999850988388</v>
      </c>
      <c r="BU49" s="211">
        <v>45</v>
      </c>
      <c r="BV49" s="9" t="s">
        <v>195</v>
      </c>
      <c r="BW49" s="9">
        <v>3</v>
      </c>
      <c r="BX49" s="8" t="s">
        <v>49</v>
      </c>
      <c r="BY49" s="9" t="s">
        <v>355</v>
      </c>
      <c r="BZ49" s="10" t="s">
        <v>146</v>
      </c>
      <c r="CA49" s="210">
        <v>0</v>
      </c>
      <c r="CB49" s="115">
        <v>0.32000000029802322</v>
      </c>
      <c r="CD49" s="211">
        <v>45</v>
      </c>
      <c r="CE49" s="9" t="s">
        <v>195</v>
      </c>
      <c r="CF49" s="9">
        <v>3</v>
      </c>
      <c r="CG49" s="8" t="s">
        <v>49</v>
      </c>
      <c r="CH49" s="9" t="s">
        <v>355</v>
      </c>
      <c r="CI49" s="10" t="s">
        <v>146</v>
      </c>
      <c r="CJ49" s="210">
        <v>0</v>
      </c>
      <c r="CK49" s="537">
        <v>0.32000000029802322</v>
      </c>
      <c r="CM49" s="211">
        <v>2</v>
      </c>
      <c r="CN49" s="9" t="s">
        <v>140</v>
      </c>
      <c r="CO49" s="9">
        <v>6</v>
      </c>
      <c r="CP49" s="8" t="s">
        <v>95</v>
      </c>
      <c r="CQ49" s="10" t="s">
        <v>118</v>
      </c>
      <c r="CR49" s="10" t="s">
        <v>1584</v>
      </c>
      <c r="CS49" s="342">
        <v>0</v>
      </c>
      <c r="CT49" s="344">
        <v>532000</v>
      </c>
      <c r="CV49" s="1855" t="s">
        <v>68</v>
      </c>
      <c r="CW49" s="1855"/>
      <c r="CX49" s="1855"/>
      <c r="CY49" s="1855"/>
      <c r="CZ49" s="1855"/>
      <c r="DA49" s="1855"/>
      <c r="DB49" s="547">
        <f>SUM(DB48)</f>
        <v>0.99639999866485596</v>
      </c>
    </row>
    <row r="50" spans="1:106" s="73" customFormat="1">
      <c r="A50" s="211">
        <v>46</v>
      </c>
      <c r="B50" s="9" t="s">
        <v>194</v>
      </c>
      <c r="C50" s="9">
        <v>4</v>
      </c>
      <c r="D50" s="8" t="s">
        <v>387</v>
      </c>
      <c r="E50" s="9" t="s">
        <v>388</v>
      </c>
      <c r="F50" s="10" t="s">
        <v>389</v>
      </c>
      <c r="G50" s="210">
        <v>0</v>
      </c>
      <c r="H50" s="115">
        <v>696000000</v>
      </c>
      <c r="J50" s="211">
        <v>46</v>
      </c>
      <c r="K50" s="9" t="s">
        <v>195</v>
      </c>
      <c r="L50" s="9">
        <v>1</v>
      </c>
      <c r="M50" s="8" t="s">
        <v>206</v>
      </c>
      <c r="N50" s="10" t="s">
        <v>354</v>
      </c>
      <c r="O50" s="10" t="s">
        <v>2004</v>
      </c>
      <c r="P50" s="342">
        <v>0</v>
      </c>
      <c r="Q50" s="361">
        <v>24200000</v>
      </c>
      <c r="S50" s="211">
        <v>46</v>
      </c>
      <c r="T50" s="9" t="s">
        <v>195</v>
      </c>
      <c r="U50" s="9">
        <v>6</v>
      </c>
      <c r="V50" s="8" t="s">
        <v>121</v>
      </c>
      <c r="W50" s="10" t="s">
        <v>144</v>
      </c>
      <c r="X50" s="10" t="s">
        <v>2042</v>
      </c>
      <c r="Y50" s="210">
        <v>0</v>
      </c>
      <c r="Z50" s="361">
        <v>11000000</v>
      </c>
      <c r="AB50" s="211">
        <v>46</v>
      </c>
      <c r="AC50" s="9" t="s">
        <v>240</v>
      </c>
      <c r="AD50" s="9">
        <v>4</v>
      </c>
      <c r="AE50" s="8" t="s">
        <v>96</v>
      </c>
      <c r="AF50" s="10" t="s">
        <v>354</v>
      </c>
      <c r="AG50" s="10" t="s">
        <v>2298</v>
      </c>
      <c r="AH50" s="342">
        <v>0</v>
      </c>
      <c r="AI50" s="361">
        <v>17710000</v>
      </c>
      <c r="AK50" s="211">
        <v>46</v>
      </c>
      <c r="AL50" s="9" t="s">
        <v>239</v>
      </c>
      <c r="AM50" s="9">
        <v>21</v>
      </c>
      <c r="AN50" s="8" t="s">
        <v>121</v>
      </c>
      <c r="AO50" s="10" t="s">
        <v>144</v>
      </c>
      <c r="AP50" s="10" t="s">
        <v>2213</v>
      </c>
      <c r="AQ50" s="342">
        <v>0</v>
      </c>
      <c r="AR50" s="361">
        <v>3300000</v>
      </c>
      <c r="AT50" s="211">
        <v>46</v>
      </c>
      <c r="AU50" s="9" t="s">
        <v>241</v>
      </c>
      <c r="AV50" s="9">
        <v>2</v>
      </c>
      <c r="AW50" s="8" t="s">
        <v>206</v>
      </c>
      <c r="AX50" s="10" t="s">
        <v>354</v>
      </c>
      <c r="AY50" s="10" t="s">
        <v>2614</v>
      </c>
      <c r="AZ50" s="342">
        <v>0</v>
      </c>
      <c r="BA50" s="361">
        <v>24200000</v>
      </c>
      <c r="BC50" s="211">
        <v>46</v>
      </c>
      <c r="BD50" s="53" t="s">
        <v>242</v>
      </c>
      <c r="BE50" s="9">
        <v>3</v>
      </c>
      <c r="BF50" s="8" t="s">
        <v>117</v>
      </c>
      <c r="BG50" s="10" t="s">
        <v>354</v>
      </c>
      <c r="BH50" s="10" t="s">
        <v>2759</v>
      </c>
      <c r="BI50" s="210">
        <v>0</v>
      </c>
      <c r="BJ50" s="115">
        <v>24200000</v>
      </c>
      <c r="BL50" s="211">
        <v>46</v>
      </c>
      <c r="BM50" s="9" t="s">
        <v>195</v>
      </c>
      <c r="BN50" s="9">
        <v>3</v>
      </c>
      <c r="BO50" s="8" t="s">
        <v>49</v>
      </c>
      <c r="BP50" s="9" t="s">
        <v>355</v>
      </c>
      <c r="BQ50" s="10" t="s">
        <v>146</v>
      </c>
      <c r="BR50" s="210">
        <v>0</v>
      </c>
      <c r="BS50" s="115">
        <v>0.32000000029802322</v>
      </c>
      <c r="BU50" s="211">
        <v>46</v>
      </c>
      <c r="BV50" s="9" t="s">
        <v>240</v>
      </c>
      <c r="BW50" s="9">
        <v>7</v>
      </c>
      <c r="BX50" s="8" t="s">
        <v>49</v>
      </c>
      <c r="BY50" s="9" t="s">
        <v>355</v>
      </c>
      <c r="BZ50" s="10" t="s">
        <v>410</v>
      </c>
      <c r="CA50" s="210">
        <v>0</v>
      </c>
      <c r="CB50" s="344">
        <v>-0.2800000011920929</v>
      </c>
      <c r="CD50" s="211">
        <v>46</v>
      </c>
      <c r="CE50" s="9" t="s">
        <v>240</v>
      </c>
      <c r="CF50" s="9">
        <v>7</v>
      </c>
      <c r="CG50" s="8" t="s">
        <v>49</v>
      </c>
      <c r="CH50" s="9" t="s">
        <v>355</v>
      </c>
      <c r="CI50" s="10" t="s">
        <v>410</v>
      </c>
      <c r="CJ50" s="210">
        <v>0</v>
      </c>
      <c r="CK50" s="538">
        <v>-0.2800000011920929</v>
      </c>
      <c r="CM50" s="211">
        <v>3</v>
      </c>
      <c r="CN50" s="9" t="s">
        <v>140</v>
      </c>
      <c r="CO50" s="9">
        <v>6</v>
      </c>
      <c r="CP50" s="8" t="s">
        <v>95</v>
      </c>
      <c r="CQ50" s="10" t="s">
        <v>118</v>
      </c>
      <c r="CR50" s="10" t="s">
        <v>1585</v>
      </c>
      <c r="CS50" s="342">
        <v>0</v>
      </c>
      <c r="CT50" s="344">
        <v>532000</v>
      </c>
      <c r="CV50" s="211">
        <v>1</v>
      </c>
      <c r="CW50" s="9" t="s">
        <v>140</v>
      </c>
      <c r="CX50" s="9">
        <v>16</v>
      </c>
      <c r="CY50" s="8" t="s">
        <v>1655</v>
      </c>
      <c r="CZ50" s="10"/>
      <c r="DA50" s="527" t="s">
        <v>1656</v>
      </c>
      <c r="DB50" s="344">
        <v>-70697.199999988079</v>
      </c>
    </row>
    <row r="51" spans="1:106" s="73" customFormat="1">
      <c r="A51" s="211">
        <v>47</v>
      </c>
      <c r="B51" s="53" t="s">
        <v>194</v>
      </c>
      <c r="C51" s="9">
        <v>12</v>
      </c>
      <c r="D51" s="8" t="s">
        <v>40</v>
      </c>
      <c r="E51" s="10" t="s">
        <v>144</v>
      </c>
      <c r="F51" s="10" t="s">
        <v>1855</v>
      </c>
      <c r="G51" s="210">
        <v>0</v>
      </c>
      <c r="H51" s="361">
        <v>14850000</v>
      </c>
      <c r="J51" s="211">
        <v>47</v>
      </c>
      <c r="K51" s="9" t="s">
        <v>195</v>
      </c>
      <c r="L51" s="9">
        <v>1</v>
      </c>
      <c r="M51" s="8" t="s">
        <v>206</v>
      </c>
      <c r="N51" s="10" t="s">
        <v>354</v>
      </c>
      <c r="O51" s="10" t="s">
        <v>2005</v>
      </c>
      <c r="P51" s="342">
        <v>0</v>
      </c>
      <c r="Q51" s="361">
        <v>24200000</v>
      </c>
      <c r="S51" s="211">
        <v>47</v>
      </c>
      <c r="T51" s="9" t="s">
        <v>195</v>
      </c>
      <c r="U51" s="9">
        <v>6</v>
      </c>
      <c r="V51" s="8" t="s">
        <v>121</v>
      </c>
      <c r="W51" s="10" t="s">
        <v>355</v>
      </c>
      <c r="X51" s="10" t="s">
        <v>2043</v>
      </c>
      <c r="Y51" s="210">
        <v>0</v>
      </c>
      <c r="Z51" s="361">
        <v>69300000</v>
      </c>
      <c r="AB51" s="211">
        <v>47</v>
      </c>
      <c r="AC51" s="9" t="s">
        <v>240</v>
      </c>
      <c r="AD51" s="9">
        <v>4</v>
      </c>
      <c r="AE51" s="8" t="s">
        <v>96</v>
      </c>
      <c r="AF51" s="10" t="s">
        <v>354</v>
      </c>
      <c r="AG51" s="10" t="s">
        <v>2299</v>
      </c>
      <c r="AH51" s="342">
        <v>0</v>
      </c>
      <c r="AI51" s="361">
        <v>19360000</v>
      </c>
      <c r="AK51" s="211">
        <v>47</v>
      </c>
      <c r="AL51" s="9" t="s">
        <v>240</v>
      </c>
      <c r="AM51" s="9">
        <v>18</v>
      </c>
      <c r="AN51" s="8" t="s">
        <v>121</v>
      </c>
      <c r="AO51" s="10" t="s">
        <v>355</v>
      </c>
      <c r="AP51" s="10" t="s">
        <v>2246</v>
      </c>
      <c r="AQ51" s="658">
        <v>0</v>
      </c>
      <c r="AR51" s="189">
        <v>59125000</v>
      </c>
      <c r="AT51" s="211">
        <v>47</v>
      </c>
      <c r="AU51" s="9" t="s">
        <v>241</v>
      </c>
      <c r="AV51" s="9">
        <v>2</v>
      </c>
      <c r="AW51" s="8" t="s">
        <v>206</v>
      </c>
      <c r="AX51" s="10" t="s">
        <v>354</v>
      </c>
      <c r="AY51" s="10" t="s">
        <v>2615</v>
      </c>
      <c r="AZ51" s="342">
        <v>0</v>
      </c>
      <c r="BA51" s="361">
        <v>24200000</v>
      </c>
      <c r="BC51" s="211">
        <v>47</v>
      </c>
      <c r="BD51" s="53" t="s">
        <v>242</v>
      </c>
      <c r="BE51" s="9">
        <v>4</v>
      </c>
      <c r="BF51" s="8" t="s">
        <v>117</v>
      </c>
      <c r="BG51" s="10" t="s">
        <v>354</v>
      </c>
      <c r="BH51" s="10" t="s">
        <v>2760</v>
      </c>
      <c r="BI51" s="210">
        <v>0</v>
      </c>
      <c r="BJ51" s="115">
        <v>24200000</v>
      </c>
      <c r="BL51" s="211">
        <v>47</v>
      </c>
      <c r="BM51" s="9" t="s">
        <v>240</v>
      </c>
      <c r="BN51" s="9">
        <v>7</v>
      </c>
      <c r="BO51" s="8" t="s">
        <v>49</v>
      </c>
      <c r="BP51" s="9" t="s">
        <v>355</v>
      </c>
      <c r="BQ51" s="10" t="s">
        <v>410</v>
      </c>
      <c r="BR51" s="210">
        <v>0</v>
      </c>
      <c r="BS51" s="344">
        <v>-0.2800000011920929</v>
      </c>
      <c r="BU51" s="211">
        <v>47</v>
      </c>
      <c r="BV51" s="9" t="s">
        <v>240</v>
      </c>
      <c r="BW51" s="9">
        <v>7</v>
      </c>
      <c r="BX51" s="8" t="s">
        <v>49</v>
      </c>
      <c r="BY51" s="9" t="s">
        <v>355</v>
      </c>
      <c r="BZ51" s="10" t="s">
        <v>411</v>
      </c>
      <c r="CA51" s="210">
        <v>0</v>
      </c>
      <c r="CB51" s="344">
        <v>-0.19999999925494194</v>
      </c>
      <c r="CD51" s="211">
        <v>47</v>
      </c>
      <c r="CE51" s="9" t="s">
        <v>240</v>
      </c>
      <c r="CF51" s="9">
        <v>7</v>
      </c>
      <c r="CG51" s="8" t="s">
        <v>49</v>
      </c>
      <c r="CH51" s="9" t="s">
        <v>355</v>
      </c>
      <c r="CI51" s="10" t="s">
        <v>411</v>
      </c>
      <c r="CJ51" s="210">
        <v>0</v>
      </c>
      <c r="CK51" s="538">
        <v>-0.19999999925494194</v>
      </c>
      <c r="CM51" s="1855" t="s">
        <v>68</v>
      </c>
      <c r="CN51" s="1855"/>
      <c r="CO51" s="1855"/>
      <c r="CP51" s="1855"/>
      <c r="CQ51" s="1855"/>
      <c r="CR51" s="1855"/>
      <c r="CS51" s="546">
        <f>SUM(CS48:CS50)</f>
        <v>0</v>
      </c>
      <c r="CT51" s="547">
        <f>SUM(CT48:CT50)</f>
        <v>4914000</v>
      </c>
      <c r="CV51" s="211">
        <v>2</v>
      </c>
      <c r="CW51" s="9" t="s">
        <v>140</v>
      </c>
      <c r="CX51" s="9">
        <v>20</v>
      </c>
      <c r="CY51" s="8" t="s">
        <v>1655</v>
      </c>
      <c r="CZ51" s="10"/>
      <c r="DA51" s="527" t="s">
        <v>1657</v>
      </c>
      <c r="DB51" s="344">
        <v>-67124.654399991035</v>
      </c>
    </row>
    <row r="52" spans="1:106" s="73" customFormat="1">
      <c r="A52" s="211">
        <v>48</v>
      </c>
      <c r="B52" s="53" t="s">
        <v>194</v>
      </c>
      <c r="C52" s="9">
        <v>31</v>
      </c>
      <c r="D52" s="8" t="s">
        <v>159</v>
      </c>
      <c r="E52" s="9" t="s">
        <v>355</v>
      </c>
      <c r="F52" s="10" t="s">
        <v>1930</v>
      </c>
      <c r="G52" s="210">
        <v>0</v>
      </c>
      <c r="H52" s="361">
        <v>14630000</v>
      </c>
      <c r="J52" s="211">
        <v>48</v>
      </c>
      <c r="K52" s="9" t="s">
        <v>195</v>
      </c>
      <c r="L52" s="9">
        <v>1</v>
      </c>
      <c r="M52" s="8" t="s">
        <v>206</v>
      </c>
      <c r="N52" s="10" t="s">
        <v>354</v>
      </c>
      <c r="O52" s="10" t="s">
        <v>2006</v>
      </c>
      <c r="P52" s="342">
        <v>0</v>
      </c>
      <c r="Q52" s="361">
        <v>24200000</v>
      </c>
      <c r="S52" s="211">
        <v>48</v>
      </c>
      <c r="T52" s="9" t="s">
        <v>239</v>
      </c>
      <c r="U52" s="9">
        <v>1</v>
      </c>
      <c r="V52" s="8" t="s">
        <v>121</v>
      </c>
      <c r="W52" s="10" t="s">
        <v>355</v>
      </c>
      <c r="X52" s="10" t="s">
        <v>2111</v>
      </c>
      <c r="Y52" s="342">
        <v>0</v>
      </c>
      <c r="Z52" s="361">
        <v>69300000</v>
      </c>
      <c r="AB52" s="211">
        <v>48</v>
      </c>
      <c r="AC52" s="9" t="s">
        <v>240</v>
      </c>
      <c r="AD52" s="9">
        <v>4</v>
      </c>
      <c r="AE52" s="8" t="s">
        <v>96</v>
      </c>
      <c r="AF52" s="10" t="s">
        <v>354</v>
      </c>
      <c r="AG52" s="10" t="s">
        <v>2300</v>
      </c>
      <c r="AH52" s="342">
        <v>0</v>
      </c>
      <c r="AI52" s="361">
        <v>20020000</v>
      </c>
      <c r="AK52" s="211">
        <v>48</v>
      </c>
      <c r="AL52" s="9" t="s">
        <v>58</v>
      </c>
      <c r="AM52" s="9">
        <v>30</v>
      </c>
      <c r="AN52" s="8" t="s">
        <v>121</v>
      </c>
      <c r="AO52" s="10" t="s">
        <v>355</v>
      </c>
      <c r="AP52" s="10" t="s">
        <v>2684</v>
      </c>
      <c r="AQ52" s="658">
        <v>0</v>
      </c>
      <c r="AR52" s="189">
        <v>30112500</v>
      </c>
      <c r="AT52" s="211">
        <v>48</v>
      </c>
      <c r="AU52" s="9" t="s">
        <v>241</v>
      </c>
      <c r="AV52" s="9">
        <v>2</v>
      </c>
      <c r="AW52" s="8" t="s">
        <v>206</v>
      </c>
      <c r="AX52" s="10" t="s">
        <v>354</v>
      </c>
      <c r="AY52" s="10" t="s">
        <v>2616</v>
      </c>
      <c r="AZ52" s="342">
        <v>0</v>
      </c>
      <c r="BA52" s="361">
        <v>24200000</v>
      </c>
      <c r="BC52" s="211">
        <v>48</v>
      </c>
      <c r="BD52" s="9" t="s">
        <v>194</v>
      </c>
      <c r="BE52" s="9">
        <v>4</v>
      </c>
      <c r="BF52" s="8" t="s">
        <v>387</v>
      </c>
      <c r="BG52" s="9" t="s">
        <v>388</v>
      </c>
      <c r="BH52" s="10" t="s">
        <v>389</v>
      </c>
      <c r="BI52" s="210">
        <v>0</v>
      </c>
      <c r="BJ52" s="115">
        <v>696000000</v>
      </c>
      <c r="BL52" s="211">
        <v>48</v>
      </c>
      <c r="BM52" s="9" t="s">
        <v>240</v>
      </c>
      <c r="BN52" s="9">
        <v>7</v>
      </c>
      <c r="BO52" s="8" t="s">
        <v>49</v>
      </c>
      <c r="BP52" s="9" t="s">
        <v>355</v>
      </c>
      <c r="BQ52" s="10" t="s">
        <v>411</v>
      </c>
      <c r="BR52" s="210">
        <v>0</v>
      </c>
      <c r="BS52" s="344">
        <v>-0.19999999925494194</v>
      </c>
      <c r="BU52" s="211">
        <v>48</v>
      </c>
      <c r="BV52" s="9" t="s">
        <v>241</v>
      </c>
      <c r="BW52" s="9">
        <v>15</v>
      </c>
      <c r="BX52" s="8" t="s">
        <v>49</v>
      </c>
      <c r="BY52" s="9" t="s">
        <v>355</v>
      </c>
      <c r="BZ52" s="10" t="s">
        <v>483</v>
      </c>
      <c r="CA52" s="210">
        <v>0</v>
      </c>
      <c r="CB52" s="344">
        <v>0.19999999925494194</v>
      </c>
      <c r="CD52" s="211">
        <v>48</v>
      </c>
      <c r="CE52" s="9" t="s">
        <v>241</v>
      </c>
      <c r="CF52" s="9">
        <v>15</v>
      </c>
      <c r="CG52" s="8" t="s">
        <v>49</v>
      </c>
      <c r="CH52" s="9" t="s">
        <v>355</v>
      </c>
      <c r="CI52" s="10" t="s">
        <v>483</v>
      </c>
      <c r="CJ52" s="210">
        <v>0</v>
      </c>
      <c r="CK52" s="538">
        <v>0.19999999925494194</v>
      </c>
      <c r="CM52" s="211">
        <v>1</v>
      </c>
      <c r="CN52" s="9" t="s">
        <v>238</v>
      </c>
      <c r="CO52" s="9">
        <v>15</v>
      </c>
      <c r="CP52" s="8" t="s">
        <v>591</v>
      </c>
      <c r="CQ52" s="9" t="s">
        <v>62</v>
      </c>
      <c r="CR52" s="9" t="s">
        <v>780</v>
      </c>
      <c r="CS52" s="342">
        <v>0</v>
      </c>
      <c r="CT52" s="344">
        <v>30800000</v>
      </c>
      <c r="CV52" s="211">
        <v>3</v>
      </c>
      <c r="CW52" s="9" t="s">
        <v>140</v>
      </c>
      <c r="CX52" s="9">
        <v>20</v>
      </c>
      <c r="CY52" s="8" t="s">
        <v>1655</v>
      </c>
      <c r="CZ52" s="10"/>
      <c r="DA52" s="527" t="s">
        <v>1658</v>
      </c>
      <c r="DB52" s="344">
        <v>-71113.991200000048</v>
      </c>
    </row>
    <row r="53" spans="1:106" s="73" customFormat="1">
      <c r="A53" s="211">
        <v>49</v>
      </c>
      <c r="B53" s="53" t="s">
        <v>194</v>
      </c>
      <c r="C53" s="9">
        <v>31</v>
      </c>
      <c r="D53" s="8" t="s">
        <v>159</v>
      </c>
      <c r="E53" s="9" t="s">
        <v>364</v>
      </c>
      <c r="F53" s="10" t="s">
        <v>1932</v>
      </c>
      <c r="G53" s="210">
        <v>0</v>
      </c>
      <c r="H53" s="361">
        <v>550000</v>
      </c>
      <c r="J53" s="211">
        <v>49</v>
      </c>
      <c r="K53" s="9" t="s">
        <v>244</v>
      </c>
      <c r="L53" s="9">
        <v>1</v>
      </c>
      <c r="M53" s="8" t="s">
        <v>131</v>
      </c>
      <c r="N53" s="9" t="s">
        <v>147</v>
      </c>
      <c r="O53" s="9" t="s">
        <v>573</v>
      </c>
      <c r="P53" s="342">
        <v>0</v>
      </c>
      <c r="Q53" s="344">
        <v>1890240000</v>
      </c>
      <c r="S53" s="211">
        <v>49</v>
      </c>
      <c r="T53" s="9" t="s">
        <v>239</v>
      </c>
      <c r="U53" s="9">
        <v>21</v>
      </c>
      <c r="V53" s="8" t="s">
        <v>121</v>
      </c>
      <c r="W53" s="10" t="s">
        <v>144</v>
      </c>
      <c r="X53" s="10" t="s">
        <v>2213</v>
      </c>
      <c r="Y53" s="342">
        <v>0</v>
      </c>
      <c r="Z53" s="361">
        <v>3300000</v>
      </c>
      <c r="AB53" s="211">
        <v>49</v>
      </c>
      <c r="AC53" s="9" t="s">
        <v>240</v>
      </c>
      <c r="AD53" s="9">
        <v>3</v>
      </c>
      <c r="AE53" s="8" t="s">
        <v>206</v>
      </c>
      <c r="AF53" s="10" t="s">
        <v>354</v>
      </c>
      <c r="AG53" s="10" t="s">
        <v>2265</v>
      </c>
      <c r="AH53" s="342">
        <v>0</v>
      </c>
      <c r="AI53" s="361">
        <v>24200000</v>
      </c>
      <c r="AK53" s="211">
        <v>49</v>
      </c>
      <c r="AL53" s="211" t="s">
        <v>241</v>
      </c>
      <c r="AM53" s="211">
        <v>19</v>
      </c>
      <c r="AN53" s="186" t="s">
        <v>207</v>
      </c>
      <c r="AO53" s="211" t="s">
        <v>256</v>
      </c>
      <c r="AP53" s="127" t="s">
        <v>255</v>
      </c>
      <c r="AQ53" s="210">
        <v>0</v>
      </c>
      <c r="AR53" s="115">
        <v>13640000</v>
      </c>
      <c r="AT53" s="211">
        <v>49</v>
      </c>
      <c r="AU53" s="211" t="s">
        <v>239</v>
      </c>
      <c r="AV53" s="211">
        <v>20</v>
      </c>
      <c r="AW53" s="186" t="s">
        <v>112</v>
      </c>
      <c r="AX53" s="10" t="s">
        <v>354</v>
      </c>
      <c r="AY53" s="10" t="s">
        <v>254</v>
      </c>
      <c r="AZ53" s="210">
        <v>330</v>
      </c>
      <c r="BA53" s="115">
        <v>0</v>
      </c>
      <c r="BC53" s="211">
        <v>49</v>
      </c>
      <c r="BD53" s="53" t="s">
        <v>242</v>
      </c>
      <c r="BE53" s="9">
        <v>13</v>
      </c>
      <c r="BF53" s="8" t="s">
        <v>40</v>
      </c>
      <c r="BG53" s="10" t="s">
        <v>147</v>
      </c>
      <c r="BH53" s="10" t="s">
        <v>2859</v>
      </c>
      <c r="BI53" s="342">
        <v>0</v>
      </c>
      <c r="BJ53" s="344">
        <v>6050000</v>
      </c>
      <c r="BL53" s="211">
        <v>49</v>
      </c>
      <c r="BM53" s="9" t="s">
        <v>241</v>
      </c>
      <c r="BN53" s="9">
        <v>15</v>
      </c>
      <c r="BO53" s="8" t="s">
        <v>49</v>
      </c>
      <c r="BP53" s="9" t="s">
        <v>355</v>
      </c>
      <c r="BQ53" s="10" t="s">
        <v>483</v>
      </c>
      <c r="BR53" s="210">
        <v>0</v>
      </c>
      <c r="BS53" s="344">
        <v>0.19999999925494194</v>
      </c>
      <c r="BU53" s="211">
        <v>49</v>
      </c>
      <c r="BV53" s="9" t="s">
        <v>241</v>
      </c>
      <c r="BW53" s="9">
        <v>15</v>
      </c>
      <c r="BX53" s="8" t="s">
        <v>49</v>
      </c>
      <c r="BY53" s="9" t="s">
        <v>355</v>
      </c>
      <c r="BZ53" s="10" t="s">
        <v>484</v>
      </c>
      <c r="CA53" s="210">
        <v>0</v>
      </c>
      <c r="CB53" s="344">
        <v>0.19999999925494194</v>
      </c>
      <c r="CD53" s="211">
        <v>49</v>
      </c>
      <c r="CE53" s="9" t="s">
        <v>241</v>
      </c>
      <c r="CF53" s="9">
        <v>15</v>
      </c>
      <c r="CG53" s="8" t="s">
        <v>49</v>
      </c>
      <c r="CH53" s="9" t="s">
        <v>355</v>
      </c>
      <c r="CI53" s="10" t="s">
        <v>484</v>
      </c>
      <c r="CJ53" s="210">
        <v>0</v>
      </c>
      <c r="CK53" s="538">
        <v>0.19999999925494194</v>
      </c>
      <c r="CM53" s="1855" t="s">
        <v>68</v>
      </c>
      <c r="CN53" s="1855"/>
      <c r="CO53" s="1855"/>
      <c r="CP53" s="1855"/>
      <c r="CQ53" s="1855"/>
      <c r="CR53" s="1855"/>
      <c r="CS53" s="546">
        <f>SUM(CS52)</f>
        <v>0</v>
      </c>
      <c r="CT53" s="547">
        <f>SUM(CT52)</f>
        <v>30800000</v>
      </c>
      <c r="CV53" s="211">
        <v>4</v>
      </c>
      <c r="CW53" s="9" t="s">
        <v>140</v>
      </c>
      <c r="CX53" s="9">
        <v>20</v>
      </c>
      <c r="CY53" s="8" t="s">
        <v>1655</v>
      </c>
      <c r="CZ53" s="10"/>
      <c r="DA53" s="527" t="s">
        <v>1659</v>
      </c>
      <c r="DB53" s="344">
        <v>-70816.937999993563</v>
      </c>
    </row>
    <row r="54" spans="1:106" s="73" customFormat="1">
      <c r="A54" s="211">
        <v>50</v>
      </c>
      <c r="B54" s="53" t="s">
        <v>194</v>
      </c>
      <c r="C54" s="9">
        <v>31</v>
      </c>
      <c r="D54" s="8" t="s">
        <v>159</v>
      </c>
      <c r="E54" s="9" t="s">
        <v>357</v>
      </c>
      <c r="F54" s="10" t="s">
        <v>1933</v>
      </c>
      <c r="G54" s="342">
        <v>0</v>
      </c>
      <c r="H54" s="361">
        <v>1100000</v>
      </c>
      <c r="J54" s="211">
        <v>50</v>
      </c>
      <c r="K54" s="211" t="s">
        <v>239</v>
      </c>
      <c r="L54" s="211">
        <v>20</v>
      </c>
      <c r="M54" s="186" t="s">
        <v>112</v>
      </c>
      <c r="N54" s="10" t="s">
        <v>354</v>
      </c>
      <c r="O54" s="10" t="s">
        <v>254</v>
      </c>
      <c r="P54" s="210">
        <v>330</v>
      </c>
      <c r="Q54" s="115">
        <v>0</v>
      </c>
      <c r="S54" s="211">
        <v>50</v>
      </c>
      <c r="T54" s="9" t="s">
        <v>239</v>
      </c>
      <c r="U54" s="9">
        <v>22</v>
      </c>
      <c r="V54" s="8" t="s">
        <v>121</v>
      </c>
      <c r="W54" s="10" t="s">
        <v>144</v>
      </c>
      <c r="X54" s="10" t="s">
        <v>2220</v>
      </c>
      <c r="Y54" s="342">
        <v>0</v>
      </c>
      <c r="Z54" s="361">
        <v>11000000</v>
      </c>
      <c r="AB54" s="211">
        <v>50</v>
      </c>
      <c r="AC54" s="9" t="s">
        <v>240</v>
      </c>
      <c r="AD54" s="9">
        <v>3</v>
      </c>
      <c r="AE54" s="8" t="s">
        <v>206</v>
      </c>
      <c r="AF54" s="10" t="s">
        <v>354</v>
      </c>
      <c r="AG54" s="10" t="s">
        <v>2267</v>
      </c>
      <c r="AH54" s="342">
        <v>0</v>
      </c>
      <c r="AI54" s="361">
        <v>24200000</v>
      </c>
      <c r="AK54" s="211">
        <v>50</v>
      </c>
      <c r="AL54" s="9" t="s">
        <v>58</v>
      </c>
      <c r="AM54" s="9">
        <v>2</v>
      </c>
      <c r="AN54" s="8" t="s">
        <v>151</v>
      </c>
      <c r="AO54" s="10" t="s">
        <v>354</v>
      </c>
      <c r="AP54" s="10" t="s">
        <v>2482</v>
      </c>
      <c r="AQ54" s="342">
        <v>0</v>
      </c>
      <c r="AR54" s="361">
        <v>30653333.337000001</v>
      </c>
      <c r="AT54" s="211">
        <v>50</v>
      </c>
      <c r="AU54" s="9" t="s">
        <v>239</v>
      </c>
      <c r="AV54" s="9">
        <v>21</v>
      </c>
      <c r="AW54" s="8" t="s">
        <v>121</v>
      </c>
      <c r="AX54" s="10" t="s">
        <v>144</v>
      </c>
      <c r="AY54" s="10" t="s">
        <v>2213</v>
      </c>
      <c r="AZ54" s="342">
        <v>0</v>
      </c>
      <c r="BA54" s="361">
        <v>3300000</v>
      </c>
      <c r="BC54" s="211">
        <v>50</v>
      </c>
      <c r="BD54" s="211" t="s">
        <v>241</v>
      </c>
      <c r="BE54" s="211">
        <v>1</v>
      </c>
      <c r="BF54" s="8" t="s">
        <v>208</v>
      </c>
      <c r="BG54" s="9" t="s">
        <v>118</v>
      </c>
      <c r="BH54" s="10" t="s">
        <v>258</v>
      </c>
      <c r="BI54" s="210">
        <v>0</v>
      </c>
      <c r="BJ54" s="115">
        <v>1400000</v>
      </c>
      <c r="BL54" s="211">
        <v>50</v>
      </c>
      <c r="BM54" s="9" t="s">
        <v>241</v>
      </c>
      <c r="BN54" s="9">
        <v>15</v>
      </c>
      <c r="BO54" s="8" t="s">
        <v>49</v>
      </c>
      <c r="BP54" s="9" t="s">
        <v>355</v>
      </c>
      <c r="BQ54" s="10" t="s">
        <v>484</v>
      </c>
      <c r="BR54" s="210">
        <v>0</v>
      </c>
      <c r="BS54" s="344">
        <v>0.19999999925494194</v>
      </c>
      <c r="BU54" s="211">
        <v>50</v>
      </c>
      <c r="BV54" s="9" t="s">
        <v>243</v>
      </c>
      <c r="BW54" s="9">
        <v>10</v>
      </c>
      <c r="BX54" s="8" t="s">
        <v>49</v>
      </c>
      <c r="BY54" s="9" t="s">
        <v>355</v>
      </c>
      <c r="BZ54" s="10" t="s">
        <v>540</v>
      </c>
      <c r="CA54" s="342">
        <v>0</v>
      </c>
      <c r="CB54" s="344">
        <v>0.19999999925494194</v>
      </c>
      <c r="CD54" s="211">
        <v>50</v>
      </c>
      <c r="CE54" s="9" t="s">
        <v>243</v>
      </c>
      <c r="CF54" s="9">
        <v>10</v>
      </c>
      <c r="CG54" s="8" t="s">
        <v>49</v>
      </c>
      <c r="CH54" s="9" t="s">
        <v>355</v>
      </c>
      <c r="CI54" s="10" t="s">
        <v>540</v>
      </c>
      <c r="CJ54" s="342">
        <v>0</v>
      </c>
      <c r="CK54" s="538">
        <v>0.19999999925494194</v>
      </c>
      <c r="CM54" s="211">
        <v>1</v>
      </c>
      <c r="CN54" s="9" t="s">
        <v>140</v>
      </c>
      <c r="CO54" s="9">
        <v>5</v>
      </c>
      <c r="CP54" s="8" t="s">
        <v>35</v>
      </c>
      <c r="CQ54" s="9" t="s">
        <v>354</v>
      </c>
      <c r="CR54" s="9" t="s">
        <v>1579</v>
      </c>
      <c r="CS54" s="182">
        <v>0</v>
      </c>
      <c r="CT54" s="344">
        <v>3300000</v>
      </c>
      <c r="CV54" s="211">
        <v>5</v>
      </c>
      <c r="CW54" s="9" t="s">
        <v>140</v>
      </c>
      <c r="CX54" s="9"/>
      <c r="CY54" s="8" t="s">
        <v>1655</v>
      </c>
      <c r="CZ54" s="10"/>
      <c r="DA54" s="527" t="s">
        <v>1660</v>
      </c>
      <c r="DB54" s="344">
        <v>-27099.319999992847</v>
      </c>
    </row>
    <row r="55" spans="1:106" s="73" customFormat="1">
      <c r="A55" s="211">
        <v>51</v>
      </c>
      <c r="B55" s="53" t="s">
        <v>194</v>
      </c>
      <c r="C55" s="9">
        <v>9</v>
      </c>
      <c r="D55" s="8" t="s">
        <v>164</v>
      </c>
      <c r="E55" s="10" t="s">
        <v>376</v>
      </c>
      <c r="F55" s="10" t="s">
        <v>1813</v>
      </c>
      <c r="G55" s="342">
        <v>0</v>
      </c>
      <c r="H55" s="361">
        <v>22000000</v>
      </c>
      <c r="J55" s="211">
        <v>51</v>
      </c>
      <c r="K55" s="9" t="s">
        <v>194</v>
      </c>
      <c r="L55" s="9">
        <v>9</v>
      </c>
      <c r="M55" s="8" t="s">
        <v>121</v>
      </c>
      <c r="N55" s="10" t="s">
        <v>355</v>
      </c>
      <c r="O55" s="10" t="s">
        <v>1832</v>
      </c>
      <c r="P55" s="210">
        <v>0</v>
      </c>
      <c r="Q55" s="360">
        <v>57200000</v>
      </c>
      <c r="S55" s="211">
        <v>51</v>
      </c>
      <c r="T55" s="211" t="s">
        <v>241</v>
      </c>
      <c r="U55" s="211">
        <v>19</v>
      </c>
      <c r="V55" s="186" t="s">
        <v>207</v>
      </c>
      <c r="W55" s="211" t="s">
        <v>256</v>
      </c>
      <c r="X55" s="127" t="s">
        <v>255</v>
      </c>
      <c r="Y55" s="210">
        <v>0</v>
      </c>
      <c r="Z55" s="115">
        <v>13640000</v>
      </c>
      <c r="AB55" s="211">
        <v>51</v>
      </c>
      <c r="AC55" s="9" t="s">
        <v>240</v>
      </c>
      <c r="AD55" s="9">
        <v>3</v>
      </c>
      <c r="AE55" s="8" t="s">
        <v>206</v>
      </c>
      <c r="AF55" s="10" t="s">
        <v>354</v>
      </c>
      <c r="AG55" s="10" t="s">
        <v>2270</v>
      </c>
      <c r="AH55" s="342">
        <v>0</v>
      </c>
      <c r="AI55" s="361">
        <v>24200000</v>
      </c>
      <c r="AK55" s="211">
        <v>51</v>
      </c>
      <c r="AL55" s="9" t="s">
        <v>58</v>
      </c>
      <c r="AM55" s="9">
        <v>2</v>
      </c>
      <c r="AN55" s="8" t="s">
        <v>117</v>
      </c>
      <c r="AO55" s="10" t="s">
        <v>354</v>
      </c>
      <c r="AP55" s="10" t="s">
        <v>2484</v>
      </c>
      <c r="AQ55" s="210">
        <v>0</v>
      </c>
      <c r="AR55" s="360">
        <v>4840000</v>
      </c>
      <c r="AT55" s="211">
        <v>51</v>
      </c>
      <c r="AU55" s="9" t="s">
        <v>58</v>
      </c>
      <c r="AV55" s="9">
        <v>30</v>
      </c>
      <c r="AW55" s="8" t="s">
        <v>121</v>
      </c>
      <c r="AX55" s="10" t="s">
        <v>355</v>
      </c>
      <c r="AY55" s="10" t="s">
        <v>2684</v>
      </c>
      <c r="AZ55" s="658">
        <v>0</v>
      </c>
      <c r="BA55" s="189">
        <v>30112500</v>
      </c>
      <c r="BC55" s="211">
        <v>51</v>
      </c>
      <c r="BD55" s="53" t="s">
        <v>242</v>
      </c>
      <c r="BE55" s="9">
        <v>3</v>
      </c>
      <c r="BF55" s="8" t="s">
        <v>133</v>
      </c>
      <c r="BG55" s="9" t="s">
        <v>364</v>
      </c>
      <c r="BH55" s="10" t="s">
        <v>2772</v>
      </c>
      <c r="BI55" s="343">
        <v>0</v>
      </c>
      <c r="BJ55" s="376">
        <v>33000000</v>
      </c>
      <c r="BL55" s="211">
        <v>51</v>
      </c>
      <c r="BM55" s="9" t="s">
        <v>243</v>
      </c>
      <c r="BN55" s="9">
        <v>10</v>
      </c>
      <c r="BO55" s="8" t="s">
        <v>49</v>
      </c>
      <c r="BP55" s="9" t="s">
        <v>355</v>
      </c>
      <c r="BQ55" s="10" t="s">
        <v>540</v>
      </c>
      <c r="BR55" s="342">
        <v>0</v>
      </c>
      <c r="BS55" s="344">
        <v>0.19999999925494194</v>
      </c>
      <c r="BU55" s="211">
        <v>51</v>
      </c>
      <c r="BV55" s="9" t="s">
        <v>243</v>
      </c>
      <c r="BW55" s="9">
        <v>10</v>
      </c>
      <c r="BX55" s="8" t="s">
        <v>49</v>
      </c>
      <c r="BY55" s="9" t="s">
        <v>355</v>
      </c>
      <c r="BZ55" s="10" t="s">
        <v>541</v>
      </c>
      <c r="CA55" s="342">
        <v>0</v>
      </c>
      <c r="CB55" s="344">
        <v>0.19999999925494194</v>
      </c>
      <c r="CD55" s="211">
        <v>51</v>
      </c>
      <c r="CE55" s="9" t="s">
        <v>243</v>
      </c>
      <c r="CF55" s="9">
        <v>10</v>
      </c>
      <c r="CG55" s="8" t="s">
        <v>49</v>
      </c>
      <c r="CH55" s="9" t="s">
        <v>355</v>
      </c>
      <c r="CI55" s="10" t="s">
        <v>541</v>
      </c>
      <c r="CJ55" s="342">
        <v>0</v>
      </c>
      <c r="CK55" s="538">
        <v>0.19999999925494194</v>
      </c>
      <c r="CM55" s="211">
        <v>2</v>
      </c>
      <c r="CN55" s="9" t="s">
        <v>140</v>
      </c>
      <c r="CO55" s="9">
        <v>5</v>
      </c>
      <c r="CP55" s="8" t="s">
        <v>35</v>
      </c>
      <c r="CQ55" s="9" t="s">
        <v>354</v>
      </c>
      <c r="CR55" s="9" t="s">
        <v>1581</v>
      </c>
      <c r="CS55" s="342">
        <v>0</v>
      </c>
      <c r="CT55" s="344">
        <v>3300000</v>
      </c>
      <c r="CV55" s="1855" t="s">
        <v>68</v>
      </c>
      <c r="CW55" s="1855"/>
      <c r="CX55" s="1855"/>
      <c r="CY55" s="1855"/>
      <c r="CZ55" s="1855"/>
      <c r="DA55" s="1855"/>
      <c r="DB55" s="547">
        <f>SUM(DB50:DB54)</f>
        <v>-306852.10359996557</v>
      </c>
    </row>
    <row r="56" spans="1:106" s="73" customFormat="1">
      <c r="A56" s="211">
        <v>52</v>
      </c>
      <c r="B56" s="53" t="s">
        <v>194</v>
      </c>
      <c r="C56" s="9">
        <v>9</v>
      </c>
      <c r="D56" s="8" t="s">
        <v>164</v>
      </c>
      <c r="E56" s="10" t="s">
        <v>364</v>
      </c>
      <c r="F56" s="10" t="s">
        <v>1815</v>
      </c>
      <c r="G56" s="342">
        <v>0</v>
      </c>
      <c r="H56" s="361">
        <v>6600000</v>
      </c>
      <c r="J56" s="211">
        <v>52</v>
      </c>
      <c r="K56" s="9" t="s">
        <v>195</v>
      </c>
      <c r="L56" s="9">
        <v>6</v>
      </c>
      <c r="M56" s="8" t="s">
        <v>121</v>
      </c>
      <c r="N56" s="10" t="s">
        <v>144</v>
      </c>
      <c r="O56" s="10" t="s">
        <v>2042</v>
      </c>
      <c r="P56" s="342">
        <v>0</v>
      </c>
      <c r="Q56" s="361">
        <v>11000000</v>
      </c>
      <c r="S56" s="211">
        <v>52</v>
      </c>
      <c r="T56" s="9" t="s">
        <v>239</v>
      </c>
      <c r="U56" s="9">
        <v>1</v>
      </c>
      <c r="V56" s="8" t="s">
        <v>151</v>
      </c>
      <c r="W56" s="10" t="s">
        <v>354</v>
      </c>
      <c r="X56" s="10" t="s">
        <v>2135</v>
      </c>
      <c r="Y56" s="210">
        <v>0</v>
      </c>
      <c r="Z56" s="360">
        <v>24200000</v>
      </c>
      <c r="AB56" s="211">
        <v>52</v>
      </c>
      <c r="AC56" s="9" t="s">
        <v>240</v>
      </c>
      <c r="AD56" s="9">
        <v>3</v>
      </c>
      <c r="AE56" s="8" t="s">
        <v>206</v>
      </c>
      <c r="AF56" s="10" t="s">
        <v>354</v>
      </c>
      <c r="AG56" s="10" t="s">
        <v>2271</v>
      </c>
      <c r="AH56" s="342">
        <v>0</v>
      </c>
      <c r="AI56" s="361">
        <v>24200000</v>
      </c>
      <c r="AK56" s="211">
        <v>52</v>
      </c>
      <c r="AL56" s="9" t="s">
        <v>58</v>
      </c>
      <c r="AM56" s="9">
        <v>2</v>
      </c>
      <c r="AN56" s="8" t="s">
        <v>117</v>
      </c>
      <c r="AO56" s="10" t="s">
        <v>354</v>
      </c>
      <c r="AP56" s="10" t="s">
        <v>2485</v>
      </c>
      <c r="AQ56" s="210">
        <v>0</v>
      </c>
      <c r="AR56" s="360">
        <v>7260000</v>
      </c>
      <c r="AT56" s="211">
        <v>52</v>
      </c>
      <c r="AU56" s="9" t="s">
        <v>241</v>
      </c>
      <c r="AV56" s="9">
        <v>7</v>
      </c>
      <c r="AW56" s="8" t="s">
        <v>121</v>
      </c>
      <c r="AX56" s="10" t="s">
        <v>118</v>
      </c>
      <c r="AY56" s="10" t="s">
        <v>2685</v>
      </c>
      <c r="AZ56" s="658">
        <v>0</v>
      </c>
      <c r="BA56" s="189">
        <v>27504300</v>
      </c>
      <c r="BC56" s="211">
        <v>52</v>
      </c>
      <c r="BD56" s="211" t="s">
        <v>243</v>
      </c>
      <c r="BE56" s="211">
        <v>28</v>
      </c>
      <c r="BF56" s="8" t="s">
        <v>209</v>
      </c>
      <c r="BG56" s="9" t="s">
        <v>63</v>
      </c>
      <c r="BH56" s="10" t="s">
        <v>259</v>
      </c>
      <c r="BI56" s="210">
        <v>0</v>
      </c>
      <c r="BJ56" s="115">
        <v>35000000</v>
      </c>
      <c r="BL56" s="211">
        <v>52</v>
      </c>
      <c r="BM56" s="9" t="s">
        <v>243</v>
      </c>
      <c r="BN56" s="9">
        <v>10</v>
      </c>
      <c r="BO56" s="8" t="s">
        <v>49</v>
      </c>
      <c r="BP56" s="9" t="s">
        <v>355</v>
      </c>
      <c r="BQ56" s="10" t="s">
        <v>541</v>
      </c>
      <c r="BR56" s="342">
        <v>0</v>
      </c>
      <c r="BS56" s="344">
        <v>29303659</v>
      </c>
      <c r="BU56" s="211">
        <v>52</v>
      </c>
      <c r="BV56" s="9" t="s">
        <v>244</v>
      </c>
      <c r="BW56" s="9">
        <v>20</v>
      </c>
      <c r="BX56" s="8" t="s">
        <v>49</v>
      </c>
      <c r="BY56" s="9" t="s">
        <v>355</v>
      </c>
      <c r="BZ56" s="10" t="s">
        <v>601</v>
      </c>
      <c r="CA56" s="342">
        <v>0</v>
      </c>
      <c r="CB56" s="344">
        <v>29346086</v>
      </c>
      <c r="CD56" s="211">
        <v>52</v>
      </c>
      <c r="CE56" s="9" t="s">
        <v>244</v>
      </c>
      <c r="CF56" s="9">
        <v>20</v>
      </c>
      <c r="CG56" s="8" t="s">
        <v>49</v>
      </c>
      <c r="CH56" s="9" t="s">
        <v>355</v>
      </c>
      <c r="CI56" s="10" t="s">
        <v>601</v>
      </c>
      <c r="CJ56" s="342">
        <v>0</v>
      </c>
      <c r="CK56" s="538">
        <v>-0.19999999925494194</v>
      </c>
      <c r="CM56" s="211">
        <v>3</v>
      </c>
      <c r="CN56" s="9" t="s">
        <v>140</v>
      </c>
      <c r="CO56" s="9">
        <v>22</v>
      </c>
      <c r="CP56" s="8" t="s">
        <v>35</v>
      </c>
      <c r="CQ56" s="9" t="s">
        <v>62</v>
      </c>
      <c r="CR56" s="9" t="s">
        <v>1629</v>
      </c>
      <c r="CS56" s="342">
        <v>0</v>
      </c>
      <c r="CT56" s="344">
        <v>39120620</v>
      </c>
      <c r="CV56" s="211">
        <v>1</v>
      </c>
      <c r="CW56" s="9" t="s">
        <v>194</v>
      </c>
      <c r="CX56" s="9">
        <v>11</v>
      </c>
      <c r="CY56" s="8" t="s">
        <v>151</v>
      </c>
      <c r="CZ56" s="9" t="s">
        <v>144</v>
      </c>
      <c r="DA56" s="10" t="s">
        <v>152</v>
      </c>
      <c r="DB56" s="115">
        <v>130000</v>
      </c>
    </row>
    <row r="57" spans="1:106" s="73" customFormat="1">
      <c r="A57" s="211">
        <v>53</v>
      </c>
      <c r="B57" s="9" t="s">
        <v>140</v>
      </c>
      <c r="C57" s="9">
        <v>1</v>
      </c>
      <c r="D57" s="11" t="s">
        <v>45</v>
      </c>
      <c r="E57" s="9" t="s">
        <v>354</v>
      </c>
      <c r="F57" s="9" t="s">
        <v>1545</v>
      </c>
      <c r="G57" s="342">
        <v>0</v>
      </c>
      <c r="H57" s="189">
        <v>13200000</v>
      </c>
      <c r="J57" s="211">
        <v>53</v>
      </c>
      <c r="K57" s="9" t="s">
        <v>195</v>
      </c>
      <c r="L57" s="9">
        <v>6</v>
      </c>
      <c r="M57" s="8" t="s">
        <v>121</v>
      </c>
      <c r="N57" s="10" t="s">
        <v>355</v>
      </c>
      <c r="O57" s="10" t="s">
        <v>2043</v>
      </c>
      <c r="P57" s="342">
        <v>0</v>
      </c>
      <c r="Q57" s="361">
        <v>69300000</v>
      </c>
      <c r="S57" s="211">
        <v>53</v>
      </c>
      <c r="T57" s="9" t="s">
        <v>239</v>
      </c>
      <c r="U57" s="9">
        <v>1</v>
      </c>
      <c r="V57" s="8" t="s">
        <v>117</v>
      </c>
      <c r="W57" s="10" t="s">
        <v>354</v>
      </c>
      <c r="X57" s="10" t="s">
        <v>2131</v>
      </c>
      <c r="Y57" s="210">
        <v>0</v>
      </c>
      <c r="Z57" s="360">
        <v>24200000</v>
      </c>
      <c r="AB57" s="211">
        <v>53</v>
      </c>
      <c r="AC57" s="9" t="s">
        <v>240</v>
      </c>
      <c r="AD57" s="9">
        <v>17</v>
      </c>
      <c r="AE57" s="8" t="s">
        <v>2405</v>
      </c>
      <c r="AF57" s="10" t="s">
        <v>62</v>
      </c>
      <c r="AG57" s="10" t="s">
        <v>2406</v>
      </c>
      <c r="AH57" s="342">
        <v>0</v>
      </c>
      <c r="AI57" s="361">
        <v>87187100</v>
      </c>
      <c r="AK57" s="211">
        <v>53</v>
      </c>
      <c r="AL57" s="9" t="s">
        <v>194</v>
      </c>
      <c r="AM57" s="9">
        <v>4</v>
      </c>
      <c r="AN57" s="8" t="s">
        <v>387</v>
      </c>
      <c r="AO57" s="9" t="s">
        <v>388</v>
      </c>
      <c r="AP57" s="10" t="s">
        <v>389</v>
      </c>
      <c r="AQ57" s="210">
        <v>0</v>
      </c>
      <c r="AR57" s="115">
        <v>696000000</v>
      </c>
      <c r="AT57" s="211">
        <v>53</v>
      </c>
      <c r="AU57" s="9" t="s">
        <v>241</v>
      </c>
      <c r="AV57" s="9">
        <v>2</v>
      </c>
      <c r="AW57" s="8" t="s">
        <v>121</v>
      </c>
      <c r="AX57" s="10" t="s">
        <v>355</v>
      </c>
      <c r="AY57" s="10" t="s">
        <v>2598</v>
      </c>
      <c r="AZ57" s="342">
        <v>0</v>
      </c>
      <c r="BA57" s="361">
        <v>62975000</v>
      </c>
      <c r="BC57" s="211">
        <v>53</v>
      </c>
      <c r="BD57" s="211" t="s">
        <v>238</v>
      </c>
      <c r="BE57" s="211">
        <v>20</v>
      </c>
      <c r="BF57" s="8" t="s">
        <v>209</v>
      </c>
      <c r="BG57" s="9" t="s">
        <v>63</v>
      </c>
      <c r="BH57" s="10" t="s">
        <v>260</v>
      </c>
      <c r="BI57" s="210">
        <v>0</v>
      </c>
      <c r="BJ57" s="115">
        <v>40500000</v>
      </c>
      <c r="BL57" s="211">
        <v>53</v>
      </c>
      <c r="BM57" s="9" t="s">
        <v>58</v>
      </c>
      <c r="BN57" s="9">
        <v>2</v>
      </c>
      <c r="BO57" s="8" t="s">
        <v>28</v>
      </c>
      <c r="BP57" s="9" t="s">
        <v>364</v>
      </c>
      <c r="BQ57" s="10" t="s">
        <v>438</v>
      </c>
      <c r="BR57" s="342">
        <v>0</v>
      </c>
      <c r="BS57" s="344">
        <v>20000</v>
      </c>
      <c r="BU57" s="211">
        <v>53</v>
      </c>
      <c r="BV57" s="9" t="s">
        <v>58</v>
      </c>
      <c r="BW57" s="9">
        <v>2</v>
      </c>
      <c r="BX57" s="8" t="s">
        <v>28</v>
      </c>
      <c r="BY57" s="9" t="s">
        <v>364</v>
      </c>
      <c r="BZ57" s="10" t="s">
        <v>438</v>
      </c>
      <c r="CA57" s="342">
        <v>0</v>
      </c>
      <c r="CB57" s="344">
        <v>20000</v>
      </c>
      <c r="CD57" s="211">
        <v>53</v>
      </c>
      <c r="CE57" s="9" t="s">
        <v>245</v>
      </c>
      <c r="CF57" s="9">
        <v>4</v>
      </c>
      <c r="CG57" s="8" t="s">
        <v>49</v>
      </c>
      <c r="CH57" s="9" t="s">
        <v>355</v>
      </c>
      <c r="CI57" s="10" t="s">
        <v>635</v>
      </c>
      <c r="CJ57" s="342">
        <v>0</v>
      </c>
      <c r="CK57" s="538">
        <v>0.19999999925494194</v>
      </c>
      <c r="CM57" s="1855" t="s">
        <v>68</v>
      </c>
      <c r="CN57" s="1855"/>
      <c r="CO57" s="1855"/>
      <c r="CP57" s="1855"/>
      <c r="CQ57" s="1855"/>
      <c r="CR57" s="1855"/>
      <c r="CS57" s="546">
        <f>SUM(CS54:CS56)</f>
        <v>0</v>
      </c>
      <c r="CT57" s="547">
        <f>SUM(CT54:CT56)</f>
        <v>45720620</v>
      </c>
      <c r="CV57" s="1855" t="s">
        <v>68</v>
      </c>
      <c r="CW57" s="1855"/>
      <c r="CX57" s="1855"/>
      <c r="CY57" s="1855"/>
      <c r="CZ57" s="1855"/>
      <c r="DA57" s="1855"/>
      <c r="DB57" s="547">
        <f>SUM(DB56)</f>
        <v>130000</v>
      </c>
    </row>
    <row r="58" spans="1:106" s="73" customFormat="1">
      <c r="A58" s="211">
        <v>54</v>
      </c>
      <c r="B58" s="53" t="s">
        <v>194</v>
      </c>
      <c r="C58" s="9">
        <v>9</v>
      </c>
      <c r="D58" s="8" t="s">
        <v>45</v>
      </c>
      <c r="E58" s="10" t="s">
        <v>354</v>
      </c>
      <c r="F58" s="10" t="s">
        <v>1770</v>
      </c>
      <c r="G58" s="342">
        <v>0</v>
      </c>
      <c r="H58" s="189">
        <v>13200000</v>
      </c>
      <c r="J58" s="211">
        <v>54</v>
      </c>
      <c r="K58" s="211" t="s">
        <v>241</v>
      </c>
      <c r="L58" s="211">
        <v>19</v>
      </c>
      <c r="M58" s="186" t="s">
        <v>207</v>
      </c>
      <c r="N58" s="211" t="s">
        <v>256</v>
      </c>
      <c r="O58" s="127" t="s">
        <v>255</v>
      </c>
      <c r="P58" s="210">
        <v>0</v>
      </c>
      <c r="Q58" s="115">
        <v>13640000</v>
      </c>
      <c r="S58" s="211">
        <v>54</v>
      </c>
      <c r="T58" s="9" t="s">
        <v>239</v>
      </c>
      <c r="U58" s="9">
        <v>1</v>
      </c>
      <c r="V58" s="8" t="s">
        <v>117</v>
      </c>
      <c r="W58" s="10" t="s">
        <v>354</v>
      </c>
      <c r="X58" s="10" t="s">
        <v>2133</v>
      </c>
      <c r="Y58" s="210">
        <v>0</v>
      </c>
      <c r="Z58" s="360">
        <v>24200000</v>
      </c>
      <c r="AB58" s="211">
        <v>54</v>
      </c>
      <c r="AC58" s="9" t="s">
        <v>244</v>
      </c>
      <c r="AD58" s="9">
        <v>1</v>
      </c>
      <c r="AE58" s="8" t="s">
        <v>131</v>
      </c>
      <c r="AF58" s="9" t="s">
        <v>147</v>
      </c>
      <c r="AG58" s="9" t="s">
        <v>573</v>
      </c>
      <c r="AH58" s="342">
        <v>0</v>
      </c>
      <c r="AI58" s="344">
        <v>1890240000</v>
      </c>
      <c r="AK58" s="211">
        <v>54</v>
      </c>
      <c r="AL58" s="9" t="s">
        <v>58</v>
      </c>
      <c r="AM58" s="9">
        <v>26</v>
      </c>
      <c r="AN58" s="8" t="s">
        <v>40</v>
      </c>
      <c r="AO58" s="10" t="s">
        <v>118</v>
      </c>
      <c r="AP58" s="10" t="s">
        <v>2569</v>
      </c>
      <c r="AQ58" s="342">
        <v>0</v>
      </c>
      <c r="AR58" s="361">
        <v>1535300</v>
      </c>
      <c r="AT58" s="211">
        <v>54</v>
      </c>
      <c r="AU58" s="211" t="s">
        <v>241</v>
      </c>
      <c r="AV58" s="211">
        <v>19</v>
      </c>
      <c r="AW58" s="186" t="s">
        <v>207</v>
      </c>
      <c r="AX58" s="211" t="s">
        <v>256</v>
      </c>
      <c r="AY58" s="127" t="s">
        <v>255</v>
      </c>
      <c r="AZ58" s="210">
        <v>0</v>
      </c>
      <c r="BA58" s="115">
        <v>13640000</v>
      </c>
      <c r="BC58" s="211">
        <v>54</v>
      </c>
      <c r="BD58" s="211" t="s">
        <v>194</v>
      </c>
      <c r="BE58" s="211">
        <v>7</v>
      </c>
      <c r="BF58" s="8" t="s">
        <v>210</v>
      </c>
      <c r="BG58" s="9" t="s">
        <v>262</v>
      </c>
      <c r="BH58" s="9" t="s">
        <v>261</v>
      </c>
      <c r="BI58" s="210">
        <v>0</v>
      </c>
      <c r="BJ58" s="115">
        <v>8800000</v>
      </c>
      <c r="BL58" s="211">
        <v>54</v>
      </c>
      <c r="BM58" s="9" t="s">
        <v>241</v>
      </c>
      <c r="BN58" s="9">
        <v>20</v>
      </c>
      <c r="BO58" s="8" t="s">
        <v>28</v>
      </c>
      <c r="BP58" s="9" t="s">
        <v>364</v>
      </c>
      <c r="BQ58" s="10" t="s">
        <v>480</v>
      </c>
      <c r="BR58" s="210">
        <v>0</v>
      </c>
      <c r="BS58" s="115">
        <v>1100000</v>
      </c>
      <c r="BU58" s="211">
        <v>54</v>
      </c>
      <c r="BV58" s="9" t="s">
        <v>244</v>
      </c>
      <c r="BW58" s="9">
        <v>1</v>
      </c>
      <c r="BX58" s="8" t="s">
        <v>28</v>
      </c>
      <c r="BY58" s="9" t="s">
        <v>355</v>
      </c>
      <c r="BZ58" s="10" t="s">
        <v>571</v>
      </c>
      <c r="CA58" s="210">
        <v>0</v>
      </c>
      <c r="CB58" s="115">
        <v>35200000</v>
      </c>
      <c r="CD58" s="211">
        <v>54</v>
      </c>
      <c r="CE58" s="9" t="s">
        <v>238</v>
      </c>
      <c r="CF58" s="9">
        <v>10</v>
      </c>
      <c r="CG58" s="8" t="s">
        <v>49</v>
      </c>
      <c r="CH58" s="9" t="s">
        <v>355</v>
      </c>
      <c r="CI58" s="10" t="s">
        <v>659</v>
      </c>
      <c r="CJ58" s="342">
        <v>0</v>
      </c>
      <c r="CK58" s="538">
        <v>0.19999999925494194</v>
      </c>
      <c r="CM58" s="211">
        <v>1</v>
      </c>
      <c r="CN58" s="9" t="s">
        <v>244</v>
      </c>
      <c r="CO58" s="9">
        <v>1</v>
      </c>
      <c r="CP58" s="8" t="s">
        <v>131</v>
      </c>
      <c r="CQ58" s="9" t="s">
        <v>147</v>
      </c>
      <c r="CR58" s="9" t="s">
        <v>573</v>
      </c>
      <c r="CS58" s="342">
        <v>0</v>
      </c>
      <c r="CT58" s="344">
        <v>1890240000</v>
      </c>
      <c r="CV58" s="211">
        <v>1</v>
      </c>
      <c r="CW58" s="9" t="s">
        <v>194</v>
      </c>
      <c r="CX58" s="9">
        <v>11</v>
      </c>
      <c r="CY58" s="8" t="s">
        <v>40</v>
      </c>
      <c r="CZ58" s="9" t="s">
        <v>354</v>
      </c>
      <c r="DA58" s="9" t="s">
        <v>153</v>
      </c>
      <c r="DB58" s="115">
        <v>-0.31</v>
      </c>
    </row>
    <row r="59" spans="1:106" s="73" customFormat="1">
      <c r="A59" s="211">
        <v>55</v>
      </c>
      <c r="B59" s="211" t="s">
        <v>241</v>
      </c>
      <c r="C59" s="211">
        <v>1</v>
      </c>
      <c r="D59" s="8" t="s">
        <v>208</v>
      </c>
      <c r="E59" s="9" t="s">
        <v>118</v>
      </c>
      <c r="F59" s="10" t="s">
        <v>258</v>
      </c>
      <c r="G59" s="210">
        <v>0</v>
      </c>
      <c r="H59" s="115">
        <v>1400000</v>
      </c>
      <c r="J59" s="211">
        <v>55</v>
      </c>
      <c r="K59" s="9" t="s">
        <v>195</v>
      </c>
      <c r="L59" s="9">
        <v>1</v>
      </c>
      <c r="M59" s="8" t="s">
        <v>151</v>
      </c>
      <c r="N59" s="10" t="s">
        <v>354</v>
      </c>
      <c r="O59" s="10" t="s">
        <v>2010</v>
      </c>
      <c r="P59" s="210">
        <v>0</v>
      </c>
      <c r="Q59" s="360">
        <v>24200000</v>
      </c>
      <c r="S59" s="211">
        <v>55</v>
      </c>
      <c r="T59" s="9" t="s">
        <v>194</v>
      </c>
      <c r="U59" s="9">
        <v>4</v>
      </c>
      <c r="V59" s="8" t="s">
        <v>387</v>
      </c>
      <c r="W59" s="9" t="s">
        <v>388</v>
      </c>
      <c r="X59" s="10" t="s">
        <v>389</v>
      </c>
      <c r="Y59" s="210">
        <v>0</v>
      </c>
      <c r="Z59" s="115">
        <v>696000000</v>
      </c>
      <c r="AB59" s="211">
        <v>55</v>
      </c>
      <c r="AC59" s="211" t="s">
        <v>239</v>
      </c>
      <c r="AD59" s="211">
        <v>20</v>
      </c>
      <c r="AE59" s="186" t="s">
        <v>112</v>
      </c>
      <c r="AF59" s="10" t="s">
        <v>354</v>
      </c>
      <c r="AG59" s="10" t="s">
        <v>254</v>
      </c>
      <c r="AH59" s="210">
        <v>330</v>
      </c>
      <c r="AI59" s="115">
        <v>0</v>
      </c>
      <c r="AK59" s="211">
        <v>55</v>
      </c>
      <c r="AL59" s="9" t="s">
        <v>58</v>
      </c>
      <c r="AM59" s="9">
        <v>26</v>
      </c>
      <c r="AN59" s="8" t="s">
        <v>40</v>
      </c>
      <c r="AO59" s="10" t="s">
        <v>144</v>
      </c>
      <c r="AP59" s="10" t="s">
        <v>2570</v>
      </c>
      <c r="AQ59" s="342">
        <v>0</v>
      </c>
      <c r="AR59" s="361">
        <v>14850000</v>
      </c>
      <c r="AT59" s="211">
        <v>55</v>
      </c>
      <c r="AU59" s="9" t="s">
        <v>241</v>
      </c>
      <c r="AV59" s="9">
        <v>2</v>
      </c>
      <c r="AW59" s="8" t="s">
        <v>151</v>
      </c>
      <c r="AX59" s="10" t="s">
        <v>354</v>
      </c>
      <c r="AY59" s="10" t="s">
        <v>2617</v>
      </c>
      <c r="AZ59" s="342">
        <v>0</v>
      </c>
      <c r="BA59" s="361">
        <v>24200000</v>
      </c>
      <c r="BC59" s="211">
        <v>55</v>
      </c>
      <c r="BD59" s="9" t="s">
        <v>239</v>
      </c>
      <c r="BE59" s="9">
        <v>1</v>
      </c>
      <c r="BF59" s="8" t="s">
        <v>2064</v>
      </c>
      <c r="BG59" s="9" t="s">
        <v>354</v>
      </c>
      <c r="BH59" s="10" t="s">
        <v>2141</v>
      </c>
      <c r="BI59" s="210">
        <v>0</v>
      </c>
      <c r="BJ59" s="361">
        <v>24200000</v>
      </c>
      <c r="BL59" s="211">
        <v>55</v>
      </c>
      <c r="BM59" s="9" t="s">
        <v>242</v>
      </c>
      <c r="BN59" s="9">
        <v>18</v>
      </c>
      <c r="BO59" s="8" t="s">
        <v>28</v>
      </c>
      <c r="BP59" s="9" t="s">
        <v>364</v>
      </c>
      <c r="BQ59" s="10" t="s">
        <v>496</v>
      </c>
      <c r="BR59" s="210">
        <v>0</v>
      </c>
      <c r="BS59" s="361">
        <v>1100000</v>
      </c>
      <c r="BU59" s="211">
        <v>55</v>
      </c>
      <c r="BV59" s="9" t="s">
        <v>244</v>
      </c>
      <c r="BW59" s="9">
        <v>1</v>
      </c>
      <c r="BX59" s="8" t="s">
        <v>28</v>
      </c>
      <c r="BY59" s="9" t="s">
        <v>364</v>
      </c>
      <c r="BZ59" s="10" t="s">
        <v>572</v>
      </c>
      <c r="CA59" s="210">
        <v>0</v>
      </c>
      <c r="CB59" s="344">
        <v>1100000</v>
      </c>
      <c r="CD59" s="211">
        <v>55</v>
      </c>
      <c r="CE59" s="9" t="s">
        <v>140</v>
      </c>
      <c r="CF59" s="9">
        <v>1</v>
      </c>
      <c r="CG59" s="8" t="s">
        <v>49</v>
      </c>
      <c r="CH59" s="9" t="s">
        <v>355</v>
      </c>
      <c r="CI59" s="10" t="s">
        <v>1577</v>
      </c>
      <c r="CJ59" s="342">
        <v>0</v>
      </c>
      <c r="CK59" s="344">
        <v>30328606</v>
      </c>
      <c r="CM59" s="1855" t="s">
        <v>68</v>
      </c>
      <c r="CN59" s="1855"/>
      <c r="CO59" s="1855"/>
      <c r="CP59" s="1855"/>
      <c r="CQ59" s="1855"/>
      <c r="CR59" s="1855"/>
      <c r="CS59" s="546">
        <f>SUM(CS58)</f>
        <v>0</v>
      </c>
      <c r="CT59" s="547">
        <f>SUM(CT58)</f>
        <v>1890240000</v>
      </c>
      <c r="CV59" s="211">
        <v>2</v>
      </c>
      <c r="CW59" s="9" t="s">
        <v>194</v>
      </c>
      <c r="CX59" s="9">
        <v>11</v>
      </c>
      <c r="CY59" s="8" t="s">
        <v>40</v>
      </c>
      <c r="CZ59" s="9" t="s">
        <v>374</v>
      </c>
      <c r="DA59" s="9" t="s">
        <v>154</v>
      </c>
      <c r="DB59" s="115">
        <v>0.42</v>
      </c>
    </row>
    <row r="60" spans="1:106" s="73" customFormat="1">
      <c r="A60" s="211">
        <v>56</v>
      </c>
      <c r="B60" s="53" t="s">
        <v>194</v>
      </c>
      <c r="C60" s="9">
        <v>9</v>
      </c>
      <c r="D60" s="8" t="s">
        <v>133</v>
      </c>
      <c r="E60" s="9" t="s">
        <v>364</v>
      </c>
      <c r="F60" s="10" t="s">
        <v>1772</v>
      </c>
      <c r="G60" s="343">
        <v>0</v>
      </c>
      <c r="H60" s="376">
        <v>33000000</v>
      </c>
      <c r="J60" s="211">
        <v>56</v>
      </c>
      <c r="K60" s="9" t="s">
        <v>195</v>
      </c>
      <c r="L60" s="9">
        <v>1</v>
      </c>
      <c r="M60" s="8" t="s">
        <v>117</v>
      </c>
      <c r="N60" s="10" t="s">
        <v>354</v>
      </c>
      <c r="O60" s="10" t="s">
        <v>2012</v>
      </c>
      <c r="P60" s="210">
        <v>0</v>
      </c>
      <c r="Q60" s="360">
        <v>24200000</v>
      </c>
      <c r="S60" s="211">
        <v>56</v>
      </c>
      <c r="T60" s="9" t="s">
        <v>239</v>
      </c>
      <c r="U60" s="9">
        <v>31</v>
      </c>
      <c r="V60" s="8" t="s">
        <v>159</v>
      </c>
      <c r="W60" s="9" t="s">
        <v>355</v>
      </c>
      <c r="X60" s="10" t="s">
        <v>2234</v>
      </c>
      <c r="Y60" s="658">
        <v>0</v>
      </c>
      <c r="Z60" s="189">
        <v>14630000</v>
      </c>
      <c r="AB60" s="211">
        <v>56</v>
      </c>
      <c r="AC60" s="9" t="s">
        <v>195</v>
      </c>
      <c r="AD60" s="9">
        <v>6</v>
      </c>
      <c r="AE60" s="8" t="s">
        <v>121</v>
      </c>
      <c r="AF60" s="10" t="s">
        <v>144</v>
      </c>
      <c r="AG60" s="10" t="s">
        <v>2042</v>
      </c>
      <c r="AH60" s="210">
        <v>0</v>
      </c>
      <c r="AI60" s="361">
        <v>11000000</v>
      </c>
      <c r="AK60" s="211">
        <v>56</v>
      </c>
      <c r="AL60" s="9" t="s">
        <v>58</v>
      </c>
      <c r="AM60" s="9">
        <v>26</v>
      </c>
      <c r="AN60" s="8" t="s">
        <v>40</v>
      </c>
      <c r="AO60" s="10" t="s">
        <v>118</v>
      </c>
      <c r="AP60" s="10" t="s">
        <v>2572</v>
      </c>
      <c r="AQ60" s="342">
        <v>0</v>
      </c>
      <c r="AR60" s="361">
        <v>2015300</v>
      </c>
      <c r="AT60" s="211">
        <v>56</v>
      </c>
      <c r="AU60" s="9" t="s">
        <v>58</v>
      </c>
      <c r="AV60" s="9">
        <v>2</v>
      </c>
      <c r="AW60" s="8" t="s">
        <v>117</v>
      </c>
      <c r="AX60" s="10" t="s">
        <v>354</v>
      </c>
      <c r="AY60" s="10" t="s">
        <v>2484</v>
      </c>
      <c r="AZ60" s="210">
        <v>0</v>
      </c>
      <c r="BA60" s="360">
        <v>4840000</v>
      </c>
      <c r="BC60" s="211">
        <v>56</v>
      </c>
      <c r="BD60" s="53" t="s">
        <v>242</v>
      </c>
      <c r="BE60" s="9">
        <v>3</v>
      </c>
      <c r="BF60" s="8" t="s">
        <v>2064</v>
      </c>
      <c r="BG60" s="9" t="s">
        <v>354</v>
      </c>
      <c r="BH60" s="10" t="s">
        <v>2761</v>
      </c>
      <c r="BI60" s="210">
        <v>0</v>
      </c>
      <c r="BJ60" s="361">
        <v>24200000</v>
      </c>
      <c r="BL60" s="211">
        <v>56</v>
      </c>
      <c r="BM60" s="211" t="s">
        <v>239</v>
      </c>
      <c r="BN60" s="211">
        <v>3</v>
      </c>
      <c r="BO60" s="217" t="s">
        <v>205</v>
      </c>
      <c r="BP60" s="10" t="s">
        <v>147</v>
      </c>
      <c r="BQ60" s="10" t="s">
        <v>249</v>
      </c>
      <c r="BR60" s="210">
        <v>0</v>
      </c>
      <c r="BS60" s="115">
        <v>10500000</v>
      </c>
      <c r="BU60" s="211">
        <v>56</v>
      </c>
      <c r="BV60" s="211" t="s">
        <v>239</v>
      </c>
      <c r="BW60" s="211">
        <v>3</v>
      </c>
      <c r="BX60" s="217" t="s">
        <v>205</v>
      </c>
      <c r="BY60" s="10" t="s">
        <v>147</v>
      </c>
      <c r="BZ60" s="10" t="s">
        <v>249</v>
      </c>
      <c r="CA60" s="210">
        <v>0</v>
      </c>
      <c r="CB60" s="115">
        <v>10500000</v>
      </c>
      <c r="CD60" s="211">
        <v>56</v>
      </c>
      <c r="CE60" s="9" t="s">
        <v>238</v>
      </c>
      <c r="CF60" s="9">
        <v>4</v>
      </c>
      <c r="CG60" s="8" t="s">
        <v>28</v>
      </c>
      <c r="CH60" s="9" t="s">
        <v>355</v>
      </c>
      <c r="CI60" s="10" t="s">
        <v>652</v>
      </c>
      <c r="CJ60" s="343">
        <v>0</v>
      </c>
      <c r="CK60" s="345">
        <v>35200000</v>
      </c>
      <c r="CM60" s="211">
        <v>1</v>
      </c>
      <c r="CN60" s="211" t="s">
        <v>239</v>
      </c>
      <c r="CO60" s="211">
        <v>20</v>
      </c>
      <c r="CP60" s="186" t="s">
        <v>112</v>
      </c>
      <c r="CQ60" s="10" t="s">
        <v>354</v>
      </c>
      <c r="CR60" s="10" t="s">
        <v>254</v>
      </c>
      <c r="CS60" s="210">
        <v>330</v>
      </c>
      <c r="CT60" s="115">
        <v>0</v>
      </c>
      <c r="CV60" s="211">
        <v>3</v>
      </c>
      <c r="CW60" s="9" t="s">
        <v>194</v>
      </c>
      <c r="CX60" s="9">
        <v>11</v>
      </c>
      <c r="CY60" s="8" t="s">
        <v>40</v>
      </c>
      <c r="CZ60" s="9" t="s">
        <v>354</v>
      </c>
      <c r="DA60" s="9" t="s">
        <v>155</v>
      </c>
      <c r="DB60" s="115">
        <v>0.38</v>
      </c>
    </row>
    <row r="61" spans="1:106" s="73" customFormat="1">
      <c r="A61" s="211">
        <v>57</v>
      </c>
      <c r="B61" s="211" t="s">
        <v>243</v>
      </c>
      <c r="C61" s="211">
        <v>28</v>
      </c>
      <c r="D61" s="8" t="s">
        <v>209</v>
      </c>
      <c r="E61" s="9" t="s">
        <v>63</v>
      </c>
      <c r="F61" s="10" t="s">
        <v>259</v>
      </c>
      <c r="G61" s="210">
        <v>0</v>
      </c>
      <c r="H61" s="115">
        <v>35000000</v>
      </c>
      <c r="J61" s="211">
        <v>57</v>
      </c>
      <c r="K61" s="9" t="s">
        <v>195</v>
      </c>
      <c r="L61" s="9">
        <v>1</v>
      </c>
      <c r="M61" s="8" t="s">
        <v>117</v>
      </c>
      <c r="N61" s="10" t="s">
        <v>354</v>
      </c>
      <c r="O61" s="10" t="s">
        <v>2013</v>
      </c>
      <c r="P61" s="210">
        <v>0</v>
      </c>
      <c r="Q61" s="360">
        <v>24200000</v>
      </c>
      <c r="S61" s="211">
        <v>57</v>
      </c>
      <c r="T61" s="9" t="s">
        <v>239</v>
      </c>
      <c r="U61" s="9">
        <v>31</v>
      </c>
      <c r="V61" s="8" t="s">
        <v>159</v>
      </c>
      <c r="W61" s="9" t="s">
        <v>364</v>
      </c>
      <c r="X61" s="10" t="s">
        <v>2236</v>
      </c>
      <c r="Y61" s="658">
        <v>0</v>
      </c>
      <c r="Z61" s="189">
        <v>550000</v>
      </c>
      <c r="AB61" s="211">
        <v>57</v>
      </c>
      <c r="AC61" s="9" t="s">
        <v>239</v>
      </c>
      <c r="AD61" s="9">
        <v>1</v>
      </c>
      <c r="AE61" s="8" t="s">
        <v>121</v>
      </c>
      <c r="AF61" s="10" t="s">
        <v>355</v>
      </c>
      <c r="AG61" s="10" t="s">
        <v>2111</v>
      </c>
      <c r="AH61" s="342">
        <v>0</v>
      </c>
      <c r="AI61" s="361">
        <v>69300000</v>
      </c>
      <c r="AK61" s="211">
        <v>57</v>
      </c>
      <c r="AL61" s="9" t="s">
        <v>58</v>
      </c>
      <c r="AM61" s="9">
        <v>31</v>
      </c>
      <c r="AN61" s="8" t="s">
        <v>159</v>
      </c>
      <c r="AO61" s="9" t="s">
        <v>355</v>
      </c>
      <c r="AP61" s="10" t="s">
        <v>2602</v>
      </c>
      <c r="AQ61" s="342">
        <v>0</v>
      </c>
      <c r="AR61" s="361">
        <v>17556000</v>
      </c>
      <c r="AT61" s="211">
        <v>57</v>
      </c>
      <c r="AU61" s="9" t="s">
        <v>58</v>
      </c>
      <c r="AV61" s="9">
        <v>2</v>
      </c>
      <c r="AW61" s="8" t="s">
        <v>117</v>
      </c>
      <c r="AX61" s="10" t="s">
        <v>354</v>
      </c>
      <c r="AY61" s="10" t="s">
        <v>2485</v>
      </c>
      <c r="AZ61" s="210">
        <v>0</v>
      </c>
      <c r="BA61" s="360">
        <v>7260000</v>
      </c>
      <c r="BC61" s="211">
        <v>57</v>
      </c>
      <c r="BD61" s="53" t="s">
        <v>242</v>
      </c>
      <c r="BE61" s="9">
        <v>19</v>
      </c>
      <c r="BF61" s="8" t="s">
        <v>2894</v>
      </c>
      <c r="BG61" s="9" t="s">
        <v>144</v>
      </c>
      <c r="BH61" s="10" t="s">
        <v>2895</v>
      </c>
      <c r="BI61" s="210">
        <v>0</v>
      </c>
      <c r="BJ61" s="1101">
        <v>16500000</v>
      </c>
      <c r="BL61" s="211">
        <v>57</v>
      </c>
      <c r="BM61" s="211" t="s">
        <v>239</v>
      </c>
      <c r="BN61" s="211">
        <v>3</v>
      </c>
      <c r="BO61" s="217" t="s">
        <v>205</v>
      </c>
      <c r="BP61" s="10" t="s">
        <v>118</v>
      </c>
      <c r="BQ61" s="10" t="s">
        <v>250</v>
      </c>
      <c r="BR61" s="210">
        <v>0</v>
      </c>
      <c r="BS61" s="115">
        <v>9106100</v>
      </c>
      <c r="BU61" s="211">
        <v>57</v>
      </c>
      <c r="BV61" s="211" t="s">
        <v>239</v>
      </c>
      <c r="BW61" s="211">
        <v>3</v>
      </c>
      <c r="BX61" s="217" t="s">
        <v>205</v>
      </c>
      <c r="BY61" s="10" t="s">
        <v>118</v>
      </c>
      <c r="BZ61" s="10" t="s">
        <v>250</v>
      </c>
      <c r="CA61" s="210">
        <v>0</v>
      </c>
      <c r="CB61" s="115">
        <v>9106100</v>
      </c>
      <c r="CD61" s="211">
        <v>57</v>
      </c>
      <c r="CE61" s="9" t="s">
        <v>238</v>
      </c>
      <c r="CF61" s="9">
        <v>4</v>
      </c>
      <c r="CG61" s="8" t="s">
        <v>28</v>
      </c>
      <c r="CH61" s="9" t="s">
        <v>364</v>
      </c>
      <c r="CI61" s="10" t="s">
        <v>654</v>
      </c>
      <c r="CJ61" s="343">
        <v>0</v>
      </c>
      <c r="CK61" s="115">
        <v>1100000</v>
      </c>
      <c r="CM61" s="1855" t="s">
        <v>68</v>
      </c>
      <c r="CN61" s="1855"/>
      <c r="CO61" s="1855"/>
      <c r="CP61" s="1855"/>
      <c r="CQ61" s="1855"/>
      <c r="CR61" s="1855"/>
      <c r="CS61" s="546">
        <f>SUM(CS60)</f>
        <v>330</v>
      </c>
      <c r="CT61" s="547">
        <f>SUM(CT60)</f>
        <v>0</v>
      </c>
      <c r="CV61" s="211">
        <v>4</v>
      </c>
      <c r="CW61" s="9" t="s">
        <v>194</v>
      </c>
      <c r="CX61" s="9">
        <v>11</v>
      </c>
      <c r="CY61" s="8" t="s">
        <v>40</v>
      </c>
      <c r="CZ61" s="9" t="s">
        <v>355</v>
      </c>
      <c r="DA61" s="9" t="s">
        <v>156</v>
      </c>
      <c r="DB61" s="115">
        <v>0.42</v>
      </c>
    </row>
    <row r="62" spans="1:106" s="73" customFormat="1">
      <c r="A62" s="211">
        <v>58</v>
      </c>
      <c r="B62" s="211" t="s">
        <v>238</v>
      </c>
      <c r="C62" s="211">
        <v>20</v>
      </c>
      <c r="D62" s="8" t="s">
        <v>209</v>
      </c>
      <c r="E62" s="9" t="s">
        <v>63</v>
      </c>
      <c r="F62" s="10" t="s">
        <v>260</v>
      </c>
      <c r="G62" s="210">
        <v>0</v>
      </c>
      <c r="H62" s="115">
        <v>40500000</v>
      </c>
      <c r="J62" s="211">
        <v>58</v>
      </c>
      <c r="K62" s="9" t="s">
        <v>194</v>
      </c>
      <c r="L62" s="9">
        <v>4</v>
      </c>
      <c r="M62" s="8" t="s">
        <v>387</v>
      </c>
      <c r="N62" s="9" t="s">
        <v>388</v>
      </c>
      <c r="O62" s="10" t="s">
        <v>389</v>
      </c>
      <c r="P62" s="210">
        <v>0</v>
      </c>
      <c r="Q62" s="115">
        <v>696000000</v>
      </c>
      <c r="S62" s="211">
        <v>58</v>
      </c>
      <c r="T62" s="9" t="s">
        <v>239</v>
      </c>
      <c r="U62" s="9">
        <v>31</v>
      </c>
      <c r="V62" s="8" t="s">
        <v>159</v>
      </c>
      <c r="W62" s="9" t="s">
        <v>357</v>
      </c>
      <c r="X62" s="10" t="s">
        <v>2237</v>
      </c>
      <c r="Y62" s="658">
        <v>0</v>
      </c>
      <c r="Z62" s="189">
        <v>1100000</v>
      </c>
      <c r="AB62" s="211">
        <v>58</v>
      </c>
      <c r="AC62" s="9" t="s">
        <v>239</v>
      </c>
      <c r="AD62" s="9">
        <v>21</v>
      </c>
      <c r="AE62" s="8" t="s">
        <v>121</v>
      </c>
      <c r="AF62" s="10" t="s">
        <v>144</v>
      </c>
      <c r="AG62" s="10" t="s">
        <v>2213</v>
      </c>
      <c r="AH62" s="342">
        <v>0</v>
      </c>
      <c r="AI62" s="361">
        <v>3300000</v>
      </c>
      <c r="AK62" s="211">
        <v>58</v>
      </c>
      <c r="AL62" s="9" t="s">
        <v>58</v>
      </c>
      <c r="AM62" s="9">
        <v>31</v>
      </c>
      <c r="AN62" s="8" t="s">
        <v>159</v>
      </c>
      <c r="AO62" s="9" t="s">
        <v>364</v>
      </c>
      <c r="AP62" s="10" t="s">
        <v>2603</v>
      </c>
      <c r="AQ62" s="342">
        <v>0</v>
      </c>
      <c r="AR62" s="361">
        <v>550000</v>
      </c>
      <c r="AT62" s="211">
        <v>58</v>
      </c>
      <c r="AU62" s="9" t="s">
        <v>241</v>
      </c>
      <c r="AV62" s="9">
        <v>2</v>
      </c>
      <c r="AW62" s="8" t="s">
        <v>117</v>
      </c>
      <c r="AX62" s="10" t="s">
        <v>354</v>
      </c>
      <c r="AY62" s="10" t="s">
        <v>2618</v>
      </c>
      <c r="AZ62" s="342">
        <v>0</v>
      </c>
      <c r="BA62" s="361">
        <v>24200000</v>
      </c>
      <c r="BC62" s="211">
        <v>58</v>
      </c>
      <c r="BD62" s="9" t="s">
        <v>195</v>
      </c>
      <c r="BE62" s="9">
        <v>12</v>
      </c>
      <c r="BF62" s="8" t="s">
        <v>111</v>
      </c>
      <c r="BG62" s="10" t="s">
        <v>147</v>
      </c>
      <c r="BH62" s="10" t="s">
        <v>160</v>
      </c>
      <c r="BI62" s="210">
        <v>0</v>
      </c>
      <c r="BJ62" s="115">
        <v>84480000</v>
      </c>
      <c r="BL62" s="211">
        <v>58</v>
      </c>
      <c r="BM62" s="9" t="s">
        <v>194</v>
      </c>
      <c r="BN62" s="9">
        <v>18</v>
      </c>
      <c r="BO62" s="8" t="s">
        <v>95</v>
      </c>
      <c r="BP62" s="10" t="s">
        <v>357</v>
      </c>
      <c r="BQ62" s="10" t="s">
        <v>148</v>
      </c>
      <c r="BR62" s="342">
        <v>0</v>
      </c>
      <c r="BS62" s="344">
        <v>-0.39999999990686774</v>
      </c>
      <c r="BU62" s="211">
        <v>58</v>
      </c>
      <c r="BV62" s="9" t="s">
        <v>194</v>
      </c>
      <c r="BW62" s="9">
        <v>18</v>
      </c>
      <c r="BX62" s="8" t="s">
        <v>95</v>
      </c>
      <c r="BY62" s="10" t="s">
        <v>357</v>
      </c>
      <c r="BZ62" s="10" t="s">
        <v>148</v>
      </c>
      <c r="CA62" s="342">
        <v>0</v>
      </c>
      <c r="CB62" s="344">
        <v>-0.39999999990686774</v>
      </c>
      <c r="CD62" s="211">
        <v>58</v>
      </c>
      <c r="CE62" s="9" t="s">
        <v>140</v>
      </c>
      <c r="CF62" s="9">
        <v>1</v>
      </c>
      <c r="CG62" s="8" t="s">
        <v>28</v>
      </c>
      <c r="CH62" s="9" t="s">
        <v>355</v>
      </c>
      <c r="CI62" s="10" t="s">
        <v>1543</v>
      </c>
      <c r="CJ62" s="343">
        <v>0</v>
      </c>
      <c r="CK62" s="345">
        <v>35200000</v>
      </c>
      <c r="CM62" s="211">
        <v>1</v>
      </c>
      <c r="CN62" s="9" t="s">
        <v>238</v>
      </c>
      <c r="CO62" s="9">
        <v>4</v>
      </c>
      <c r="CP62" s="8" t="s">
        <v>121</v>
      </c>
      <c r="CQ62" s="10" t="s">
        <v>1568</v>
      </c>
      <c r="CR62" s="127" t="s">
        <v>662</v>
      </c>
      <c r="CS62" s="342">
        <v>0</v>
      </c>
      <c r="CT62" s="344">
        <v>64350000</v>
      </c>
      <c r="CV62" s="211">
        <v>5</v>
      </c>
      <c r="CW62" s="9" t="s">
        <v>194</v>
      </c>
      <c r="CX62" s="9">
        <v>25</v>
      </c>
      <c r="CY62" s="8" t="s">
        <v>40</v>
      </c>
      <c r="CZ62" s="9" t="s">
        <v>375</v>
      </c>
      <c r="DA62" s="9" t="s">
        <v>157</v>
      </c>
      <c r="DB62" s="115">
        <v>0.04</v>
      </c>
    </row>
    <row r="63" spans="1:106" s="73" customFormat="1">
      <c r="A63" s="211">
        <v>59</v>
      </c>
      <c r="B63" s="211" t="s">
        <v>194</v>
      </c>
      <c r="C63" s="211">
        <v>7</v>
      </c>
      <c r="D63" s="8" t="s">
        <v>210</v>
      </c>
      <c r="E63" s="9" t="s">
        <v>262</v>
      </c>
      <c r="F63" s="9" t="s">
        <v>261</v>
      </c>
      <c r="G63" s="210">
        <v>0</v>
      </c>
      <c r="H63" s="115">
        <v>8800000</v>
      </c>
      <c r="J63" s="211">
        <v>59</v>
      </c>
      <c r="K63" s="9" t="s">
        <v>194</v>
      </c>
      <c r="L63" s="9">
        <v>31</v>
      </c>
      <c r="M63" s="8" t="s">
        <v>159</v>
      </c>
      <c r="N63" s="9" t="s">
        <v>355</v>
      </c>
      <c r="O63" s="10" t="s">
        <v>1930</v>
      </c>
      <c r="P63" s="210">
        <v>0</v>
      </c>
      <c r="Q63" s="361">
        <v>14630000</v>
      </c>
      <c r="S63" s="211">
        <v>59</v>
      </c>
      <c r="T63" s="9" t="s">
        <v>239</v>
      </c>
      <c r="U63" s="9">
        <v>1</v>
      </c>
      <c r="V63" s="8" t="s">
        <v>45</v>
      </c>
      <c r="W63" s="10" t="s">
        <v>354</v>
      </c>
      <c r="X63" s="10" t="s">
        <v>2104</v>
      </c>
      <c r="Y63" s="342">
        <v>0</v>
      </c>
      <c r="Z63" s="189">
        <v>13200000</v>
      </c>
      <c r="AB63" s="211">
        <v>59</v>
      </c>
      <c r="AC63" s="9" t="s">
        <v>239</v>
      </c>
      <c r="AD63" s="9">
        <v>22</v>
      </c>
      <c r="AE63" s="8" t="s">
        <v>121</v>
      </c>
      <c r="AF63" s="10" t="s">
        <v>144</v>
      </c>
      <c r="AG63" s="10" t="s">
        <v>2220</v>
      </c>
      <c r="AH63" s="342">
        <v>0</v>
      </c>
      <c r="AI63" s="361">
        <v>11000000</v>
      </c>
      <c r="AK63" s="211">
        <v>59</v>
      </c>
      <c r="AL63" s="9" t="s">
        <v>58</v>
      </c>
      <c r="AM63" s="9">
        <v>31</v>
      </c>
      <c r="AN63" s="8" t="s">
        <v>159</v>
      </c>
      <c r="AO63" s="9" t="s">
        <v>357</v>
      </c>
      <c r="AP63" s="10" t="s">
        <v>2604</v>
      </c>
      <c r="AQ63" s="342">
        <v>0</v>
      </c>
      <c r="AR63" s="361">
        <v>696666.66299999994</v>
      </c>
      <c r="AT63" s="211">
        <v>59</v>
      </c>
      <c r="AU63" s="9" t="s">
        <v>241</v>
      </c>
      <c r="AV63" s="9">
        <v>2</v>
      </c>
      <c r="AW63" s="8" t="s">
        <v>117</v>
      </c>
      <c r="AX63" s="10" t="s">
        <v>354</v>
      </c>
      <c r="AY63" s="10" t="s">
        <v>2619</v>
      </c>
      <c r="AZ63" s="342">
        <v>0</v>
      </c>
      <c r="BA63" s="361">
        <v>24200000</v>
      </c>
      <c r="BC63" s="211">
        <v>59</v>
      </c>
      <c r="BD63" s="9" t="s">
        <v>240</v>
      </c>
      <c r="BE63" s="9">
        <v>6</v>
      </c>
      <c r="BF63" s="8" t="s">
        <v>396</v>
      </c>
      <c r="BG63" s="10" t="s">
        <v>364</v>
      </c>
      <c r="BH63" s="10" t="s">
        <v>2530</v>
      </c>
      <c r="BI63" s="342">
        <v>0</v>
      </c>
      <c r="BJ63" s="361">
        <v>45000000.000999995</v>
      </c>
      <c r="BL63" s="211">
        <v>59</v>
      </c>
      <c r="BM63" s="9" t="s">
        <v>58</v>
      </c>
      <c r="BN63" s="9">
        <v>16</v>
      </c>
      <c r="BO63" s="8" t="s">
        <v>95</v>
      </c>
      <c r="BP63" s="10" t="s">
        <v>354</v>
      </c>
      <c r="BQ63" s="10" t="s">
        <v>439</v>
      </c>
      <c r="BR63" s="210">
        <v>0</v>
      </c>
      <c r="BS63" s="115">
        <v>8250000</v>
      </c>
      <c r="BU63" s="211">
        <v>59</v>
      </c>
      <c r="BV63" s="9" t="s">
        <v>241</v>
      </c>
      <c r="BW63" s="9">
        <v>6</v>
      </c>
      <c r="BX63" s="8" t="s">
        <v>95</v>
      </c>
      <c r="BY63" s="10" t="s">
        <v>357</v>
      </c>
      <c r="BZ63" s="10" t="s">
        <v>460</v>
      </c>
      <c r="CA63" s="342">
        <v>0</v>
      </c>
      <c r="CB63" s="344">
        <v>23721280</v>
      </c>
      <c r="CD63" s="211">
        <v>59</v>
      </c>
      <c r="CE63" s="9" t="s">
        <v>140</v>
      </c>
      <c r="CF63" s="9">
        <v>1</v>
      </c>
      <c r="CG63" s="8" t="s">
        <v>28</v>
      </c>
      <c r="CH63" s="9" t="s">
        <v>364</v>
      </c>
      <c r="CI63" s="10" t="s">
        <v>1544</v>
      </c>
      <c r="CJ63" s="343">
        <v>0</v>
      </c>
      <c r="CK63" s="345">
        <v>1100000</v>
      </c>
      <c r="CM63" s="211">
        <v>2</v>
      </c>
      <c r="CN63" s="9" t="s">
        <v>140</v>
      </c>
      <c r="CO63" s="9">
        <v>1</v>
      </c>
      <c r="CP63" s="8" t="s">
        <v>121</v>
      </c>
      <c r="CQ63" s="10" t="s">
        <v>1568</v>
      </c>
      <c r="CR63" s="127" t="s">
        <v>1567</v>
      </c>
      <c r="CS63" s="342">
        <v>0</v>
      </c>
      <c r="CT63" s="344">
        <v>57200000</v>
      </c>
      <c r="CV63" s="211">
        <v>6</v>
      </c>
      <c r="CW63" s="9" t="s">
        <v>194</v>
      </c>
      <c r="CX63" s="9">
        <v>25</v>
      </c>
      <c r="CY63" s="8" t="s">
        <v>40</v>
      </c>
      <c r="CZ63" s="9" t="s">
        <v>374</v>
      </c>
      <c r="DA63" s="9" t="s">
        <v>158</v>
      </c>
      <c r="DB63" s="115">
        <v>0.04</v>
      </c>
    </row>
    <row r="64" spans="1:106" s="73" customFormat="1">
      <c r="A64" s="211">
        <v>60</v>
      </c>
      <c r="B64" s="9" t="s">
        <v>195</v>
      </c>
      <c r="C64" s="9">
        <v>12</v>
      </c>
      <c r="D64" s="8" t="s">
        <v>111</v>
      </c>
      <c r="E64" s="10" t="s">
        <v>147</v>
      </c>
      <c r="F64" s="10" t="s">
        <v>160</v>
      </c>
      <c r="G64" s="210">
        <v>0</v>
      </c>
      <c r="H64" s="115">
        <v>84480000</v>
      </c>
      <c r="J64" s="211">
        <v>60</v>
      </c>
      <c r="K64" s="9" t="s">
        <v>194</v>
      </c>
      <c r="L64" s="9">
        <v>31</v>
      </c>
      <c r="M64" s="8" t="s">
        <v>159</v>
      </c>
      <c r="N64" s="9" t="s">
        <v>364</v>
      </c>
      <c r="O64" s="10" t="s">
        <v>1932</v>
      </c>
      <c r="P64" s="210">
        <v>0</v>
      </c>
      <c r="Q64" s="361">
        <v>550000</v>
      </c>
      <c r="S64" s="211">
        <v>60</v>
      </c>
      <c r="T64" s="211" t="s">
        <v>241</v>
      </c>
      <c r="U64" s="211">
        <v>1</v>
      </c>
      <c r="V64" s="8" t="s">
        <v>208</v>
      </c>
      <c r="W64" s="9" t="s">
        <v>118</v>
      </c>
      <c r="X64" s="10" t="s">
        <v>258</v>
      </c>
      <c r="Y64" s="210">
        <v>0</v>
      </c>
      <c r="Z64" s="115">
        <v>1400000</v>
      </c>
      <c r="AB64" s="211">
        <v>60</v>
      </c>
      <c r="AC64" s="9" t="s">
        <v>240</v>
      </c>
      <c r="AD64" s="9">
        <v>18</v>
      </c>
      <c r="AE64" s="8" t="s">
        <v>121</v>
      </c>
      <c r="AF64" s="10" t="s">
        <v>355</v>
      </c>
      <c r="AG64" s="10" t="s">
        <v>2246</v>
      </c>
      <c r="AH64" s="342">
        <v>0</v>
      </c>
      <c r="AI64" s="361">
        <v>59125000</v>
      </c>
      <c r="AK64" s="211">
        <v>60</v>
      </c>
      <c r="AL64" s="9" t="s">
        <v>58</v>
      </c>
      <c r="AM64" s="9">
        <v>2</v>
      </c>
      <c r="AN64" s="8" t="s">
        <v>164</v>
      </c>
      <c r="AO64" s="10" t="s">
        <v>376</v>
      </c>
      <c r="AP64" s="10" t="s">
        <v>2431</v>
      </c>
      <c r="AQ64" s="342">
        <v>0</v>
      </c>
      <c r="AR64" s="361">
        <v>22000000</v>
      </c>
      <c r="AT64" s="211">
        <v>60</v>
      </c>
      <c r="AU64" s="9" t="s">
        <v>194</v>
      </c>
      <c r="AV64" s="9">
        <v>4</v>
      </c>
      <c r="AW64" s="8" t="s">
        <v>387</v>
      </c>
      <c r="AX64" s="9" t="s">
        <v>388</v>
      </c>
      <c r="AY64" s="10" t="s">
        <v>389</v>
      </c>
      <c r="AZ64" s="210">
        <v>0</v>
      </c>
      <c r="BA64" s="115">
        <v>696000000</v>
      </c>
      <c r="BC64" s="211">
        <v>60</v>
      </c>
      <c r="BD64" s="9" t="s">
        <v>240</v>
      </c>
      <c r="BE64" s="9">
        <v>6</v>
      </c>
      <c r="BF64" s="8" t="s">
        <v>396</v>
      </c>
      <c r="BG64" s="10" t="s">
        <v>364</v>
      </c>
      <c r="BH64" s="10" t="s">
        <v>2531</v>
      </c>
      <c r="BI64" s="342">
        <v>0</v>
      </c>
      <c r="BJ64" s="361">
        <v>45000000.000999995</v>
      </c>
      <c r="BL64" s="211">
        <v>60</v>
      </c>
      <c r="BM64" s="9" t="s">
        <v>58</v>
      </c>
      <c r="BN64" s="9">
        <v>16</v>
      </c>
      <c r="BO64" s="8" t="s">
        <v>95</v>
      </c>
      <c r="BP64" s="10" t="s">
        <v>357</v>
      </c>
      <c r="BQ64" s="10" t="s">
        <v>440</v>
      </c>
      <c r="BR64" s="210">
        <v>0</v>
      </c>
      <c r="BS64" s="115">
        <v>23457280</v>
      </c>
      <c r="BU64" s="211">
        <v>60</v>
      </c>
      <c r="BV64" s="9" t="s">
        <v>241</v>
      </c>
      <c r="BW64" s="9">
        <v>6</v>
      </c>
      <c r="BX64" s="8" t="s">
        <v>95</v>
      </c>
      <c r="BY64" s="10" t="s">
        <v>357</v>
      </c>
      <c r="BZ64" s="10" t="s">
        <v>461</v>
      </c>
      <c r="CA64" s="342">
        <v>0</v>
      </c>
      <c r="CB64" s="344">
        <v>17790960</v>
      </c>
      <c r="CD64" s="211">
        <v>60</v>
      </c>
      <c r="CE64" s="211" t="s">
        <v>239</v>
      </c>
      <c r="CF64" s="211">
        <v>3</v>
      </c>
      <c r="CG64" s="217" t="s">
        <v>205</v>
      </c>
      <c r="CH64" s="10" t="s">
        <v>147</v>
      </c>
      <c r="CI64" s="10" t="s">
        <v>249</v>
      </c>
      <c r="CJ64" s="210">
        <v>0</v>
      </c>
      <c r="CK64" s="115">
        <v>10500000</v>
      </c>
      <c r="CM64" s="1855" t="s">
        <v>68</v>
      </c>
      <c r="CN64" s="1855"/>
      <c r="CO64" s="1855"/>
      <c r="CP64" s="1855"/>
      <c r="CQ64" s="1855"/>
      <c r="CR64" s="1855"/>
      <c r="CS64" s="546">
        <f>SUM(CS62:CS63)</f>
        <v>0</v>
      </c>
      <c r="CT64" s="547">
        <f>SUM(CT62:CT63)</f>
        <v>121550000</v>
      </c>
      <c r="CV64" s="211">
        <v>7</v>
      </c>
      <c r="CW64" s="9" t="s">
        <v>195</v>
      </c>
      <c r="CX64" s="9">
        <v>22</v>
      </c>
      <c r="CY64" s="8" t="s">
        <v>40</v>
      </c>
      <c r="CZ64" s="9" t="s">
        <v>355</v>
      </c>
      <c r="DA64" s="9" t="s">
        <v>350</v>
      </c>
      <c r="DB64" s="115">
        <v>7.0000000000000007E-2</v>
      </c>
    </row>
    <row r="65" spans="1:106" s="73" customFormat="1">
      <c r="A65" s="211">
        <v>61</v>
      </c>
      <c r="B65" s="9" t="s">
        <v>140</v>
      </c>
      <c r="C65" s="9">
        <v>1</v>
      </c>
      <c r="D65" s="8" t="s">
        <v>430</v>
      </c>
      <c r="E65" s="10" t="s">
        <v>354</v>
      </c>
      <c r="F65" s="10" t="s">
        <v>1550</v>
      </c>
      <c r="G65" s="343">
        <v>0</v>
      </c>
      <c r="H65" s="345">
        <v>-7738700</v>
      </c>
      <c r="J65" s="211">
        <v>61</v>
      </c>
      <c r="K65" s="9" t="s">
        <v>194</v>
      </c>
      <c r="L65" s="9">
        <v>31</v>
      </c>
      <c r="M65" s="8" t="s">
        <v>159</v>
      </c>
      <c r="N65" s="9" t="s">
        <v>357</v>
      </c>
      <c r="O65" s="10" t="s">
        <v>1933</v>
      </c>
      <c r="P65" s="342">
        <v>0</v>
      </c>
      <c r="Q65" s="361">
        <v>1100000</v>
      </c>
      <c r="S65" s="211">
        <v>61</v>
      </c>
      <c r="T65" s="9" t="s">
        <v>239</v>
      </c>
      <c r="U65" s="9">
        <v>1</v>
      </c>
      <c r="V65" s="8" t="s">
        <v>133</v>
      </c>
      <c r="W65" s="9" t="s">
        <v>364</v>
      </c>
      <c r="X65" s="10" t="s">
        <v>2109</v>
      </c>
      <c r="Y65" s="343">
        <v>0</v>
      </c>
      <c r="Z65" s="376">
        <v>33000000</v>
      </c>
      <c r="AB65" s="211">
        <v>61</v>
      </c>
      <c r="AC65" s="211" t="s">
        <v>241</v>
      </c>
      <c r="AD65" s="211">
        <v>19</v>
      </c>
      <c r="AE65" s="186" t="s">
        <v>207</v>
      </c>
      <c r="AF65" s="211" t="s">
        <v>256</v>
      </c>
      <c r="AG65" s="127" t="s">
        <v>255</v>
      </c>
      <c r="AH65" s="210">
        <v>0</v>
      </c>
      <c r="AI65" s="115">
        <v>13640000</v>
      </c>
      <c r="AK65" s="211">
        <v>61</v>
      </c>
      <c r="AL65" s="9" t="s">
        <v>58</v>
      </c>
      <c r="AM65" s="9">
        <v>2</v>
      </c>
      <c r="AN65" s="8" t="s">
        <v>164</v>
      </c>
      <c r="AO65" s="10" t="s">
        <v>364</v>
      </c>
      <c r="AP65" s="10" t="s">
        <v>2433</v>
      </c>
      <c r="AQ65" s="342">
        <v>0</v>
      </c>
      <c r="AR65" s="361">
        <v>6600000</v>
      </c>
      <c r="AT65" s="211">
        <v>61</v>
      </c>
      <c r="AU65" s="9" t="s">
        <v>241</v>
      </c>
      <c r="AV65" s="9">
        <v>13</v>
      </c>
      <c r="AW65" s="8" t="s">
        <v>40</v>
      </c>
      <c r="AX65" s="10" t="s">
        <v>354</v>
      </c>
      <c r="AY65" s="10" t="s">
        <v>2728</v>
      </c>
      <c r="AZ65" s="342">
        <v>0</v>
      </c>
      <c r="BA65" s="361">
        <v>89088615</v>
      </c>
      <c r="BC65" s="211">
        <v>61</v>
      </c>
      <c r="BD65" s="9" t="s">
        <v>240</v>
      </c>
      <c r="BE65" s="9">
        <v>6</v>
      </c>
      <c r="BF65" s="8" t="s">
        <v>396</v>
      </c>
      <c r="BG65" s="10" t="s">
        <v>364</v>
      </c>
      <c r="BH65" s="10" t="s">
        <v>2532</v>
      </c>
      <c r="BI65" s="342">
        <v>0</v>
      </c>
      <c r="BJ65" s="361">
        <v>45000000.000999995</v>
      </c>
      <c r="BL65" s="211">
        <v>61</v>
      </c>
      <c r="BM65" s="9" t="s">
        <v>58</v>
      </c>
      <c r="BN65" s="9">
        <v>16</v>
      </c>
      <c r="BO65" s="8" t="s">
        <v>95</v>
      </c>
      <c r="BP65" s="10" t="s">
        <v>357</v>
      </c>
      <c r="BQ65" s="10" t="s">
        <v>441</v>
      </c>
      <c r="BR65" s="210">
        <v>0</v>
      </c>
      <c r="BS65" s="115">
        <v>17592960</v>
      </c>
      <c r="BU65" s="211">
        <v>61</v>
      </c>
      <c r="BV65" s="9" t="s">
        <v>241</v>
      </c>
      <c r="BW65" s="9">
        <v>6</v>
      </c>
      <c r="BX65" s="8" t="s">
        <v>95</v>
      </c>
      <c r="BY65" s="10" t="s">
        <v>357</v>
      </c>
      <c r="BZ65" s="10" t="s">
        <v>462</v>
      </c>
      <c r="CA65" s="342">
        <v>0</v>
      </c>
      <c r="CB65" s="344">
        <v>22238700</v>
      </c>
      <c r="CD65" s="211">
        <v>61</v>
      </c>
      <c r="CE65" s="211" t="s">
        <v>239</v>
      </c>
      <c r="CF65" s="211">
        <v>3</v>
      </c>
      <c r="CG65" s="217" t="s">
        <v>205</v>
      </c>
      <c r="CH65" s="10" t="s">
        <v>118</v>
      </c>
      <c r="CI65" s="10" t="s">
        <v>250</v>
      </c>
      <c r="CJ65" s="210">
        <v>0</v>
      </c>
      <c r="CK65" s="115">
        <v>9106100</v>
      </c>
      <c r="CM65" s="211">
        <v>1</v>
      </c>
      <c r="CN65" s="211" t="s">
        <v>241</v>
      </c>
      <c r="CO65" s="211">
        <v>19</v>
      </c>
      <c r="CP65" s="186" t="s">
        <v>207</v>
      </c>
      <c r="CQ65" s="211" t="s">
        <v>256</v>
      </c>
      <c r="CR65" s="127" t="s">
        <v>255</v>
      </c>
      <c r="CS65" s="210">
        <v>0</v>
      </c>
      <c r="CT65" s="115">
        <v>13640000</v>
      </c>
      <c r="CV65" s="211">
        <v>8</v>
      </c>
      <c r="CW65" s="9" t="s">
        <v>195</v>
      </c>
      <c r="CX65" s="9">
        <v>9</v>
      </c>
      <c r="CY65" s="8" t="s">
        <v>40</v>
      </c>
      <c r="CZ65" s="9" t="s">
        <v>355</v>
      </c>
      <c r="DA65" s="9" t="s">
        <v>351</v>
      </c>
      <c r="DB65" s="115">
        <v>0.41</v>
      </c>
    </row>
    <row r="66" spans="1:106" s="73" customFormat="1">
      <c r="A66" s="211">
        <v>62</v>
      </c>
      <c r="B66" s="53" t="s">
        <v>194</v>
      </c>
      <c r="C66" s="9">
        <v>9</v>
      </c>
      <c r="D66" s="8" t="s">
        <v>108</v>
      </c>
      <c r="E66" s="10" t="s">
        <v>354</v>
      </c>
      <c r="F66" s="10" t="s">
        <v>1818</v>
      </c>
      <c r="G66" s="342">
        <v>0</v>
      </c>
      <c r="H66" s="361">
        <v>24200000</v>
      </c>
      <c r="J66" s="211">
        <v>62</v>
      </c>
      <c r="K66" s="9" t="s">
        <v>195</v>
      </c>
      <c r="L66" s="9">
        <v>28</v>
      </c>
      <c r="M66" s="8" t="s">
        <v>159</v>
      </c>
      <c r="N66" s="9" t="s">
        <v>355</v>
      </c>
      <c r="O66" s="10" t="s">
        <v>2087</v>
      </c>
      <c r="P66" s="210">
        <v>0</v>
      </c>
      <c r="Q66" s="361">
        <v>14630000</v>
      </c>
      <c r="S66" s="211">
        <v>62</v>
      </c>
      <c r="T66" s="211" t="s">
        <v>243</v>
      </c>
      <c r="U66" s="211">
        <v>28</v>
      </c>
      <c r="V66" s="8" t="s">
        <v>209</v>
      </c>
      <c r="W66" s="9" t="s">
        <v>63</v>
      </c>
      <c r="X66" s="10" t="s">
        <v>259</v>
      </c>
      <c r="Y66" s="210">
        <v>0</v>
      </c>
      <c r="Z66" s="115">
        <v>35000000</v>
      </c>
      <c r="AB66" s="211">
        <v>62</v>
      </c>
      <c r="AC66" s="9" t="s">
        <v>240</v>
      </c>
      <c r="AD66" s="9">
        <v>3</v>
      </c>
      <c r="AE66" s="8" t="s">
        <v>117</v>
      </c>
      <c r="AF66" s="10" t="s">
        <v>354</v>
      </c>
      <c r="AG66" s="10" t="s">
        <v>2275</v>
      </c>
      <c r="AH66" s="210">
        <v>0</v>
      </c>
      <c r="AI66" s="360">
        <v>24200000</v>
      </c>
      <c r="AK66" s="211">
        <v>62</v>
      </c>
      <c r="AL66" s="9" t="s">
        <v>58</v>
      </c>
      <c r="AM66" s="9">
        <v>2</v>
      </c>
      <c r="AN66" s="8" t="s">
        <v>45</v>
      </c>
      <c r="AO66" s="10" t="s">
        <v>354</v>
      </c>
      <c r="AP66" s="10" t="s">
        <v>2425</v>
      </c>
      <c r="AQ66" s="342">
        <v>0</v>
      </c>
      <c r="AR66" s="189">
        <v>13200000</v>
      </c>
      <c r="AT66" s="211">
        <v>62</v>
      </c>
      <c r="AU66" s="9" t="s">
        <v>241</v>
      </c>
      <c r="AV66" s="9">
        <v>13</v>
      </c>
      <c r="AW66" s="8" t="s">
        <v>40</v>
      </c>
      <c r="AX66" s="10" t="s">
        <v>354</v>
      </c>
      <c r="AY66" s="10" t="s">
        <v>2730</v>
      </c>
      <c r="AZ66" s="342">
        <v>0</v>
      </c>
      <c r="BA66" s="361">
        <v>89088615</v>
      </c>
      <c r="BC66" s="211">
        <v>62</v>
      </c>
      <c r="BD66" s="9" t="s">
        <v>240</v>
      </c>
      <c r="BE66" s="9">
        <v>6</v>
      </c>
      <c r="BF66" s="8" t="s">
        <v>396</v>
      </c>
      <c r="BG66" s="10" t="s">
        <v>364</v>
      </c>
      <c r="BH66" s="10" t="s">
        <v>2533</v>
      </c>
      <c r="BI66" s="342">
        <v>0</v>
      </c>
      <c r="BJ66" s="361">
        <v>45000000.000999995</v>
      </c>
      <c r="BL66" s="211">
        <v>62</v>
      </c>
      <c r="BM66" s="9" t="s">
        <v>58</v>
      </c>
      <c r="BN66" s="9">
        <v>16</v>
      </c>
      <c r="BO66" s="8" t="s">
        <v>95</v>
      </c>
      <c r="BP66" s="10" t="s">
        <v>357</v>
      </c>
      <c r="BQ66" s="10" t="s">
        <v>442</v>
      </c>
      <c r="BR66" s="210">
        <v>0</v>
      </c>
      <c r="BS66" s="341">
        <v>21991200</v>
      </c>
      <c r="BU66" s="211">
        <v>62</v>
      </c>
      <c r="BV66" s="9" t="s">
        <v>241</v>
      </c>
      <c r="BW66" s="9">
        <v>6</v>
      </c>
      <c r="BX66" s="8" t="s">
        <v>95</v>
      </c>
      <c r="BY66" s="10" t="s">
        <v>357</v>
      </c>
      <c r="BZ66" s="10" t="s">
        <v>463</v>
      </c>
      <c r="CA66" s="342">
        <v>0</v>
      </c>
      <c r="CB66" s="344">
        <v>19273540</v>
      </c>
      <c r="CD66" s="211">
        <v>62</v>
      </c>
      <c r="CE66" s="9" t="s">
        <v>194</v>
      </c>
      <c r="CF66" s="9">
        <v>18</v>
      </c>
      <c r="CG66" s="8" t="s">
        <v>95</v>
      </c>
      <c r="CH66" s="10" t="s">
        <v>357</v>
      </c>
      <c r="CI66" s="10" t="s">
        <v>148</v>
      </c>
      <c r="CJ66" s="342">
        <v>0</v>
      </c>
      <c r="CK66" s="538">
        <v>-0.39999999990686774</v>
      </c>
      <c r="CM66" s="1855" t="s">
        <v>68</v>
      </c>
      <c r="CN66" s="1855"/>
      <c r="CO66" s="1855"/>
      <c r="CP66" s="1855"/>
      <c r="CQ66" s="1855"/>
      <c r="CR66" s="1855"/>
      <c r="CS66" s="546">
        <f>SUM(CS65)</f>
        <v>0</v>
      </c>
      <c r="CT66" s="547">
        <f>SUM(CT65)</f>
        <v>13640000</v>
      </c>
      <c r="CV66" s="211">
        <v>9</v>
      </c>
      <c r="CW66" s="9" t="s">
        <v>239</v>
      </c>
      <c r="CX66" s="9">
        <v>3</v>
      </c>
      <c r="CY66" s="8" t="s">
        <v>40</v>
      </c>
      <c r="CZ66" s="9" t="s">
        <v>354</v>
      </c>
      <c r="DA66" s="9" t="s">
        <v>398</v>
      </c>
      <c r="DB66" s="115">
        <v>0.17</v>
      </c>
    </row>
    <row r="67" spans="1:106" s="73" customFormat="1">
      <c r="A67" s="211">
        <v>63</v>
      </c>
      <c r="B67" s="9" t="s">
        <v>245</v>
      </c>
      <c r="C67" s="9">
        <v>11</v>
      </c>
      <c r="D67" s="11" t="s">
        <v>606</v>
      </c>
      <c r="E67" s="9" t="s">
        <v>354</v>
      </c>
      <c r="F67" s="9" t="s">
        <v>637</v>
      </c>
      <c r="G67" s="342">
        <v>0</v>
      </c>
      <c r="H67" s="361">
        <v>24200000</v>
      </c>
      <c r="J67" s="211">
        <v>63</v>
      </c>
      <c r="K67" s="9" t="s">
        <v>195</v>
      </c>
      <c r="L67" s="9">
        <v>28</v>
      </c>
      <c r="M67" s="8" t="s">
        <v>159</v>
      </c>
      <c r="N67" s="9" t="s">
        <v>364</v>
      </c>
      <c r="O67" s="10" t="s">
        <v>2088</v>
      </c>
      <c r="P67" s="210">
        <v>0</v>
      </c>
      <c r="Q67" s="361">
        <v>550000</v>
      </c>
      <c r="S67" s="211">
        <v>63</v>
      </c>
      <c r="T67" s="211" t="s">
        <v>238</v>
      </c>
      <c r="U67" s="211">
        <v>20</v>
      </c>
      <c r="V67" s="8" t="s">
        <v>209</v>
      </c>
      <c r="W67" s="9" t="s">
        <v>63</v>
      </c>
      <c r="X67" s="10" t="s">
        <v>260</v>
      </c>
      <c r="Y67" s="210">
        <v>0</v>
      </c>
      <c r="Z67" s="115">
        <v>40500000</v>
      </c>
      <c r="AB67" s="211">
        <v>63</v>
      </c>
      <c r="AC67" s="9" t="s">
        <v>240</v>
      </c>
      <c r="AD67" s="9">
        <v>3</v>
      </c>
      <c r="AE67" s="8" t="s">
        <v>117</v>
      </c>
      <c r="AF67" s="10" t="s">
        <v>354</v>
      </c>
      <c r="AG67" s="10" t="s">
        <v>2276</v>
      </c>
      <c r="AH67" s="210">
        <v>0</v>
      </c>
      <c r="AI67" s="360">
        <v>24200000</v>
      </c>
      <c r="AK67" s="211">
        <v>63</v>
      </c>
      <c r="AL67" s="211" t="s">
        <v>241</v>
      </c>
      <c r="AM67" s="211">
        <v>1</v>
      </c>
      <c r="AN67" s="8" t="s">
        <v>208</v>
      </c>
      <c r="AO67" s="9" t="s">
        <v>118</v>
      </c>
      <c r="AP67" s="10" t="s">
        <v>258</v>
      </c>
      <c r="AQ67" s="210">
        <v>0</v>
      </c>
      <c r="AR67" s="115">
        <v>1400000</v>
      </c>
      <c r="AT67" s="211">
        <v>63</v>
      </c>
      <c r="AU67" s="9" t="s">
        <v>241</v>
      </c>
      <c r="AV67" s="9">
        <v>13</v>
      </c>
      <c r="AW67" s="8" t="s">
        <v>40</v>
      </c>
      <c r="AX67" s="10" t="s">
        <v>354</v>
      </c>
      <c r="AY67" s="10" t="s">
        <v>2732</v>
      </c>
      <c r="AZ67" s="342">
        <v>0</v>
      </c>
      <c r="BA67" s="361">
        <v>89088615</v>
      </c>
      <c r="BC67" s="211">
        <v>63</v>
      </c>
      <c r="BD67" s="9" t="s">
        <v>58</v>
      </c>
      <c r="BE67" s="9">
        <v>2</v>
      </c>
      <c r="BF67" s="8" t="s">
        <v>396</v>
      </c>
      <c r="BG67" s="10" t="s">
        <v>364</v>
      </c>
      <c r="BH67" s="10" t="s">
        <v>2697</v>
      </c>
      <c r="BI67" s="342">
        <v>0</v>
      </c>
      <c r="BJ67" s="361">
        <v>45000000.000999995</v>
      </c>
      <c r="BL67" s="211">
        <v>63</v>
      </c>
      <c r="BM67" s="9" t="s">
        <v>58</v>
      </c>
      <c r="BN67" s="9">
        <v>16</v>
      </c>
      <c r="BO67" s="8" t="s">
        <v>95</v>
      </c>
      <c r="BP67" s="10" t="s">
        <v>357</v>
      </c>
      <c r="BQ67" s="10" t="s">
        <v>443</v>
      </c>
      <c r="BR67" s="210">
        <v>0</v>
      </c>
      <c r="BS67" s="341">
        <v>19059040</v>
      </c>
      <c r="BU67" s="211">
        <v>63</v>
      </c>
      <c r="BV67" s="9" t="s">
        <v>241</v>
      </c>
      <c r="BW67" s="9">
        <v>6</v>
      </c>
      <c r="BX67" s="8" t="s">
        <v>95</v>
      </c>
      <c r="BY67" s="10" t="s">
        <v>354</v>
      </c>
      <c r="BZ67" s="10" t="s">
        <v>464</v>
      </c>
      <c r="CA67" s="342">
        <v>0</v>
      </c>
      <c r="CB67" s="344">
        <v>6600000</v>
      </c>
      <c r="CD67" s="211">
        <v>63</v>
      </c>
      <c r="CE67" s="9" t="s">
        <v>140</v>
      </c>
      <c r="CF67" s="9">
        <v>6</v>
      </c>
      <c r="CG67" s="8" t="s">
        <v>95</v>
      </c>
      <c r="CH67" s="10" t="s">
        <v>144</v>
      </c>
      <c r="CI67" s="10" t="s">
        <v>1583</v>
      </c>
      <c r="CJ67" s="342">
        <v>0</v>
      </c>
      <c r="CK67" s="344">
        <v>3850000</v>
      </c>
      <c r="CM67" s="211">
        <v>1</v>
      </c>
      <c r="CN67" s="9" t="s">
        <v>244</v>
      </c>
      <c r="CO67" s="9">
        <v>8</v>
      </c>
      <c r="CP67" s="8" t="s">
        <v>151</v>
      </c>
      <c r="CQ67" s="9" t="s">
        <v>354</v>
      </c>
      <c r="CR67" s="10" t="s">
        <v>587</v>
      </c>
      <c r="CS67" s="210">
        <v>0</v>
      </c>
      <c r="CT67" s="115">
        <v>24200000</v>
      </c>
      <c r="CV67" s="211">
        <v>10</v>
      </c>
      <c r="CW67" s="9" t="s">
        <v>239</v>
      </c>
      <c r="CX67" s="9">
        <v>3</v>
      </c>
      <c r="CY67" s="8" t="s">
        <v>40</v>
      </c>
      <c r="CZ67" s="9" t="s">
        <v>354</v>
      </c>
      <c r="DA67" s="9" t="s">
        <v>399</v>
      </c>
      <c r="DB67" s="115">
        <v>0.17</v>
      </c>
    </row>
    <row r="68" spans="1:106" s="73" customFormat="1">
      <c r="A68" s="211">
        <v>64</v>
      </c>
      <c r="B68" s="9" t="s">
        <v>238</v>
      </c>
      <c r="C68" s="9">
        <v>4</v>
      </c>
      <c r="D68" s="11" t="s">
        <v>606</v>
      </c>
      <c r="E68" s="9" t="s">
        <v>354</v>
      </c>
      <c r="F68" s="9" t="s">
        <v>660</v>
      </c>
      <c r="G68" s="342">
        <v>0</v>
      </c>
      <c r="H68" s="361">
        <v>24200000</v>
      </c>
      <c r="J68" s="211">
        <v>64</v>
      </c>
      <c r="K68" s="9" t="s">
        <v>195</v>
      </c>
      <c r="L68" s="9">
        <v>28</v>
      </c>
      <c r="M68" s="8" t="s">
        <v>159</v>
      </c>
      <c r="N68" s="9" t="s">
        <v>357</v>
      </c>
      <c r="O68" s="10" t="s">
        <v>2089</v>
      </c>
      <c r="P68" s="342">
        <v>0</v>
      </c>
      <c r="Q68" s="361">
        <v>1100000</v>
      </c>
      <c r="S68" s="211">
        <v>64</v>
      </c>
      <c r="T68" s="211" t="s">
        <v>194</v>
      </c>
      <c r="U68" s="211">
        <v>7</v>
      </c>
      <c r="V68" s="8" t="s">
        <v>210</v>
      </c>
      <c r="W68" s="9" t="s">
        <v>262</v>
      </c>
      <c r="X68" s="9" t="s">
        <v>261</v>
      </c>
      <c r="Y68" s="210">
        <v>0</v>
      </c>
      <c r="Z68" s="115">
        <v>8800000</v>
      </c>
      <c r="AB68" s="211">
        <v>64</v>
      </c>
      <c r="AC68" s="9" t="s">
        <v>194</v>
      </c>
      <c r="AD68" s="9">
        <v>4</v>
      </c>
      <c r="AE68" s="8" t="s">
        <v>387</v>
      </c>
      <c r="AF68" s="9" t="s">
        <v>388</v>
      </c>
      <c r="AG68" s="10" t="s">
        <v>389</v>
      </c>
      <c r="AH68" s="210">
        <v>0</v>
      </c>
      <c r="AI68" s="115">
        <v>696000000</v>
      </c>
      <c r="AK68" s="211">
        <v>64</v>
      </c>
      <c r="AL68" s="9" t="s">
        <v>58</v>
      </c>
      <c r="AM68" s="9">
        <v>2</v>
      </c>
      <c r="AN68" s="8" t="s">
        <v>133</v>
      </c>
      <c r="AO68" s="9" t="s">
        <v>364</v>
      </c>
      <c r="AP68" s="10" t="s">
        <v>2427</v>
      </c>
      <c r="AQ68" s="343">
        <v>0</v>
      </c>
      <c r="AR68" s="376">
        <v>33000000</v>
      </c>
      <c r="AT68" s="211">
        <v>64</v>
      </c>
      <c r="AU68" s="9" t="s">
        <v>241</v>
      </c>
      <c r="AV68" s="9">
        <v>13</v>
      </c>
      <c r="AW68" s="8" t="s">
        <v>40</v>
      </c>
      <c r="AX68" s="10" t="s">
        <v>354</v>
      </c>
      <c r="AY68" s="10" t="s">
        <v>2734</v>
      </c>
      <c r="AZ68" s="342">
        <v>0</v>
      </c>
      <c r="BA68" s="361">
        <v>89088615</v>
      </c>
      <c r="BC68" s="211">
        <v>64</v>
      </c>
      <c r="BD68" s="53" t="s">
        <v>242</v>
      </c>
      <c r="BE68" s="9">
        <v>19</v>
      </c>
      <c r="BF68" s="8" t="s">
        <v>396</v>
      </c>
      <c r="BG68" s="10" t="s">
        <v>364</v>
      </c>
      <c r="BH68" s="10" t="s">
        <v>2898</v>
      </c>
      <c r="BI68" s="342">
        <v>0</v>
      </c>
      <c r="BJ68" s="361">
        <v>19999999.998</v>
      </c>
      <c r="BL68" s="211">
        <v>64</v>
      </c>
      <c r="BM68" s="9" t="s">
        <v>58</v>
      </c>
      <c r="BN68" s="9">
        <v>23</v>
      </c>
      <c r="BO68" s="8" t="s">
        <v>95</v>
      </c>
      <c r="BP68" s="10" t="s">
        <v>433</v>
      </c>
      <c r="BQ68" s="10" t="s">
        <v>444</v>
      </c>
      <c r="BR68" s="210">
        <v>0</v>
      </c>
      <c r="BS68" s="341">
        <v>10725000</v>
      </c>
      <c r="BU68" s="211">
        <v>64</v>
      </c>
      <c r="BV68" s="9" t="s">
        <v>242</v>
      </c>
      <c r="BW68" s="9">
        <v>25</v>
      </c>
      <c r="BX68" s="8" t="s">
        <v>95</v>
      </c>
      <c r="BY68" s="10" t="s">
        <v>357</v>
      </c>
      <c r="BZ68" s="10" t="s">
        <v>503</v>
      </c>
      <c r="CA68" s="342">
        <v>0</v>
      </c>
      <c r="CB68" s="361">
        <v>30949380</v>
      </c>
      <c r="CD68" s="211">
        <v>64</v>
      </c>
      <c r="CE68" s="9" t="s">
        <v>140</v>
      </c>
      <c r="CF68" s="9">
        <v>6</v>
      </c>
      <c r="CG68" s="8" t="s">
        <v>95</v>
      </c>
      <c r="CH68" s="10" t="s">
        <v>118</v>
      </c>
      <c r="CI68" s="10" t="s">
        <v>1584</v>
      </c>
      <c r="CJ68" s="342">
        <v>0</v>
      </c>
      <c r="CK68" s="344">
        <v>532000</v>
      </c>
      <c r="CM68" s="1855" t="s">
        <v>68</v>
      </c>
      <c r="CN68" s="1855"/>
      <c r="CO68" s="1855"/>
      <c r="CP68" s="1855"/>
      <c r="CQ68" s="1855"/>
      <c r="CR68" s="1855"/>
      <c r="CS68" s="546">
        <f>SUM(CS67:CS67)</f>
        <v>0</v>
      </c>
      <c r="CT68" s="547">
        <f>SUM(CT67:CT67)</f>
        <v>24200000</v>
      </c>
      <c r="CV68" s="211">
        <v>11</v>
      </c>
      <c r="CW68" s="9" t="s">
        <v>239</v>
      </c>
      <c r="CX68" s="9">
        <v>3</v>
      </c>
      <c r="CY68" s="8" t="s">
        <v>40</v>
      </c>
      <c r="CZ68" s="9" t="s">
        <v>355</v>
      </c>
      <c r="DA68" s="9" t="s">
        <v>400</v>
      </c>
      <c r="DB68" s="115">
        <v>0.42</v>
      </c>
    </row>
    <row r="69" spans="1:106" s="73" customFormat="1">
      <c r="A69" s="211">
        <v>65</v>
      </c>
      <c r="B69" s="9" t="s">
        <v>140</v>
      </c>
      <c r="C69" s="9">
        <v>1</v>
      </c>
      <c r="D69" s="11" t="s">
        <v>606</v>
      </c>
      <c r="E69" s="9" t="s">
        <v>354</v>
      </c>
      <c r="F69" s="9" t="s">
        <v>1555</v>
      </c>
      <c r="G69" s="342">
        <v>0</v>
      </c>
      <c r="H69" s="361">
        <v>24200000</v>
      </c>
      <c r="J69" s="211">
        <v>65</v>
      </c>
      <c r="K69" s="9" t="s">
        <v>195</v>
      </c>
      <c r="L69" s="9">
        <v>1</v>
      </c>
      <c r="M69" s="8" t="s">
        <v>164</v>
      </c>
      <c r="N69" s="10" t="s">
        <v>376</v>
      </c>
      <c r="O69" s="10" t="s">
        <v>1948</v>
      </c>
      <c r="P69" s="342">
        <v>0</v>
      </c>
      <c r="Q69" s="361">
        <v>22000000</v>
      </c>
      <c r="S69" s="211">
        <v>65</v>
      </c>
      <c r="T69" s="9" t="s">
        <v>239</v>
      </c>
      <c r="U69" s="9">
        <v>1</v>
      </c>
      <c r="V69" s="8" t="s">
        <v>2064</v>
      </c>
      <c r="W69" s="9" t="s">
        <v>354</v>
      </c>
      <c r="X69" s="10" t="s">
        <v>2141</v>
      </c>
      <c r="Y69" s="342">
        <v>0</v>
      </c>
      <c r="Z69" s="361">
        <v>24200000</v>
      </c>
      <c r="AB69" s="211">
        <v>65</v>
      </c>
      <c r="AC69" s="9" t="s">
        <v>240</v>
      </c>
      <c r="AD69" s="9">
        <v>10</v>
      </c>
      <c r="AE69" s="8" t="s">
        <v>40</v>
      </c>
      <c r="AF69" s="10" t="s">
        <v>144</v>
      </c>
      <c r="AG69" s="10" t="s">
        <v>2348</v>
      </c>
      <c r="AH69" s="658">
        <v>0</v>
      </c>
      <c r="AI69" s="189">
        <v>14850000</v>
      </c>
      <c r="AK69" s="211">
        <v>65</v>
      </c>
      <c r="AL69" s="211" t="s">
        <v>243</v>
      </c>
      <c r="AM69" s="211">
        <v>28</v>
      </c>
      <c r="AN69" s="8" t="s">
        <v>209</v>
      </c>
      <c r="AO69" s="9" t="s">
        <v>63</v>
      </c>
      <c r="AP69" s="10" t="s">
        <v>259</v>
      </c>
      <c r="AQ69" s="210">
        <v>0</v>
      </c>
      <c r="AR69" s="115">
        <v>35000000</v>
      </c>
      <c r="AT69" s="211">
        <v>65</v>
      </c>
      <c r="AU69" s="9" t="s">
        <v>241</v>
      </c>
      <c r="AV69" s="9">
        <v>13</v>
      </c>
      <c r="AW69" s="8" t="s">
        <v>40</v>
      </c>
      <c r="AX69" s="10" t="s">
        <v>354</v>
      </c>
      <c r="AY69" s="10" t="s">
        <v>2736</v>
      </c>
      <c r="AZ69" s="342">
        <v>0</v>
      </c>
      <c r="BA69" s="361">
        <v>89088615</v>
      </c>
      <c r="BC69" s="211">
        <v>65</v>
      </c>
      <c r="BD69" s="53" t="s">
        <v>242</v>
      </c>
      <c r="BE69" s="9">
        <v>19</v>
      </c>
      <c r="BF69" s="8" t="s">
        <v>396</v>
      </c>
      <c r="BG69" s="10" t="s">
        <v>364</v>
      </c>
      <c r="BH69" s="10" t="s">
        <v>2899</v>
      </c>
      <c r="BI69" s="342">
        <v>0</v>
      </c>
      <c r="BJ69" s="361">
        <v>19999999.998</v>
      </c>
      <c r="BL69" s="211">
        <v>65</v>
      </c>
      <c r="BM69" s="9" t="s">
        <v>58</v>
      </c>
      <c r="BN69" s="9">
        <v>31</v>
      </c>
      <c r="BO69" s="8" t="s">
        <v>95</v>
      </c>
      <c r="BP69" s="10" t="s">
        <v>144</v>
      </c>
      <c r="BQ69" s="10" t="s">
        <v>449</v>
      </c>
      <c r="BR69" s="210">
        <v>0</v>
      </c>
      <c r="BS69" s="341">
        <v>2200000</v>
      </c>
      <c r="BU69" s="211">
        <v>65</v>
      </c>
      <c r="BV69" s="9" t="s">
        <v>242</v>
      </c>
      <c r="BW69" s="9">
        <v>22</v>
      </c>
      <c r="BX69" s="8" t="s">
        <v>95</v>
      </c>
      <c r="BY69" s="10" t="s">
        <v>357</v>
      </c>
      <c r="BZ69" s="10" t="s">
        <v>504</v>
      </c>
      <c r="CA69" s="342">
        <v>0</v>
      </c>
      <c r="CB69" s="361">
        <v>17338200</v>
      </c>
      <c r="CD69" s="211">
        <v>65</v>
      </c>
      <c r="CE69" s="9" t="s">
        <v>140</v>
      </c>
      <c r="CF69" s="9">
        <v>6</v>
      </c>
      <c r="CG69" s="8" t="s">
        <v>95</v>
      </c>
      <c r="CH69" s="10" t="s">
        <v>118</v>
      </c>
      <c r="CI69" s="10" t="s">
        <v>1585</v>
      </c>
      <c r="CJ69" s="342">
        <v>0</v>
      </c>
      <c r="CK69" s="344">
        <v>532000</v>
      </c>
      <c r="CM69" s="211">
        <v>1</v>
      </c>
      <c r="CN69" s="9" t="s">
        <v>194</v>
      </c>
      <c r="CO69" s="9">
        <v>4</v>
      </c>
      <c r="CP69" s="8" t="s">
        <v>387</v>
      </c>
      <c r="CQ69" s="9" t="s">
        <v>388</v>
      </c>
      <c r="CR69" s="10" t="s">
        <v>389</v>
      </c>
      <c r="CS69" s="210">
        <v>0</v>
      </c>
      <c r="CT69" s="115">
        <v>696000000</v>
      </c>
      <c r="CV69" s="211">
        <v>12</v>
      </c>
      <c r="CW69" s="9" t="s">
        <v>240</v>
      </c>
      <c r="CX69" s="9">
        <v>1</v>
      </c>
      <c r="CY69" s="8" t="s">
        <v>40</v>
      </c>
      <c r="CZ69" s="9" t="s">
        <v>354</v>
      </c>
      <c r="DA69" s="9" t="s">
        <v>407</v>
      </c>
      <c r="DB69" s="115">
        <v>-107.28</v>
      </c>
    </row>
    <row r="70" spans="1:106" s="73" customFormat="1">
      <c r="A70" s="211">
        <v>66</v>
      </c>
      <c r="B70" s="53" t="s">
        <v>194</v>
      </c>
      <c r="C70" s="9">
        <v>16</v>
      </c>
      <c r="D70" s="8" t="s">
        <v>606</v>
      </c>
      <c r="E70" s="10" t="s">
        <v>118</v>
      </c>
      <c r="F70" s="10" t="s">
        <v>1894</v>
      </c>
      <c r="G70" s="342">
        <v>0</v>
      </c>
      <c r="H70" s="361">
        <v>7218700</v>
      </c>
      <c r="J70" s="211">
        <v>66</v>
      </c>
      <c r="K70" s="9" t="s">
        <v>195</v>
      </c>
      <c r="L70" s="9">
        <v>1</v>
      </c>
      <c r="M70" s="8" t="s">
        <v>164</v>
      </c>
      <c r="N70" s="10" t="s">
        <v>364</v>
      </c>
      <c r="O70" s="10" t="s">
        <v>1949</v>
      </c>
      <c r="P70" s="342">
        <v>0</v>
      </c>
      <c r="Q70" s="361">
        <v>6600000</v>
      </c>
      <c r="S70" s="211">
        <v>66</v>
      </c>
      <c r="T70" s="9" t="s">
        <v>239</v>
      </c>
      <c r="U70" s="9">
        <v>1</v>
      </c>
      <c r="V70" s="8" t="s">
        <v>2064</v>
      </c>
      <c r="W70" s="9" t="s">
        <v>354</v>
      </c>
      <c r="X70" s="10" t="s">
        <v>2143</v>
      </c>
      <c r="Y70" s="342">
        <v>0</v>
      </c>
      <c r="Z70" s="361">
        <v>24200000</v>
      </c>
      <c r="AB70" s="211">
        <v>66</v>
      </c>
      <c r="AC70" s="9" t="s">
        <v>240</v>
      </c>
      <c r="AD70" s="9">
        <v>20</v>
      </c>
      <c r="AE70" s="8" t="s">
        <v>40</v>
      </c>
      <c r="AF70" s="10" t="s">
        <v>354</v>
      </c>
      <c r="AG70" s="10" t="s">
        <v>2377</v>
      </c>
      <c r="AH70" s="342">
        <v>0</v>
      </c>
      <c r="AI70" s="361">
        <v>30731690</v>
      </c>
      <c r="AK70" s="211">
        <v>66</v>
      </c>
      <c r="AL70" s="211" t="s">
        <v>238</v>
      </c>
      <c r="AM70" s="211">
        <v>20</v>
      </c>
      <c r="AN70" s="8" t="s">
        <v>209</v>
      </c>
      <c r="AO70" s="9" t="s">
        <v>63</v>
      </c>
      <c r="AP70" s="10" t="s">
        <v>260</v>
      </c>
      <c r="AQ70" s="210">
        <v>0</v>
      </c>
      <c r="AR70" s="115">
        <v>40500000</v>
      </c>
      <c r="AT70" s="211">
        <v>66</v>
      </c>
      <c r="AU70" s="9" t="s">
        <v>241</v>
      </c>
      <c r="AV70" s="9">
        <v>13</v>
      </c>
      <c r="AW70" s="8" t="s">
        <v>40</v>
      </c>
      <c r="AX70" s="10" t="s">
        <v>355</v>
      </c>
      <c r="AY70" s="10" t="s">
        <v>2738</v>
      </c>
      <c r="AZ70" s="342">
        <v>0</v>
      </c>
      <c r="BA70" s="361">
        <v>91139116.200000003</v>
      </c>
      <c r="BC70" s="211">
        <v>66</v>
      </c>
      <c r="BD70" s="53" t="s">
        <v>242</v>
      </c>
      <c r="BE70" s="9">
        <v>19</v>
      </c>
      <c r="BF70" s="8" t="s">
        <v>396</v>
      </c>
      <c r="BG70" s="10" t="s">
        <v>364</v>
      </c>
      <c r="BH70" s="10" t="s">
        <v>2900</v>
      </c>
      <c r="BI70" s="342">
        <v>0</v>
      </c>
      <c r="BJ70" s="361">
        <v>19999999.998</v>
      </c>
      <c r="BL70" s="211">
        <v>66</v>
      </c>
      <c r="BM70" s="9" t="s">
        <v>58</v>
      </c>
      <c r="BN70" s="9">
        <v>31</v>
      </c>
      <c r="BO70" s="8" t="s">
        <v>95</v>
      </c>
      <c r="BP70" s="10" t="s">
        <v>118</v>
      </c>
      <c r="BQ70" s="10" t="s">
        <v>450</v>
      </c>
      <c r="BR70" s="210">
        <v>0</v>
      </c>
      <c r="BS70" s="341">
        <v>620800</v>
      </c>
      <c r="BU70" s="211">
        <v>66</v>
      </c>
      <c r="BV70" s="9" t="s">
        <v>242</v>
      </c>
      <c r="BW70" s="9">
        <v>25</v>
      </c>
      <c r="BX70" s="8" t="s">
        <v>95</v>
      </c>
      <c r="BY70" s="10" t="s">
        <v>357</v>
      </c>
      <c r="BZ70" s="10" t="s">
        <v>505</v>
      </c>
      <c r="CA70" s="342">
        <v>0</v>
      </c>
      <c r="CB70" s="361">
        <v>21672750</v>
      </c>
      <c r="CD70" s="211">
        <v>66</v>
      </c>
      <c r="CE70" s="9" t="s">
        <v>238</v>
      </c>
      <c r="CF70" s="9">
        <v>15</v>
      </c>
      <c r="CG70" s="8" t="s">
        <v>591</v>
      </c>
      <c r="CH70" s="9" t="s">
        <v>62</v>
      </c>
      <c r="CI70" s="9" t="s">
        <v>780</v>
      </c>
      <c r="CJ70" s="342">
        <v>0</v>
      </c>
      <c r="CK70" s="344">
        <v>30800000</v>
      </c>
      <c r="CM70" s="1855" t="s">
        <v>68</v>
      </c>
      <c r="CN70" s="1855"/>
      <c r="CO70" s="1855"/>
      <c r="CP70" s="1855"/>
      <c r="CQ70" s="1855"/>
      <c r="CR70" s="1855"/>
      <c r="CS70" s="546">
        <f>SUM(CS69)</f>
        <v>0</v>
      </c>
      <c r="CT70" s="547">
        <f>SUM(CT69)</f>
        <v>696000000</v>
      </c>
      <c r="CV70" s="211">
        <v>13</v>
      </c>
      <c r="CW70" s="9" t="s">
        <v>240</v>
      </c>
      <c r="CX70" s="9">
        <v>11</v>
      </c>
      <c r="CY70" s="8" t="s">
        <v>40</v>
      </c>
      <c r="CZ70" s="9" t="s">
        <v>355</v>
      </c>
      <c r="DA70" s="9" t="s">
        <v>409</v>
      </c>
      <c r="DB70" s="345">
        <v>0.59680000320076942</v>
      </c>
    </row>
    <row r="71" spans="1:106" s="73" customFormat="1">
      <c r="A71" s="211">
        <v>67</v>
      </c>
      <c r="B71" s="9" t="s">
        <v>140</v>
      </c>
      <c r="C71" s="9">
        <v>30</v>
      </c>
      <c r="D71" s="8" t="s">
        <v>136</v>
      </c>
      <c r="E71" s="10" t="s">
        <v>354</v>
      </c>
      <c r="F71" s="9" t="s">
        <v>1884</v>
      </c>
      <c r="G71" s="342">
        <v>0</v>
      </c>
      <c r="H71" s="360">
        <v>29700000</v>
      </c>
      <c r="J71" s="211">
        <v>67</v>
      </c>
      <c r="K71" s="9" t="s">
        <v>195</v>
      </c>
      <c r="L71" s="9">
        <v>1</v>
      </c>
      <c r="M71" s="8" t="s">
        <v>45</v>
      </c>
      <c r="N71" s="10" t="s">
        <v>354</v>
      </c>
      <c r="O71" s="10" t="s">
        <v>1940</v>
      </c>
      <c r="P71" s="342">
        <v>0</v>
      </c>
      <c r="Q71" s="189">
        <v>13200000</v>
      </c>
      <c r="S71" s="211">
        <v>67</v>
      </c>
      <c r="T71" s="9" t="s">
        <v>195</v>
      </c>
      <c r="U71" s="9">
        <v>12</v>
      </c>
      <c r="V71" s="8" t="s">
        <v>111</v>
      </c>
      <c r="W71" s="10" t="s">
        <v>147</v>
      </c>
      <c r="X71" s="10" t="s">
        <v>160</v>
      </c>
      <c r="Y71" s="210">
        <v>0</v>
      </c>
      <c r="Z71" s="115">
        <v>84480000</v>
      </c>
      <c r="AB71" s="211">
        <v>67</v>
      </c>
      <c r="AC71" s="9" t="s">
        <v>240</v>
      </c>
      <c r="AD71" s="9">
        <v>3</v>
      </c>
      <c r="AE71" s="8" t="s">
        <v>128</v>
      </c>
      <c r="AF71" s="10" t="s">
        <v>376</v>
      </c>
      <c r="AG71" s="10" t="s">
        <v>2259</v>
      </c>
      <c r="AH71" s="342">
        <v>0</v>
      </c>
      <c r="AI71" s="361">
        <v>11000000</v>
      </c>
      <c r="AK71" s="211">
        <v>67</v>
      </c>
      <c r="AL71" s="211" t="s">
        <v>194</v>
      </c>
      <c r="AM71" s="211">
        <v>7</v>
      </c>
      <c r="AN71" s="8" t="s">
        <v>210</v>
      </c>
      <c r="AO71" s="9" t="s">
        <v>262</v>
      </c>
      <c r="AP71" s="9" t="s">
        <v>261</v>
      </c>
      <c r="AQ71" s="210">
        <v>0</v>
      </c>
      <c r="AR71" s="115">
        <v>8800000</v>
      </c>
      <c r="AT71" s="211">
        <v>67</v>
      </c>
      <c r="AU71" s="9" t="s">
        <v>241</v>
      </c>
      <c r="AV71" s="9">
        <v>13</v>
      </c>
      <c r="AW71" s="8" t="s">
        <v>40</v>
      </c>
      <c r="AX71" s="10" t="s">
        <v>355</v>
      </c>
      <c r="AY71" s="10" t="s">
        <v>2740</v>
      </c>
      <c r="AZ71" s="342">
        <v>0</v>
      </c>
      <c r="BA71" s="361">
        <v>91139116.200000003</v>
      </c>
      <c r="BC71" s="211">
        <v>67</v>
      </c>
      <c r="BD71" s="53" t="s">
        <v>241</v>
      </c>
      <c r="BE71" s="9">
        <v>2</v>
      </c>
      <c r="BF71" s="8" t="s">
        <v>108</v>
      </c>
      <c r="BG71" s="10" t="s">
        <v>354</v>
      </c>
      <c r="BH71" s="10" t="s">
        <v>2621</v>
      </c>
      <c r="BI71" s="342">
        <v>0</v>
      </c>
      <c r="BJ71" s="361">
        <v>24200000</v>
      </c>
      <c r="BL71" s="211">
        <v>67</v>
      </c>
      <c r="BM71" s="9" t="s">
        <v>241</v>
      </c>
      <c r="BN71" s="9">
        <v>6</v>
      </c>
      <c r="BO71" s="8" t="s">
        <v>95</v>
      </c>
      <c r="BP71" s="10" t="s">
        <v>357</v>
      </c>
      <c r="BQ71" s="10" t="s">
        <v>460</v>
      </c>
      <c r="BR71" s="342">
        <v>0</v>
      </c>
      <c r="BS71" s="344">
        <v>23721280</v>
      </c>
      <c r="BU71" s="211">
        <v>67</v>
      </c>
      <c r="BV71" s="9" t="s">
        <v>242</v>
      </c>
      <c r="BW71" s="9">
        <v>22</v>
      </c>
      <c r="BX71" s="8" t="s">
        <v>95</v>
      </c>
      <c r="BY71" s="10" t="s">
        <v>357</v>
      </c>
      <c r="BZ71" s="10" t="s">
        <v>506</v>
      </c>
      <c r="CA71" s="342">
        <v>0</v>
      </c>
      <c r="CB71" s="361">
        <v>18783050</v>
      </c>
      <c r="CD71" s="211">
        <v>67</v>
      </c>
      <c r="CE71" s="211" t="s">
        <v>238</v>
      </c>
      <c r="CF71" s="211">
        <v>24</v>
      </c>
      <c r="CG71" s="186" t="s">
        <v>35</v>
      </c>
      <c r="CH71" s="9" t="s">
        <v>354</v>
      </c>
      <c r="CI71" s="9" t="s">
        <v>251</v>
      </c>
      <c r="CJ71" s="210">
        <v>0</v>
      </c>
      <c r="CK71" s="115">
        <v>44004894</v>
      </c>
      <c r="CM71" s="211">
        <v>1</v>
      </c>
      <c r="CN71" s="9" t="s">
        <v>238</v>
      </c>
      <c r="CO71" s="9">
        <v>15</v>
      </c>
      <c r="CP71" s="8" t="s">
        <v>40</v>
      </c>
      <c r="CQ71" s="9" t="s">
        <v>118</v>
      </c>
      <c r="CR71" s="9" t="s">
        <v>1390</v>
      </c>
      <c r="CS71" s="343">
        <v>0</v>
      </c>
      <c r="CT71" s="345">
        <v>1650979</v>
      </c>
      <c r="CV71" s="211">
        <v>14</v>
      </c>
      <c r="CW71" s="9" t="s">
        <v>240</v>
      </c>
      <c r="CX71" s="9">
        <v>19</v>
      </c>
      <c r="CY71" s="8" t="s">
        <v>40</v>
      </c>
      <c r="CZ71" s="9" t="s">
        <v>355</v>
      </c>
      <c r="DA71" s="9" t="s">
        <v>416</v>
      </c>
      <c r="DB71" s="345">
        <v>0.14200000092387199</v>
      </c>
    </row>
    <row r="72" spans="1:106" s="73" customFormat="1">
      <c r="A72" s="211">
        <v>68</v>
      </c>
      <c r="B72" s="53" t="s">
        <v>194</v>
      </c>
      <c r="C72" s="9">
        <v>13</v>
      </c>
      <c r="D72" s="8" t="s">
        <v>136</v>
      </c>
      <c r="E72" s="10" t="s">
        <v>354</v>
      </c>
      <c r="F72" s="10" t="s">
        <v>1886</v>
      </c>
      <c r="G72" s="210">
        <v>0</v>
      </c>
      <c r="H72" s="360">
        <v>54450000</v>
      </c>
      <c r="J72" s="211">
        <v>68</v>
      </c>
      <c r="K72" s="211" t="s">
        <v>241</v>
      </c>
      <c r="L72" s="211">
        <v>1</v>
      </c>
      <c r="M72" s="8" t="s">
        <v>208</v>
      </c>
      <c r="N72" s="9" t="s">
        <v>118</v>
      </c>
      <c r="O72" s="10" t="s">
        <v>258</v>
      </c>
      <c r="P72" s="210">
        <v>0</v>
      </c>
      <c r="Q72" s="115">
        <v>1400000</v>
      </c>
      <c r="S72" s="211">
        <v>68</v>
      </c>
      <c r="T72" s="9" t="s">
        <v>140</v>
      </c>
      <c r="U72" s="9">
        <v>1</v>
      </c>
      <c r="V72" s="8" t="s">
        <v>430</v>
      </c>
      <c r="W72" s="10" t="s">
        <v>354</v>
      </c>
      <c r="X72" s="10" t="s">
        <v>1550</v>
      </c>
      <c r="Y72" s="343">
        <v>0</v>
      </c>
      <c r="Z72" s="345">
        <v>-7738700</v>
      </c>
      <c r="AB72" s="211">
        <v>68</v>
      </c>
      <c r="AC72" s="9" t="s">
        <v>240</v>
      </c>
      <c r="AD72" s="9">
        <v>30</v>
      </c>
      <c r="AE72" s="8" t="s">
        <v>159</v>
      </c>
      <c r="AF72" s="9" t="s">
        <v>355</v>
      </c>
      <c r="AG72" s="10" t="s">
        <v>2419</v>
      </c>
      <c r="AH72" s="658">
        <v>0</v>
      </c>
      <c r="AI72" s="189">
        <v>14630000</v>
      </c>
      <c r="AK72" s="211">
        <v>68</v>
      </c>
      <c r="AL72" s="9" t="s">
        <v>58</v>
      </c>
      <c r="AM72" s="9">
        <v>2</v>
      </c>
      <c r="AN72" s="8" t="s">
        <v>2064</v>
      </c>
      <c r="AO72" s="9" t="s">
        <v>354</v>
      </c>
      <c r="AP72" s="10" t="s">
        <v>2490</v>
      </c>
      <c r="AQ72" s="342">
        <v>0</v>
      </c>
      <c r="AR72" s="361">
        <v>4840000</v>
      </c>
      <c r="AT72" s="211">
        <v>68</v>
      </c>
      <c r="AU72" s="9" t="s">
        <v>241</v>
      </c>
      <c r="AV72" s="9">
        <v>13</v>
      </c>
      <c r="AW72" s="8" t="s">
        <v>40</v>
      </c>
      <c r="AX72" s="10" t="s">
        <v>355</v>
      </c>
      <c r="AY72" s="10" t="s">
        <v>2742</v>
      </c>
      <c r="AZ72" s="342">
        <v>0</v>
      </c>
      <c r="BA72" s="361">
        <v>91139116.200000003</v>
      </c>
      <c r="BC72" s="211">
        <v>68</v>
      </c>
      <c r="BD72" s="53" t="s">
        <v>242</v>
      </c>
      <c r="BE72" s="9">
        <v>3</v>
      </c>
      <c r="BF72" s="8" t="s">
        <v>108</v>
      </c>
      <c r="BG72" s="10" t="s">
        <v>354</v>
      </c>
      <c r="BH72" s="10" t="s">
        <v>2762</v>
      </c>
      <c r="BI72" s="342">
        <v>0</v>
      </c>
      <c r="BJ72" s="361">
        <v>24200000</v>
      </c>
      <c r="BL72" s="211">
        <v>68</v>
      </c>
      <c r="BM72" s="9" t="s">
        <v>241</v>
      </c>
      <c r="BN72" s="9">
        <v>6</v>
      </c>
      <c r="BO72" s="8" t="s">
        <v>95</v>
      </c>
      <c r="BP72" s="10" t="s">
        <v>357</v>
      </c>
      <c r="BQ72" s="10" t="s">
        <v>461</v>
      </c>
      <c r="BR72" s="342">
        <v>0</v>
      </c>
      <c r="BS72" s="344">
        <v>17790960</v>
      </c>
      <c r="BU72" s="211">
        <v>68</v>
      </c>
      <c r="BV72" s="9" t="s">
        <v>242</v>
      </c>
      <c r="BW72" s="9">
        <v>25</v>
      </c>
      <c r="BX72" s="8" t="s">
        <v>95</v>
      </c>
      <c r="BY72" s="10" t="s">
        <v>354</v>
      </c>
      <c r="BZ72" s="10" t="s">
        <v>507</v>
      </c>
      <c r="CA72" s="342">
        <v>0</v>
      </c>
      <c r="CB72" s="361">
        <v>9900000</v>
      </c>
      <c r="CD72" s="211">
        <v>68</v>
      </c>
      <c r="CE72" s="211" t="s">
        <v>140</v>
      </c>
      <c r="CF72" s="211">
        <v>17</v>
      </c>
      <c r="CG72" s="186" t="s">
        <v>35</v>
      </c>
      <c r="CH72" s="9" t="s">
        <v>354</v>
      </c>
      <c r="CI72" s="9" t="s">
        <v>252</v>
      </c>
      <c r="CJ72" s="210">
        <v>0</v>
      </c>
      <c r="CK72" s="115">
        <v>21479240</v>
      </c>
      <c r="CM72" s="211">
        <v>2</v>
      </c>
      <c r="CN72" s="9" t="s">
        <v>238</v>
      </c>
      <c r="CO72" s="9">
        <v>15</v>
      </c>
      <c r="CP72" s="8" t="s">
        <v>40</v>
      </c>
      <c r="CQ72" s="9" t="s">
        <v>118</v>
      </c>
      <c r="CR72" s="9" t="s">
        <v>1391</v>
      </c>
      <c r="CS72" s="343">
        <v>0</v>
      </c>
      <c r="CT72" s="345">
        <v>1037300</v>
      </c>
      <c r="CV72" s="211">
        <v>15</v>
      </c>
      <c r="CW72" s="9" t="s">
        <v>240</v>
      </c>
      <c r="CX72" s="9">
        <v>19</v>
      </c>
      <c r="CY72" s="8" t="s">
        <v>40</v>
      </c>
      <c r="CZ72" s="9" t="s">
        <v>354</v>
      </c>
      <c r="DA72" s="9" t="s">
        <v>417</v>
      </c>
      <c r="DB72" s="345">
        <v>0.10199999809265137</v>
      </c>
    </row>
    <row r="73" spans="1:106" s="73" customFormat="1">
      <c r="A73" s="211">
        <v>69</v>
      </c>
      <c r="B73" s="53" t="s">
        <v>194</v>
      </c>
      <c r="C73" s="9">
        <v>13</v>
      </c>
      <c r="D73" s="8" t="s">
        <v>136</v>
      </c>
      <c r="E73" s="10" t="s">
        <v>354</v>
      </c>
      <c r="F73" s="10" t="s">
        <v>1887</v>
      </c>
      <c r="G73" s="210">
        <v>0</v>
      </c>
      <c r="H73" s="360">
        <v>54450000</v>
      </c>
      <c r="J73" s="211">
        <v>69</v>
      </c>
      <c r="K73" s="9" t="s">
        <v>194</v>
      </c>
      <c r="L73" s="9">
        <v>9</v>
      </c>
      <c r="M73" s="8" t="s">
        <v>133</v>
      </c>
      <c r="N73" s="9" t="s">
        <v>364</v>
      </c>
      <c r="O73" s="10" t="s">
        <v>1772</v>
      </c>
      <c r="P73" s="343">
        <v>0</v>
      </c>
      <c r="Q73" s="376">
        <v>33000000</v>
      </c>
      <c r="S73" s="211">
        <v>69</v>
      </c>
      <c r="T73" s="9" t="s">
        <v>239</v>
      </c>
      <c r="U73" s="9">
        <v>1</v>
      </c>
      <c r="V73" s="8" t="s">
        <v>430</v>
      </c>
      <c r="W73" s="10" t="s">
        <v>364</v>
      </c>
      <c r="X73" s="10" t="s">
        <v>2106</v>
      </c>
      <c r="Y73" s="342">
        <v>0</v>
      </c>
      <c r="Z73" s="361">
        <v>20350000</v>
      </c>
      <c r="AB73" s="211">
        <v>69</v>
      </c>
      <c r="AC73" s="9" t="s">
        <v>240</v>
      </c>
      <c r="AD73" s="9">
        <v>30</v>
      </c>
      <c r="AE73" s="8" t="s">
        <v>159</v>
      </c>
      <c r="AF73" s="9" t="s">
        <v>364</v>
      </c>
      <c r="AG73" s="10" t="s">
        <v>2421</v>
      </c>
      <c r="AH73" s="658">
        <v>0</v>
      </c>
      <c r="AI73" s="189">
        <v>550000</v>
      </c>
      <c r="AK73" s="211">
        <v>69</v>
      </c>
      <c r="AL73" s="9" t="s">
        <v>241</v>
      </c>
      <c r="AM73" s="9">
        <v>2</v>
      </c>
      <c r="AN73" s="8" t="s">
        <v>2064</v>
      </c>
      <c r="AO73" s="9" t="s">
        <v>354</v>
      </c>
      <c r="AP73" s="10" t="s">
        <v>2620</v>
      </c>
      <c r="AQ73" s="342">
        <v>0</v>
      </c>
      <c r="AR73" s="361">
        <v>24200000</v>
      </c>
      <c r="AT73" s="211">
        <v>69</v>
      </c>
      <c r="AU73" s="9" t="s">
        <v>241</v>
      </c>
      <c r="AV73" s="9">
        <v>13</v>
      </c>
      <c r="AW73" s="8" t="s">
        <v>40</v>
      </c>
      <c r="AX73" s="10" t="s">
        <v>355</v>
      </c>
      <c r="AY73" s="10" t="s">
        <v>2744</v>
      </c>
      <c r="AZ73" s="342">
        <v>0</v>
      </c>
      <c r="BA73" s="361">
        <v>91139116.200000003</v>
      </c>
      <c r="BC73" s="211">
        <v>69</v>
      </c>
      <c r="BD73" s="53" t="s">
        <v>242</v>
      </c>
      <c r="BE73" s="9">
        <v>12</v>
      </c>
      <c r="BF73" s="8" t="s">
        <v>136</v>
      </c>
      <c r="BG73" s="10" t="s">
        <v>354</v>
      </c>
      <c r="BH73" s="10" t="s">
        <v>2849</v>
      </c>
      <c r="BI73" s="342">
        <v>0</v>
      </c>
      <c r="BJ73" s="361">
        <v>54450000</v>
      </c>
      <c r="BL73" s="211">
        <v>69</v>
      </c>
      <c r="BM73" s="9" t="s">
        <v>241</v>
      </c>
      <c r="BN73" s="9">
        <v>6</v>
      </c>
      <c r="BO73" s="8" t="s">
        <v>95</v>
      </c>
      <c r="BP73" s="10" t="s">
        <v>357</v>
      </c>
      <c r="BQ73" s="10" t="s">
        <v>462</v>
      </c>
      <c r="BR73" s="342">
        <v>0</v>
      </c>
      <c r="BS73" s="344">
        <v>22238700</v>
      </c>
      <c r="BU73" s="211">
        <v>69</v>
      </c>
      <c r="BV73" s="9" t="s">
        <v>243</v>
      </c>
      <c r="BW73" s="9">
        <v>11</v>
      </c>
      <c r="BX73" s="8" t="s">
        <v>95</v>
      </c>
      <c r="BY73" s="10" t="s">
        <v>357</v>
      </c>
      <c r="BZ73" s="10" t="s">
        <v>547</v>
      </c>
      <c r="CA73" s="342">
        <v>0</v>
      </c>
      <c r="CB73" s="344">
        <v>30949380</v>
      </c>
      <c r="CD73" s="211">
        <v>69</v>
      </c>
      <c r="CE73" s="211" t="s">
        <v>14</v>
      </c>
      <c r="CF73" s="211" t="s">
        <v>14</v>
      </c>
      <c r="CG73" s="186" t="s">
        <v>35</v>
      </c>
      <c r="CH73" s="9" t="s">
        <v>354</v>
      </c>
      <c r="CI73" s="9" t="s">
        <v>386</v>
      </c>
      <c r="CJ73" s="210">
        <v>0</v>
      </c>
      <c r="CK73" s="115">
        <v>202783333</v>
      </c>
      <c r="CM73" s="211">
        <v>3</v>
      </c>
      <c r="CN73" s="9" t="s">
        <v>238</v>
      </c>
      <c r="CO73" s="9">
        <v>18</v>
      </c>
      <c r="CP73" s="8" t="s">
        <v>40</v>
      </c>
      <c r="CQ73" s="9" t="s">
        <v>354</v>
      </c>
      <c r="CR73" s="9" t="s">
        <v>1413</v>
      </c>
      <c r="CS73" s="343">
        <v>0</v>
      </c>
      <c r="CT73" s="345">
        <v>-567020</v>
      </c>
      <c r="CV73" s="211">
        <v>16</v>
      </c>
      <c r="CW73" s="9" t="s">
        <v>240</v>
      </c>
      <c r="CX73" s="9">
        <v>19</v>
      </c>
      <c r="CY73" s="8" t="s">
        <v>40</v>
      </c>
      <c r="CZ73" s="9" t="s">
        <v>374</v>
      </c>
      <c r="DA73" s="9" t="s">
        <v>418</v>
      </c>
      <c r="DB73" s="345">
        <v>0.1419999971985817</v>
      </c>
    </row>
    <row r="74" spans="1:106" s="73" customFormat="1">
      <c r="A74" s="211">
        <v>70</v>
      </c>
      <c r="B74" s="53" t="s">
        <v>194</v>
      </c>
      <c r="C74" s="9">
        <v>13</v>
      </c>
      <c r="D74" s="8" t="s">
        <v>136</v>
      </c>
      <c r="E74" s="10" t="s">
        <v>354</v>
      </c>
      <c r="F74" s="10" t="s">
        <v>1888</v>
      </c>
      <c r="G74" s="210">
        <v>0</v>
      </c>
      <c r="H74" s="360">
        <v>29700000</v>
      </c>
      <c r="J74" s="211">
        <v>70</v>
      </c>
      <c r="K74" s="211" t="s">
        <v>243</v>
      </c>
      <c r="L74" s="211">
        <v>28</v>
      </c>
      <c r="M74" s="8" t="s">
        <v>209</v>
      </c>
      <c r="N74" s="9" t="s">
        <v>63</v>
      </c>
      <c r="O74" s="10" t="s">
        <v>259</v>
      </c>
      <c r="P74" s="210">
        <v>0</v>
      </c>
      <c r="Q74" s="115">
        <v>35000000</v>
      </c>
      <c r="S74" s="211">
        <v>70</v>
      </c>
      <c r="T74" s="9" t="s">
        <v>239</v>
      </c>
      <c r="U74" s="9">
        <v>1</v>
      </c>
      <c r="V74" s="8" t="s">
        <v>108</v>
      </c>
      <c r="W74" s="10" t="s">
        <v>354</v>
      </c>
      <c r="X74" s="10" t="s">
        <v>2137</v>
      </c>
      <c r="Y74" s="342">
        <v>0</v>
      </c>
      <c r="Z74" s="361">
        <v>24200000</v>
      </c>
      <c r="AB74" s="211">
        <v>70</v>
      </c>
      <c r="AC74" s="9" t="s">
        <v>240</v>
      </c>
      <c r="AD74" s="9">
        <v>30</v>
      </c>
      <c r="AE74" s="8" t="s">
        <v>159</v>
      </c>
      <c r="AF74" s="9" t="s">
        <v>357</v>
      </c>
      <c r="AG74" s="10" t="s">
        <v>2422</v>
      </c>
      <c r="AH74" s="658">
        <v>0</v>
      </c>
      <c r="AI74" s="189">
        <v>1100000</v>
      </c>
      <c r="AK74" s="211">
        <v>70</v>
      </c>
      <c r="AL74" s="9" t="s">
        <v>195</v>
      </c>
      <c r="AM74" s="9">
        <v>12</v>
      </c>
      <c r="AN74" s="8" t="s">
        <v>111</v>
      </c>
      <c r="AO74" s="10" t="s">
        <v>147</v>
      </c>
      <c r="AP74" s="10" t="s">
        <v>160</v>
      </c>
      <c r="AQ74" s="210">
        <v>0</v>
      </c>
      <c r="AR74" s="115">
        <v>84480000</v>
      </c>
      <c r="AT74" s="211">
        <v>70</v>
      </c>
      <c r="AU74" s="9" t="s">
        <v>241</v>
      </c>
      <c r="AV74" s="9">
        <v>13</v>
      </c>
      <c r="AW74" s="8" t="s">
        <v>40</v>
      </c>
      <c r="AX74" s="10" t="s">
        <v>355</v>
      </c>
      <c r="AY74" s="10" t="s">
        <v>2746</v>
      </c>
      <c r="AZ74" s="342">
        <v>0</v>
      </c>
      <c r="BA74" s="361">
        <v>112864666.2</v>
      </c>
      <c r="BC74" s="211">
        <v>70</v>
      </c>
      <c r="BD74" s="53" t="s">
        <v>242</v>
      </c>
      <c r="BE74" s="9">
        <v>12</v>
      </c>
      <c r="BF74" s="8" t="s">
        <v>136</v>
      </c>
      <c r="BG74" s="10" t="s">
        <v>354</v>
      </c>
      <c r="BH74" s="10" t="s">
        <v>2850</v>
      </c>
      <c r="BI74" s="342">
        <v>0</v>
      </c>
      <c r="BJ74" s="361">
        <v>54450000</v>
      </c>
      <c r="BL74" s="211">
        <v>70</v>
      </c>
      <c r="BM74" s="9" t="s">
        <v>241</v>
      </c>
      <c r="BN74" s="9">
        <v>6</v>
      </c>
      <c r="BO74" s="8" t="s">
        <v>95</v>
      </c>
      <c r="BP74" s="10" t="s">
        <v>357</v>
      </c>
      <c r="BQ74" s="10" t="s">
        <v>463</v>
      </c>
      <c r="BR74" s="342">
        <v>0</v>
      </c>
      <c r="BS74" s="344">
        <v>19273540</v>
      </c>
      <c r="BU74" s="211">
        <v>70</v>
      </c>
      <c r="BV74" s="9" t="s">
        <v>243</v>
      </c>
      <c r="BW74" s="9">
        <v>11</v>
      </c>
      <c r="BX74" s="8" t="s">
        <v>95</v>
      </c>
      <c r="BY74" s="10" t="s">
        <v>357</v>
      </c>
      <c r="BZ74" s="10" t="s">
        <v>548</v>
      </c>
      <c r="CA74" s="342">
        <v>0</v>
      </c>
      <c r="CB74" s="344">
        <v>17309160</v>
      </c>
      <c r="CD74" s="211">
        <v>70</v>
      </c>
      <c r="CE74" s="211" t="s">
        <v>140</v>
      </c>
      <c r="CF74" s="211">
        <v>17</v>
      </c>
      <c r="CG74" s="186" t="s">
        <v>35</v>
      </c>
      <c r="CH74" s="9" t="s">
        <v>354</v>
      </c>
      <c r="CI74" s="9" t="s">
        <v>253</v>
      </c>
      <c r="CJ74" s="210">
        <v>0</v>
      </c>
      <c r="CK74" s="537">
        <v>-0.16</v>
      </c>
      <c r="CM74" s="211">
        <v>4</v>
      </c>
      <c r="CN74" s="9" t="s">
        <v>238</v>
      </c>
      <c r="CO74" s="9">
        <v>18</v>
      </c>
      <c r="CP74" s="8" t="s">
        <v>40</v>
      </c>
      <c r="CQ74" s="9" t="s">
        <v>354</v>
      </c>
      <c r="CR74" s="9" t="s">
        <v>1414</v>
      </c>
      <c r="CS74" s="343">
        <v>0</v>
      </c>
      <c r="CT74" s="345">
        <v>-567020</v>
      </c>
      <c r="CV74" s="211">
        <v>17</v>
      </c>
      <c r="CW74" s="9" t="s">
        <v>240</v>
      </c>
      <c r="CX74" s="9">
        <v>19</v>
      </c>
      <c r="CY74" s="8" t="s">
        <v>40</v>
      </c>
      <c r="CZ74" s="9" t="s">
        <v>355</v>
      </c>
      <c r="DA74" s="9" t="s">
        <v>419</v>
      </c>
      <c r="DB74" s="345">
        <v>0.14200000092387199</v>
      </c>
    </row>
    <row r="75" spans="1:106" s="73" customFormat="1">
      <c r="A75" s="211">
        <v>71</v>
      </c>
      <c r="B75" s="211" t="s">
        <v>244</v>
      </c>
      <c r="C75" s="211">
        <v>24</v>
      </c>
      <c r="D75" s="8" t="s">
        <v>212</v>
      </c>
      <c r="E75" s="10" t="s">
        <v>62</v>
      </c>
      <c r="F75" s="10" t="s">
        <v>264</v>
      </c>
      <c r="G75" s="787">
        <v>0</v>
      </c>
      <c r="H75" s="786">
        <v>2800000</v>
      </c>
      <c r="J75" s="211">
        <v>71</v>
      </c>
      <c r="K75" s="211" t="s">
        <v>238</v>
      </c>
      <c r="L75" s="211">
        <v>20</v>
      </c>
      <c r="M75" s="8" t="s">
        <v>209</v>
      </c>
      <c r="N75" s="9" t="s">
        <v>63</v>
      </c>
      <c r="O75" s="10" t="s">
        <v>260</v>
      </c>
      <c r="P75" s="210">
        <v>0</v>
      </c>
      <c r="Q75" s="115">
        <v>40500000</v>
      </c>
      <c r="S75" s="211">
        <v>71</v>
      </c>
      <c r="T75" s="9" t="s">
        <v>239</v>
      </c>
      <c r="U75" s="9">
        <v>6</v>
      </c>
      <c r="V75" s="8" t="s">
        <v>136</v>
      </c>
      <c r="W75" s="10" t="s">
        <v>354</v>
      </c>
      <c r="X75" s="10" t="s">
        <v>2184</v>
      </c>
      <c r="Y75" s="342">
        <v>0</v>
      </c>
      <c r="Z75" s="361">
        <v>29700000</v>
      </c>
      <c r="AB75" s="211">
        <v>71</v>
      </c>
      <c r="AC75" s="9" t="s">
        <v>240</v>
      </c>
      <c r="AD75" s="9">
        <v>3</v>
      </c>
      <c r="AE75" s="8" t="s">
        <v>164</v>
      </c>
      <c r="AF75" s="10" t="s">
        <v>376</v>
      </c>
      <c r="AG75" s="10" t="s">
        <v>2255</v>
      </c>
      <c r="AH75" s="342">
        <v>0</v>
      </c>
      <c r="AI75" s="361">
        <v>22000000</v>
      </c>
      <c r="AK75" s="211">
        <v>71</v>
      </c>
      <c r="AL75" s="9" t="s">
        <v>140</v>
      </c>
      <c r="AM75" s="9">
        <v>1</v>
      </c>
      <c r="AN75" s="8" t="s">
        <v>430</v>
      </c>
      <c r="AO75" s="10" t="s">
        <v>354</v>
      </c>
      <c r="AP75" s="10" t="s">
        <v>1550</v>
      </c>
      <c r="AQ75" s="343">
        <v>0</v>
      </c>
      <c r="AR75" s="345">
        <v>-7738700</v>
      </c>
      <c r="AT75" s="211">
        <v>71</v>
      </c>
      <c r="AU75" s="9" t="s">
        <v>241</v>
      </c>
      <c r="AV75" s="9">
        <v>14</v>
      </c>
      <c r="AW75" s="8" t="s">
        <v>40</v>
      </c>
      <c r="AX75" s="10" t="s">
        <v>364</v>
      </c>
      <c r="AY75" s="10" t="s">
        <v>2728</v>
      </c>
      <c r="AZ75" s="342">
        <v>0</v>
      </c>
      <c r="BA75" s="361">
        <v>42900000</v>
      </c>
      <c r="BC75" s="211">
        <v>71</v>
      </c>
      <c r="BD75" s="211" t="s">
        <v>243</v>
      </c>
      <c r="BE75" s="211">
        <v>14</v>
      </c>
      <c r="BF75" s="8" t="s">
        <v>213</v>
      </c>
      <c r="BG75" s="10" t="s">
        <v>355</v>
      </c>
      <c r="BH75" s="10" t="s">
        <v>268</v>
      </c>
      <c r="BI75" s="210">
        <v>0</v>
      </c>
      <c r="BJ75" s="115">
        <v>20350000</v>
      </c>
      <c r="BL75" s="211">
        <v>71</v>
      </c>
      <c r="BM75" s="9" t="s">
        <v>241</v>
      </c>
      <c r="BN75" s="9">
        <v>6</v>
      </c>
      <c r="BO75" s="8" t="s">
        <v>95</v>
      </c>
      <c r="BP75" s="10" t="s">
        <v>354</v>
      </c>
      <c r="BQ75" s="10" t="s">
        <v>464</v>
      </c>
      <c r="BR75" s="342">
        <v>0</v>
      </c>
      <c r="BS75" s="344">
        <v>6600000</v>
      </c>
      <c r="BU75" s="211">
        <v>71</v>
      </c>
      <c r="BV75" s="9" t="s">
        <v>243</v>
      </c>
      <c r="BW75" s="9">
        <v>11</v>
      </c>
      <c r="BX75" s="8" t="s">
        <v>95</v>
      </c>
      <c r="BY75" s="10" t="s">
        <v>357</v>
      </c>
      <c r="BZ75" s="10" t="s">
        <v>549</v>
      </c>
      <c r="CA75" s="342">
        <v>0</v>
      </c>
      <c r="CB75" s="344">
        <v>21636450</v>
      </c>
      <c r="CD75" s="211">
        <v>71</v>
      </c>
      <c r="CE75" s="9" t="s">
        <v>194</v>
      </c>
      <c r="CF75" s="9">
        <v>15</v>
      </c>
      <c r="CG75" s="8" t="s">
        <v>35</v>
      </c>
      <c r="CH75" s="9" t="s">
        <v>354</v>
      </c>
      <c r="CI75" s="9" t="s">
        <v>149</v>
      </c>
      <c r="CJ75" s="210">
        <v>0</v>
      </c>
      <c r="CK75" s="537">
        <v>-0.08</v>
      </c>
      <c r="CM75" s="211">
        <v>5</v>
      </c>
      <c r="CN75" s="9" t="s">
        <v>238</v>
      </c>
      <c r="CO75" s="9">
        <v>18</v>
      </c>
      <c r="CP75" s="8" t="s">
        <v>40</v>
      </c>
      <c r="CQ75" s="9" t="s">
        <v>354</v>
      </c>
      <c r="CR75" s="9" t="s">
        <v>1415</v>
      </c>
      <c r="CS75" s="343">
        <v>0</v>
      </c>
      <c r="CT75" s="345">
        <v>-567020</v>
      </c>
      <c r="CV75" s="211">
        <v>18</v>
      </c>
      <c r="CW75" s="9" t="s">
        <v>240</v>
      </c>
      <c r="CX75" s="9">
        <v>20</v>
      </c>
      <c r="CY75" s="8" t="s">
        <v>40</v>
      </c>
      <c r="CZ75" s="9" t="s">
        <v>355</v>
      </c>
      <c r="DA75" s="9" t="s">
        <v>420</v>
      </c>
      <c r="DB75" s="345">
        <v>7.9199999570846558E-2</v>
      </c>
    </row>
    <row r="76" spans="1:106" s="73" customFormat="1">
      <c r="A76" s="211">
        <v>72</v>
      </c>
      <c r="B76" s="211" t="s">
        <v>244</v>
      </c>
      <c r="C76" s="211">
        <v>24</v>
      </c>
      <c r="D76" s="8" t="s">
        <v>212</v>
      </c>
      <c r="E76" s="10" t="s">
        <v>62</v>
      </c>
      <c r="F76" s="10" t="s">
        <v>265</v>
      </c>
      <c r="G76" s="210">
        <v>0</v>
      </c>
      <c r="H76" s="360">
        <v>900000</v>
      </c>
      <c r="J76" s="211">
        <v>72</v>
      </c>
      <c r="K76" s="211" t="s">
        <v>194</v>
      </c>
      <c r="L76" s="211">
        <v>7</v>
      </c>
      <c r="M76" s="8" t="s">
        <v>210</v>
      </c>
      <c r="N76" s="9" t="s">
        <v>262</v>
      </c>
      <c r="O76" s="9" t="s">
        <v>261</v>
      </c>
      <c r="P76" s="210">
        <v>0</v>
      </c>
      <c r="Q76" s="115">
        <v>8800000</v>
      </c>
      <c r="S76" s="211">
        <v>72</v>
      </c>
      <c r="T76" s="9" t="s">
        <v>239</v>
      </c>
      <c r="U76" s="9">
        <v>6</v>
      </c>
      <c r="V76" s="8" t="s">
        <v>136</v>
      </c>
      <c r="W76" s="10" t="s">
        <v>354</v>
      </c>
      <c r="X76" s="10" t="s">
        <v>2185</v>
      </c>
      <c r="Y76" s="342">
        <v>0</v>
      </c>
      <c r="Z76" s="361">
        <v>54450000</v>
      </c>
      <c r="AB76" s="211">
        <v>72</v>
      </c>
      <c r="AC76" s="9" t="s">
        <v>240</v>
      </c>
      <c r="AD76" s="9">
        <v>3</v>
      </c>
      <c r="AE76" s="8" t="s">
        <v>164</v>
      </c>
      <c r="AF76" s="10" t="s">
        <v>364</v>
      </c>
      <c r="AG76" s="10" t="s">
        <v>2257</v>
      </c>
      <c r="AH76" s="342">
        <v>0</v>
      </c>
      <c r="AI76" s="361">
        <v>6600000</v>
      </c>
      <c r="AK76" s="211">
        <v>72</v>
      </c>
      <c r="AL76" s="9" t="s">
        <v>58</v>
      </c>
      <c r="AM76" s="9">
        <v>2</v>
      </c>
      <c r="AN76" s="8" t="s">
        <v>430</v>
      </c>
      <c r="AO76" s="10" t="s">
        <v>364</v>
      </c>
      <c r="AP76" s="10" t="s">
        <v>2429</v>
      </c>
      <c r="AQ76" s="342">
        <v>0</v>
      </c>
      <c r="AR76" s="361">
        <v>20350000</v>
      </c>
      <c r="AT76" s="211">
        <v>72</v>
      </c>
      <c r="AU76" s="9" t="s">
        <v>241</v>
      </c>
      <c r="AV76" s="9">
        <v>2</v>
      </c>
      <c r="AW76" s="8" t="s">
        <v>128</v>
      </c>
      <c r="AX76" s="10" t="s">
        <v>376</v>
      </c>
      <c r="AY76" s="10" t="s">
        <v>2608</v>
      </c>
      <c r="AZ76" s="342">
        <v>0</v>
      </c>
      <c r="BA76" s="361">
        <v>16500000</v>
      </c>
      <c r="BC76" s="211">
        <v>72</v>
      </c>
      <c r="BD76" s="211" t="s">
        <v>244</v>
      </c>
      <c r="BE76" s="211">
        <v>4</v>
      </c>
      <c r="BF76" s="8" t="s">
        <v>213</v>
      </c>
      <c r="BG76" s="10" t="s">
        <v>355</v>
      </c>
      <c r="BH76" s="10" t="s">
        <v>269</v>
      </c>
      <c r="BI76" s="210">
        <v>0</v>
      </c>
      <c r="BJ76" s="115">
        <v>20350000</v>
      </c>
      <c r="BL76" s="211">
        <v>72</v>
      </c>
      <c r="BM76" s="9" t="s">
        <v>242</v>
      </c>
      <c r="BN76" s="9">
        <v>25</v>
      </c>
      <c r="BO76" s="8" t="s">
        <v>95</v>
      </c>
      <c r="BP76" s="10" t="s">
        <v>357</v>
      </c>
      <c r="BQ76" s="10" t="s">
        <v>503</v>
      </c>
      <c r="BR76" s="342">
        <v>0</v>
      </c>
      <c r="BS76" s="361">
        <v>30949380</v>
      </c>
      <c r="BU76" s="211">
        <v>72</v>
      </c>
      <c r="BV76" s="9" t="s">
        <v>243</v>
      </c>
      <c r="BW76" s="9">
        <v>11</v>
      </c>
      <c r="BX76" s="8" t="s">
        <v>95</v>
      </c>
      <c r="BY76" s="10" t="s">
        <v>357</v>
      </c>
      <c r="BZ76" s="10" t="s">
        <v>550</v>
      </c>
      <c r="CA76" s="342">
        <v>0</v>
      </c>
      <c r="CB76" s="344">
        <v>18751590</v>
      </c>
      <c r="CD76" s="211">
        <v>72</v>
      </c>
      <c r="CE76" s="9" t="s">
        <v>195</v>
      </c>
      <c r="CF76" s="9">
        <v>10</v>
      </c>
      <c r="CG76" s="8" t="s">
        <v>35</v>
      </c>
      <c r="CH76" s="9" t="s">
        <v>354</v>
      </c>
      <c r="CI76" s="9" t="s">
        <v>150</v>
      </c>
      <c r="CJ76" s="210">
        <v>0</v>
      </c>
      <c r="CK76" s="537">
        <v>0.52</v>
      </c>
      <c r="CM76" s="211">
        <v>6</v>
      </c>
      <c r="CN76" s="9" t="s">
        <v>238</v>
      </c>
      <c r="CO76" s="9">
        <v>18</v>
      </c>
      <c r="CP76" s="8" t="s">
        <v>40</v>
      </c>
      <c r="CQ76" s="9" t="s">
        <v>355</v>
      </c>
      <c r="CR76" s="9" t="s">
        <v>1416</v>
      </c>
      <c r="CS76" s="343">
        <v>0</v>
      </c>
      <c r="CT76" s="345">
        <v>-580080</v>
      </c>
      <c r="CV76" s="211">
        <v>19</v>
      </c>
      <c r="CW76" s="9" t="s">
        <v>58</v>
      </c>
      <c r="CX76" s="9">
        <v>30</v>
      </c>
      <c r="CY76" s="8" t="s">
        <v>40</v>
      </c>
      <c r="CZ76" s="9" t="s">
        <v>355</v>
      </c>
      <c r="DA76" s="9" t="s">
        <v>447</v>
      </c>
      <c r="DB76" s="341">
        <v>0.84160000085830688</v>
      </c>
    </row>
    <row r="77" spans="1:106" s="73" customFormat="1">
      <c r="A77" s="211">
        <v>73</v>
      </c>
      <c r="B77" s="211" t="s">
        <v>244</v>
      </c>
      <c r="C77" s="211">
        <v>24</v>
      </c>
      <c r="D77" s="8" t="s">
        <v>212</v>
      </c>
      <c r="E77" s="10" t="s">
        <v>62</v>
      </c>
      <c r="F77" s="10" t="s">
        <v>266</v>
      </c>
      <c r="G77" s="210">
        <v>0</v>
      </c>
      <c r="H77" s="786">
        <v>4500000</v>
      </c>
      <c r="J77" s="211">
        <v>73</v>
      </c>
      <c r="K77" s="9" t="s">
        <v>195</v>
      </c>
      <c r="L77" s="9">
        <v>14</v>
      </c>
      <c r="M77" s="8" t="s">
        <v>2064</v>
      </c>
      <c r="N77" s="9" t="s">
        <v>144</v>
      </c>
      <c r="O77" s="10" t="s">
        <v>2065</v>
      </c>
      <c r="P77" s="342">
        <v>0</v>
      </c>
      <c r="Q77" s="361">
        <v>5500000</v>
      </c>
      <c r="S77" s="211">
        <v>73</v>
      </c>
      <c r="T77" s="9" t="s">
        <v>239</v>
      </c>
      <c r="U77" s="9">
        <v>6</v>
      </c>
      <c r="V77" s="8" t="s">
        <v>136</v>
      </c>
      <c r="W77" s="10" t="s">
        <v>354</v>
      </c>
      <c r="X77" s="10" t="s">
        <v>2186</v>
      </c>
      <c r="Y77" s="342">
        <v>0</v>
      </c>
      <c r="Z77" s="361">
        <v>54450000</v>
      </c>
      <c r="AB77" s="211">
        <v>73</v>
      </c>
      <c r="AC77" s="9" t="s">
        <v>240</v>
      </c>
      <c r="AD77" s="9">
        <v>3</v>
      </c>
      <c r="AE77" s="8" t="s">
        <v>45</v>
      </c>
      <c r="AF77" s="10" t="s">
        <v>354</v>
      </c>
      <c r="AG77" s="10" t="s">
        <v>2261</v>
      </c>
      <c r="AH77" s="342">
        <v>0</v>
      </c>
      <c r="AI77" s="189">
        <v>13200000</v>
      </c>
      <c r="AK77" s="211">
        <v>73</v>
      </c>
      <c r="AL77" s="9" t="s">
        <v>240</v>
      </c>
      <c r="AM77" s="9">
        <v>6</v>
      </c>
      <c r="AN77" s="8" t="s">
        <v>396</v>
      </c>
      <c r="AO77" s="10" t="s">
        <v>364</v>
      </c>
      <c r="AP77" s="10" t="s">
        <v>2530</v>
      </c>
      <c r="AQ77" s="342">
        <v>0</v>
      </c>
      <c r="AR77" s="361">
        <v>45000000.000999995</v>
      </c>
      <c r="AT77" s="211">
        <v>73</v>
      </c>
      <c r="AU77" s="211" t="s">
        <v>241</v>
      </c>
      <c r="AV77" s="211">
        <v>1</v>
      </c>
      <c r="AW77" s="8" t="s">
        <v>208</v>
      </c>
      <c r="AX77" s="9" t="s">
        <v>118</v>
      </c>
      <c r="AY77" s="10" t="s">
        <v>258</v>
      </c>
      <c r="AZ77" s="210">
        <v>0</v>
      </c>
      <c r="BA77" s="115">
        <v>1400000</v>
      </c>
      <c r="BC77" s="211">
        <v>73</v>
      </c>
      <c r="BD77" s="211" t="s">
        <v>245</v>
      </c>
      <c r="BE77" s="211">
        <v>21</v>
      </c>
      <c r="BF77" s="8" t="s">
        <v>213</v>
      </c>
      <c r="BG77" s="10" t="s">
        <v>355</v>
      </c>
      <c r="BH77" s="10" t="s">
        <v>270</v>
      </c>
      <c r="BI77" s="210">
        <v>0</v>
      </c>
      <c r="BJ77" s="115">
        <v>20350000</v>
      </c>
      <c r="BL77" s="211">
        <v>73</v>
      </c>
      <c r="BM77" s="9" t="s">
        <v>242</v>
      </c>
      <c r="BN77" s="9">
        <v>22</v>
      </c>
      <c r="BO77" s="8" t="s">
        <v>95</v>
      </c>
      <c r="BP77" s="10" t="s">
        <v>357</v>
      </c>
      <c r="BQ77" s="10" t="s">
        <v>504</v>
      </c>
      <c r="BR77" s="342">
        <v>0</v>
      </c>
      <c r="BS77" s="361">
        <v>17338200</v>
      </c>
      <c r="BU77" s="211">
        <v>73</v>
      </c>
      <c r="BV77" s="9" t="s">
        <v>243</v>
      </c>
      <c r="BW77" s="9">
        <v>11</v>
      </c>
      <c r="BX77" s="8" t="s">
        <v>95</v>
      </c>
      <c r="BY77" s="10" t="s">
        <v>354</v>
      </c>
      <c r="BZ77" s="10" t="s">
        <v>551</v>
      </c>
      <c r="CA77" s="342">
        <v>0</v>
      </c>
      <c r="CB77" s="344">
        <v>9900000</v>
      </c>
      <c r="CD77" s="211">
        <v>73</v>
      </c>
      <c r="CE77" s="9" t="s">
        <v>239</v>
      </c>
      <c r="CF77" s="9">
        <v>1</v>
      </c>
      <c r="CG77" s="8" t="s">
        <v>35</v>
      </c>
      <c r="CH77" s="9" t="s">
        <v>144</v>
      </c>
      <c r="CI77" s="9" t="s">
        <v>401</v>
      </c>
      <c r="CJ77" s="210">
        <v>0</v>
      </c>
      <c r="CK77" s="537">
        <v>-2.16</v>
      </c>
      <c r="CM77" s="211">
        <v>7</v>
      </c>
      <c r="CN77" s="9" t="s">
        <v>238</v>
      </c>
      <c r="CO77" s="9">
        <v>18</v>
      </c>
      <c r="CP77" s="8" t="s">
        <v>40</v>
      </c>
      <c r="CQ77" s="9" t="s">
        <v>355</v>
      </c>
      <c r="CR77" s="9" t="s">
        <v>1417</v>
      </c>
      <c r="CS77" s="343">
        <v>0</v>
      </c>
      <c r="CT77" s="345">
        <v>-580080</v>
      </c>
      <c r="CV77" s="211">
        <v>20</v>
      </c>
      <c r="CW77" s="9" t="s">
        <v>241</v>
      </c>
      <c r="CX77" s="9">
        <v>16</v>
      </c>
      <c r="CY77" s="8" t="s">
        <v>40</v>
      </c>
      <c r="CZ77" s="9" t="s">
        <v>354</v>
      </c>
      <c r="DA77" s="9" t="s">
        <v>482</v>
      </c>
      <c r="DB77" s="341">
        <v>0.36600000038743019</v>
      </c>
    </row>
    <row r="78" spans="1:106" s="73" customFormat="1">
      <c r="A78" s="211">
        <v>74</v>
      </c>
      <c r="B78" s="211" t="s">
        <v>244</v>
      </c>
      <c r="C78" s="211">
        <v>24</v>
      </c>
      <c r="D78" s="8" t="s">
        <v>212</v>
      </c>
      <c r="E78" s="10" t="s">
        <v>62</v>
      </c>
      <c r="F78" s="10" t="s">
        <v>267</v>
      </c>
      <c r="G78" s="210">
        <v>0</v>
      </c>
      <c r="H78" s="344">
        <v>18900000</v>
      </c>
      <c r="J78" s="211">
        <v>74</v>
      </c>
      <c r="K78" s="9" t="s">
        <v>195</v>
      </c>
      <c r="L78" s="9">
        <v>14</v>
      </c>
      <c r="M78" s="8" t="s">
        <v>2064</v>
      </c>
      <c r="N78" s="9" t="s">
        <v>118</v>
      </c>
      <c r="O78" s="10" t="s">
        <v>2066</v>
      </c>
      <c r="P78" s="342">
        <v>0</v>
      </c>
      <c r="Q78" s="361">
        <v>1779640</v>
      </c>
      <c r="S78" s="211">
        <v>74</v>
      </c>
      <c r="T78" s="9" t="s">
        <v>239</v>
      </c>
      <c r="U78" s="9">
        <v>30</v>
      </c>
      <c r="V78" s="8" t="s">
        <v>136</v>
      </c>
      <c r="W78" s="10" t="s">
        <v>144</v>
      </c>
      <c r="X78" s="10" t="s">
        <v>2318</v>
      </c>
      <c r="Y78" s="342">
        <v>0</v>
      </c>
      <c r="Z78" s="361">
        <v>22000000</v>
      </c>
      <c r="AB78" s="211">
        <v>74</v>
      </c>
      <c r="AC78" s="211" t="s">
        <v>241</v>
      </c>
      <c r="AD78" s="211">
        <v>1</v>
      </c>
      <c r="AE78" s="8" t="s">
        <v>208</v>
      </c>
      <c r="AF78" s="9" t="s">
        <v>118</v>
      </c>
      <c r="AG78" s="10" t="s">
        <v>258</v>
      </c>
      <c r="AH78" s="210">
        <v>0</v>
      </c>
      <c r="AI78" s="115">
        <v>1400000</v>
      </c>
      <c r="AK78" s="211">
        <v>74</v>
      </c>
      <c r="AL78" s="9" t="s">
        <v>240</v>
      </c>
      <c r="AM78" s="9">
        <v>6</v>
      </c>
      <c r="AN78" s="8" t="s">
        <v>396</v>
      </c>
      <c r="AO78" s="10" t="s">
        <v>364</v>
      </c>
      <c r="AP78" s="10" t="s">
        <v>2531</v>
      </c>
      <c r="AQ78" s="342">
        <v>0</v>
      </c>
      <c r="AR78" s="361">
        <v>45000000.000999995</v>
      </c>
      <c r="AT78" s="211">
        <v>74</v>
      </c>
      <c r="AU78" s="9" t="s">
        <v>241</v>
      </c>
      <c r="AV78" s="9">
        <v>2</v>
      </c>
      <c r="AW78" s="8" t="s">
        <v>133</v>
      </c>
      <c r="AX78" s="9" t="s">
        <v>364</v>
      </c>
      <c r="AY78" s="10" t="s">
        <v>2600</v>
      </c>
      <c r="AZ78" s="343">
        <v>0</v>
      </c>
      <c r="BA78" s="376">
        <v>33000000</v>
      </c>
      <c r="BC78" s="211">
        <v>74</v>
      </c>
      <c r="BD78" s="211" t="s">
        <v>238</v>
      </c>
      <c r="BE78" s="211">
        <v>4</v>
      </c>
      <c r="BF78" s="8" t="s">
        <v>213</v>
      </c>
      <c r="BG78" s="10" t="s">
        <v>355</v>
      </c>
      <c r="BH78" s="10" t="s">
        <v>271</v>
      </c>
      <c r="BI78" s="210">
        <v>0</v>
      </c>
      <c r="BJ78" s="115">
        <v>20350000</v>
      </c>
      <c r="BL78" s="211">
        <v>74</v>
      </c>
      <c r="BM78" s="9" t="s">
        <v>242</v>
      </c>
      <c r="BN78" s="9">
        <v>25</v>
      </c>
      <c r="BO78" s="8" t="s">
        <v>95</v>
      </c>
      <c r="BP78" s="10" t="s">
        <v>357</v>
      </c>
      <c r="BQ78" s="10" t="s">
        <v>505</v>
      </c>
      <c r="BR78" s="342">
        <v>0</v>
      </c>
      <c r="BS78" s="361">
        <v>21672750</v>
      </c>
      <c r="BU78" s="211">
        <v>74</v>
      </c>
      <c r="BV78" s="9" t="s">
        <v>241</v>
      </c>
      <c r="BW78" s="9">
        <v>6</v>
      </c>
      <c r="BX78" s="8" t="s">
        <v>96</v>
      </c>
      <c r="BY78" s="10" t="s">
        <v>357</v>
      </c>
      <c r="BZ78" s="10" t="s">
        <v>458</v>
      </c>
      <c r="CA78" s="342">
        <v>1320</v>
      </c>
      <c r="CB78" s="344">
        <v>0</v>
      </c>
      <c r="CD78" s="211">
        <v>74</v>
      </c>
      <c r="CE78" s="9" t="s">
        <v>241</v>
      </c>
      <c r="CF78" s="9">
        <v>8</v>
      </c>
      <c r="CG78" s="8" t="s">
        <v>35</v>
      </c>
      <c r="CH78" s="9" t="s">
        <v>354</v>
      </c>
      <c r="CI78" s="9" t="s">
        <v>477</v>
      </c>
      <c r="CJ78" s="342">
        <v>0</v>
      </c>
      <c r="CK78" s="538">
        <v>1</v>
      </c>
      <c r="CM78" s="211">
        <v>8</v>
      </c>
      <c r="CN78" s="9" t="s">
        <v>238</v>
      </c>
      <c r="CO78" s="9">
        <v>18</v>
      </c>
      <c r="CP78" s="8" t="s">
        <v>40</v>
      </c>
      <c r="CQ78" s="9" t="s">
        <v>448</v>
      </c>
      <c r="CR78" s="9" t="s">
        <v>1418</v>
      </c>
      <c r="CS78" s="343">
        <v>0</v>
      </c>
      <c r="CT78" s="345">
        <v>-711750</v>
      </c>
      <c r="CV78" s="211">
        <v>21</v>
      </c>
      <c r="CW78" s="9" t="s">
        <v>242</v>
      </c>
      <c r="CX78" s="9">
        <v>15</v>
      </c>
      <c r="CY78" s="8" t="s">
        <v>40</v>
      </c>
      <c r="CZ78" s="9" t="s">
        <v>354</v>
      </c>
      <c r="DA78" s="9" t="s">
        <v>495</v>
      </c>
      <c r="DB78" s="341">
        <v>0.02</v>
      </c>
    </row>
    <row r="79" spans="1:106" s="73" customFormat="1">
      <c r="A79" s="211">
        <v>75</v>
      </c>
      <c r="B79" s="9" t="s">
        <v>239</v>
      </c>
      <c r="C79" s="9">
        <v>7</v>
      </c>
      <c r="D79" s="8" t="s">
        <v>212</v>
      </c>
      <c r="E79" s="10" t="s">
        <v>62</v>
      </c>
      <c r="F79" s="9" t="s">
        <v>392</v>
      </c>
      <c r="G79" s="210">
        <v>0</v>
      </c>
      <c r="H79" s="344">
        <v>1800000</v>
      </c>
      <c r="J79" s="211">
        <v>75</v>
      </c>
      <c r="K79" s="9" t="s">
        <v>195</v>
      </c>
      <c r="L79" s="9">
        <v>14</v>
      </c>
      <c r="M79" s="8" t="s">
        <v>2064</v>
      </c>
      <c r="N79" s="9" t="s">
        <v>354</v>
      </c>
      <c r="O79" s="10" t="s">
        <v>2067</v>
      </c>
      <c r="P79" s="342">
        <v>0</v>
      </c>
      <c r="Q79" s="361">
        <v>24200000</v>
      </c>
      <c r="S79" s="211">
        <v>75</v>
      </c>
      <c r="T79" s="211" t="s">
        <v>244</v>
      </c>
      <c r="U79" s="211">
        <v>24</v>
      </c>
      <c r="V79" s="8" t="s">
        <v>212</v>
      </c>
      <c r="W79" s="10" t="s">
        <v>62</v>
      </c>
      <c r="X79" s="10" t="s">
        <v>267</v>
      </c>
      <c r="Y79" s="210">
        <v>0</v>
      </c>
      <c r="Z79" s="344">
        <v>13900000</v>
      </c>
      <c r="AB79" s="211">
        <v>75</v>
      </c>
      <c r="AC79" s="9" t="s">
        <v>240</v>
      </c>
      <c r="AD79" s="9">
        <v>3</v>
      </c>
      <c r="AE79" s="8" t="s">
        <v>133</v>
      </c>
      <c r="AF79" s="9" t="s">
        <v>364</v>
      </c>
      <c r="AG79" s="10" t="s">
        <v>2247</v>
      </c>
      <c r="AH79" s="343">
        <v>0</v>
      </c>
      <c r="AI79" s="376">
        <v>33000000</v>
      </c>
      <c r="AK79" s="211">
        <v>75</v>
      </c>
      <c r="AL79" s="9" t="s">
        <v>240</v>
      </c>
      <c r="AM79" s="9">
        <v>6</v>
      </c>
      <c r="AN79" s="8" t="s">
        <v>396</v>
      </c>
      <c r="AO79" s="10" t="s">
        <v>364</v>
      </c>
      <c r="AP79" s="10" t="s">
        <v>2532</v>
      </c>
      <c r="AQ79" s="342">
        <v>0</v>
      </c>
      <c r="AR79" s="361">
        <v>45000000.000999995</v>
      </c>
      <c r="AT79" s="211">
        <v>75</v>
      </c>
      <c r="AU79" s="211" t="s">
        <v>243</v>
      </c>
      <c r="AV79" s="211">
        <v>28</v>
      </c>
      <c r="AW79" s="8" t="s">
        <v>209</v>
      </c>
      <c r="AX79" s="9" t="s">
        <v>63</v>
      </c>
      <c r="AY79" s="10" t="s">
        <v>259</v>
      </c>
      <c r="AZ79" s="210">
        <v>0</v>
      </c>
      <c r="BA79" s="115">
        <v>35000000</v>
      </c>
      <c r="BC79" s="211">
        <v>75</v>
      </c>
      <c r="BD79" s="211" t="s">
        <v>140</v>
      </c>
      <c r="BE79" s="211">
        <v>3</v>
      </c>
      <c r="BF79" s="8" t="s">
        <v>213</v>
      </c>
      <c r="BG79" s="10" t="s">
        <v>355</v>
      </c>
      <c r="BH79" s="10" t="s">
        <v>272</v>
      </c>
      <c r="BI79" s="210">
        <v>0</v>
      </c>
      <c r="BJ79" s="115">
        <v>20350000</v>
      </c>
      <c r="BL79" s="211">
        <v>75</v>
      </c>
      <c r="BM79" s="9" t="s">
        <v>242</v>
      </c>
      <c r="BN79" s="9">
        <v>22</v>
      </c>
      <c r="BO79" s="8" t="s">
        <v>95</v>
      </c>
      <c r="BP79" s="10" t="s">
        <v>357</v>
      </c>
      <c r="BQ79" s="10" t="s">
        <v>506</v>
      </c>
      <c r="BR79" s="342">
        <v>0</v>
      </c>
      <c r="BS79" s="361">
        <v>18783050</v>
      </c>
      <c r="BU79" s="211">
        <v>75</v>
      </c>
      <c r="BV79" s="9" t="s">
        <v>241</v>
      </c>
      <c r="BW79" s="9">
        <v>23</v>
      </c>
      <c r="BX79" s="8" t="s">
        <v>96</v>
      </c>
      <c r="BY79" s="10" t="s">
        <v>433</v>
      </c>
      <c r="BZ79" s="10" t="s">
        <v>486</v>
      </c>
      <c r="CA79" s="342">
        <v>0</v>
      </c>
      <c r="CB79" s="344">
        <v>8800000</v>
      </c>
      <c r="CD79" s="211">
        <v>75</v>
      </c>
      <c r="CE79" s="9" t="s">
        <v>140</v>
      </c>
      <c r="CF79" s="9">
        <v>5</v>
      </c>
      <c r="CG79" s="8" t="s">
        <v>35</v>
      </c>
      <c r="CH79" s="9" t="s">
        <v>354</v>
      </c>
      <c r="CI79" s="9" t="s">
        <v>1579</v>
      </c>
      <c r="CJ79" s="182">
        <v>0</v>
      </c>
      <c r="CK79" s="344">
        <v>3300000</v>
      </c>
      <c r="CM79" s="211">
        <v>9</v>
      </c>
      <c r="CN79" s="9" t="s">
        <v>238</v>
      </c>
      <c r="CO79" s="9">
        <v>18</v>
      </c>
      <c r="CP79" s="8" t="s">
        <v>40</v>
      </c>
      <c r="CQ79" s="9" t="s">
        <v>355</v>
      </c>
      <c r="CR79" s="9" t="s">
        <v>1419</v>
      </c>
      <c r="CS79" s="343">
        <v>0</v>
      </c>
      <c r="CT79" s="345">
        <v>-580080</v>
      </c>
      <c r="CV79" s="211">
        <v>22</v>
      </c>
      <c r="CW79" s="9" t="s">
        <v>242</v>
      </c>
      <c r="CX79" s="9">
        <v>29</v>
      </c>
      <c r="CY79" s="8" t="s">
        <v>40</v>
      </c>
      <c r="CZ79" s="9" t="s">
        <v>354</v>
      </c>
      <c r="DA79" s="9" t="s">
        <v>512</v>
      </c>
      <c r="DB79" s="345">
        <v>0.92440000176429749</v>
      </c>
    </row>
    <row r="80" spans="1:106" s="73" customFormat="1">
      <c r="A80" s="211">
        <v>76</v>
      </c>
      <c r="B80" s="9" t="s">
        <v>238</v>
      </c>
      <c r="C80" s="9">
        <v>15</v>
      </c>
      <c r="D80" s="8" t="s">
        <v>764</v>
      </c>
      <c r="E80" s="10" t="s">
        <v>1564</v>
      </c>
      <c r="F80" s="9" t="s">
        <v>783</v>
      </c>
      <c r="G80" s="210">
        <v>0</v>
      </c>
      <c r="H80" s="360">
        <v>25300000</v>
      </c>
      <c r="J80" s="211">
        <v>76</v>
      </c>
      <c r="K80" s="9" t="s">
        <v>195</v>
      </c>
      <c r="L80" s="9">
        <v>12</v>
      </c>
      <c r="M80" s="8" t="s">
        <v>111</v>
      </c>
      <c r="N80" s="10" t="s">
        <v>147</v>
      </c>
      <c r="O80" s="10" t="s">
        <v>160</v>
      </c>
      <c r="P80" s="210">
        <v>0</v>
      </c>
      <c r="Q80" s="115">
        <v>84480000</v>
      </c>
      <c r="S80" s="211">
        <v>76</v>
      </c>
      <c r="T80" s="211" t="s">
        <v>243</v>
      </c>
      <c r="U80" s="211">
        <v>14</v>
      </c>
      <c r="V80" s="8" t="s">
        <v>213</v>
      </c>
      <c r="W80" s="10" t="s">
        <v>355</v>
      </c>
      <c r="X80" s="10" t="s">
        <v>268</v>
      </c>
      <c r="Y80" s="210">
        <v>0</v>
      </c>
      <c r="Z80" s="115">
        <v>20350000</v>
      </c>
      <c r="AB80" s="211">
        <v>76</v>
      </c>
      <c r="AC80" s="211" t="s">
        <v>243</v>
      </c>
      <c r="AD80" s="211">
        <v>28</v>
      </c>
      <c r="AE80" s="8" t="s">
        <v>209</v>
      </c>
      <c r="AF80" s="9" t="s">
        <v>63</v>
      </c>
      <c r="AG80" s="10" t="s">
        <v>259</v>
      </c>
      <c r="AH80" s="210">
        <v>0</v>
      </c>
      <c r="AI80" s="115">
        <v>35000000</v>
      </c>
      <c r="AK80" s="211">
        <v>76</v>
      </c>
      <c r="AL80" s="9" t="s">
        <v>240</v>
      </c>
      <c r="AM80" s="9">
        <v>6</v>
      </c>
      <c r="AN80" s="8" t="s">
        <v>396</v>
      </c>
      <c r="AO80" s="10" t="s">
        <v>364</v>
      </c>
      <c r="AP80" s="10" t="s">
        <v>2533</v>
      </c>
      <c r="AQ80" s="342">
        <v>0</v>
      </c>
      <c r="AR80" s="361">
        <v>45000000.000999995</v>
      </c>
      <c r="AT80" s="211">
        <v>76</v>
      </c>
      <c r="AU80" s="211" t="s">
        <v>238</v>
      </c>
      <c r="AV80" s="211">
        <v>20</v>
      </c>
      <c r="AW80" s="8" t="s">
        <v>209</v>
      </c>
      <c r="AX80" s="9" t="s">
        <v>63</v>
      </c>
      <c r="AY80" s="10" t="s">
        <v>260</v>
      </c>
      <c r="AZ80" s="210">
        <v>0</v>
      </c>
      <c r="BA80" s="115">
        <v>40500000</v>
      </c>
      <c r="BC80" s="211">
        <v>76</v>
      </c>
      <c r="BD80" s="53" t="s">
        <v>241</v>
      </c>
      <c r="BE80" s="9">
        <v>2</v>
      </c>
      <c r="BF80" s="8" t="s">
        <v>1623</v>
      </c>
      <c r="BG80" s="10" t="s">
        <v>364</v>
      </c>
      <c r="BH80" s="10" t="s">
        <v>2610</v>
      </c>
      <c r="BI80" s="342">
        <v>0</v>
      </c>
      <c r="BJ80" s="344">
        <v>12906666.663000001</v>
      </c>
      <c r="BL80" s="211">
        <v>76</v>
      </c>
      <c r="BM80" s="9" t="s">
        <v>242</v>
      </c>
      <c r="BN80" s="9">
        <v>25</v>
      </c>
      <c r="BO80" s="8" t="s">
        <v>95</v>
      </c>
      <c r="BP80" s="10" t="s">
        <v>354</v>
      </c>
      <c r="BQ80" s="10" t="s">
        <v>507</v>
      </c>
      <c r="BR80" s="342">
        <v>0</v>
      </c>
      <c r="BS80" s="361">
        <v>9900000</v>
      </c>
      <c r="BU80" s="211">
        <v>76</v>
      </c>
      <c r="BV80" s="9" t="s">
        <v>241</v>
      </c>
      <c r="BW80" s="9">
        <v>23</v>
      </c>
      <c r="BX80" s="8" t="s">
        <v>96</v>
      </c>
      <c r="BY80" s="10" t="s">
        <v>118</v>
      </c>
      <c r="BZ80" s="10" t="s">
        <v>487</v>
      </c>
      <c r="CA80" s="210">
        <v>0</v>
      </c>
      <c r="CB80" s="341">
        <v>901000</v>
      </c>
      <c r="CD80" s="211">
        <v>76</v>
      </c>
      <c r="CE80" s="9" t="s">
        <v>140</v>
      </c>
      <c r="CF80" s="9">
        <v>5</v>
      </c>
      <c r="CG80" s="8" t="s">
        <v>35</v>
      </c>
      <c r="CH80" s="9" t="s">
        <v>354</v>
      </c>
      <c r="CI80" s="9" t="s">
        <v>1581</v>
      </c>
      <c r="CJ80" s="342">
        <v>0</v>
      </c>
      <c r="CK80" s="344">
        <v>3300000</v>
      </c>
      <c r="CM80" s="211">
        <v>10</v>
      </c>
      <c r="CN80" s="9" t="s">
        <v>238</v>
      </c>
      <c r="CO80" s="9">
        <v>18</v>
      </c>
      <c r="CP80" s="8" t="s">
        <v>40</v>
      </c>
      <c r="CQ80" s="9" t="s">
        <v>364</v>
      </c>
      <c r="CR80" s="9" t="s">
        <v>1420</v>
      </c>
      <c r="CS80" s="343">
        <v>0</v>
      </c>
      <c r="CT80" s="345">
        <v>-190000</v>
      </c>
      <c r="CV80" s="211">
        <v>23</v>
      </c>
      <c r="CW80" s="9" t="s">
        <v>243</v>
      </c>
      <c r="CX80" s="9">
        <v>15</v>
      </c>
      <c r="CY80" s="8" t="s">
        <v>40</v>
      </c>
      <c r="CZ80" s="9" t="s">
        <v>354</v>
      </c>
      <c r="DA80" s="9" t="s">
        <v>556</v>
      </c>
      <c r="DB80" s="345">
        <v>0.91320000216364861</v>
      </c>
    </row>
    <row r="81" spans="1:106" s="73" customFormat="1">
      <c r="A81" s="211">
        <v>77</v>
      </c>
      <c r="B81" s="9" t="s">
        <v>140</v>
      </c>
      <c r="C81" s="9">
        <v>1</v>
      </c>
      <c r="D81" s="8" t="s">
        <v>764</v>
      </c>
      <c r="E81" s="10" t="s">
        <v>1564</v>
      </c>
      <c r="F81" s="9" t="s">
        <v>1565</v>
      </c>
      <c r="G81" s="210">
        <v>0</v>
      </c>
      <c r="H81" s="361">
        <v>25300000</v>
      </c>
      <c r="J81" s="211">
        <v>77</v>
      </c>
      <c r="K81" s="9" t="s">
        <v>140</v>
      </c>
      <c r="L81" s="9">
        <v>1</v>
      </c>
      <c r="M81" s="8" t="s">
        <v>430</v>
      </c>
      <c r="N81" s="10" t="s">
        <v>354</v>
      </c>
      <c r="O81" s="10" t="s">
        <v>1550</v>
      </c>
      <c r="P81" s="343">
        <v>0</v>
      </c>
      <c r="Q81" s="345">
        <v>-7738700</v>
      </c>
      <c r="S81" s="211">
        <v>77</v>
      </c>
      <c r="T81" s="211" t="s">
        <v>244</v>
      </c>
      <c r="U81" s="211">
        <v>4</v>
      </c>
      <c r="V81" s="8" t="s">
        <v>213</v>
      </c>
      <c r="W81" s="10" t="s">
        <v>355</v>
      </c>
      <c r="X81" s="10" t="s">
        <v>269</v>
      </c>
      <c r="Y81" s="210">
        <v>0</v>
      </c>
      <c r="Z81" s="115">
        <v>20350000</v>
      </c>
      <c r="AB81" s="211">
        <v>77</v>
      </c>
      <c r="AC81" s="211" t="s">
        <v>238</v>
      </c>
      <c r="AD81" s="211">
        <v>20</v>
      </c>
      <c r="AE81" s="8" t="s">
        <v>209</v>
      </c>
      <c r="AF81" s="9" t="s">
        <v>63</v>
      </c>
      <c r="AG81" s="10" t="s">
        <v>260</v>
      </c>
      <c r="AH81" s="210">
        <v>0</v>
      </c>
      <c r="AI81" s="115">
        <v>40500000</v>
      </c>
      <c r="AK81" s="211">
        <v>77</v>
      </c>
      <c r="AL81" s="9" t="s">
        <v>58</v>
      </c>
      <c r="AM81" s="9">
        <v>2</v>
      </c>
      <c r="AN81" s="8" t="s">
        <v>396</v>
      </c>
      <c r="AO81" s="10" t="s">
        <v>364</v>
      </c>
      <c r="AP81" s="10" t="s">
        <v>2697</v>
      </c>
      <c r="AQ81" s="342">
        <v>0</v>
      </c>
      <c r="AR81" s="361">
        <v>45000000.000999995</v>
      </c>
      <c r="AT81" s="211">
        <v>77</v>
      </c>
      <c r="AU81" s="211" t="s">
        <v>194</v>
      </c>
      <c r="AV81" s="211">
        <v>7</v>
      </c>
      <c r="AW81" s="8" t="s">
        <v>210</v>
      </c>
      <c r="AX81" s="9" t="s">
        <v>262</v>
      </c>
      <c r="AY81" s="9" t="s">
        <v>261</v>
      </c>
      <c r="AZ81" s="210">
        <v>0</v>
      </c>
      <c r="BA81" s="115">
        <v>8800000</v>
      </c>
      <c r="BC81" s="211">
        <v>77</v>
      </c>
      <c r="BD81" s="53" t="s">
        <v>242</v>
      </c>
      <c r="BE81" s="9">
        <v>3</v>
      </c>
      <c r="BF81" s="8" t="s">
        <v>1623</v>
      </c>
      <c r="BG81" s="10" t="s">
        <v>364</v>
      </c>
      <c r="BH81" s="10" t="s">
        <v>2775</v>
      </c>
      <c r="BI81" s="342">
        <v>0</v>
      </c>
      <c r="BJ81" s="344">
        <v>24200000</v>
      </c>
      <c r="BL81" s="211">
        <v>77</v>
      </c>
      <c r="BM81" s="9" t="s">
        <v>243</v>
      </c>
      <c r="BN81" s="9">
        <v>11</v>
      </c>
      <c r="BO81" s="8" t="s">
        <v>95</v>
      </c>
      <c r="BP81" s="10" t="s">
        <v>357</v>
      </c>
      <c r="BQ81" s="10" t="s">
        <v>547</v>
      </c>
      <c r="BR81" s="342">
        <v>0</v>
      </c>
      <c r="BS81" s="344">
        <v>30949380</v>
      </c>
      <c r="BU81" s="211">
        <v>77</v>
      </c>
      <c r="BV81" s="9" t="s">
        <v>242</v>
      </c>
      <c r="BW81" s="9">
        <v>25</v>
      </c>
      <c r="BX81" s="8" t="s">
        <v>96</v>
      </c>
      <c r="BY81" s="10" t="s">
        <v>354</v>
      </c>
      <c r="BZ81" s="10" t="s">
        <v>499</v>
      </c>
      <c r="CA81" s="210">
        <v>0</v>
      </c>
      <c r="CB81" s="361">
        <v>6600000</v>
      </c>
      <c r="CD81" s="211">
        <v>77</v>
      </c>
      <c r="CE81" s="9" t="s">
        <v>140</v>
      </c>
      <c r="CF81" s="9">
        <v>22</v>
      </c>
      <c r="CG81" s="8" t="s">
        <v>35</v>
      </c>
      <c r="CH81" s="9" t="s">
        <v>62</v>
      </c>
      <c r="CI81" s="9" t="s">
        <v>1629</v>
      </c>
      <c r="CJ81" s="342">
        <v>0</v>
      </c>
      <c r="CK81" s="344">
        <v>39120620</v>
      </c>
      <c r="CM81" s="211">
        <v>11</v>
      </c>
      <c r="CN81" s="9" t="s">
        <v>238</v>
      </c>
      <c r="CO81" s="9">
        <v>18</v>
      </c>
      <c r="CP81" s="8" t="s">
        <v>40</v>
      </c>
      <c r="CQ81" s="9" t="s">
        <v>355</v>
      </c>
      <c r="CR81" s="9" t="s">
        <v>1421</v>
      </c>
      <c r="CS81" s="343">
        <v>0</v>
      </c>
      <c r="CT81" s="345">
        <v>-580080</v>
      </c>
      <c r="CV81" s="1855" t="s">
        <v>68</v>
      </c>
      <c r="CW81" s="1855"/>
      <c r="CX81" s="1855"/>
      <c r="CY81" s="1855"/>
      <c r="CZ81" s="1855"/>
      <c r="DA81" s="1855"/>
      <c r="DB81" s="547">
        <f>SUM(DB58:DB80)</f>
        <v>-100.78079999491572</v>
      </c>
    </row>
    <row r="82" spans="1:106" s="73" customFormat="1">
      <c r="A82" s="211">
        <v>78</v>
      </c>
      <c r="B82" s="53" t="s">
        <v>194</v>
      </c>
      <c r="C82" s="9">
        <v>9</v>
      </c>
      <c r="D82" s="8" t="s">
        <v>764</v>
      </c>
      <c r="E82" s="10" t="s">
        <v>364</v>
      </c>
      <c r="F82" s="10" t="s">
        <v>1834</v>
      </c>
      <c r="G82" s="210">
        <v>0</v>
      </c>
      <c r="H82" s="360">
        <v>25300000</v>
      </c>
      <c r="J82" s="211">
        <v>78</v>
      </c>
      <c r="K82" s="9" t="s">
        <v>195</v>
      </c>
      <c r="L82" s="9">
        <v>1</v>
      </c>
      <c r="M82" s="8" t="s">
        <v>430</v>
      </c>
      <c r="N82" s="10" t="s">
        <v>364</v>
      </c>
      <c r="O82" s="10" t="s">
        <v>2027</v>
      </c>
      <c r="P82" s="342">
        <v>0</v>
      </c>
      <c r="Q82" s="361">
        <v>20350000</v>
      </c>
      <c r="S82" s="211">
        <v>78</v>
      </c>
      <c r="T82" s="211" t="s">
        <v>245</v>
      </c>
      <c r="U82" s="211">
        <v>21</v>
      </c>
      <c r="V82" s="8" t="s">
        <v>213</v>
      </c>
      <c r="W82" s="10" t="s">
        <v>355</v>
      </c>
      <c r="X82" s="10" t="s">
        <v>270</v>
      </c>
      <c r="Y82" s="210">
        <v>0</v>
      </c>
      <c r="Z82" s="115">
        <v>20350000</v>
      </c>
      <c r="AB82" s="211">
        <v>78</v>
      </c>
      <c r="AC82" s="211" t="s">
        <v>194</v>
      </c>
      <c r="AD82" s="211">
        <v>7</v>
      </c>
      <c r="AE82" s="8" t="s">
        <v>210</v>
      </c>
      <c r="AF82" s="9" t="s">
        <v>262</v>
      </c>
      <c r="AG82" s="9" t="s">
        <v>261</v>
      </c>
      <c r="AH82" s="210">
        <v>0</v>
      </c>
      <c r="AI82" s="115">
        <v>8800000</v>
      </c>
      <c r="AK82" s="211">
        <v>78</v>
      </c>
      <c r="AL82" s="9" t="s">
        <v>58</v>
      </c>
      <c r="AM82" s="9">
        <v>18</v>
      </c>
      <c r="AN82" s="8" t="s">
        <v>396</v>
      </c>
      <c r="AO82" s="10" t="s">
        <v>364</v>
      </c>
      <c r="AP82" s="10" t="s">
        <v>2542</v>
      </c>
      <c r="AQ82" s="342">
        <v>0</v>
      </c>
      <c r="AR82" s="361">
        <v>19999999.998</v>
      </c>
      <c r="AT82" s="211">
        <v>78</v>
      </c>
      <c r="AU82" s="9" t="s">
        <v>239</v>
      </c>
      <c r="AV82" s="9">
        <v>1</v>
      </c>
      <c r="AW82" s="8" t="s">
        <v>2064</v>
      </c>
      <c r="AX82" s="9" t="s">
        <v>354</v>
      </c>
      <c r="AY82" s="10" t="s">
        <v>2141</v>
      </c>
      <c r="AZ82" s="210">
        <v>0</v>
      </c>
      <c r="BA82" s="361">
        <v>24200000</v>
      </c>
      <c r="BC82" s="211">
        <v>78</v>
      </c>
      <c r="BD82" s="211" t="s">
        <v>242</v>
      </c>
      <c r="BE82" s="211">
        <v>29</v>
      </c>
      <c r="BF82" s="8" t="s">
        <v>215</v>
      </c>
      <c r="BG82" s="10" t="s">
        <v>118</v>
      </c>
      <c r="BH82" s="9" t="s">
        <v>273</v>
      </c>
      <c r="BI82" s="210">
        <v>99</v>
      </c>
      <c r="BJ82" s="115">
        <v>0</v>
      </c>
      <c r="BL82" s="211">
        <v>78</v>
      </c>
      <c r="BM82" s="9" t="s">
        <v>243</v>
      </c>
      <c r="BN82" s="9">
        <v>11</v>
      </c>
      <c r="BO82" s="8" t="s">
        <v>95</v>
      </c>
      <c r="BP82" s="10" t="s">
        <v>357</v>
      </c>
      <c r="BQ82" s="10" t="s">
        <v>548</v>
      </c>
      <c r="BR82" s="342">
        <v>0</v>
      </c>
      <c r="BS82" s="344">
        <v>17309160</v>
      </c>
      <c r="BU82" s="211">
        <v>78</v>
      </c>
      <c r="BV82" s="9" t="s">
        <v>242</v>
      </c>
      <c r="BW82" s="9">
        <v>25</v>
      </c>
      <c r="BX82" s="8" t="s">
        <v>96</v>
      </c>
      <c r="BY82" s="10" t="s">
        <v>357</v>
      </c>
      <c r="BZ82" s="10" t="s">
        <v>500</v>
      </c>
      <c r="CA82" s="342">
        <v>1320</v>
      </c>
      <c r="CB82" s="361">
        <v>0</v>
      </c>
      <c r="CD82" s="211">
        <v>78</v>
      </c>
      <c r="CE82" s="9" t="s">
        <v>244</v>
      </c>
      <c r="CF82" s="9">
        <v>1</v>
      </c>
      <c r="CG82" s="8" t="s">
        <v>131</v>
      </c>
      <c r="CH82" s="9" t="s">
        <v>147</v>
      </c>
      <c r="CI82" s="9" t="s">
        <v>573</v>
      </c>
      <c r="CJ82" s="342">
        <v>0</v>
      </c>
      <c r="CK82" s="344">
        <v>1890240000</v>
      </c>
      <c r="CM82" s="211">
        <v>12</v>
      </c>
      <c r="CN82" s="9" t="s">
        <v>140</v>
      </c>
      <c r="CO82" s="9">
        <v>6</v>
      </c>
      <c r="CP82" s="8" t="s">
        <v>40</v>
      </c>
      <c r="CQ82" s="9" t="s">
        <v>144</v>
      </c>
      <c r="CR82" s="9" t="s">
        <v>1587</v>
      </c>
      <c r="CS82" s="343">
        <v>0</v>
      </c>
      <c r="CT82" s="345">
        <v>14850000</v>
      </c>
      <c r="CV82" s="211">
        <v>1</v>
      </c>
      <c r="CW82" s="9" t="s">
        <v>240</v>
      </c>
      <c r="CX82" s="9">
        <v>1</v>
      </c>
      <c r="CY82" s="8" t="s">
        <v>427</v>
      </c>
      <c r="CZ82" s="10" t="s">
        <v>144</v>
      </c>
      <c r="DA82" s="10" t="s">
        <v>428</v>
      </c>
      <c r="DB82" s="115">
        <v>5009.3609500005841</v>
      </c>
    </row>
    <row r="83" spans="1:106" s="73" customFormat="1">
      <c r="A83" s="211">
        <v>79</v>
      </c>
      <c r="B83" s="211" t="s">
        <v>243</v>
      </c>
      <c r="C83" s="211">
        <v>14</v>
      </c>
      <c r="D83" s="8" t="s">
        <v>213</v>
      </c>
      <c r="E83" s="10" t="s">
        <v>355</v>
      </c>
      <c r="F83" s="10" t="s">
        <v>268</v>
      </c>
      <c r="G83" s="210">
        <v>0</v>
      </c>
      <c r="H83" s="115">
        <v>20350000</v>
      </c>
      <c r="J83" s="211">
        <v>79</v>
      </c>
      <c r="K83" s="9" t="s">
        <v>195</v>
      </c>
      <c r="L83" s="9">
        <v>28</v>
      </c>
      <c r="M83" s="8" t="s">
        <v>2194</v>
      </c>
      <c r="N83" s="10" t="s">
        <v>62</v>
      </c>
      <c r="O83" s="10" t="s">
        <v>2093</v>
      </c>
      <c r="P83" s="342">
        <v>0</v>
      </c>
      <c r="Q83" s="361">
        <v>7700000</v>
      </c>
      <c r="S83" s="211">
        <v>79</v>
      </c>
      <c r="T83" s="211" t="s">
        <v>238</v>
      </c>
      <c r="U83" s="211">
        <v>4</v>
      </c>
      <c r="V83" s="8" t="s">
        <v>213</v>
      </c>
      <c r="W83" s="10" t="s">
        <v>355</v>
      </c>
      <c r="X83" s="10" t="s">
        <v>271</v>
      </c>
      <c r="Y83" s="210">
        <v>0</v>
      </c>
      <c r="Z83" s="115">
        <v>20350000</v>
      </c>
      <c r="AB83" s="211">
        <v>79</v>
      </c>
      <c r="AC83" s="9" t="s">
        <v>239</v>
      </c>
      <c r="AD83" s="9">
        <v>1</v>
      </c>
      <c r="AE83" s="8" t="s">
        <v>2064</v>
      </c>
      <c r="AF83" s="9" t="s">
        <v>354</v>
      </c>
      <c r="AG83" s="10" t="s">
        <v>2141</v>
      </c>
      <c r="AH83" s="342">
        <v>0</v>
      </c>
      <c r="AI83" s="361">
        <v>24200000</v>
      </c>
      <c r="AK83" s="211">
        <v>79</v>
      </c>
      <c r="AL83" s="9" t="s">
        <v>58</v>
      </c>
      <c r="AM83" s="9">
        <v>18</v>
      </c>
      <c r="AN83" s="8" t="s">
        <v>396</v>
      </c>
      <c r="AO83" s="10" t="s">
        <v>364</v>
      </c>
      <c r="AP83" s="10" t="s">
        <v>2543</v>
      </c>
      <c r="AQ83" s="342">
        <v>0</v>
      </c>
      <c r="AR83" s="361">
        <v>19999999.998</v>
      </c>
      <c r="AT83" s="211">
        <v>79</v>
      </c>
      <c r="AU83" s="9" t="s">
        <v>241</v>
      </c>
      <c r="AV83" s="9">
        <v>2</v>
      </c>
      <c r="AW83" s="8" t="s">
        <v>2064</v>
      </c>
      <c r="AX83" s="9" t="s">
        <v>354</v>
      </c>
      <c r="AY83" s="10" t="s">
        <v>2620</v>
      </c>
      <c r="AZ83" s="210">
        <v>0</v>
      </c>
      <c r="BA83" s="361">
        <v>24200000</v>
      </c>
      <c r="BC83" s="211">
        <v>79</v>
      </c>
      <c r="BD83" s="53" t="s">
        <v>241</v>
      </c>
      <c r="BE83" s="9">
        <v>7</v>
      </c>
      <c r="BF83" s="8" t="s">
        <v>2686</v>
      </c>
      <c r="BG83" s="10" t="s">
        <v>433</v>
      </c>
      <c r="BH83" s="10" t="s">
        <v>2687</v>
      </c>
      <c r="BI83" s="342">
        <v>0</v>
      </c>
      <c r="BJ83" s="361">
        <v>13200000</v>
      </c>
      <c r="BL83" s="211">
        <v>79</v>
      </c>
      <c r="BM83" s="9" t="s">
        <v>243</v>
      </c>
      <c r="BN83" s="9">
        <v>11</v>
      </c>
      <c r="BO83" s="8" t="s">
        <v>95</v>
      </c>
      <c r="BP83" s="10" t="s">
        <v>357</v>
      </c>
      <c r="BQ83" s="10" t="s">
        <v>549</v>
      </c>
      <c r="BR83" s="342">
        <v>0</v>
      </c>
      <c r="BS83" s="344">
        <v>21636450</v>
      </c>
      <c r="BU83" s="211">
        <v>79</v>
      </c>
      <c r="BV83" s="9" t="s">
        <v>242</v>
      </c>
      <c r="BW83" s="9">
        <v>25</v>
      </c>
      <c r="BX83" s="8" t="s">
        <v>96</v>
      </c>
      <c r="BY83" s="10" t="s">
        <v>354</v>
      </c>
      <c r="BZ83" s="10" t="s">
        <v>501</v>
      </c>
      <c r="CA83" s="210">
        <v>0</v>
      </c>
      <c r="CB83" s="361">
        <v>6600000</v>
      </c>
      <c r="CD83" s="211">
        <v>79</v>
      </c>
      <c r="CE83" s="211" t="s">
        <v>239</v>
      </c>
      <c r="CF83" s="211">
        <v>20</v>
      </c>
      <c r="CG83" s="186" t="s">
        <v>112</v>
      </c>
      <c r="CH83" s="10" t="s">
        <v>354</v>
      </c>
      <c r="CI83" s="10" t="s">
        <v>254</v>
      </c>
      <c r="CJ83" s="210">
        <v>330</v>
      </c>
      <c r="CK83" s="115">
        <v>0</v>
      </c>
      <c r="CM83" s="211">
        <v>13</v>
      </c>
      <c r="CN83" s="9" t="s">
        <v>140</v>
      </c>
      <c r="CO83" s="9">
        <v>6</v>
      </c>
      <c r="CP83" s="8" t="s">
        <v>40</v>
      </c>
      <c r="CQ83" s="9" t="s">
        <v>118</v>
      </c>
      <c r="CR83" s="9" t="s">
        <v>1588</v>
      </c>
      <c r="CS83" s="343">
        <v>0</v>
      </c>
      <c r="CT83" s="345">
        <v>1397300</v>
      </c>
      <c r="CV83" s="211">
        <v>2</v>
      </c>
      <c r="CW83" s="9" t="s">
        <v>241</v>
      </c>
      <c r="CX83" s="9">
        <v>1</v>
      </c>
      <c r="CY83" s="8" t="s">
        <v>427</v>
      </c>
      <c r="CZ83" s="10" t="s">
        <v>147</v>
      </c>
      <c r="DA83" s="356" t="s">
        <v>508</v>
      </c>
      <c r="DB83" s="345">
        <v>35000</v>
      </c>
    </row>
    <row r="84" spans="1:106" s="73" customFormat="1">
      <c r="A84" s="211">
        <v>80</v>
      </c>
      <c r="B84" s="211" t="s">
        <v>244</v>
      </c>
      <c r="C84" s="211">
        <v>4</v>
      </c>
      <c r="D84" s="8" t="s">
        <v>213</v>
      </c>
      <c r="E84" s="10" t="s">
        <v>355</v>
      </c>
      <c r="F84" s="10" t="s">
        <v>269</v>
      </c>
      <c r="G84" s="210">
        <v>0</v>
      </c>
      <c r="H84" s="115">
        <v>20350000</v>
      </c>
      <c r="J84" s="211">
        <v>80</v>
      </c>
      <c r="K84" s="9" t="s">
        <v>195</v>
      </c>
      <c r="L84" s="9">
        <v>1</v>
      </c>
      <c r="M84" s="8" t="s">
        <v>108</v>
      </c>
      <c r="N84" s="10" t="s">
        <v>354</v>
      </c>
      <c r="O84" s="10" t="s">
        <v>2016</v>
      </c>
      <c r="P84" s="342">
        <v>0</v>
      </c>
      <c r="Q84" s="361">
        <v>24200000</v>
      </c>
      <c r="S84" s="211">
        <v>80</v>
      </c>
      <c r="T84" s="211" t="s">
        <v>140</v>
      </c>
      <c r="U84" s="211">
        <v>3</v>
      </c>
      <c r="V84" s="8" t="s">
        <v>213</v>
      </c>
      <c r="W84" s="10" t="s">
        <v>355</v>
      </c>
      <c r="X84" s="10" t="s">
        <v>272</v>
      </c>
      <c r="Y84" s="210">
        <v>0</v>
      </c>
      <c r="Z84" s="115">
        <v>20350000</v>
      </c>
      <c r="AB84" s="211">
        <v>80</v>
      </c>
      <c r="AC84" s="9" t="s">
        <v>240</v>
      </c>
      <c r="AD84" s="9">
        <v>3</v>
      </c>
      <c r="AE84" s="8" t="s">
        <v>2064</v>
      </c>
      <c r="AF84" s="9" t="s">
        <v>354</v>
      </c>
      <c r="AG84" s="10" t="s">
        <v>2279</v>
      </c>
      <c r="AH84" s="342">
        <v>0</v>
      </c>
      <c r="AI84" s="361">
        <v>24200000</v>
      </c>
      <c r="AK84" s="211">
        <v>80</v>
      </c>
      <c r="AL84" s="9" t="s">
        <v>58</v>
      </c>
      <c r="AM84" s="9">
        <v>18</v>
      </c>
      <c r="AN84" s="8" t="s">
        <v>396</v>
      </c>
      <c r="AO84" s="10" t="s">
        <v>364</v>
      </c>
      <c r="AP84" s="10" t="s">
        <v>2544</v>
      </c>
      <c r="AQ84" s="342">
        <v>0</v>
      </c>
      <c r="AR84" s="361">
        <v>19999999.998</v>
      </c>
      <c r="AT84" s="211">
        <v>80</v>
      </c>
      <c r="AU84" s="9" t="s">
        <v>195</v>
      </c>
      <c r="AV84" s="9">
        <v>12</v>
      </c>
      <c r="AW84" s="8" t="s">
        <v>111</v>
      </c>
      <c r="AX84" s="10" t="s">
        <v>147</v>
      </c>
      <c r="AY84" s="10" t="s">
        <v>160</v>
      </c>
      <c r="AZ84" s="210">
        <v>0</v>
      </c>
      <c r="BA84" s="115">
        <v>84480000</v>
      </c>
      <c r="BC84" s="211">
        <v>80</v>
      </c>
      <c r="BD84" s="53" t="s">
        <v>242</v>
      </c>
      <c r="BE84" s="9">
        <v>3</v>
      </c>
      <c r="BF84" s="8" t="s">
        <v>2686</v>
      </c>
      <c r="BG84" s="10" t="s">
        <v>354</v>
      </c>
      <c r="BH84" s="10" t="s">
        <v>2777</v>
      </c>
      <c r="BI84" s="342">
        <v>0</v>
      </c>
      <c r="BJ84" s="361">
        <v>13200000</v>
      </c>
      <c r="BL84" s="211">
        <v>80</v>
      </c>
      <c r="BM84" s="9" t="s">
        <v>243</v>
      </c>
      <c r="BN84" s="9">
        <v>11</v>
      </c>
      <c r="BO84" s="8" t="s">
        <v>95</v>
      </c>
      <c r="BP84" s="10" t="s">
        <v>357</v>
      </c>
      <c r="BQ84" s="10" t="s">
        <v>550</v>
      </c>
      <c r="BR84" s="342">
        <v>0</v>
      </c>
      <c r="BS84" s="344">
        <v>18751590</v>
      </c>
      <c r="BU84" s="211">
        <v>80</v>
      </c>
      <c r="BV84" s="9" t="s">
        <v>242</v>
      </c>
      <c r="BW84" s="9">
        <v>25</v>
      </c>
      <c r="BX84" s="8" t="s">
        <v>96</v>
      </c>
      <c r="BY84" s="10" t="s">
        <v>354</v>
      </c>
      <c r="BZ84" s="10" t="s">
        <v>502</v>
      </c>
      <c r="CA84" s="210">
        <v>0</v>
      </c>
      <c r="CB84" s="361">
        <v>6600000</v>
      </c>
      <c r="CD84" s="211">
        <v>80</v>
      </c>
      <c r="CE84" s="9" t="s">
        <v>244</v>
      </c>
      <c r="CF84" s="9">
        <v>15</v>
      </c>
      <c r="CG84" s="8" t="s">
        <v>121</v>
      </c>
      <c r="CH84" s="10" t="s">
        <v>357</v>
      </c>
      <c r="CI84" s="127" t="s">
        <v>594</v>
      </c>
      <c r="CJ84" s="342">
        <v>0</v>
      </c>
      <c r="CK84" s="538">
        <v>0.99639999866485596</v>
      </c>
      <c r="CM84" s="211">
        <v>14</v>
      </c>
      <c r="CN84" s="9" t="s">
        <v>140</v>
      </c>
      <c r="CO84" s="9">
        <v>6</v>
      </c>
      <c r="CP84" s="8" t="s">
        <v>40</v>
      </c>
      <c r="CQ84" s="9" t="s">
        <v>118</v>
      </c>
      <c r="CR84" s="9" t="s">
        <v>1589</v>
      </c>
      <c r="CS84" s="343">
        <v>0</v>
      </c>
      <c r="CT84" s="345">
        <v>1264800</v>
      </c>
      <c r="CV84" s="211">
        <v>3</v>
      </c>
      <c r="CW84" s="9" t="s">
        <v>242</v>
      </c>
      <c r="CX84" s="9">
        <v>1</v>
      </c>
      <c r="CY84" s="8" t="s">
        <v>427</v>
      </c>
      <c r="CZ84" s="10" t="s">
        <v>144</v>
      </c>
      <c r="DA84" s="10" t="s">
        <v>553</v>
      </c>
      <c r="DB84" s="344">
        <v>365090.90729999915</v>
      </c>
    </row>
    <row r="85" spans="1:106" s="73" customFormat="1">
      <c r="A85" s="211">
        <v>81</v>
      </c>
      <c r="B85" s="211" t="s">
        <v>245</v>
      </c>
      <c r="C85" s="211">
        <v>21</v>
      </c>
      <c r="D85" s="8" t="s">
        <v>213</v>
      </c>
      <c r="E85" s="10" t="s">
        <v>355</v>
      </c>
      <c r="F85" s="10" t="s">
        <v>270</v>
      </c>
      <c r="G85" s="210">
        <v>0</v>
      </c>
      <c r="H85" s="115">
        <v>20350000</v>
      </c>
      <c r="J85" s="211">
        <v>81</v>
      </c>
      <c r="K85" s="9" t="s">
        <v>195</v>
      </c>
      <c r="L85" s="9">
        <v>1</v>
      </c>
      <c r="M85" s="8" t="s">
        <v>136</v>
      </c>
      <c r="N85" s="10" t="s">
        <v>354</v>
      </c>
      <c r="O85" s="10" t="s">
        <v>2051</v>
      </c>
      <c r="P85" s="342">
        <v>0</v>
      </c>
      <c r="Q85" s="360">
        <v>29700000</v>
      </c>
      <c r="S85" s="211">
        <v>81</v>
      </c>
      <c r="T85" s="9" t="s">
        <v>195</v>
      </c>
      <c r="U85" s="9">
        <v>1</v>
      </c>
      <c r="V85" s="8" t="s">
        <v>445</v>
      </c>
      <c r="W85" s="10" t="s">
        <v>357</v>
      </c>
      <c r="X85" s="10" t="s">
        <v>1954</v>
      </c>
      <c r="Y85" s="346">
        <v>0</v>
      </c>
      <c r="Z85" s="347">
        <v>11000000</v>
      </c>
      <c r="AB85" s="211">
        <v>81</v>
      </c>
      <c r="AC85" s="9" t="s">
        <v>195</v>
      </c>
      <c r="AD85" s="9">
        <v>12</v>
      </c>
      <c r="AE85" s="8" t="s">
        <v>111</v>
      </c>
      <c r="AF85" s="10" t="s">
        <v>147</v>
      </c>
      <c r="AG85" s="10" t="s">
        <v>160</v>
      </c>
      <c r="AH85" s="210">
        <v>0</v>
      </c>
      <c r="AI85" s="115">
        <v>84480000</v>
      </c>
      <c r="AK85" s="211">
        <v>81</v>
      </c>
      <c r="AL85" s="9" t="s">
        <v>58</v>
      </c>
      <c r="AM85" s="9">
        <v>2</v>
      </c>
      <c r="AN85" s="8" t="s">
        <v>108</v>
      </c>
      <c r="AO85" s="10" t="s">
        <v>354</v>
      </c>
      <c r="AP85" s="10" t="s">
        <v>2488</v>
      </c>
      <c r="AQ85" s="342">
        <v>0</v>
      </c>
      <c r="AR85" s="361">
        <v>20973333.337000001</v>
      </c>
      <c r="AT85" s="211">
        <v>81</v>
      </c>
      <c r="AU85" s="9" t="s">
        <v>140</v>
      </c>
      <c r="AV85" s="9">
        <v>1</v>
      </c>
      <c r="AW85" s="8" t="s">
        <v>430</v>
      </c>
      <c r="AX85" s="10" t="s">
        <v>354</v>
      </c>
      <c r="AY85" s="10" t="s">
        <v>1550</v>
      </c>
      <c r="AZ85" s="343">
        <v>0</v>
      </c>
      <c r="BA85" s="345">
        <v>-7738700</v>
      </c>
      <c r="BC85" s="211">
        <v>81</v>
      </c>
      <c r="BD85" s="53" t="s">
        <v>242</v>
      </c>
      <c r="BE85" s="9">
        <v>3</v>
      </c>
      <c r="BF85" s="8" t="s">
        <v>412</v>
      </c>
      <c r="BG85" s="10" t="s">
        <v>354</v>
      </c>
      <c r="BH85" s="10" t="s">
        <v>2763</v>
      </c>
      <c r="BI85" s="346">
        <v>0</v>
      </c>
      <c r="BJ85" s="377">
        <v>24200000</v>
      </c>
      <c r="BL85" s="211">
        <v>81</v>
      </c>
      <c r="BM85" s="9" t="s">
        <v>243</v>
      </c>
      <c r="BN85" s="9">
        <v>11</v>
      </c>
      <c r="BO85" s="8" t="s">
        <v>95</v>
      </c>
      <c r="BP85" s="10" t="s">
        <v>354</v>
      </c>
      <c r="BQ85" s="10" t="s">
        <v>551</v>
      </c>
      <c r="BR85" s="342">
        <v>0</v>
      </c>
      <c r="BS85" s="344">
        <v>9900000</v>
      </c>
      <c r="BU85" s="211">
        <v>81</v>
      </c>
      <c r="BV85" s="9" t="s">
        <v>243</v>
      </c>
      <c r="BW85" s="9">
        <v>11</v>
      </c>
      <c r="BX85" s="8" t="s">
        <v>96</v>
      </c>
      <c r="BY85" s="10" t="s">
        <v>354</v>
      </c>
      <c r="BZ85" s="10" t="s">
        <v>545</v>
      </c>
      <c r="CA85" s="342">
        <v>0</v>
      </c>
      <c r="CB85" s="344">
        <v>6600000</v>
      </c>
      <c r="CD85" s="211">
        <v>81</v>
      </c>
      <c r="CE85" s="9" t="s">
        <v>238</v>
      </c>
      <c r="CF85" s="9">
        <v>4</v>
      </c>
      <c r="CG85" s="8" t="s">
        <v>121</v>
      </c>
      <c r="CH85" s="10" t="s">
        <v>1568</v>
      </c>
      <c r="CI85" s="127" t="s">
        <v>662</v>
      </c>
      <c r="CJ85" s="342">
        <v>0</v>
      </c>
      <c r="CK85" s="344">
        <v>64350000</v>
      </c>
      <c r="CM85" s="211">
        <v>15</v>
      </c>
      <c r="CN85" s="9" t="s">
        <v>140</v>
      </c>
      <c r="CO85" s="9">
        <v>28</v>
      </c>
      <c r="CP85" s="8" t="s">
        <v>40</v>
      </c>
      <c r="CQ85" s="9" t="s">
        <v>354</v>
      </c>
      <c r="CR85" s="9" t="s">
        <v>1631</v>
      </c>
      <c r="CS85" s="343">
        <v>0</v>
      </c>
      <c r="CT85" s="345">
        <v>30731690</v>
      </c>
      <c r="CV85" s="1855" t="s">
        <v>68</v>
      </c>
      <c r="CW85" s="1855"/>
      <c r="CX85" s="1855"/>
      <c r="CY85" s="1855"/>
      <c r="CZ85" s="1855"/>
      <c r="DA85" s="1855"/>
      <c r="DB85" s="547">
        <f>SUM(DB82:DB84)</f>
        <v>405100.26824999973</v>
      </c>
    </row>
    <row r="86" spans="1:106" s="73" customFormat="1">
      <c r="A86" s="211">
        <v>82</v>
      </c>
      <c r="B86" s="211" t="s">
        <v>238</v>
      </c>
      <c r="C86" s="211">
        <v>4</v>
      </c>
      <c r="D86" s="8" t="s">
        <v>213</v>
      </c>
      <c r="E86" s="10" t="s">
        <v>355</v>
      </c>
      <c r="F86" s="10" t="s">
        <v>271</v>
      </c>
      <c r="G86" s="210">
        <v>0</v>
      </c>
      <c r="H86" s="115">
        <v>20350000</v>
      </c>
      <c r="J86" s="211">
        <v>82</v>
      </c>
      <c r="K86" s="9" t="s">
        <v>195</v>
      </c>
      <c r="L86" s="9">
        <v>1</v>
      </c>
      <c r="M86" s="8" t="s">
        <v>136</v>
      </c>
      <c r="N86" s="10" t="s">
        <v>354</v>
      </c>
      <c r="O86" s="10" t="s">
        <v>2053</v>
      </c>
      <c r="P86" s="210">
        <v>0</v>
      </c>
      <c r="Q86" s="360">
        <v>54450000</v>
      </c>
      <c r="S86" s="211">
        <v>82</v>
      </c>
      <c r="T86" s="9" t="s">
        <v>239</v>
      </c>
      <c r="U86" s="9">
        <v>1</v>
      </c>
      <c r="V86" s="8" t="s">
        <v>445</v>
      </c>
      <c r="W86" s="10" t="s">
        <v>357</v>
      </c>
      <c r="X86" s="10" t="s">
        <v>2115</v>
      </c>
      <c r="Y86" s="346">
        <v>0</v>
      </c>
      <c r="Z86" s="347">
        <v>11000000</v>
      </c>
      <c r="AB86" s="211">
        <v>82</v>
      </c>
      <c r="AC86" s="9" t="s">
        <v>140</v>
      </c>
      <c r="AD86" s="9">
        <v>1</v>
      </c>
      <c r="AE86" s="8" t="s">
        <v>430</v>
      </c>
      <c r="AF86" s="10" t="s">
        <v>354</v>
      </c>
      <c r="AG86" s="10" t="s">
        <v>1550</v>
      </c>
      <c r="AH86" s="343">
        <v>0</v>
      </c>
      <c r="AI86" s="345">
        <v>-7738700</v>
      </c>
      <c r="AK86" s="211">
        <v>82</v>
      </c>
      <c r="AL86" s="9" t="s">
        <v>58</v>
      </c>
      <c r="AM86" s="9">
        <v>2</v>
      </c>
      <c r="AN86" s="8" t="s">
        <v>136</v>
      </c>
      <c r="AO86" s="10" t="s">
        <v>354</v>
      </c>
      <c r="AP86" s="10" t="s">
        <v>2516</v>
      </c>
      <c r="AQ86" s="342">
        <v>0</v>
      </c>
      <c r="AR86" s="361">
        <v>54450000</v>
      </c>
      <c r="AT86" s="211">
        <v>82</v>
      </c>
      <c r="AU86" s="9" t="s">
        <v>241</v>
      </c>
      <c r="AV86" s="9">
        <v>2</v>
      </c>
      <c r="AW86" s="8" t="s">
        <v>430</v>
      </c>
      <c r="AX86" s="10" t="s">
        <v>364</v>
      </c>
      <c r="AY86" s="10" t="s">
        <v>2601</v>
      </c>
      <c r="AZ86" s="342">
        <v>0</v>
      </c>
      <c r="BA86" s="361">
        <v>6783333.3370000003</v>
      </c>
      <c r="BC86" s="211">
        <v>82</v>
      </c>
      <c r="BD86" s="211" t="s">
        <v>140</v>
      </c>
      <c r="BE86" s="211">
        <v>1</v>
      </c>
      <c r="BF86" s="8" t="s">
        <v>216</v>
      </c>
      <c r="BG86" s="9" t="s">
        <v>354</v>
      </c>
      <c r="BH86" s="9" t="s">
        <v>275</v>
      </c>
      <c r="BI86" s="210">
        <v>620</v>
      </c>
      <c r="BJ86" s="115">
        <v>0</v>
      </c>
      <c r="BL86" s="211">
        <v>82</v>
      </c>
      <c r="BM86" s="9" t="s">
        <v>241</v>
      </c>
      <c r="BN86" s="9">
        <v>6</v>
      </c>
      <c r="BO86" s="8" t="s">
        <v>96</v>
      </c>
      <c r="BP86" s="10" t="s">
        <v>357</v>
      </c>
      <c r="BQ86" s="10" t="s">
        <v>458</v>
      </c>
      <c r="BR86" s="342">
        <v>1320</v>
      </c>
      <c r="BS86" s="344">
        <v>0</v>
      </c>
      <c r="BU86" s="211">
        <v>82</v>
      </c>
      <c r="BV86" s="9" t="s">
        <v>243</v>
      </c>
      <c r="BW86" s="9">
        <v>11</v>
      </c>
      <c r="BX86" s="8" t="s">
        <v>96</v>
      </c>
      <c r="BY86" s="10" t="s">
        <v>357</v>
      </c>
      <c r="BZ86" s="10" t="s">
        <v>546</v>
      </c>
      <c r="CA86" s="342">
        <v>1320</v>
      </c>
      <c r="CB86" s="344">
        <v>0</v>
      </c>
      <c r="CD86" s="211">
        <v>82</v>
      </c>
      <c r="CE86" s="9" t="s">
        <v>140</v>
      </c>
      <c r="CF86" s="9">
        <v>1</v>
      </c>
      <c r="CG86" s="8" t="s">
        <v>121</v>
      </c>
      <c r="CH86" s="10" t="s">
        <v>1568</v>
      </c>
      <c r="CI86" s="127" t="s">
        <v>1567</v>
      </c>
      <c r="CJ86" s="342">
        <v>0</v>
      </c>
      <c r="CK86" s="344">
        <v>57200000</v>
      </c>
      <c r="CM86" s="211">
        <v>16</v>
      </c>
      <c r="CN86" s="9" t="s">
        <v>140</v>
      </c>
      <c r="CO86" s="9">
        <v>28</v>
      </c>
      <c r="CP86" s="8" t="s">
        <v>40</v>
      </c>
      <c r="CQ86" s="9" t="s">
        <v>354</v>
      </c>
      <c r="CR86" s="9" t="s">
        <v>1632</v>
      </c>
      <c r="CS86" s="343">
        <v>0</v>
      </c>
      <c r="CT86" s="345">
        <v>30731690</v>
      </c>
      <c r="CV86" s="211">
        <v>1</v>
      </c>
      <c r="CW86" s="9" t="s">
        <v>244</v>
      </c>
      <c r="CX86" s="9">
        <v>1</v>
      </c>
      <c r="CY86" s="8" t="s">
        <v>1621</v>
      </c>
      <c r="CZ86" s="10" t="s">
        <v>147</v>
      </c>
      <c r="DA86" s="10" t="s">
        <v>1651</v>
      </c>
      <c r="DB86" s="344">
        <v>19287000</v>
      </c>
    </row>
    <row r="87" spans="1:106" s="73" customFormat="1">
      <c r="A87" s="211">
        <v>83</v>
      </c>
      <c r="B87" s="211" t="s">
        <v>140</v>
      </c>
      <c r="C87" s="211">
        <v>3</v>
      </c>
      <c r="D87" s="8" t="s">
        <v>213</v>
      </c>
      <c r="E87" s="10" t="s">
        <v>355</v>
      </c>
      <c r="F87" s="10" t="s">
        <v>272</v>
      </c>
      <c r="G87" s="210">
        <v>0</v>
      </c>
      <c r="H87" s="115">
        <v>20350000</v>
      </c>
      <c r="J87" s="211">
        <v>83</v>
      </c>
      <c r="K87" s="9" t="s">
        <v>195</v>
      </c>
      <c r="L87" s="9">
        <v>6</v>
      </c>
      <c r="M87" s="8" t="s">
        <v>136</v>
      </c>
      <c r="N87" s="10" t="s">
        <v>354</v>
      </c>
      <c r="O87" s="10" t="s">
        <v>2055</v>
      </c>
      <c r="P87" s="210">
        <v>0</v>
      </c>
      <c r="Q87" s="360">
        <v>54450000</v>
      </c>
      <c r="S87" s="211">
        <v>83</v>
      </c>
      <c r="T87" s="9" t="s">
        <v>239</v>
      </c>
      <c r="U87" s="9">
        <v>1</v>
      </c>
      <c r="V87" s="8" t="s">
        <v>1623</v>
      </c>
      <c r="W87" s="10" t="s">
        <v>364</v>
      </c>
      <c r="X87" s="10" t="s">
        <v>2113</v>
      </c>
      <c r="Y87" s="342">
        <v>0</v>
      </c>
      <c r="Z87" s="361">
        <v>24200000</v>
      </c>
      <c r="AB87" s="211">
        <v>83</v>
      </c>
      <c r="AC87" s="9" t="s">
        <v>240</v>
      </c>
      <c r="AD87" s="9">
        <v>3</v>
      </c>
      <c r="AE87" s="8" t="s">
        <v>430</v>
      </c>
      <c r="AF87" s="10" t="s">
        <v>364</v>
      </c>
      <c r="AG87" s="10" t="s">
        <v>2263</v>
      </c>
      <c r="AH87" s="342">
        <v>0</v>
      </c>
      <c r="AI87" s="361">
        <v>20350000</v>
      </c>
      <c r="AK87" s="211">
        <v>83</v>
      </c>
      <c r="AL87" s="9" t="s">
        <v>58</v>
      </c>
      <c r="AM87" s="9">
        <v>2</v>
      </c>
      <c r="AN87" s="8" t="s">
        <v>136</v>
      </c>
      <c r="AO87" s="10" t="s">
        <v>354</v>
      </c>
      <c r="AP87" s="10" t="s">
        <v>2518</v>
      </c>
      <c r="AQ87" s="342">
        <v>0</v>
      </c>
      <c r="AR87" s="361">
        <v>45375000</v>
      </c>
      <c r="AT87" s="211">
        <v>83</v>
      </c>
      <c r="AU87" s="9" t="s">
        <v>240</v>
      </c>
      <c r="AV87" s="9">
        <v>6</v>
      </c>
      <c r="AW87" s="8" t="s">
        <v>396</v>
      </c>
      <c r="AX87" s="10" t="s">
        <v>364</v>
      </c>
      <c r="AY87" s="10" t="s">
        <v>2530</v>
      </c>
      <c r="AZ87" s="342">
        <v>0</v>
      </c>
      <c r="BA87" s="361">
        <v>45000000.000999995</v>
      </c>
      <c r="BC87" s="211">
        <v>83</v>
      </c>
      <c r="BD87" s="211" t="s">
        <v>194</v>
      </c>
      <c r="BE87" s="211">
        <v>10</v>
      </c>
      <c r="BF87" s="8" t="s">
        <v>216</v>
      </c>
      <c r="BG87" s="9" t="s">
        <v>354</v>
      </c>
      <c r="BH87" s="9" t="s">
        <v>276</v>
      </c>
      <c r="BI87" s="210">
        <v>1650</v>
      </c>
      <c r="BJ87" s="115">
        <v>0</v>
      </c>
      <c r="BL87" s="211">
        <v>83</v>
      </c>
      <c r="BM87" s="9" t="s">
        <v>241</v>
      </c>
      <c r="BN87" s="9">
        <v>6</v>
      </c>
      <c r="BO87" s="8" t="s">
        <v>96</v>
      </c>
      <c r="BP87" s="10" t="s">
        <v>354</v>
      </c>
      <c r="BQ87" s="10" t="s">
        <v>459</v>
      </c>
      <c r="BR87" s="342">
        <v>0</v>
      </c>
      <c r="BS87" s="344">
        <v>6600000</v>
      </c>
      <c r="BU87" s="211">
        <v>83</v>
      </c>
      <c r="BV87" s="9" t="s">
        <v>243</v>
      </c>
      <c r="BW87" s="9">
        <v>24</v>
      </c>
      <c r="BX87" s="8" t="s">
        <v>96</v>
      </c>
      <c r="BY87" s="10" t="s">
        <v>354</v>
      </c>
      <c r="BZ87" s="10" t="s">
        <v>564</v>
      </c>
      <c r="CA87" s="342">
        <v>0</v>
      </c>
      <c r="CB87" s="344">
        <v>6600000</v>
      </c>
      <c r="CD87" s="211">
        <v>83</v>
      </c>
      <c r="CE87" s="9" t="s">
        <v>140</v>
      </c>
      <c r="CF87" s="9">
        <v>16</v>
      </c>
      <c r="CG87" s="8" t="s">
        <v>1655</v>
      </c>
      <c r="CH87" s="10"/>
      <c r="CI87" s="527" t="s">
        <v>1656</v>
      </c>
      <c r="CJ87" s="210">
        <v>0</v>
      </c>
      <c r="CK87" s="538">
        <v>-70697.199999988079</v>
      </c>
      <c r="CM87" s="211">
        <v>17</v>
      </c>
      <c r="CN87" s="9" t="s">
        <v>140</v>
      </c>
      <c r="CO87" s="9">
        <v>28</v>
      </c>
      <c r="CP87" s="8" t="s">
        <v>40</v>
      </c>
      <c r="CQ87" s="9" t="s">
        <v>354</v>
      </c>
      <c r="CR87" s="9" t="s">
        <v>1633</v>
      </c>
      <c r="CS87" s="343">
        <v>0</v>
      </c>
      <c r="CT87" s="345">
        <v>30731690</v>
      </c>
      <c r="CV87" s="211">
        <v>2</v>
      </c>
      <c r="CW87" s="9" t="s">
        <v>140</v>
      </c>
      <c r="CX87" s="9">
        <v>1</v>
      </c>
      <c r="CY87" s="8" t="s">
        <v>1621</v>
      </c>
      <c r="CZ87" s="10" t="s">
        <v>147</v>
      </c>
      <c r="DA87" s="10" t="s">
        <v>1622</v>
      </c>
      <c r="DB87" s="344">
        <v>970.5</v>
      </c>
    </row>
    <row r="88" spans="1:106" s="73" customFormat="1">
      <c r="A88" s="211">
        <v>84</v>
      </c>
      <c r="B88" s="53" t="s">
        <v>194</v>
      </c>
      <c r="C88" s="9">
        <v>9</v>
      </c>
      <c r="D88" s="8" t="s">
        <v>445</v>
      </c>
      <c r="E88" s="10" t="s">
        <v>357</v>
      </c>
      <c r="F88" s="10" t="s">
        <v>1836</v>
      </c>
      <c r="G88" s="346">
        <v>0</v>
      </c>
      <c r="H88" s="347">
        <v>11000000</v>
      </c>
      <c r="J88" s="211">
        <v>84</v>
      </c>
      <c r="K88" s="211" t="s">
        <v>244</v>
      </c>
      <c r="L88" s="211">
        <v>24</v>
      </c>
      <c r="M88" s="8" t="s">
        <v>212</v>
      </c>
      <c r="N88" s="10" t="s">
        <v>62</v>
      </c>
      <c r="O88" s="10" t="s">
        <v>265</v>
      </c>
      <c r="P88" s="210">
        <v>0</v>
      </c>
      <c r="Q88" s="360">
        <f>-1300000</f>
        <v>-1300000</v>
      </c>
      <c r="S88" s="211">
        <v>84</v>
      </c>
      <c r="T88" s="211" t="s">
        <v>242</v>
      </c>
      <c r="U88" s="211">
        <v>29</v>
      </c>
      <c r="V88" s="8" t="s">
        <v>215</v>
      </c>
      <c r="W88" s="10" t="s">
        <v>118</v>
      </c>
      <c r="X88" s="9" t="s">
        <v>273</v>
      </c>
      <c r="Y88" s="210">
        <v>99</v>
      </c>
      <c r="Z88" s="115">
        <v>0</v>
      </c>
      <c r="AB88" s="211">
        <v>84</v>
      </c>
      <c r="AC88" s="9" t="s">
        <v>240</v>
      </c>
      <c r="AD88" s="9">
        <v>6</v>
      </c>
      <c r="AE88" s="8" t="s">
        <v>396</v>
      </c>
      <c r="AF88" s="10" t="s">
        <v>364</v>
      </c>
      <c r="AG88" s="10" t="s">
        <v>2530</v>
      </c>
      <c r="AH88" s="342">
        <v>0</v>
      </c>
      <c r="AI88" s="361">
        <v>39500000.000999995</v>
      </c>
      <c r="AK88" s="211">
        <v>84</v>
      </c>
      <c r="AL88" s="211" t="s">
        <v>243</v>
      </c>
      <c r="AM88" s="211">
        <v>14</v>
      </c>
      <c r="AN88" s="8" t="s">
        <v>213</v>
      </c>
      <c r="AO88" s="10" t="s">
        <v>355</v>
      </c>
      <c r="AP88" s="10" t="s">
        <v>268</v>
      </c>
      <c r="AQ88" s="210">
        <v>0</v>
      </c>
      <c r="AR88" s="115">
        <v>20350000</v>
      </c>
      <c r="AT88" s="211">
        <v>84</v>
      </c>
      <c r="AU88" s="9" t="s">
        <v>240</v>
      </c>
      <c r="AV88" s="9">
        <v>6</v>
      </c>
      <c r="AW88" s="8" t="s">
        <v>396</v>
      </c>
      <c r="AX88" s="10" t="s">
        <v>364</v>
      </c>
      <c r="AY88" s="10" t="s">
        <v>2531</v>
      </c>
      <c r="AZ88" s="342">
        <v>0</v>
      </c>
      <c r="BA88" s="361">
        <v>45000000.000999995</v>
      </c>
      <c r="BC88" s="211">
        <v>84</v>
      </c>
      <c r="BD88" s="211" t="s">
        <v>195</v>
      </c>
      <c r="BE88" s="211">
        <v>2</v>
      </c>
      <c r="BF88" s="8" t="s">
        <v>216</v>
      </c>
      <c r="BG88" s="9" t="s">
        <v>354</v>
      </c>
      <c r="BH88" s="9" t="s">
        <v>277</v>
      </c>
      <c r="BI88" s="210">
        <v>1650</v>
      </c>
      <c r="BJ88" s="115">
        <v>0</v>
      </c>
      <c r="BL88" s="211">
        <v>84</v>
      </c>
      <c r="BM88" s="9" t="s">
        <v>241</v>
      </c>
      <c r="BN88" s="9">
        <v>23</v>
      </c>
      <c r="BO88" s="8" t="s">
        <v>96</v>
      </c>
      <c r="BP88" s="10" t="s">
        <v>433</v>
      </c>
      <c r="BQ88" s="10" t="s">
        <v>486</v>
      </c>
      <c r="BR88" s="342">
        <v>0</v>
      </c>
      <c r="BS88" s="344">
        <v>8800000</v>
      </c>
      <c r="BU88" s="211">
        <v>84</v>
      </c>
      <c r="BV88" s="9" t="s">
        <v>244</v>
      </c>
      <c r="BW88" s="9">
        <v>5</v>
      </c>
      <c r="BX88" s="8" t="s">
        <v>96</v>
      </c>
      <c r="BY88" s="10" t="s">
        <v>354</v>
      </c>
      <c r="BZ88" s="10" t="s">
        <v>576</v>
      </c>
      <c r="CA88" s="342">
        <v>0</v>
      </c>
      <c r="CB88" s="344">
        <v>13200000</v>
      </c>
      <c r="CD88" s="211">
        <v>84</v>
      </c>
      <c r="CE88" s="9" t="s">
        <v>140</v>
      </c>
      <c r="CF88" s="9">
        <v>20</v>
      </c>
      <c r="CG88" s="8" t="s">
        <v>1655</v>
      </c>
      <c r="CH88" s="10"/>
      <c r="CI88" s="527" t="s">
        <v>1657</v>
      </c>
      <c r="CJ88" s="210">
        <v>0</v>
      </c>
      <c r="CK88" s="538">
        <v>-67124.654399991035</v>
      </c>
      <c r="CM88" s="211">
        <v>18</v>
      </c>
      <c r="CN88" s="9" t="s">
        <v>140</v>
      </c>
      <c r="CO88" s="9">
        <v>28</v>
      </c>
      <c r="CP88" s="8" t="s">
        <v>40</v>
      </c>
      <c r="CQ88" s="9" t="s">
        <v>355</v>
      </c>
      <c r="CR88" s="9" t="s">
        <v>1634</v>
      </c>
      <c r="CS88" s="343">
        <v>0</v>
      </c>
      <c r="CT88" s="345">
        <v>31438990</v>
      </c>
      <c r="CV88" s="1855" t="s">
        <v>68</v>
      </c>
      <c r="CW88" s="1855"/>
      <c r="CX88" s="1855"/>
      <c r="CY88" s="1855"/>
      <c r="CZ88" s="1855"/>
      <c r="DA88" s="1855"/>
      <c r="DB88" s="547">
        <f>SUM(DB86:DB87)</f>
        <v>19287970.5</v>
      </c>
    </row>
    <row r="89" spans="1:106" s="73" customFormat="1">
      <c r="A89" s="211">
        <v>85</v>
      </c>
      <c r="B89" s="211" t="s">
        <v>242</v>
      </c>
      <c r="C89" s="211">
        <v>29</v>
      </c>
      <c r="D89" s="8" t="s">
        <v>215</v>
      </c>
      <c r="E89" s="10" t="s">
        <v>118</v>
      </c>
      <c r="F89" s="9" t="s">
        <v>273</v>
      </c>
      <c r="G89" s="210">
        <v>99</v>
      </c>
      <c r="H89" s="115">
        <v>0</v>
      </c>
      <c r="J89" s="211">
        <v>85</v>
      </c>
      <c r="K89" s="211" t="s">
        <v>244</v>
      </c>
      <c r="L89" s="211">
        <v>24</v>
      </c>
      <c r="M89" s="8" t="s">
        <v>212</v>
      </c>
      <c r="N89" s="10" t="s">
        <v>62</v>
      </c>
      <c r="O89" s="10" t="s">
        <v>266</v>
      </c>
      <c r="P89" s="210">
        <v>0</v>
      </c>
      <c r="Q89" s="344">
        <v>4500000</v>
      </c>
      <c r="S89" s="211">
        <v>85</v>
      </c>
      <c r="T89" s="9" t="s">
        <v>239</v>
      </c>
      <c r="U89" s="9">
        <v>1</v>
      </c>
      <c r="V89" s="8" t="s">
        <v>412</v>
      </c>
      <c r="W89" s="10" t="s">
        <v>354</v>
      </c>
      <c r="X89" s="10" t="s">
        <v>2139</v>
      </c>
      <c r="Y89" s="346">
        <v>0</v>
      </c>
      <c r="Z89" s="347">
        <v>24200000</v>
      </c>
      <c r="AB89" s="211">
        <v>85</v>
      </c>
      <c r="AC89" s="9" t="s">
        <v>240</v>
      </c>
      <c r="AD89" s="9">
        <v>6</v>
      </c>
      <c r="AE89" s="8" t="s">
        <v>396</v>
      </c>
      <c r="AF89" s="10" t="s">
        <v>364</v>
      </c>
      <c r="AG89" s="10" t="s">
        <v>2531</v>
      </c>
      <c r="AH89" s="342">
        <v>0</v>
      </c>
      <c r="AI89" s="361">
        <v>39500000.000999995</v>
      </c>
      <c r="AK89" s="211">
        <v>85</v>
      </c>
      <c r="AL89" s="211" t="s">
        <v>244</v>
      </c>
      <c r="AM89" s="211">
        <v>4</v>
      </c>
      <c r="AN89" s="8" t="s">
        <v>213</v>
      </c>
      <c r="AO89" s="10" t="s">
        <v>355</v>
      </c>
      <c r="AP89" s="10" t="s">
        <v>269</v>
      </c>
      <c r="AQ89" s="210">
        <v>0</v>
      </c>
      <c r="AR89" s="115">
        <v>20350000</v>
      </c>
      <c r="AT89" s="211">
        <v>85</v>
      </c>
      <c r="AU89" s="9" t="s">
        <v>240</v>
      </c>
      <c r="AV89" s="9">
        <v>6</v>
      </c>
      <c r="AW89" s="8" t="s">
        <v>396</v>
      </c>
      <c r="AX89" s="10" t="s">
        <v>364</v>
      </c>
      <c r="AY89" s="10" t="s">
        <v>2532</v>
      </c>
      <c r="AZ89" s="342">
        <v>0</v>
      </c>
      <c r="BA89" s="361">
        <v>45000000.000999995</v>
      </c>
      <c r="BC89" s="211">
        <v>85</v>
      </c>
      <c r="BD89" s="211" t="s">
        <v>240</v>
      </c>
      <c r="BE89" s="211">
        <v>3</v>
      </c>
      <c r="BF89" s="8" t="s">
        <v>216</v>
      </c>
      <c r="BG89" s="9" t="s">
        <v>354</v>
      </c>
      <c r="BH89" s="9" t="s">
        <v>278</v>
      </c>
      <c r="BI89" s="210">
        <v>1650</v>
      </c>
      <c r="BJ89" s="115">
        <v>0</v>
      </c>
      <c r="BL89" s="211">
        <v>85</v>
      </c>
      <c r="BM89" s="9" t="s">
        <v>241</v>
      </c>
      <c r="BN89" s="9">
        <v>23</v>
      </c>
      <c r="BO89" s="8" t="s">
        <v>96</v>
      </c>
      <c r="BP89" s="10" t="s">
        <v>118</v>
      </c>
      <c r="BQ89" s="10" t="s">
        <v>487</v>
      </c>
      <c r="BR89" s="210">
        <v>0</v>
      </c>
      <c r="BS89" s="341">
        <v>901000</v>
      </c>
      <c r="BU89" s="211">
        <v>85</v>
      </c>
      <c r="BV89" s="9" t="s">
        <v>244</v>
      </c>
      <c r="BW89" s="9">
        <v>7</v>
      </c>
      <c r="BX89" s="8" t="s">
        <v>96</v>
      </c>
      <c r="BY89" s="10" t="s">
        <v>354</v>
      </c>
      <c r="BZ89" s="10" t="s">
        <v>577</v>
      </c>
      <c r="CA89" s="342">
        <v>0</v>
      </c>
      <c r="CB89" s="344">
        <v>15400000</v>
      </c>
      <c r="CD89" s="211">
        <v>85</v>
      </c>
      <c r="CE89" s="9" t="s">
        <v>140</v>
      </c>
      <c r="CF89" s="9">
        <v>20</v>
      </c>
      <c r="CG89" s="8" t="s">
        <v>1655</v>
      </c>
      <c r="CH89" s="10"/>
      <c r="CI89" s="527" t="s">
        <v>1658</v>
      </c>
      <c r="CJ89" s="342">
        <v>0</v>
      </c>
      <c r="CK89" s="538">
        <v>-71113.991200000048</v>
      </c>
      <c r="CM89" s="211">
        <v>19</v>
      </c>
      <c r="CN89" s="9" t="s">
        <v>140</v>
      </c>
      <c r="CO89" s="9">
        <v>28</v>
      </c>
      <c r="CP89" s="8" t="s">
        <v>40</v>
      </c>
      <c r="CQ89" s="9" t="s">
        <v>355</v>
      </c>
      <c r="CR89" s="9" t="s">
        <v>1635</v>
      </c>
      <c r="CS89" s="343">
        <v>0</v>
      </c>
      <c r="CT89" s="345">
        <v>31438990</v>
      </c>
      <c r="CV89" s="211">
        <v>1</v>
      </c>
      <c r="CW89" s="9" t="s">
        <v>245</v>
      </c>
      <c r="CX89" s="9">
        <v>1</v>
      </c>
      <c r="CY89" s="8" t="s">
        <v>762</v>
      </c>
      <c r="CZ89" s="10" t="s">
        <v>147</v>
      </c>
      <c r="DA89" s="10" t="s">
        <v>763</v>
      </c>
      <c r="DB89" s="545">
        <v>2233500</v>
      </c>
    </row>
    <row r="90" spans="1:106" s="73" customFormat="1">
      <c r="A90" s="211">
        <v>86</v>
      </c>
      <c r="B90" s="53" t="s">
        <v>194</v>
      </c>
      <c r="C90" s="9">
        <v>9</v>
      </c>
      <c r="D90" s="8" t="s">
        <v>412</v>
      </c>
      <c r="E90" s="10" t="s">
        <v>354</v>
      </c>
      <c r="F90" s="10" t="s">
        <v>1838</v>
      </c>
      <c r="G90" s="346">
        <v>0</v>
      </c>
      <c r="H90" s="347">
        <v>24200000</v>
      </c>
      <c r="J90" s="211">
        <v>86</v>
      </c>
      <c r="K90" s="211" t="s">
        <v>244</v>
      </c>
      <c r="L90" s="211">
        <v>24</v>
      </c>
      <c r="M90" s="8" t="s">
        <v>212</v>
      </c>
      <c r="N90" s="10" t="s">
        <v>62</v>
      </c>
      <c r="O90" s="10" t="s">
        <v>267</v>
      </c>
      <c r="P90" s="210">
        <v>0</v>
      </c>
      <c r="Q90" s="344">
        <v>18900000</v>
      </c>
      <c r="S90" s="211">
        <v>86</v>
      </c>
      <c r="T90" s="211" t="s">
        <v>140</v>
      </c>
      <c r="U90" s="211">
        <v>1</v>
      </c>
      <c r="V90" s="8" t="s">
        <v>216</v>
      </c>
      <c r="W90" s="9" t="s">
        <v>354</v>
      </c>
      <c r="X90" s="9" t="s">
        <v>275</v>
      </c>
      <c r="Y90" s="210">
        <v>620</v>
      </c>
      <c r="Z90" s="115">
        <v>0</v>
      </c>
      <c r="AB90" s="211">
        <v>86</v>
      </c>
      <c r="AC90" s="9" t="s">
        <v>240</v>
      </c>
      <c r="AD90" s="9">
        <v>6</v>
      </c>
      <c r="AE90" s="8" t="s">
        <v>396</v>
      </c>
      <c r="AF90" s="10" t="s">
        <v>364</v>
      </c>
      <c r="AG90" s="10" t="s">
        <v>2532</v>
      </c>
      <c r="AH90" s="342">
        <v>0</v>
      </c>
      <c r="AI90" s="361">
        <v>39500000.000999995</v>
      </c>
      <c r="AK90" s="211">
        <v>86</v>
      </c>
      <c r="AL90" s="211" t="s">
        <v>245</v>
      </c>
      <c r="AM90" s="211">
        <v>21</v>
      </c>
      <c r="AN90" s="8" t="s">
        <v>213</v>
      </c>
      <c r="AO90" s="10" t="s">
        <v>355</v>
      </c>
      <c r="AP90" s="10" t="s">
        <v>270</v>
      </c>
      <c r="AQ90" s="210">
        <v>0</v>
      </c>
      <c r="AR90" s="115">
        <v>20350000</v>
      </c>
      <c r="AT90" s="211">
        <v>86</v>
      </c>
      <c r="AU90" s="9" t="s">
        <v>240</v>
      </c>
      <c r="AV90" s="9">
        <v>6</v>
      </c>
      <c r="AW90" s="8" t="s">
        <v>396</v>
      </c>
      <c r="AX90" s="10" t="s">
        <v>364</v>
      </c>
      <c r="AY90" s="10" t="s">
        <v>2533</v>
      </c>
      <c r="AZ90" s="342">
        <v>0</v>
      </c>
      <c r="BA90" s="361">
        <v>45000000.000999995</v>
      </c>
      <c r="BC90" s="211">
        <v>86</v>
      </c>
      <c r="BD90" s="211" t="s">
        <v>194</v>
      </c>
      <c r="BE90" s="211">
        <v>18</v>
      </c>
      <c r="BF90" s="8" t="s">
        <v>217</v>
      </c>
      <c r="BG90" s="9" t="s">
        <v>144</v>
      </c>
      <c r="BH90" s="9" t="s">
        <v>279</v>
      </c>
      <c r="BI90" s="210">
        <v>0</v>
      </c>
      <c r="BJ90" s="115">
        <v>9353850</v>
      </c>
      <c r="BL90" s="211">
        <v>86</v>
      </c>
      <c r="BM90" s="9" t="s">
        <v>242</v>
      </c>
      <c r="BN90" s="9">
        <v>25</v>
      </c>
      <c r="BO90" s="8" t="s">
        <v>96</v>
      </c>
      <c r="BP90" s="10" t="s">
        <v>354</v>
      </c>
      <c r="BQ90" s="10" t="s">
        <v>499</v>
      </c>
      <c r="BR90" s="210">
        <v>0</v>
      </c>
      <c r="BS90" s="361">
        <v>6600000</v>
      </c>
      <c r="BU90" s="211">
        <v>86</v>
      </c>
      <c r="BV90" s="9" t="s">
        <v>244</v>
      </c>
      <c r="BW90" s="9">
        <v>8</v>
      </c>
      <c r="BX90" s="8" t="s">
        <v>96</v>
      </c>
      <c r="BY90" s="10" t="s">
        <v>354</v>
      </c>
      <c r="BZ90" s="10" t="s">
        <v>578</v>
      </c>
      <c r="CA90" s="342">
        <v>0</v>
      </c>
      <c r="CB90" s="344">
        <v>18718700</v>
      </c>
      <c r="CD90" s="211">
        <v>86</v>
      </c>
      <c r="CE90" s="9" t="s">
        <v>140</v>
      </c>
      <c r="CF90" s="9">
        <v>20</v>
      </c>
      <c r="CG90" s="8" t="s">
        <v>1655</v>
      </c>
      <c r="CH90" s="10"/>
      <c r="CI90" s="527" t="s">
        <v>1659</v>
      </c>
      <c r="CJ90" s="342">
        <v>0</v>
      </c>
      <c r="CK90" s="538">
        <v>-70816.937999993563</v>
      </c>
      <c r="CM90" s="211">
        <v>20</v>
      </c>
      <c r="CN90" s="9" t="s">
        <v>140</v>
      </c>
      <c r="CO90" s="9">
        <v>28</v>
      </c>
      <c r="CP90" s="8" t="s">
        <v>40</v>
      </c>
      <c r="CQ90" s="9" t="s">
        <v>355</v>
      </c>
      <c r="CR90" s="9" t="s">
        <v>1636</v>
      </c>
      <c r="CS90" s="343">
        <v>0</v>
      </c>
      <c r="CT90" s="345">
        <v>31438990</v>
      </c>
      <c r="CV90" s="1855" t="s">
        <v>68</v>
      </c>
      <c r="CW90" s="1855"/>
      <c r="CX90" s="1855"/>
      <c r="CY90" s="1855"/>
      <c r="CZ90" s="1855"/>
      <c r="DA90" s="1855"/>
      <c r="DB90" s="547">
        <f>SUM(DB89)</f>
        <v>2233500</v>
      </c>
    </row>
    <row r="91" spans="1:106" s="73" customFormat="1">
      <c r="A91" s="211">
        <v>87</v>
      </c>
      <c r="B91" s="211" t="s">
        <v>140</v>
      </c>
      <c r="C91" s="211">
        <v>1</v>
      </c>
      <c r="D91" s="8" t="s">
        <v>216</v>
      </c>
      <c r="E91" s="9" t="s">
        <v>354</v>
      </c>
      <c r="F91" s="9" t="s">
        <v>275</v>
      </c>
      <c r="G91" s="210">
        <v>620</v>
      </c>
      <c r="H91" s="115">
        <v>0</v>
      </c>
      <c r="J91" s="211">
        <v>87</v>
      </c>
      <c r="K91" s="9" t="s">
        <v>239</v>
      </c>
      <c r="L91" s="9">
        <v>7</v>
      </c>
      <c r="M91" s="8" t="s">
        <v>212</v>
      </c>
      <c r="N91" s="10" t="s">
        <v>62</v>
      </c>
      <c r="O91" s="9" t="s">
        <v>392</v>
      </c>
      <c r="P91" s="210">
        <v>0</v>
      </c>
      <c r="Q91" s="344">
        <v>1800000</v>
      </c>
      <c r="S91" s="211">
        <v>87</v>
      </c>
      <c r="T91" s="211" t="s">
        <v>194</v>
      </c>
      <c r="U91" s="211">
        <v>10</v>
      </c>
      <c r="V91" s="8" t="s">
        <v>216</v>
      </c>
      <c r="W91" s="9" t="s">
        <v>354</v>
      </c>
      <c r="X91" s="9" t="s">
        <v>276</v>
      </c>
      <c r="Y91" s="210">
        <v>1650</v>
      </c>
      <c r="Z91" s="115">
        <v>0</v>
      </c>
      <c r="AB91" s="211">
        <v>87</v>
      </c>
      <c r="AC91" s="9" t="s">
        <v>240</v>
      </c>
      <c r="AD91" s="9">
        <v>6</v>
      </c>
      <c r="AE91" s="8" t="s">
        <v>396</v>
      </c>
      <c r="AF91" s="10" t="s">
        <v>364</v>
      </c>
      <c r="AG91" s="10" t="s">
        <v>2533</v>
      </c>
      <c r="AH91" s="342">
        <v>0</v>
      </c>
      <c r="AI91" s="361">
        <v>39500000.000999995</v>
      </c>
      <c r="AK91" s="211">
        <v>87</v>
      </c>
      <c r="AL91" s="211" t="s">
        <v>238</v>
      </c>
      <c r="AM91" s="211">
        <v>4</v>
      </c>
      <c r="AN91" s="8" t="s">
        <v>213</v>
      </c>
      <c r="AO91" s="10" t="s">
        <v>355</v>
      </c>
      <c r="AP91" s="10" t="s">
        <v>271</v>
      </c>
      <c r="AQ91" s="210">
        <v>0</v>
      </c>
      <c r="AR91" s="115">
        <v>20350000</v>
      </c>
      <c r="AT91" s="211">
        <v>87</v>
      </c>
      <c r="AU91" s="9" t="s">
        <v>58</v>
      </c>
      <c r="AV91" s="9">
        <v>2</v>
      </c>
      <c r="AW91" s="8" t="s">
        <v>396</v>
      </c>
      <c r="AX91" s="10" t="s">
        <v>364</v>
      </c>
      <c r="AY91" s="10" t="s">
        <v>2697</v>
      </c>
      <c r="AZ91" s="342">
        <v>0</v>
      </c>
      <c r="BA91" s="361">
        <v>45000000.000999995</v>
      </c>
      <c r="BC91" s="211">
        <v>87</v>
      </c>
      <c r="BD91" s="211" t="s">
        <v>194</v>
      </c>
      <c r="BE91" s="211">
        <v>8</v>
      </c>
      <c r="BF91" s="8" t="s">
        <v>217</v>
      </c>
      <c r="BG91" s="9" t="s">
        <v>118</v>
      </c>
      <c r="BH91" s="9" t="s">
        <v>280</v>
      </c>
      <c r="BI91" s="210">
        <v>0</v>
      </c>
      <c r="BJ91" s="115">
        <v>3750000</v>
      </c>
      <c r="BL91" s="211">
        <v>87</v>
      </c>
      <c r="BM91" s="9" t="s">
        <v>242</v>
      </c>
      <c r="BN91" s="9">
        <v>25</v>
      </c>
      <c r="BO91" s="8" t="s">
        <v>96</v>
      </c>
      <c r="BP91" s="10" t="s">
        <v>357</v>
      </c>
      <c r="BQ91" s="10" t="s">
        <v>500</v>
      </c>
      <c r="BR91" s="342">
        <v>1320</v>
      </c>
      <c r="BS91" s="361">
        <v>0</v>
      </c>
      <c r="BU91" s="211">
        <v>87</v>
      </c>
      <c r="BV91" s="9" t="s">
        <v>244</v>
      </c>
      <c r="BW91" s="9">
        <v>8</v>
      </c>
      <c r="BX91" s="8" t="s">
        <v>96</v>
      </c>
      <c r="BY91" s="10" t="s">
        <v>354</v>
      </c>
      <c r="BZ91" s="10" t="s">
        <v>579</v>
      </c>
      <c r="CA91" s="342">
        <v>0</v>
      </c>
      <c r="CB91" s="344">
        <v>11000000</v>
      </c>
      <c r="CD91" s="211">
        <v>87</v>
      </c>
      <c r="CE91" s="9" t="s">
        <v>140</v>
      </c>
      <c r="CF91" s="9"/>
      <c r="CG91" s="8" t="s">
        <v>1655</v>
      </c>
      <c r="CH91" s="10"/>
      <c r="CI91" s="527" t="s">
        <v>1660</v>
      </c>
      <c r="CJ91" s="342">
        <v>0</v>
      </c>
      <c r="CK91" s="538">
        <v>-27099.319999992847</v>
      </c>
      <c r="CM91" s="211">
        <v>21</v>
      </c>
      <c r="CN91" s="9" t="s">
        <v>140</v>
      </c>
      <c r="CO91" s="9">
        <v>28</v>
      </c>
      <c r="CP91" s="8" t="s">
        <v>40</v>
      </c>
      <c r="CQ91" s="9" t="s">
        <v>448</v>
      </c>
      <c r="CR91" s="9" t="s">
        <v>1637</v>
      </c>
      <c r="CS91" s="343">
        <v>0</v>
      </c>
      <c r="CT91" s="345">
        <v>38680840</v>
      </c>
      <c r="CV91" s="211">
        <v>1</v>
      </c>
      <c r="CW91" s="9" t="s">
        <v>245</v>
      </c>
      <c r="CX91" s="9">
        <v>1</v>
      </c>
      <c r="CY91" s="8" t="s">
        <v>760</v>
      </c>
      <c r="CZ91" s="10" t="s">
        <v>147</v>
      </c>
      <c r="DA91" s="10" t="s">
        <v>761</v>
      </c>
      <c r="DB91" s="545">
        <v>50000</v>
      </c>
    </row>
    <row r="92" spans="1:106" s="73" customFormat="1">
      <c r="A92" s="211">
        <v>88</v>
      </c>
      <c r="B92" s="211" t="s">
        <v>194</v>
      </c>
      <c r="C92" s="211">
        <v>10</v>
      </c>
      <c r="D92" s="8" t="s">
        <v>216</v>
      </c>
      <c r="E92" s="9" t="s">
        <v>354</v>
      </c>
      <c r="F92" s="9" t="s">
        <v>276</v>
      </c>
      <c r="G92" s="210">
        <v>1650</v>
      </c>
      <c r="H92" s="115">
        <v>0</v>
      </c>
      <c r="J92" s="211">
        <v>88</v>
      </c>
      <c r="K92" s="9" t="s">
        <v>195</v>
      </c>
      <c r="L92" s="9">
        <v>6</v>
      </c>
      <c r="M92" s="8" t="s">
        <v>764</v>
      </c>
      <c r="N92" s="10" t="s">
        <v>364</v>
      </c>
      <c r="O92" s="10" t="s">
        <v>2046</v>
      </c>
      <c r="P92" s="210">
        <v>0</v>
      </c>
      <c r="Q92" s="360">
        <v>25300000</v>
      </c>
      <c r="S92" s="211">
        <v>88</v>
      </c>
      <c r="T92" s="211" t="s">
        <v>195</v>
      </c>
      <c r="U92" s="211">
        <v>2</v>
      </c>
      <c r="V92" s="8" t="s">
        <v>216</v>
      </c>
      <c r="W92" s="9" t="s">
        <v>354</v>
      </c>
      <c r="X92" s="9" t="s">
        <v>277</v>
      </c>
      <c r="Y92" s="210">
        <v>1650</v>
      </c>
      <c r="Z92" s="115">
        <v>0</v>
      </c>
      <c r="AB92" s="211">
        <v>88</v>
      </c>
      <c r="AC92" s="9"/>
      <c r="AD92" s="9"/>
      <c r="AE92" s="8"/>
      <c r="AF92" s="10"/>
      <c r="AG92" s="10"/>
      <c r="AH92" s="342"/>
      <c r="AI92" s="361"/>
      <c r="AK92" s="211">
        <v>88</v>
      </c>
      <c r="AL92" s="211" t="s">
        <v>140</v>
      </c>
      <c r="AM92" s="211">
        <v>3</v>
      </c>
      <c r="AN92" s="8" t="s">
        <v>213</v>
      </c>
      <c r="AO92" s="10" t="s">
        <v>355</v>
      </c>
      <c r="AP92" s="10" t="s">
        <v>272</v>
      </c>
      <c r="AQ92" s="210">
        <v>0</v>
      </c>
      <c r="AR92" s="115">
        <v>20350000</v>
      </c>
      <c r="AT92" s="211">
        <v>88</v>
      </c>
      <c r="AU92" s="9" t="s">
        <v>58</v>
      </c>
      <c r="AV92" s="9">
        <v>18</v>
      </c>
      <c r="AW92" s="8" t="s">
        <v>396</v>
      </c>
      <c r="AX92" s="10" t="s">
        <v>364</v>
      </c>
      <c r="AY92" s="10" t="s">
        <v>2542</v>
      </c>
      <c r="AZ92" s="342">
        <v>0</v>
      </c>
      <c r="BA92" s="361">
        <v>19999999.998</v>
      </c>
      <c r="BC92" s="211">
        <v>88</v>
      </c>
      <c r="BD92" s="211" t="s">
        <v>194</v>
      </c>
      <c r="BE92" s="211">
        <v>14</v>
      </c>
      <c r="BF92" s="8" t="s">
        <v>217</v>
      </c>
      <c r="BG92" s="9" t="s">
        <v>63</v>
      </c>
      <c r="BH92" s="9" t="s">
        <v>281</v>
      </c>
      <c r="BI92" s="210">
        <v>0</v>
      </c>
      <c r="BJ92" s="115">
        <v>3300000</v>
      </c>
      <c r="BL92" s="211">
        <v>88</v>
      </c>
      <c r="BM92" s="9" t="s">
        <v>242</v>
      </c>
      <c r="BN92" s="9">
        <v>25</v>
      </c>
      <c r="BO92" s="8" t="s">
        <v>96</v>
      </c>
      <c r="BP92" s="10" t="s">
        <v>354</v>
      </c>
      <c r="BQ92" s="10" t="s">
        <v>501</v>
      </c>
      <c r="BR92" s="210">
        <v>0</v>
      </c>
      <c r="BS92" s="361">
        <v>6600000</v>
      </c>
      <c r="BU92" s="211">
        <v>88</v>
      </c>
      <c r="BV92" s="9" t="s">
        <v>244</v>
      </c>
      <c r="BW92" s="9">
        <v>20</v>
      </c>
      <c r="BX92" s="8" t="s">
        <v>206</v>
      </c>
      <c r="BY92" s="9" t="s">
        <v>354</v>
      </c>
      <c r="BZ92" s="9" t="s">
        <v>598</v>
      </c>
      <c r="CA92" s="210">
        <v>0</v>
      </c>
      <c r="CB92" s="361">
        <v>24200000</v>
      </c>
      <c r="CD92" s="211">
        <v>88</v>
      </c>
      <c r="CE92" s="211" t="s">
        <v>241</v>
      </c>
      <c r="CF92" s="211">
        <v>19</v>
      </c>
      <c r="CG92" s="186" t="s">
        <v>207</v>
      </c>
      <c r="CH92" s="211" t="s">
        <v>256</v>
      </c>
      <c r="CI92" s="127" t="s">
        <v>255</v>
      </c>
      <c r="CJ92" s="210">
        <v>0</v>
      </c>
      <c r="CK92" s="115">
        <v>13640000</v>
      </c>
      <c r="CM92" s="211">
        <v>22</v>
      </c>
      <c r="CN92" s="9" t="s">
        <v>140</v>
      </c>
      <c r="CO92" s="9">
        <v>28</v>
      </c>
      <c r="CP92" s="8" t="s">
        <v>40</v>
      </c>
      <c r="CQ92" s="9" t="s">
        <v>355</v>
      </c>
      <c r="CR92" s="9" t="s">
        <v>1638</v>
      </c>
      <c r="CS92" s="343">
        <v>0</v>
      </c>
      <c r="CT92" s="345">
        <v>31438990</v>
      </c>
      <c r="CV92" s="1855" t="s">
        <v>68</v>
      </c>
      <c r="CW92" s="1855"/>
      <c r="CX92" s="1855"/>
      <c r="CY92" s="1855"/>
      <c r="CZ92" s="1855"/>
      <c r="DA92" s="1855"/>
      <c r="DB92" s="547">
        <f>SUM(DB91)</f>
        <v>50000</v>
      </c>
    </row>
    <row r="93" spans="1:106" s="73" customFormat="1">
      <c r="A93" s="211">
        <v>89</v>
      </c>
      <c r="B93" s="211" t="s">
        <v>195</v>
      </c>
      <c r="C93" s="211">
        <v>2</v>
      </c>
      <c r="D93" s="8" t="s">
        <v>216</v>
      </c>
      <c r="E93" s="9" t="s">
        <v>354</v>
      </c>
      <c r="F93" s="9" t="s">
        <v>277</v>
      </c>
      <c r="G93" s="210">
        <v>1650</v>
      </c>
      <c r="H93" s="115">
        <v>0</v>
      </c>
      <c r="J93" s="211">
        <v>89</v>
      </c>
      <c r="K93" s="211" t="s">
        <v>243</v>
      </c>
      <c r="L93" s="211">
        <v>14</v>
      </c>
      <c r="M93" s="8" t="s">
        <v>213</v>
      </c>
      <c r="N93" s="10" t="s">
        <v>355</v>
      </c>
      <c r="O93" s="10" t="s">
        <v>268</v>
      </c>
      <c r="P93" s="210">
        <v>0</v>
      </c>
      <c r="Q93" s="115">
        <v>20350000</v>
      </c>
      <c r="S93" s="211">
        <v>89</v>
      </c>
      <c r="T93" s="211" t="s">
        <v>240</v>
      </c>
      <c r="U93" s="211">
        <v>3</v>
      </c>
      <c r="V93" s="8" t="s">
        <v>216</v>
      </c>
      <c r="W93" s="9" t="s">
        <v>354</v>
      </c>
      <c r="X93" s="9" t="s">
        <v>278</v>
      </c>
      <c r="Y93" s="210">
        <v>1650</v>
      </c>
      <c r="Z93" s="115">
        <v>0</v>
      </c>
      <c r="AB93" s="211">
        <v>89</v>
      </c>
      <c r="AC93" s="9" t="s">
        <v>239</v>
      </c>
      <c r="AD93" s="9">
        <v>30</v>
      </c>
      <c r="AE93" s="8" t="s">
        <v>136</v>
      </c>
      <c r="AF93" s="10" t="s">
        <v>144</v>
      </c>
      <c r="AG93" s="10" t="s">
        <v>2318</v>
      </c>
      <c r="AH93" s="342">
        <v>0</v>
      </c>
      <c r="AI93" s="361">
        <v>22000000</v>
      </c>
      <c r="AK93" s="211">
        <v>89</v>
      </c>
      <c r="AL93" s="9" t="s">
        <v>240</v>
      </c>
      <c r="AM93" s="9">
        <v>3</v>
      </c>
      <c r="AN93" s="8" t="s">
        <v>445</v>
      </c>
      <c r="AO93" s="10" t="s">
        <v>357</v>
      </c>
      <c r="AP93" s="10" t="s">
        <v>2249</v>
      </c>
      <c r="AQ93" s="346">
        <v>0</v>
      </c>
      <c r="AR93" s="347">
        <v>11000000</v>
      </c>
      <c r="AT93" s="211">
        <v>89</v>
      </c>
      <c r="AU93" s="9" t="s">
        <v>58</v>
      </c>
      <c r="AV93" s="9">
        <v>18</v>
      </c>
      <c r="AW93" s="8" t="s">
        <v>396</v>
      </c>
      <c r="AX93" s="10" t="s">
        <v>364</v>
      </c>
      <c r="AY93" s="10" t="s">
        <v>2543</v>
      </c>
      <c r="AZ93" s="342">
        <v>0</v>
      </c>
      <c r="BA93" s="361">
        <v>19999999.998</v>
      </c>
      <c r="BC93" s="211">
        <v>89</v>
      </c>
      <c r="BD93" s="211" t="s">
        <v>194</v>
      </c>
      <c r="BE93" s="211">
        <v>14</v>
      </c>
      <c r="BF93" s="8" t="s">
        <v>217</v>
      </c>
      <c r="BG93" s="9" t="s">
        <v>63</v>
      </c>
      <c r="BH93" s="9" t="s">
        <v>282</v>
      </c>
      <c r="BI93" s="210">
        <v>0</v>
      </c>
      <c r="BJ93" s="115">
        <v>4400000</v>
      </c>
      <c r="BL93" s="211">
        <v>89</v>
      </c>
      <c r="BM93" s="9" t="s">
        <v>242</v>
      </c>
      <c r="BN93" s="9">
        <v>25</v>
      </c>
      <c r="BO93" s="8" t="s">
        <v>96</v>
      </c>
      <c r="BP93" s="10" t="s">
        <v>354</v>
      </c>
      <c r="BQ93" s="10" t="s">
        <v>502</v>
      </c>
      <c r="BR93" s="210">
        <v>0</v>
      </c>
      <c r="BS93" s="361">
        <v>6600000</v>
      </c>
      <c r="BU93" s="211">
        <v>89</v>
      </c>
      <c r="BV93" s="9" t="s">
        <v>244</v>
      </c>
      <c r="BW93" s="9">
        <v>8</v>
      </c>
      <c r="BX93" s="8" t="s">
        <v>591</v>
      </c>
      <c r="BY93" s="9" t="s">
        <v>62</v>
      </c>
      <c r="BZ93" s="9" t="s">
        <v>586</v>
      </c>
      <c r="CA93" s="342">
        <v>0</v>
      </c>
      <c r="CB93" s="344">
        <v>35200000</v>
      </c>
      <c r="CD93" s="211">
        <v>89</v>
      </c>
      <c r="CE93" s="9" t="s">
        <v>194</v>
      </c>
      <c r="CF93" s="9">
        <v>11</v>
      </c>
      <c r="CG93" s="8" t="s">
        <v>151</v>
      </c>
      <c r="CH93" s="9" t="s">
        <v>144</v>
      </c>
      <c r="CI93" s="10" t="s">
        <v>152</v>
      </c>
      <c r="CJ93" s="210">
        <v>0</v>
      </c>
      <c r="CK93" s="115">
        <v>130000</v>
      </c>
      <c r="CM93" s="211">
        <v>23</v>
      </c>
      <c r="CN93" s="9" t="s">
        <v>140</v>
      </c>
      <c r="CO93" s="9">
        <v>28</v>
      </c>
      <c r="CP93" s="8" t="s">
        <v>40</v>
      </c>
      <c r="CQ93" s="9" t="s">
        <v>364</v>
      </c>
      <c r="CR93" s="9" t="s">
        <v>1639</v>
      </c>
      <c r="CS93" s="343">
        <v>0</v>
      </c>
      <c r="CT93" s="345">
        <v>10450000</v>
      </c>
      <c r="CV93" s="211">
        <v>1</v>
      </c>
      <c r="CW93" s="9" t="s">
        <v>239</v>
      </c>
      <c r="CX93" s="9">
        <v>21</v>
      </c>
      <c r="CY93" s="8" t="s">
        <v>396</v>
      </c>
      <c r="CZ93" s="10" t="s">
        <v>354</v>
      </c>
      <c r="DA93" s="10" t="s">
        <v>397</v>
      </c>
      <c r="DB93" s="345">
        <v>215454.54279999435</v>
      </c>
    </row>
    <row r="94" spans="1:106" s="73" customFormat="1">
      <c r="A94" s="211">
        <v>90</v>
      </c>
      <c r="B94" s="211" t="s">
        <v>240</v>
      </c>
      <c r="C94" s="211">
        <v>3</v>
      </c>
      <c r="D94" s="8" t="s">
        <v>216</v>
      </c>
      <c r="E94" s="9" t="s">
        <v>354</v>
      </c>
      <c r="F94" s="9" t="s">
        <v>278</v>
      </c>
      <c r="G94" s="210">
        <v>1650</v>
      </c>
      <c r="H94" s="115">
        <v>0</v>
      </c>
      <c r="J94" s="211">
        <v>90</v>
      </c>
      <c r="K94" s="211" t="s">
        <v>244</v>
      </c>
      <c r="L94" s="211">
        <v>4</v>
      </c>
      <c r="M94" s="8" t="s">
        <v>213</v>
      </c>
      <c r="N94" s="10" t="s">
        <v>355</v>
      </c>
      <c r="O94" s="10" t="s">
        <v>269</v>
      </c>
      <c r="P94" s="210">
        <v>0</v>
      </c>
      <c r="Q94" s="115">
        <v>20350000</v>
      </c>
      <c r="S94" s="211">
        <v>90</v>
      </c>
      <c r="T94" s="211" t="s">
        <v>194</v>
      </c>
      <c r="U94" s="211">
        <v>18</v>
      </c>
      <c r="V94" s="8" t="s">
        <v>217</v>
      </c>
      <c r="W94" s="9" t="s">
        <v>144</v>
      </c>
      <c r="X94" s="9" t="s">
        <v>279</v>
      </c>
      <c r="Y94" s="210">
        <v>0</v>
      </c>
      <c r="Z94" s="115">
        <v>9353850</v>
      </c>
      <c r="AB94" s="211">
        <v>90</v>
      </c>
      <c r="AC94" s="9" t="s">
        <v>240</v>
      </c>
      <c r="AD94" s="9">
        <v>6</v>
      </c>
      <c r="AE94" s="8" t="s">
        <v>136</v>
      </c>
      <c r="AF94" s="10" t="s">
        <v>354</v>
      </c>
      <c r="AG94" s="10" t="s">
        <v>2320</v>
      </c>
      <c r="AH94" s="342">
        <v>0</v>
      </c>
      <c r="AI94" s="361">
        <v>9900000</v>
      </c>
      <c r="AK94" s="211">
        <v>90</v>
      </c>
      <c r="AL94" s="9" t="s">
        <v>58</v>
      </c>
      <c r="AM94" s="9">
        <v>2</v>
      </c>
      <c r="AN94" s="8" t="s">
        <v>445</v>
      </c>
      <c r="AO94" s="10" t="s">
        <v>357</v>
      </c>
      <c r="AP94" s="10" t="s">
        <v>2437</v>
      </c>
      <c r="AQ94" s="346">
        <v>0</v>
      </c>
      <c r="AR94" s="347">
        <v>11000000</v>
      </c>
      <c r="AT94" s="211">
        <v>90</v>
      </c>
      <c r="AU94" s="9" t="s">
        <v>58</v>
      </c>
      <c r="AV94" s="9">
        <v>18</v>
      </c>
      <c r="AW94" s="8" t="s">
        <v>396</v>
      </c>
      <c r="AX94" s="10" t="s">
        <v>364</v>
      </c>
      <c r="AY94" s="10" t="s">
        <v>2544</v>
      </c>
      <c r="AZ94" s="342">
        <v>0</v>
      </c>
      <c r="BA94" s="361">
        <v>19999999.998</v>
      </c>
      <c r="BC94" s="211">
        <v>90</v>
      </c>
      <c r="BD94" s="211" t="s">
        <v>194</v>
      </c>
      <c r="BE94" s="211">
        <v>18</v>
      </c>
      <c r="BF94" s="8" t="s">
        <v>217</v>
      </c>
      <c r="BG94" s="9" t="s">
        <v>63</v>
      </c>
      <c r="BH94" s="9" t="s">
        <v>283</v>
      </c>
      <c r="BI94" s="210">
        <v>0</v>
      </c>
      <c r="BJ94" s="115">
        <v>3300000</v>
      </c>
      <c r="BL94" s="211">
        <v>90</v>
      </c>
      <c r="BM94" s="9" t="s">
        <v>243</v>
      </c>
      <c r="BN94" s="9">
        <v>11</v>
      </c>
      <c r="BO94" s="8" t="s">
        <v>96</v>
      </c>
      <c r="BP94" s="10" t="s">
        <v>354</v>
      </c>
      <c r="BQ94" s="10" t="s">
        <v>545</v>
      </c>
      <c r="BR94" s="342">
        <v>0</v>
      </c>
      <c r="BS94" s="344">
        <v>6600000</v>
      </c>
      <c r="BU94" s="211">
        <v>90</v>
      </c>
      <c r="BV94" s="211" t="s">
        <v>238</v>
      </c>
      <c r="BW94" s="211">
        <v>24</v>
      </c>
      <c r="BX94" s="186" t="s">
        <v>35</v>
      </c>
      <c r="BY94" s="9" t="s">
        <v>354</v>
      </c>
      <c r="BZ94" s="9" t="s">
        <v>251</v>
      </c>
      <c r="CA94" s="210">
        <v>0</v>
      </c>
      <c r="CB94" s="115">
        <v>44004894</v>
      </c>
      <c r="CD94" s="211">
        <v>90</v>
      </c>
      <c r="CE94" s="9" t="s">
        <v>244</v>
      </c>
      <c r="CF94" s="9">
        <v>8</v>
      </c>
      <c r="CG94" s="8" t="s">
        <v>151</v>
      </c>
      <c r="CH94" s="9" t="s">
        <v>354</v>
      </c>
      <c r="CI94" s="10" t="s">
        <v>587</v>
      </c>
      <c r="CJ94" s="210">
        <v>0</v>
      </c>
      <c r="CK94" s="115">
        <v>24200000</v>
      </c>
      <c r="CM94" s="211">
        <v>24</v>
      </c>
      <c r="CN94" s="9" t="s">
        <v>140</v>
      </c>
      <c r="CO94" s="9">
        <v>29</v>
      </c>
      <c r="CP94" s="8" t="s">
        <v>40</v>
      </c>
      <c r="CQ94" s="9" t="s">
        <v>1652</v>
      </c>
      <c r="CR94" s="9" t="s">
        <v>1653</v>
      </c>
      <c r="CS94" s="343">
        <v>0</v>
      </c>
      <c r="CT94" s="345">
        <v>12100000</v>
      </c>
      <c r="CV94" s="211">
        <v>2</v>
      </c>
      <c r="CW94" s="9" t="s">
        <v>58</v>
      </c>
      <c r="CX94" s="9">
        <v>11</v>
      </c>
      <c r="CY94" s="8" t="s">
        <v>396</v>
      </c>
      <c r="CZ94" s="10" t="s">
        <v>354</v>
      </c>
      <c r="DA94" s="10" t="s">
        <v>434</v>
      </c>
      <c r="DB94" s="345">
        <v>215454.54279999435</v>
      </c>
    </row>
    <row r="95" spans="1:106" s="73" customFormat="1">
      <c r="A95" s="211">
        <v>91</v>
      </c>
      <c r="B95" s="211" t="s">
        <v>194</v>
      </c>
      <c r="C95" s="211">
        <v>18</v>
      </c>
      <c r="D95" s="8" t="s">
        <v>217</v>
      </c>
      <c r="E95" s="9" t="s">
        <v>144</v>
      </c>
      <c r="F95" s="9" t="s">
        <v>279</v>
      </c>
      <c r="G95" s="210">
        <v>0</v>
      </c>
      <c r="H95" s="115">
        <v>9353850</v>
      </c>
      <c r="J95" s="211">
        <v>91</v>
      </c>
      <c r="K95" s="211" t="s">
        <v>245</v>
      </c>
      <c r="L95" s="211">
        <v>21</v>
      </c>
      <c r="M95" s="8" t="s">
        <v>213</v>
      </c>
      <c r="N95" s="10" t="s">
        <v>355</v>
      </c>
      <c r="O95" s="10" t="s">
        <v>270</v>
      </c>
      <c r="P95" s="210">
        <v>0</v>
      </c>
      <c r="Q95" s="115">
        <v>20350000</v>
      </c>
      <c r="S95" s="211">
        <v>91</v>
      </c>
      <c r="T95" s="211" t="s">
        <v>194</v>
      </c>
      <c r="U95" s="211">
        <v>8</v>
      </c>
      <c r="V95" s="8" t="s">
        <v>217</v>
      </c>
      <c r="W95" s="9" t="s">
        <v>118</v>
      </c>
      <c r="X95" s="9" t="s">
        <v>280</v>
      </c>
      <c r="Y95" s="210">
        <v>0</v>
      </c>
      <c r="Z95" s="115">
        <v>3750000</v>
      </c>
      <c r="AB95" s="211">
        <v>91</v>
      </c>
      <c r="AC95" s="9" t="s">
        <v>240</v>
      </c>
      <c r="AD95" s="9">
        <v>6</v>
      </c>
      <c r="AE95" s="8" t="s">
        <v>136</v>
      </c>
      <c r="AF95" s="10" t="s">
        <v>354</v>
      </c>
      <c r="AG95" s="10" t="s">
        <v>2322</v>
      </c>
      <c r="AH95" s="342">
        <v>0</v>
      </c>
      <c r="AI95" s="361">
        <v>54450000</v>
      </c>
      <c r="AK95" s="211">
        <v>91</v>
      </c>
      <c r="AL95" s="9" t="s">
        <v>240</v>
      </c>
      <c r="AM95" s="9">
        <v>3</v>
      </c>
      <c r="AN95" s="8" t="s">
        <v>1623</v>
      </c>
      <c r="AO95" s="10" t="s">
        <v>364</v>
      </c>
      <c r="AP95" s="10" t="s">
        <v>2251</v>
      </c>
      <c r="AQ95" s="342">
        <v>0</v>
      </c>
      <c r="AR95" s="361">
        <v>24200000</v>
      </c>
      <c r="AT95" s="211">
        <v>91</v>
      </c>
      <c r="AU95" s="9" t="s">
        <v>241</v>
      </c>
      <c r="AV95" s="9">
        <v>2</v>
      </c>
      <c r="AW95" s="8" t="s">
        <v>108</v>
      </c>
      <c r="AX95" s="10" t="s">
        <v>354</v>
      </c>
      <c r="AY95" s="10" t="s">
        <v>2621</v>
      </c>
      <c r="AZ95" s="342">
        <v>0</v>
      </c>
      <c r="BA95" s="361">
        <v>24200000</v>
      </c>
      <c r="BC95" s="211">
        <v>91</v>
      </c>
      <c r="BD95" s="211" t="s">
        <v>195</v>
      </c>
      <c r="BE95" s="211">
        <v>15</v>
      </c>
      <c r="BF95" s="8" t="s">
        <v>217</v>
      </c>
      <c r="BG95" s="9" t="s">
        <v>63</v>
      </c>
      <c r="BH95" s="9" t="s">
        <v>284</v>
      </c>
      <c r="BI95" s="210">
        <v>0</v>
      </c>
      <c r="BJ95" s="115">
        <v>4400000</v>
      </c>
      <c r="BL95" s="211">
        <v>91</v>
      </c>
      <c r="BM95" s="9" t="s">
        <v>243</v>
      </c>
      <c r="BN95" s="9">
        <v>11</v>
      </c>
      <c r="BO95" s="8" t="s">
        <v>96</v>
      </c>
      <c r="BP95" s="10" t="s">
        <v>357</v>
      </c>
      <c r="BQ95" s="10" t="s">
        <v>546</v>
      </c>
      <c r="BR95" s="342">
        <v>1320</v>
      </c>
      <c r="BS95" s="344">
        <v>0</v>
      </c>
      <c r="BU95" s="211">
        <v>91</v>
      </c>
      <c r="BV95" s="211" t="s">
        <v>140</v>
      </c>
      <c r="BW95" s="211">
        <v>17</v>
      </c>
      <c r="BX95" s="186" t="s">
        <v>35</v>
      </c>
      <c r="BY95" s="9" t="s">
        <v>354</v>
      </c>
      <c r="BZ95" s="9" t="s">
        <v>252</v>
      </c>
      <c r="CA95" s="210">
        <v>0</v>
      </c>
      <c r="CB95" s="115">
        <v>21479240</v>
      </c>
      <c r="CD95" s="211">
        <v>91</v>
      </c>
      <c r="CE95" s="9" t="s">
        <v>194</v>
      </c>
      <c r="CF95" s="9">
        <v>4</v>
      </c>
      <c r="CG95" s="8" t="s">
        <v>387</v>
      </c>
      <c r="CH95" s="9" t="s">
        <v>388</v>
      </c>
      <c r="CI95" s="10" t="s">
        <v>389</v>
      </c>
      <c r="CJ95" s="210">
        <v>0</v>
      </c>
      <c r="CK95" s="115">
        <v>696000000</v>
      </c>
      <c r="CM95" s="1855" t="s">
        <v>68</v>
      </c>
      <c r="CN95" s="1855"/>
      <c r="CO95" s="1855"/>
      <c r="CP95" s="1855"/>
      <c r="CQ95" s="1855"/>
      <c r="CR95" s="1855"/>
      <c r="CS95" s="546">
        <f>SUM(CS71:CS94)</f>
        <v>0</v>
      </c>
      <c r="CT95" s="547">
        <f>SUM(CT71:CT94)</f>
        <v>294459119</v>
      </c>
      <c r="CV95" s="211">
        <v>3</v>
      </c>
      <c r="CW95" s="9" t="s">
        <v>238</v>
      </c>
      <c r="CX95" s="9">
        <v>1</v>
      </c>
      <c r="CY95" s="8" t="s">
        <v>396</v>
      </c>
      <c r="CZ95" s="10" t="s">
        <v>354</v>
      </c>
      <c r="DA95" s="10" t="s">
        <v>1557</v>
      </c>
      <c r="DB95" s="545">
        <v>143636.36279999465</v>
      </c>
    </row>
    <row r="96" spans="1:106" s="73" customFormat="1">
      <c r="A96" s="211">
        <v>92</v>
      </c>
      <c r="B96" s="211" t="s">
        <v>194</v>
      </c>
      <c r="C96" s="211">
        <v>8</v>
      </c>
      <c r="D96" s="8" t="s">
        <v>217</v>
      </c>
      <c r="E96" s="9" t="s">
        <v>118</v>
      </c>
      <c r="F96" s="9" t="s">
        <v>280</v>
      </c>
      <c r="G96" s="210">
        <v>0</v>
      </c>
      <c r="H96" s="115">
        <v>3750000</v>
      </c>
      <c r="J96" s="211">
        <v>92</v>
      </c>
      <c r="K96" s="211" t="s">
        <v>238</v>
      </c>
      <c r="L96" s="211">
        <v>4</v>
      </c>
      <c r="M96" s="8" t="s">
        <v>213</v>
      </c>
      <c r="N96" s="10" t="s">
        <v>355</v>
      </c>
      <c r="O96" s="10" t="s">
        <v>271</v>
      </c>
      <c r="P96" s="210">
        <v>0</v>
      </c>
      <c r="Q96" s="115">
        <v>20350000</v>
      </c>
      <c r="S96" s="211">
        <v>92</v>
      </c>
      <c r="T96" s="211" t="s">
        <v>194</v>
      </c>
      <c r="U96" s="211">
        <v>14</v>
      </c>
      <c r="V96" s="8" t="s">
        <v>217</v>
      </c>
      <c r="W96" s="9" t="s">
        <v>63</v>
      </c>
      <c r="X96" s="9" t="s">
        <v>281</v>
      </c>
      <c r="Y96" s="210">
        <v>0</v>
      </c>
      <c r="Z96" s="115">
        <v>3300000</v>
      </c>
      <c r="AB96" s="211">
        <v>92</v>
      </c>
      <c r="AC96" s="9" t="s">
        <v>240</v>
      </c>
      <c r="AD96" s="9">
        <v>6</v>
      </c>
      <c r="AE96" s="8" t="s">
        <v>136</v>
      </c>
      <c r="AF96" s="10" t="s">
        <v>354</v>
      </c>
      <c r="AG96" s="10" t="s">
        <v>2325</v>
      </c>
      <c r="AH96" s="342">
        <v>0</v>
      </c>
      <c r="AI96" s="361">
        <v>54450000</v>
      </c>
      <c r="AK96" s="211">
        <v>92</v>
      </c>
      <c r="AL96" s="9" t="s">
        <v>58</v>
      </c>
      <c r="AM96" s="9">
        <v>2</v>
      </c>
      <c r="AN96" s="8" t="s">
        <v>1623</v>
      </c>
      <c r="AO96" s="10" t="s">
        <v>364</v>
      </c>
      <c r="AP96" s="10" t="s">
        <v>2439</v>
      </c>
      <c r="AQ96" s="342">
        <v>0</v>
      </c>
      <c r="AR96" s="361">
        <v>24200000</v>
      </c>
      <c r="AT96" s="211">
        <v>92</v>
      </c>
      <c r="AU96" s="9" t="s">
        <v>241</v>
      </c>
      <c r="AV96" s="9">
        <v>2</v>
      </c>
      <c r="AW96" s="8" t="s">
        <v>136</v>
      </c>
      <c r="AX96" s="10" t="s">
        <v>354</v>
      </c>
      <c r="AY96" s="10" t="s">
        <v>2627</v>
      </c>
      <c r="AZ96" s="342">
        <v>0</v>
      </c>
      <c r="BA96" s="361">
        <v>54450000</v>
      </c>
      <c r="BC96" s="211">
        <v>92</v>
      </c>
      <c r="BD96" s="211" t="s">
        <v>239</v>
      </c>
      <c r="BE96" s="211">
        <v>3</v>
      </c>
      <c r="BF96" s="8" t="s">
        <v>217</v>
      </c>
      <c r="BG96" s="9" t="s">
        <v>63</v>
      </c>
      <c r="BH96" s="9" t="s">
        <v>285</v>
      </c>
      <c r="BI96" s="210">
        <v>0</v>
      </c>
      <c r="BJ96" s="115">
        <v>4400000</v>
      </c>
      <c r="BL96" s="211">
        <v>92</v>
      </c>
      <c r="BM96" s="9" t="s">
        <v>243</v>
      </c>
      <c r="BN96" s="9">
        <v>24</v>
      </c>
      <c r="BO96" s="8" t="s">
        <v>96</v>
      </c>
      <c r="BP96" s="10" t="s">
        <v>354</v>
      </c>
      <c r="BQ96" s="10" t="s">
        <v>564</v>
      </c>
      <c r="BR96" s="342">
        <v>0</v>
      </c>
      <c r="BS96" s="344">
        <v>6600000</v>
      </c>
      <c r="BU96" s="211">
        <v>92</v>
      </c>
      <c r="BV96" s="211" t="s">
        <v>14</v>
      </c>
      <c r="BW96" s="211" t="s">
        <v>14</v>
      </c>
      <c r="BX96" s="186" t="s">
        <v>35</v>
      </c>
      <c r="BY96" s="9" t="s">
        <v>354</v>
      </c>
      <c r="BZ96" s="9" t="s">
        <v>386</v>
      </c>
      <c r="CA96" s="210">
        <v>0</v>
      </c>
      <c r="CB96" s="115">
        <v>202783333</v>
      </c>
      <c r="CD96" s="211">
        <v>92</v>
      </c>
      <c r="CE96" s="9" t="s">
        <v>194</v>
      </c>
      <c r="CF96" s="9">
        <v>11</v>
      </c>
      <c r="CG96" s="8" t="s">
        <v>40</v>
      </c>
      <c r="CH96" s="9" t="s">
        <v>354</v>
      </c>
      <c r="CI96" s="9" t="s">
        <v>153</v>
      </c>
      <c r="CJ96" s="210">
        <v>0</v>
      </c>
      <c r="CK96" s="537">
        <v>-0.31</v>
      </c>
      <c r="CM96" s="211">
        <v>1</v>
      </c>
      <c r="CN96" s="9" t="s">
        <v>140</v>
      </c>
      <c r="CO96" s="9">
        <v>1</v>
      </c>
      <c r="CP96" s="8" t="s">
        <v>128</v>
      </c>
      <c r="CQ96" s="9" t="s">
        <v>376</v>
      </c>
      <c r="CR96" s="9" t="s">
        <v>1553</v>
      </c>
      <c r="CS96" s="343">
        <v>0</v>
      </c>
      <c r="CT96" s="345">
        <v>11000000</v>
      </c>
      <c r="CV96" s="211">
        <v>4</v>
      </c>
      <c r="CW96" s="9" t="s">
        <v>244</v>
      </c>
      <c r="CX96" s="9">
        <v>1</v>
      </c>
      <c r="CY96" s="8" t="s">
        <v>396</v>
      </c>
      <c r="CZ96" s="10" t="s">
        <v>354</v>
      </c>
      <c r="DA96" s="10" t="s">
        <v>613</v>
      </c>
      <c r="DB96" s="545">
        <f>0.18*4</f>
        <v>0.72</v>
      </c>
    </row>
    <row r="97" spans="1:106" s="73" customFormat="1">
      <c r="A97" s="211">
        <v>93</v>
      </c>
      <c r="B97" s="211" t="s">
        <v>194</v>
      </c>
      <c r="C97" s="211">
        <v>14</v>
      </c>
      <c r="D97" s="8" t="s">
        <v>217</v>
      </c>
      <c r="E97" s="9" t="s">
        <v>63</v>
      </c>
      <c r="F97" s="9" t="s">
        <v>281</v>
      </c>
      <c r="G97" s="210">
        <v>0</v>
      </c>
      <c r="H97" s="115">
        <v>3300000</v>
      </c>
      <c r="J97" s="211">
        <v>93</v>
      </c>
      <c r="K97" s="211" t="s">
        <v>140</v>
      </c>
      <c r="L97" s="211">
        <v>3</v>
      </c>
      <c r="M97" s="8" t="s">
        <v>213</v>
      </c>
      <c r="N97" s="10" t="s">
        <v>355</v>
      </c>
      <c r="O97" s="10" t="s">
        <v>272</v>
      </c>
      <c r="P97" s="210">
        <v>0</v>
      </c>
      <c r="Q97" s="115">
        <v>20350000</v>
      </c>
      <c r="S97" s="211">
        <v>93</v>
      </c>
      <c r="T97" s="211" t="s">
        <v>194</v>
      </c>
      <c r="U97" s="211">
        <v>14</v>
      </c>
      <c r="V97" s="8" t="s">
        <v>217</v>
      </c>
      <c r="W97" s="9" t="s">
        <v>63</v>
      </c>
      <c r="X97" s="9" t="s">
        <v>282</v>
      </c>
      <c r="Y97" s="210">
        <v>0</v>
      </c>
      <c r="Z97" s="115">
        <v>4400000</v>
      </c>
      <c r="AB97" s="211">
        <v>93</v>
      </c>
      <c r="AC97" s="211" t="s">
        <v>244</v>
      </c>
      <c r="AD97" s="211">
        <v>24</v>
      </c>
      <c r="AE97" s="8" t="s">
        <v>212</v>
      </c>
      <c r="AF97" s="10" t="s">
        <v>62</v>
      </c>
      <c r="AG97" s="10" t="s">
        <v>267</v>
      </c>
      <c r="AH97" s="210">
        <v>0</v>
      </c>
      <c r="AI97" s="344">
        <v>5000000</v>
      </c>
      <c r="AK97" s="211">
        <v>93</v>
      </c>
      <c r="AL97" s="211" t="s">
        <v>242</v>
      </c>
      <c r="AM97" s="211">
        <v>29</v>
      </c>
      <c r="AN97" s="8" t="s">
        <v>215</v>
      </c>
      <c r="AO97" s="10" t="s">
        <v>118</v>
      </c>
      <c r="AP97" s="9" t="s">
        <v>273</v>
      </c>
      <c r="AQ97" s="210">
        <v>99</v>
      </c>
      <c r="AR97" s="115">
        <v>0</v>
      </c>
      <c r="AT97" s="211">
        <v>93</v>
      </c>
      <c r="AU97" s="9" t="s">
        <v>241</v>
      </c>
      <c r="AV97" s="9">
        <v>2</v>
      </c>
      <c r="AW97" s="8" t="s">
        <v>136</v>
      </c>
      <c r="AX97" s="10" t="s">
        <v>354</v>
      </c>
      <c r="AY97" s="10" t="s">
        <v>2628</v>
      </c>
      <c r="AZ97" s="342">
        <v>0</v>
      </c>
      <c r="BA97" s="361">
        <v>54450000</v>
      </c>
      <c r="BC97" s="211">
        <v>93</v>
      </c>
      <c r="BD97" s="211" t="s">
        <v>239</v>
      </c>
      <c r="BE97" s="211">
        <v>3</v>
      </c>
      <c r="BF97" s="8" t="s">
        <v>217</v>
      </c>
      <c r="BG97" s="9" t="s">
        <v>63</v>
      </c>
      <c r="BH97" s="9" t="s">
        <v>286</v>
      </c>
      <c r="BI97" s="210">
        <v>0</v>
      </c>
      <c r="BJ97" s="115">
        <v>3300000</v>
      </c>
      <c r="BL97" s="211">
        <v>93</v>
      </c>
      <c r="BM97" s="9" t="s">
        <v>243</v>
      </c>
      <c r="BN97" s="9">
        <v>8</v>
      </c>
      <c r="BO97" s="8" t="s">
        <v>206</v>
      </c>
      <c r="BP97" s="9" t="s">
        <v>354</v>
      </c>
      <c r="BQ97" s="9" t="s">
        <v>537</v>
      </c>
      <c r="BR97" s="210">
        <v>0</v>
      </c>
      <c r="BS97" s="361">
        <v>24200000</v>
      </c>
      <c r="BU97" s="211">
        <v>93</v>
      </c>
      <c r="BV97" s="211" t="s">
        <v>140</v>
      </c>
      <c r="BW97" s="211">
        <v>17</v>
      </c>
      <c r="BX97" s="186" t="s">
        <v>35</v>
      </c>
      <c r="BY97" s="9" t="s">
        <v>354</v>
      </c>
      <c r="BZ97" s="9" t="s">
        <v>253</v>
      </c>
      <c r="CA97" s="210">
        <v>0</v>
      </c>
      <c r="CB97" s="115">
        <v>-0.16</v>
      </c>
      <c r="CD97" s="211">
        <v>93</v>
      </c>
      <c r="CE97" s="9" t="s">
        <v>194</v>
      </c>
      <c r="CF97" s="9">
        <v>11</v>
      </c>
      <c r="CG97" s="8" t="s">
        <v>40</v>
      </c>
      <c r="CH97" s="9" t="s">
        <v>374</v>
      </c>
      <c r="CI97" s="9" t="s">
        <v>154</v>
      </c>
      <c r="CJ97" s="210">
        <v>0</v>
      </c>
      <c r="CK97" s="537">
        <v>0.42</v>
      </c>
      <c r="CM97" s="1855" t="s">
        <v>68</v>
      </c>
      <c r="CN97" s="1855"/>
      <c r="CO97" s="1855"/>
      <c r="CP97" s="1855"/>
      <c r="CQ97" s="1855"/>
      <c r="CR97" s="1855"/>
      <c r="CS97" s="546">
        <f>SUM(CS96)</f>
        <v>0</v>
      </c>
      <c r="CT97" s="547">
        <f>SUM(CT96)</f>
        <v>11000000</v>
      </c>
      <c r="CV97" s="211">
        <v>5</v>
      </c>
      <c r="CW97" s="9" t="s">
        <v>140</v>
      </c>
      <c r="CX97" s="9">
        <v>1</v>
      </c>
      <c r="CY97" s="8" t="s">
        <v>396</v>
      </c>
      <c r="CZ97" s="10" t="s">
        <v>147</v>
      </c>
      <c r="DA97" s="10" t="s">
        <v>1618</v>
      </c>
      <c r="DB97" s="545">
        <v>26416</v>
      </c>
    </row>
    <row r="98" spans="1:106" s="73" customFormat="1">
      <c r="A98" s="211">
        <v>94</v>
      </c>
      <c r="B98" s="211" t="s">
        <v>194</v>
      </c>
      <c r="C98" s="211">
        <v>14</v>
      </c>
      <c r="D98" s="8" t="s">
        <v>217</v>
      </c>
      <c r="E98" s="9" t="s">
        <v>63</v>
      </c>
      <c r="F98" s="9" t="s">
        <v>282</v>
      </c>
      <c r="G98" s="210">
        <v>0</v>
      </c>
      <c r="H98" s="115">
        <v>4400000</v>
      </c>
      <c r="J98" s="211">
        <v>94</v>
      </c>
      <c r="K98" s="9" t="s">
        <v>195</v>
      </c>
      <c r="L98" s="9">
        <v>1</v>
      </c>
      <c r="M98" s="8" t="s">
        <v>445</v>
      </c>
      <c r="N98" s="10" t="s">
        <v>357</v>
      </c>
      <c r="O98" s="10" t="s">
        <v>1954</v>
      </c>
      <c r="P98" s="346">
        <v>0</v>
      </c>
      <c r="Q98" s="347">
        <v>11000000</v>
      </c>
      <c r="S98" s="211">
        <v>94</v>
      </c>
      <c r="T98" s="211" t="s">
        <v>194</v>
      </c>
      <c r="U98" s="211">
        <v>18</v>
      </c>
      <c r="V98" s="8" t="s">
        <v>217</v>
      </c>
      <c r="W98" s="9" t="s">
        <v>63</v>
      </c>
      <c r="X98" s="9" t="s">
        <v>283</v>
      </c>
      <c r="Y98" s="210">
        <v>0</v>
      </c>
      <c r="Z98" s="115">
        <v>3300000</v>
      </c>
      <c r="AB98" s="211">
        <v>94</v>
      </c>
      <c r="AC98" s="211" t="s">
        <v>243</v>
      </c>
      <c r="AD98" s="211">
        <v>14</v>
      </c>
      <c r="AE98" s="8" t="s">
        <v>213</v>
      </c>
      <c r="AF98" s="10" t="s">
        <v>355</v>
      </c>
      <c r="AG98" s="10" t="s">
        <v>268</v>
      </c>
      <c r="AH98" s="210">
        <v>0</v>
      </c>
      <c r="AI98" s="115">
        <v>20350000</v>
      </c>
      <c r="AK98" s="211">
        <v>94</v>
      </c>
      <c r="AL98" s="9" t="s">
        <v>58</v>
      </c>
      <c r="AM98" s="9">
        <v>2</v>
      </c>
      <c r="AN98" s="8" t="s">
        <v>412</v>
      </c>
      <c r="AO98" s="10" t="s">
        <v>354</v>
      </c>
      <c r="AP98" s="10" t="s">
        <v>2486</v>
      </c>
      <c r="AQ98" s="346">
        <v>0</v>
      </c>
      <c r="AR98" s="377">
        <v>806666.66299999994</v>
      </c>
      <c r="AT98" s="211">
        <v>94</v>
      </c>
      <c r="AU98" s="211" t="s">
        <v>243</v>
      </c>
      <c r="AV98" s="211">
        <v>14</v>
      </c>
      <c r="AW98" s="8" t="s">
        <v>213</v>
      </c>
      <c r="AX98" s="10" t="s">
        <v>355</v>
      </c>
      <c r="AY98" s="10" t="s">
        <v>268</v>
      </c>
      <c r="AZ98" s="210">
        <v>0</v>
      </c>
      <c r="BA98" s="115">
        <v>20350000</v>
      </c>
      <c r="BC98" s="211">
        <v>94</v>
      </c>
      <c r="BD98" s="211" t="s">
        <v>240</v>
      </c>
      <c r="BE98" s="211">
        <v>1</v>
      </c>
      <c r="BF98" s="8" t="s">
        <v>217</v>
      </c>
      <c r="BG98" s="9" t="s">
        <v>63</v>
      </c>
      <c r="BH98" s="9" t="s">
        <v>287</v>
      </c>
      <c r="BI98" s="210">
        <v>0</v>
      </c>
      <c r="BJ98" s="115">
        <v>4400000</v>
      </c>
      <c r="BL98" s="211">
        <v>94</v>
      </c>
      <c r="BM98" s="9" t="s">
        <v>243</v>
      </c>
      <c r="BN98" s="9">
        <v>8</v>
      </c>
      <c r="BO98" s="8" t="s">
        <v>206</v>
      </c>
      <c r="BP98" s="9" t="s">
        <v>354</v>
      </c>
      <c r="BQ98" s="9" t="s">
        <v>538</v>
      </c>
      <c r="BR98" s="210">
        <v>0</v>
      </c>
      <c r="BS98" s="361">
        <v>24200000</v>
      </c>
      <c r="BU98" s="211">
        <v>94</v>
      </c>
      <c r="BV98" s="9" t="s">
        <v>194</v>
      </c>
      <c r="BW98" s="9">
        <v>15</v>
      </c>
      <c r="BX98" s="8" t="s">
        <v>35</v>
      </c>
      <c r="BY98" s="9" t="s">
        <v>354</v>
      </c>
      <c r="BZ98" s="9" t="s">
        <v>149</v>
      </c>
      <c r="CA98" s="210">
        <v>0</v>
      </c>
      <c r="CB98" s="115">
        <v>-0.08</v>
      </c>
      <c r="CD98" s="211">
        <v>94</v>
      </c>
      <c r="CE98" s="9" t="s">
        <v>194</v>
      </c>
      <c r="CF98" s="9">
        <v>11</v>
      </c>
      <c r="CG98" s="8" t="s">
        <v>40</v>
      </c>
      <c r="CH98" s="9" t="s">
        <v>354</v>
      </c>
      <c r="CI98" s="9" t="s">
        <v>155</v>
      </c>
      <c r="CJ98" s="210">
        <v>0</v>
      </c>
      <c r="CK98" s="537">
        <v>0.38</v>
      </c>
      <c r="CM98" s="211">
        <v>1</v>
      </c>
      <c r="CN98" s="9" t="s">
        <v>140</v>
      </c>
      <c r="CO98" s="9">
        <v>30</v>
      </c>
      <c r="CP98" s="8" t="s">
        <v>159</v>
      </c>
      <c r="CQ98" s="9" t="s">
        <v>355</v>
      </c>
      <c r="CR98" s="9" t="s">
        <v>1722</v>
      </c>
      <c r="CS98" s="342">
        <v>0</v>
      </c>
      <c r="CT98" s="344">
        <v>14630000</v>
      </c>
      <c r="CV98" s="1855" t="s">
        <v>68</v>
      </c>
      <c r="CW98" s="1855"/>
      <c r="CX98" s="1855"/>
      <c r="CY98" s="1855"/>
      <c r="CZ98" s="1855"/>
      <c r="DA98" s="1855"/>
      <c r="DB98" s="547">
        <f>SUM(DB93:DB97)</f>
        <v>600962.16839998332</v>
      </c>
    </row>
    <row r="99" spans="1:106" s="73" customFormat="1">
      <c r="A99" s="211">
        <v>95</v>
      </c>
      <c r="B99" s="211" t="s">
        <v>194</v>
      </c>
      <c r="C99" s="211">
        <v>18</v>
      </c>
      <c r="D99" s="8" t="s">
        <v>217</v>
      </c>
      <c r="E99" s="9" t="s">
        <v>63</v>
      </c>
      <c r="F99" s="9" t="s">
        <v>283</v>
      </c>
      <c r="G99" s="210">
        <v>0</v>
      </c>
      <c r="H99" s="115">
        <v>3300000</v>
      </c>
      <c r="J99" s="211">
        <v>95</v>
      </c>
      <c r="K99" s="9" t="s">
        <v>195</v>
      </c>
      <c r="L99" s="9">
        <v>8</v>
      </c>
      <c r="M99" s="8" t="s">
        <v>1623</v>
      </c>
      <c r="N99" s="10" t="s">
        <v>364</v>
      </c>
      <c r="O99" s="10" t="s">
        <v>1861</v>
      </c>
      <c r="P99" s="342">
        <v>0</v>
      </c>
      <c r="Q99" s="361">
        <v>24200000</v>
      </c>
      <c r="S99" s="211">
        <v>95</v>
      </c>
      <c r="T99" s="211" t="s">
        <v>195</v>
      </c>
      <c r="U99" s="211">
        <v>15</v>
      </c>
      <c r="V99" s="8" t="s">
        <v>217</v>
      </c>
      <c r="W99" s="9" t="s">
        <v>63</v>
      </c>
      <c r="X99" s="9" t="s">
        <v>284</v>
      </c>
      <c r="Y99" s="210">
        <v>0</v>
      </c>
      <c r="Z99" s="115">
        <v>4400000</v>
      </c>
      <c r="AB99" s="211">
        <v>95</v>
      </c>
      <c r="AC99" s="211" t="s">
        <v>244</v>
      </c>
      <c r="AD99" s="211">
        <v>4</v>
      </c>
      <c r="AE99" s="8" t="s">
        <v>213</v>
      </c>
      <c r="AF99" s="10" t="s">
        <v>355</v>
      </c>
      <c r="AG99" s="10" t="s">
        <v>269</v>
      </c>
      <c r="AH99" s="210">
        <v>0</v>
      </c>
      <c r="AI99" s="115">
        <v>20350000</v>
      </c>
      <c r="AK99" s="211">
        <v>95</v>
      </c>
      <c r="AL99" s="211" t="s">
        <v>140</v>
      </c>
      <c r="AM99" s="211">
        <v>1</v>
      </c>
      <c r="AN99" s="8" t="s">
        <v>216</v>
      </c>
      <c r="AO99" s="9" t="s">
        <v>354</v>
      </c>
      <c r="AP99" s="9" t="s">
        <v>275</v>
      </c>
      <c r="AQ99" s="210">
        <v>620</v>
      </c>
      <c r="AR99" s="115">
        <v>0</v>
      </c>
      <c r="AT99" s="211">
        <v>95</v>
      </c>
      <c r="AU99" s="211" t="s">
        <v>244</v>
      </c>
      <c r="AV99" s="211">
        <v>4</v>
      </c>
      <c r="AW99" s="8" t="s">
        <v>213</v>
      </c>
      <c r="AX99" s="10" t="s">
        <v>355</v>
      </c>
      <c r="AY99" s="10" t="s">
        <v>269</v>
      </c>
      <c r="AZ99" s="210">
        <v>0</v>
      </c>
      <c r="BA99" s="115">
        <v>20350000</v>
      </c>
      <c r="BC99" s="211">
        <v>95</v>
      </c>
      <c r="BD99" s="211" t="s">
        <v>58</v>
      </c>
      <c r="BE99" s="211">
        <v>5</v>
      </c>
      <c r="BF99" s="8" t="s">
        <v>217</v>
      </c>
      <c r="BG99" s="9" t="s">
        <v>63</v>
      </c>
      <c r="BH99" s="9" t="s">
        <v>288</v>
      </c>
      <c r="BI99" s="210">
        <v>0</v>
      </c>
      <c r="BJ99" s="115">
        <v>4400000</v>
      </c>
      <c r="BL99" s="211">
        <v>95</v>
      </c>
      <c r="BM99" s="9" t="s">
        <v>243</v>
      </c>
      <c r="BN99" s="9">
        <v>8</v>
      </c>
      <c r="BO99" s="8" t="s">
        <v>206</v>
      </c>
      <c r="BP99" s="9" t="s">
        <v>354</v>
      </c>
      <c r="BQ99" s="9" t="s">
        <v>539</v>
      </c>
      <c r="BR99" s="210">
        <v>0</v>
      </c>
      <c r="BS99" s="361">
        <v>24200000</v>
      </c>
      <c r="BU99" s="211">
        <v>95</v>
      </c>
      <c r="BV99" s="9" t="s">
        <v>195</v>
      </c>
      <c r="BW99" s="9">
        <v>10</v>
      </c>
      <c r="BX99" s="8" t="s">
        <v>35</v>
      </c>
      <c r="BY99" s="9" t="s">
        <v>354</v>
      </c>
      <c r="BZ99" s="9" t="s">
        <v>150</v>
      </c>
      <c r="CA99" s="210">
        <v>0</v>
      </c>
      <c r="CB99" s="115">
        <v>0.52</v>
      </c>
      <c r="CD99" s="211">
        <v>95</v>
      </c>
      <c r="CE99" s="9" t="s">
        <v>194</v>
      </c>
      <c r="CF99" s="9">
        <v>11</v>
      </c>
      <c r="CG99" s="8" t="s">
        <v>40</v>
      </c>
      <c r="CH99" s="9" t="s">
        <v>355</v>
      </c>
      <c r="CI99" s="9" t="s">
        <v>156</v>
      </c>
      <c r="CJ99" s="210">
        <v>0</v>
      </c>
      <c r="CK99" s="537">
        <v>0.42</v>
      </c>
      <c r="CM99" s="211">
        <v>2</v>
      </c>
      <c r="CN99" s="9" t="s">
        <v>140</v>
      </c>
      <c r="CO99" s="9">
        <v>30</v>
      </c>
      <c r="CP99" s="8" t="s">
        <v>159</v>
      </c>
      <c r="CQ99" s="9" t="s">
        <v>364</v>
      </c>
      <c r="CR99" s="9" t="s">
        <v>1724</v>
      </c>
      <c r="CS99" s="342">
        <v>0</v>
      </c>
      <c r="CT99" s="344">
        <v>550000</v>
      </c>
      <c r="CV99" s="211">
        <v>1</v>
      </c>
      <c r="CW99" s="9" t="s">
        <v>245</v>
      </c>
      <c r="CX99" s="9">
        <v>20</v>
      </c>
      <c r="CY99" s="11" t="s">
        <v>639</v>
      </c>
      <c r="CZ99" s="9" t="s">
        <v>147</v>
      </c>
      <c r="DA99" s="9" t="s">
        <v>640</v>
      </c>
      <c r="DB99" s="344">
        <v>-0.37999999523162842</v>
      </c>
    </row>
    <row r="100" spans="1:106" s="73" customFormat="1">
      <c r="A100" s="211">
        <v>96</v>
      </c>
      <c r="B100" s="211" t="s">
        <v>195</v>
      </c>
      <c r="C100" s="211">
        <v>15</v>
      </c>
      <c r="D100" s="8" t="s">
        <v>217</v>
      </c>
      <c r="E100" s="9" t="s">
        <v>63</v>
      </c>
      <c r="F100" s="9" t="s">
        <v>284</v>
      </c>
      <c r="G100" s="210">
        <v>0</v>
      </c>
      <c r="H100" s="115">
        <v>4400000</v>
      </c>
      <c r="J100" s="211">
        <v>96</v>
      </c>
      <c r="K100" s="9" t="s">
        <v>195</v>
      </c>
      <c r="L100" s="9">
        <v>8</v>
      </c>
      <c r="M100" s="8" t="s">
        <v>1623</v>
      </c>
      <c r="N100" s="10" t="s">
        <v>364</v>
      </c>
      <c r="O100" s="10" t="s">
        <v>1956</v>
      </c>
      <c r="P100" s="342">
        <v>0</v>
      </c>
      <c r="Q100" s="361">
        <v>24200000</v>
      </c>
      <c r="S100" s="211">
        <v>96</v>
      </c>
      <c r="T100" s="211" t="s">
        <v>239</v>
      </c>
      <c r="U100" s="211">
        <v>3</v>
      </c>
      <c r="V100" s="8" t="s">
        <v>217</v>
      </c>
      <c r="W100" s="9" t="s">
        <v>63</v>
      </c>
      <c r="X100" s="9" t="s">
        <v>285</v>
      </c>
      <c r="Y100" s="210">
        <v>0</v>
      </c>
      <c r="Z100" s="115">
        <v>4400000</v>
      </c>
      <c r="AB100" s="211">
        <v>96</v>
      </c>
      <c r="AC100" s="211" t="s">
        <v>245</v>
      </c>
      <c r="AD100" s="211">
        <v>21</v>
      </c>
      <c r="AE100" s="8" t="s">
        <v>213</v>
      </c>
      <c r="AF100" s="10" t="s">
        <v>355</v>
      </c>
      <c r="AG100" s="10" t="s">
        <v>270</v>
      </c>
      <c r="AH100" s="210">
        <v>0</v>
      </c>
      <c r="AI100" s="115">
        <v>20350000</v>
      </c>
      <c r="AK100" s="211">
        <v>96</v>
      </c>
      <c r="AL100" s="211" t="s">
        <v>194</v>
      </c>
      <c r="AM100" s="211">
        <v>10</v>
      </c>
      <c r="AN100" s="8" t="s">
        <v>216</v>
      </c>
      <c r="AO100" s="9" t="s">
        <v>354</v>
      </c>
      <c r="AP100" s="9" t="s">
        <v>276</v>
      </c>
      <c r="AQ100" s="210">
        <v>1650</v>
      </c>
      <c r="AR100" s="115">
        <v>0</v>
      </c>
      <c r="AT100" s="211">
        <v>96</v>
      </c>
      <c r="AU100" s="211" t="s">
        <v>245</v>
      </c>
      <c r="AV100" s="211">
        <v>21</v>
      </c>
      <c r="AW100" s="8" t="s">
        <v>213</v>
      </c>
      <c r="AX100" s="10" t="s">
        <v>355</v>
      </c>
      <c r="AY100" s="10" t="s">
        <v>270</v>
      </c>
      <c r="AZ100" s="210">
        <v>0</v>
      </c>
      <c r="BA100" s="115">
        <v>20350000</v>
      </c>
      <c r="BC100" s="211">
        <v>96</v>
      </c>
      <c r="BD100" s="211" t="s">
        <v>241</v>
      </c>
      <c r="BE100" s="211">
        <v>2</v>
      </c>
      <c r="BF100" s="8" t="s">
        <v>217</v>
      </c>
      <c r="BG100" s="9" t="s">
        <v>63</v>
      </c>
      <c r="BH100" s="9" t="s">
        <v>289</v>
      </c>
      <c r="BI100" s="210">
        <v>0</v>
      </c>
      <c r="BJ100" s="115">
        <v>4400000</v>
      </c>
      <c r="BL100" s="211">
        <v>96</v>
      </c>
      <c r="BM100" s="211" t="s">
        <v>238</v>
      </c>
      <c r="BN100" s="211">
        <v>24</v>
      </c>
      <c r="BO100" s="186" t="s">
        <v>35</v>
      </c>
      <c r="BP100" s="9" t="s">
        <v>354</v>
      </c>
      <c r="BQ100" s="9" t="s">
        <v>251</v>
      </c>
      <c r="BR100" s="210">
        <v>0</v>
      </c>
      <c r="BS100" s="115">
        <v>44004894</v>
      </c>
      <c r="BU100" s="211">
        <v>96</v>
      </c>
      <c r="BV100" s="9" t="s">
        <v>239</v>
      </c>
      <c r="BW100" s="9">
        <v>1</v>
      </c>
      <c r="BX100" s="8" t="s">
        <v>35</v>
      </c>
      <c r="BY100" s="9" t="s">
        <v>144</v>
      </c>
      <c r="BZ100" s="9" t="s">
        <v>401</v>
      </c>
      <c r="CA100" s="210">
        <v>0</v>
      </c>
      <c r="CB100" s="115">
        <v>-2.16</v>
      </c>
      <c r="CD100" s="211">
        <v>96</v>
      </c>
      <c r="CE100" s="9" t="s">
        <v>194</v>
      </c>
      <c r="CF100" s="9">
        <v>25</v>
      </c>
      <c r="CG100" s="8" t="s">
        <v>40</v>
      </c>
      <c r="CH100" s="9" t="s">
        <v>375</v>
      </c>
      <c r="CI100" s="9" t="s">
        <v>157</v>
      </c>
      <c r="CJ100" s="210">
        <v>0</v>
      </c>
      <c r="CK100" s="537">
        <v>0.04</v>
      </c>
      <c r="CM100" s="211">
        <v>3</v>
      </c>
      <c r="CN100" s="9" t="s">
        <v>140</v>
      </c>
      <c r="CO100" s="9">
        <v>30</v>
      </c>
      <c r="CP100" s="8" t="s">
        <v>159</v>
      </c>
      <c r="CQ100" s="9" t="s">
        <v>357</v>
      </c>
      <c r="CR100" s="9" t="s">
        <v>1727</v>
      </c>
      <c r="CS100" s="342">
        <v>0</v>
      </c>
      <c r="CT100" s="344">
        <v>1100000</v>
      </c>
      <c r="CV100" s="1855" t="s">
        <v>68</v>
      </c>
      <c r="CW100" s="1855"/>
      <c r="CX100" s="1855"/>
      <c r="CY100" s="1855"/>
      <c r="CZ100" s="1855"/>
      <c r="DA100" s="1855"/>
      <c r="DB100" s="547">
        <f>SUM(DB99)</f>
        <v>-0.37999999523162842</v>
      </c>
    </row>
    <row r="101" spans="1:106" s="73" customFormat="1">
      <c r="A101" s="211">
        <v>97</v>
      </c>
      <c r="B101" s="211" t="s">
        <v>239</v>
      </c>
      <c r="C101" s="211">
        <v>3</v>
      </c>
      <c r="D101" s="8" t="s">
        <v>217</v>
      </c>
      <c r="E101" s="9" t="s">
        <v>63</v>
      </c>
      <c r="F101" s="9" t="s">
        <v>285</v>
      </c>
      <c r="G101" s="210">
        <v>0</v>
      </c>
      <c r="H101" s="115">
        <v>4400000</v>
      </c>
      <c r="J101" s="211">
        <v>97</v>
      </c>
      <c r="K101" s="211" t="s">
        <v>242</v>
      </c>
      <c r="L101" s="211">
        <v>29</v>
      </c>
      <c r="M101" s="8" t="s">
        <v>215</v>
      </c>
      <c r="N101" s="10" t="s">
        <v>118</v>
      </c>
      <c r="O101" s="9" t="s">
        <v>273</v>
      </c>
      <c r="P101" s="210">
        <v>99</v>
      </c>
      <c r="Q101" s="115">
        <v>0</v>
      </c>
      <c r="S101" s="211">
        <v>97</v>
      </c>
      <c r="T101" s="211" t="s">
        <v>239</v>
      </c>
      <c r="U101" s="211">
        <v>3</v>
      </c>
      <c r="V101" s="8" t="s">
        <v>217</v>
      </c>
      <c r="W101" s="9" t="s">
        <v>63</v>
      </c>
      <c r="X101" s="9" t="s">
        <v>286</v>
      </c>
      <c r="Y101" s="210">
        <v>0</v>
      </c>
      <c r="Z101" s="115">
        <v>3300000</v>
      </c>
      <c r="AB101" s="211">
        <v>97</v>
      </c>
      <c r="AC101" s="211" t="s">
        <v>238</v>
      </c>
      <c r="AD101" s="211">
        <v>4</v>
      </c>
      <c r="AE101" s="8" t="s">
        <v>213</v>
      </c>
      <c r="AF101" s="10" t="s">
        <v>355</v>
      </c>
      <c r="AG101" s="10" t="s">
        <v>271</v>
      </c>
      <c r="AH101" s="210">
        <v>0</v>
      </c>
      <c r="AI101" s="115">
        <v>20350000</v>
      </c>
      <c r="AK101" s="211">
        <v>97</v>
      </c>
      <c r="AL101" s="211" t="s">
        <v>195</v>
      </c>
      <c r="AM101" s="211">
        <v>2</v>
      </c>
      <c r="AN101" s="8" t="s">
        <v>216</v>
      </c>
      <c r="AO101" s="9" t="s">
        <v>354</v>
      </c>
      <c r="AP101" s="9" t="s">
        <v>277</v>
      </c>
      <c r="AQ101" s="210">
        <v>1650</v>
      </c>
      <c r="AR101" s="115">
        <v>0</v>
      </c>
      <c r="AT101" s="211">
        <v>97</v>
      </c>
      <c r="AU101" s="211" t="s">
        <v>238</v>
      </c>
      <c r="AV101" s="211">
        <v>4</v>
      </c>
      <c r="AW101" s="8" t="s">
        <v>213</v>
      </c>
      <c r="AX101" s="10" t="s">
        <v>355</v>
      </c>
      <c r="AY101" s="10" t="s">
        <v>271</v>
      </c>
      <c r="AZ101" s="210">
        <v>0</v>
      </c>
      <c r="BA101" s="115">
        <v>20350000</v>
      </c>
      <c r="BC101" s="211">
        <v>97</v>
      </c>
      <c r="BD101" s="211" t="s">
        <v>238</v>
      </c>
      <c r="BE101" s="211">
        <v>2</v>
      </c>
      <c r="BF101" s="8" t="s">
        <v>47</v>
      </c>
      <c r="BG101" s="9" t="s">
        <v>378</v>
      </c>
      <c r="BH101" s="9" t="s">
        <v>290</v>
      </c>
      <c r="BI101" s="210">
        <v>0</v>
      </c>
      <c r="BJ101" s="115">
        <v>-15625050</v>
      </c>
      <c r="BL101" s="211">
        <v>97</v>
      </c>
      <c r="BM101" s="211" t="s">
        <v>140</v>
      </c>
      <c r="BN101" s="211">
        <v>17</v>
      </c>
      <c r="BO101" s="186" t="s">
        <v>35</v>
      </c>
      <c r="BP101" s="9" t="s">
        <v>354</v>
      </c>
      <c r="BQ101" s="9" t="s">
        <v>252</v>
      </c>
      <c r="BR101" s="210">
        <v>0</v>
      </c>
      <c r="BS101" s="115">
        <v>21479240</v>
      </c>
      <c r="BU101" s="211">
        <v>97</v>
      </c>
      <c r="BV101" s="9" t="s">
        <v>241</v>
      </c>
      <c r="BW101" s="9">
        <v>8</v>
      </c>
      <c r="BX101" s="8" t="s">
        <v>35</v>
      </c>
      <c r="BY101" s="9" t="s">
        <v>354</v>
      </c>
      <c r="BZ101" s="9" t="s">
        <v>477</v>
      </c>
      <c r="CA101" s="342">
        <v>0</v>
      </c>
      <c r="CB101" s="344">
        <v>1</v>
      </c>
      <c r="CD101" s="211">
        <v>97</v>
      </c>
      <c r="CE101" s="9" t="s">
        <v>194</v>
      </c>
      <c r="CF101" s="9">
        <v>25</v>
      </c>
      <c r="CG101" s="8" t="s">
        <v>40</v>
      </c>
      <c r="CH101" s="9" t="s">
        <v>374</v>
      </c>
      <c r="CI101" s="9" t="s">
        <v>158</v>
      </c>
      <c r="CJ101" s="210">
        <v>0</v>
      </c>
      <c r="CK101" s="537">
        <v>0.04</v>
      </c>
      <c r="CM101" s="1855" t="s">
        <v>68</v>
      </c>
      <c r="CN101" s="1855"/>
      <c r="CO101" s="1855"/>
      <c r="CP101" s="1855"/>
      <c r="CQ101" s="1855"/>
      <c r="CR101" s="1855"/>
      <c r="CS101" s="546">
        <f>SUM(CS98:CS100)</f>
        <v>0</v>
      </c>
      <c r="CT101" s="547">
        <f>SUM(CT98:CT100)</f>
        <v>16280000</v>
      </c>
      <c r="CV101" s="211">
        <v>1</v>
      </c>
      <c r="CW101" s="9" t="s">
        <v>240</v>
      </c>
      <c r="CX101" s="9">
        <v>1</v>
      </c>
      <c r="CY101" s="8" t="s">
        <v>136</v>
      </c>
      <c r="CZ101" s="10" t="s">
        <v>354</v>
      </c>
      <c r="DA101" s="9" t="s">
        <v>421</v>
      </c>
      <c r="DB101" s="344">
        <v>1.3200000002980232</v>
      </c>
    </row>
    <row r="102" spans="1:106" s="73" customFormat="1">
      <c r="A102" s="211">
        <v>98</v>
      </c>
      <c r="B102" s="211" t="s">
        <v>239</v>
      </c>
      <c r="C102" s="211">
        <v>3</v>
      </c>
      <c r="D102" s="8" t="s">
        <v>217</v>
      </c>
      <c r="E102" s="9" t="s">
        <v>63</v>
      </c>
      <c r="F102" s="9" t="s">
        <v>286</v>
      </c>
      <c r="G102" s="210">
        <v>0</v>
      </c>
      <c r="H102" s="115">
        <v>3300000</v>
      </c>
      <c r="J102" s="211">
        <v>98</v>
      </c>
      <c r="K102" s="9" t="s">
        <v>195</v>
      </c>
      <c r="L102" s="9">
        <v>1</v>
      </c>
      <c r="M102" s="8" t="s">
        <v>412</v>
      </c>
      <c r="N102" s="10" t="s">
        <v>354</v>
      </c>
      <c r="O102" s="10" t="s">
        <v>2018</v>
      </c>
      <c r="P102" s="346">
        <v>0</v>
      </c>
      <c r="Q102" s="347">
        <v>24200000</v>
      </c>
      <c r="S102" s="211">
        <v>98</v>
      </c>
      <c r="T102" s="211" t="s">
        <v>240</v>
      </c>
      <c r="U102" s="211">
        <v>1</v>
      </c>
      <c r="V102" s="8" t="s">
        <v>217</v>
      </c>
      <c r="W102" s="9" t="s">
        <v>63</v>
      </c>
      <c r="X102" s="9" t="s">
        <v>287</v>
      </c>
      <c r="Y102" s="210">
        <v>0</v>
      </c>
      <c r="Z102" s="115">
        <v>4400000</v>
      </c>
      <c r="AB102" s="211">
        <v>98</v>
      </c>
      <c r="AC102" s="211" t="s">
        <v>140</v>
      </c>
      <c r="AD102" s="211">
        <v>3</v>
      </c>
      <c r="AE102" s="8" t="s">
        <v>213</v>
      </c>
      <c r="AF102" s="10" t="s">
        <v>355</v>
      </c>
      <c r="AG102" s="10" t="s">
        <v>272</v>
      </c>
      <c r="AH102" s="210">
        <v>0</v>
      </c>
      <c r="AI102" s="115">
        <v>20350000</v>
      </c>
      <c r="AK102" s="211">
        <v>98</v>
      </c>
      <c r="AL102" s="211" t="s">
        <v>240</v>
      </c>
      <c r="AM102" s="211">
        <v>3</v>
      </c>
      <c r="AN102" s="8" t="s">
        <v>216</v>
      </c>
      <c r="AO102" s="9" t="s">
        <v>354</v>
      </c>
      <c r="AP102" s="9" t="s">
        <v>278</v>
      </c>
      <c r="AQ102" s="210">
        <v>1650</v>
      </c>
      <c r="AR102" s="115">
        <v>0</v>
      </c>
      <c r="AT102" s="211">
        <v>98</v>
      </c>
      <c r="AU102" s="211" t="s">
        <v>140</v>
      </c>
      <c r="AV102" s="211">
        <v>3</v>
      </c>
      <c r="AW102" s="8" t="s">
        <v>213</v>
      </c>
      <c r="AX102" s="10" t="s">
        <v>355</v>
      </c>
      <c r="AY102" s="10" t="s">
        <v>272</v>
      </c>
      <c r="AZ102" s="210">
        <v>0</v>
      </c>
      <c r="BA102" s="115">
        <v>20350000</v>
      </c>
      <c r="BC102" s="211">
        <v>98</v>
      </c>
      <c r="BD102" s="211" t="s">
        <v>140</v>
      </c>
      <c r="BE102" s="211">
        <v>1</v>
      </c>
      <c r="BF102" s="8" t="s">
        <v>47</v>
      </c>
      <c r="BG102" s="9" t="s">
        <v>378</v>
      </c>
      <c r="BH102" s="9" t="s">
        <v>291</v>
      </c>
      <c r="BI102" s="210">
        <v>0</v>
      </c>
      <c r="BJ102" s="115">
        <v>150000000</v>
      </c>
      <c r="BL102" s="211">
        <v>98</v>
      </c>
      <c r="BM102" s="211" t="s">
        <v>14</v>
      </c>
      <c r="BN102" s="211" t="s">
        <v>14</v>
      </c>
      <c r="BO102" s="186" t="s">
        <v>35</v>
      </c>
      <c r="BP102" s="9" t="s">
        <v>354</v>
      </c>
      <c r="BQ102" s="9" t="s">
        <v>386</v>
      </c>
      <c r="BR102" s="210">
        <v>0</v>
      </c>
      <c r="BS102" s="115">
        <v>202783333</v>
      </c>
      <c r="BU102" s="211">
        <v>98</v>
      </c>
      <c r="BV102" s="9" t="s">
        <v>243</v>
      </c>
      <c r="BW102" s="9">
        <v>29</v>
      </c>
      <c r="BX102" s="8" t="s">
        <v>35</v>
      </c>
      <c r="BY102" s="9" t="s">
        <v>62</v>
      </c>
      <c r="BZ102" s="9" t="s">
        <v>567</v>
      </c>
      <c r="CA102" s="182">
        <v>0</v>
      </c>
      <c r="CB102" s="344">
        <v>7837500</v>
      </c>
      <c r="CD102" s="211">
        <v>98</v>
      </c>
      <c r="CE102" s="9" t="s">
        <v>195</v>
      </c>
      <c r="CF102" s="9">
        <v>22</v>
      </c>
      <c r="CG102" s="8" t="s">
        <v>40</v>
      </c>
      <c r="CH102" s="9" t="s">
        <v>355</v>
      </c>
      <c r="CI102" s="9" t="s">
        <v>350</v>
      </c>
      <c r="CJ102" s="210">
        <v>0</v>
      </c>
      <c r="CK102" s="537">
        <v>7.0000000000000007E-2</v>
      </c>
      <c r="CM102" s="211">
        <v>1</v>
      </c>
      <c r="CN102" s="9" t="s">
        <v>238</v>
      </c>
      <c r="CO102" s="9">
        <v>4</v>
      </c>
      <c r="CP102" s="11" t="s">
        <v>45</v>
      </c>
      <c r="CQ102" s="9" t="s">
        <v>354</v>
      </c>
      <c r="CR102" s="9" t="s">
        <v>649</v>
      </c>
      <c r="CS102" s="343">
        <v>0</v>
      </c>
      <c r="CT102" s="345">
        <v>13200000</v>
      </c>
      <c r="CV102" s="211">
        <v>2</v>
      </c>
      <c r="CW102" s="9" t="s">
        <v>238</v>
      </c>
      <c r="CX102" s="9">
        <v>1</v>
      </c>
      <c r="CY102" s="8" t="s">
        <v>136</v>
      </c>
      <c r="CZ102" s="10" t="s">
        <v>354</v>
      </c>
      <c r="DA102" s="9" t="s">
        <v>1397</v>
      </c>
      <c r="DB102" s="344">
        <v>-0.16000000387430191</v>
      </c>
    </row>
    <row r="103" spans="1:106" s="73" customFormat="1">
      <c r="A103" s="211">
        <v>99</v>
      </c>
      <c r="B103" s="211" t="s">
        <v>240</v>
      </c>
      <c r="C103" s="211">
        <v>1</v>
      </c>
      <c r="D103" s="8" t="s">
        <v>217</v>
      </c>
      <c r="E103" s="9" t="s">
        <v>63</v>
      </c>
      <c r="F103" s="9" t="s">
        <v>287</v>
      </c>
      <c r="G103" s="210">
        <v>0</v>
      </c>
      <c r="H103" s="115">
        <v>4400000</v>
      </c>
      <c r="J103" s="211">
        <v>99</v>
      </c>
      <c r="K103" s="211" t="s">
        <v>140</v>
      </c>
      <c r="L103" s="211">
        <v>1</v>
      </c>
      <c r="M103" s="8" t="s">
        <v>216</v>
      </c>
      <c r="N103" s="9" t="s">
        <v>354</v>
      </c>
      <c r="O103" s="9" t="s">
        <v>275</v>
      </c>
      <c r="P103" s="210">
        <v>620</v>
      </c>
      <c r="Q103" s="115">
        <v>0</v>
      </c>
      <c r="S103" s="211">
        <v>99</v>
      </c>
      <c r="T103" s="211" t="s">
        <v>58</v>
      </c>
      <c r="U103" s="211">
        <v>5</v>
      </c>
      <c r="V103" s="8" t="s">
        <v>217</v>
      </c>
      <c r="W103" s="9" t="s">
        <v>63</v>
      </c>
      <c r="X103" s="9" t="s">
        <v>288</v>
      </c>
      <c r="Y103" s="210">
        <v>0</v>
      </c>
      <c r="Z103" s="115">
        <v>4400000</v>
      </c>
      <c r="AB103" s="211">
        <v>99</v>
      </c>
      <c r="AC103" s="9" t="s">
        <v>240</v>
      </c>
      <c r="AD103" s="9">
        <v>3</v>
      </c>
      <c r="AE103" s="8" t="s">
        <v>445</v>
      </c>
      <c r="AF103" s="10" t="s">
        <v>357</v>
      </c>
      <c r="AG103" s="10" t="s">
        <v>2249</v>
      </c>
      <c r="AH103" s="346">
        <v>0</v>
      </c>
      <c r="AI103" s="347">
        <v>11000000</v>
      </c>
      <c r="AK103" s="211">
        <v>99</v>
      </c>
      <c r="AL103" s="211" t="s">
        <v>194</v>
      </c>
      <c r="AM103" s="211">
        <v>18</v>
      </c>
      <c r="AN103" s="8" t="s">
        <v>217</v>
      </c>
      <c r="AO103" s="9" t="s">
        <v>144</v>
      </c>
      <c r="AP103" s="9" t="s">
        <v>279</v>
      </c>
      <c r="AQ103" s="210">
        <v>0</v>
      </c>
      <c r="AR103" s="115">
        <v>9353850</v>
      </c>
      <c r="AT103" s="211">
        <v>99</v>
      </c>
      <c r="AU103" s="9" t="s">
        <v>241</v>
      </c>
      <c r="AV103" s="9">
        <v>2</v>
      </c>
      <c r="AW103" s="8" t="s">
        <v>445</v>
      </c>
      <c r="AX103" s="10" t="s">
        <v>357</v>
      </c>
      <c r="AY103" s="10" t="s">
        <v>2609</v>
      </c>
      <c r="AZ103" s="346">
        <v>0</v>
      </c>
      <c r="BA103" s="377">
        <v>6966666.6630000006</v>
      </c>
      <c r="BC103" s="211">
        <v>99</v>
      </c>
      <c r="BD103" s="9" t="s">
        <v>194</v>
      </c>
      <c r="BE103" s="9">
        <v>6</v>
      </c>
      <c r="BF103" s="8" t="s">
        <v>47</v>
      </c>
      <c r="BG103" s="9" t="s">
        <v>378</v>
      </c>
      <c r="BH103" s="9" t="s">
        <v>161</v>
      </c>
      <c r="BI103" s="343">
        <v>0</v>
      </c>
      <c r="BJ103" s="345">
        <v>150000000</v>
      </c>
      <c r="BL103" s="211">
        <v>99</v>
      </c>
      <c r="BM103" s="211" t="s">
        <v>140</v>
      </c>
      <c r="BN103" s="211">
        <v>17</v>
      </c>
      <c r="BO103" s="186" t="s">
        <v>35</v>
      </c>
      <c r="BP103" s="9" t="s">
        <v>354</v>
      </c>
      <c r="BQ103" s="9" t="s">
        <v>253</v>
      </c>
      <c r="BR103" s="210">
        <v>0</v>
      </c>
      <c r="BS103" s="115">
        <v>-0.16</v>
      </c>
      <c r="BU103" s="211">
        <v>99</v>
      </c>
      <c r="BV103" s="9" t="s">
        <v>244</v>
      </c>
      <c r="BW103" s="9">
        <v>1</v>
      </c>
      <c r="BX103" s="8" t="s">
        <v>131</v>
      </c>
      <c r="BY103" s="9" t="s">
        <v>147</v>
      </c>
      <c r="BZ103" s="9" t="s">
        <v>573</v>
      </c>
      <c r="CA103" s="342">
        <v>0</v>
      </c>
      <c r="CB103" s="344">
        <v>1890240000</v>
      </c>
      <c r="CD103" s="211">
        <v>99</v>
      </c>
      <c r="CE103" s="9" t="s">
        <v>195</v>
      </c>
      <c r="CF103" s="9">
        <v>9</v>
      </c>
      <c r="CG103" s="8" t="s">
        <v>40</v>
      </c>
      <c r="CH103" s="9" t="s">
        <v>355</v>
      </c>
      <c r="CI103" s="9" t="s">
        <v>351</v>
      </c>
      <c r="CJ103" s="210">
        <v>0</v>
      </c>
      <c r="CK103" s="537">
        <v>0.41</v>
      </c>
      <c r="CM103" s="211">
        <v>2</v>
      </c>
      <c r="CN103" s="9" t="s">
        <v>140</v>
      </c>
      <c r="CO103" s="9">
        <v>1</v>
      </c>
      <c r="CP103" s="11" t="s">
        <v>45</v>
      </c>
      <c r="CQ103" s="9" t="s">
        <v>354</v>
      </c>
      <c r="CR103" s="9" t="s">
        <v>1545</v>
      </c>
      <c r="CS103" s="343">
        <v>0</v>
      </c>
      <c r="CT103" s="345">
        <v>13200000</v>
      </c>
      <c r="CV103" s="1855" t="s">
        <v>68</v>
      </c>
      <c r="CW103" s="1855"/>
      <c r="CX103" s="1855"/>
      <c r="CY103" s="1855"/>
      <c r="CZ103" s="1855"/>
      <c r="DA103" s="1855"/>
      <c r="DB103" s="547">
        <f>SUM(DB101:DB102)</f>
        <v>1.1599999964237213</v>
      </c>
    </row>
    <row r="104" spans="1:106" s="73" customFormat="1">
      <c r="A104" s="211">
        <v>100</v>
      </c>
      <c r="B104" s="211" t="s">
        <v>58</v>
      </c>
      <c r="C104" s="211">
        <v>5</v>
      </c>
      <c r="D104" s="8" t="s">
        <v>217</v>
      </c>
      <c r="E104" s="9" t="s">
        <v>63</v>
      </c>
      <c r="F104" s="9" t="s">
        <v>288</v>
      </c>
      <c r="G104" s="210">
        <v>0</v>
      </c>
      <c r="H104" s="115">
        <v>4400000</v>
      </c>
      <c r="J104" s="211">
        <v>100</v>
      </c>
      <c r="K104" s="211" t="s">
        <v>194</v>
      </c>
      <c r="L104" s="211">
        <v>10</v>
      </c>
      <c r="M104" s="8" t="s">
        <v>216</v>
      </c>
      <c r="N104" s="9" t="s">
        <v>354</v>
      </c>
      <c r="O104" s="9" t="s">
        <v>276</v>
      </c>
      <c r="P104" s="210">
        <v>1650</v>
      </c>
      <c r="Q104" s="115">
        <v>0</v>
      </c>
      <c r="S104" s="211">
        <v>100</v>
      </c>
      <c r="T104" s="211" t="s">
        <v>241</v>
      </c>
      <c r="U104" s="211">
        <v>2</v>
      </c>
      <c r="V104" s="8" t="s">
        <v>217</v>
      </c>
      <c r="W104" s="9" t="s">
        <v>63</v>
      </c>
      <c r="X104" s="9" t="s">
        <v>289</v>
      </c>
      <c r="Y104" s="210">
        <v>0</v>
      </c>
      <c r="Z104" s="115">
        <v>4400000</v>
      </c>
      <c r="AB104" s="211">
        <v>100</v>
      </c>
      <c r="AC104" s="9" t="s">
        <v>239</v>
      </c>
      <c r="AD104" s="9">
        <v>1</v>
      </c>
      <c r="AE104" s="8" t="s">
        <v>1623</v>
      </c>
      <c r="AF104" s="10" t="s">
        <v>364</v>
      </c>
      <c r="AG104" s="10" t="s">
        <v>2113</v>
      </c>
      <c r="AH104" s="342">
        <v>0</v>
      </c>
      <c r="AI104" s="361">
        <v>24200000</v>
      </c>
      <c r="AK104" s="211">
        <v>100</v>
      </c>
      <c r="AL104" s="211" t="s">
        <v>194</v>
      </c>
      <c r="AM104" s="211">
        <v>8</v>
      </c>
      <c r="AN104" s="8" t="s">
        <v>217</v>
      </c>
      <c r="AO104" s="9" t="s">
        <v>118</v>
      </c>
      <c r="AP104" s="9" t="s">
        <v>280</v>
      </c>
      <c r="AQ104" s="210">
        <v>0</v>
      </c>
      <c r="AR104" s="115">
        <v>3750000</v>
      </c>
      <c r="AT104" s="211">
        <v>100</v>
      </c>
      <c r="AU104" s="9" t="s">
        <v>58</v>
      </c>
      <c r="AV104" s="9">
        <v>2</v>
      </c>
      <c r="AW104" s="8" t="s">
        <v>1623</v>
      </c>
      <c r="AX104" s="10" t="s">
        <v>364</v>
      </c>
      <c r="AY104" s="10" t="s">
        <v>2439</v>
      </c>
      <c r="AZ104" s="342">
        <v>0</v>
      </c>
      <c r="BA104" s="361">
        <v>24200000</v>
      </c>
      <c r="BC104" s="211">
        <v>100</v>
      </c>
      <c r="BD104" s="9" t="s">
        <v>195</v>
      </c>
      <c r="BE104" s="9">
        <v>1</v>
      </c>
      <c r="BF104" s="8" t="s">
        <v>47</v>
      </c>
      <c r="BG104" s="9" t="s">
        <v>378</v>
      </c>
      <c r="BH104" s="9" t="s">
        <v>162</v>
      </c>
      <c r="BI104" s="343">
        <v>0</v>
      </c>
      <c r="BJ104" s="345">
        <v>150000000</v>
      </c>
      <c r="BL104" s="211">
        <v>100</v>
      </c>
      <c r="BM104" s="9" t="s">
        <v>194</v>
      </c>
      <c r="BN104" s="9">
        <v>15</v>
      </c>
      <c r="BO104" s="8" t="s">
        <v>35</v>
      </c>
      <c r="BP104" s="9" t="s">
        <v>354</v>
      </c>
      <c r="BQ104" s="9" t="s">
        <v>149</v>
      </c>
      <c r="BR104" s="210">
        <v>0</v>
      </c>
      <c r="BS104" s="115">
        <v>-0.08</v>
      </c>
      <c r="BU104" s="211">
        <v>100</v>
      </c>
      <c r="BV104" s="211" t="s">
        <v>239</v>
      </c>
      <c r="BW104" s="211">
        <v>20</v>
      </c>
      <c r="BX104" s="186" t="s">
        <v>112</v>
      </c>
      <c r="BY104" s="10" t="s">
        <v>354</v>
      </c>
      <c r="BZ104" s="10" t="s">
        <v>254</v>
      </c>
      <c r="CA104" s="210">
        <v>330</v>
      </c>
      <c r="CB104" s="115">
        <v>0</v>
      </c>
      <c r="CD104" s="211">
        <v>100</v>
      </c>
      <c r="CE104" s="9" t="s">
        <v>239</v>
      </c>
      <c r="CF104" s="9">
        <v>3</v>
      </c>
      <c r="CG104" s="8" t="s">
        <v>40</v>
      </c>
      <c r="CH104" s="9" t="s">
        <v>354</v>
      </c>
      <c r="CI104" s="9" t="s">
        <v>398</v>
      </c>
      <c r="CJ104" s="210">
        <v>0</v>
      </c>
      <c r="CK104" s="537">
        <v>0.17</v>
      </c>
      <c r="CM104" s="1855" t="s">
        <v>68</v>
      </c>
      <c r="CN104" s="1855"/>
      <c r="CO104" s="1855"/>
      <c r="CP104" s="1855"/>
      <c r="CQ104" s="1855"/>
      <c r="CR104" s="1855"/>
      <c r="CS104" s="546">
        <f>SUM(CS102:CS103)</f>
        <v>0</v>
      </c>
      <c r="CT104" s="547">
        <f>SUM(CT102:CT103)</f>
        <v>26400000</v>
      </c>
      <c r="CV104" s="211">
        <v>1</v>
      </c>
      <c r="CW104" s="9" t="s">
        <v>194</v>
      </c>
      <c r="CX104" s="9">
        <v>28</v>
      </c>
      <c r="CY104" s="8" t="s">
        <v>98</v>
      </c>
      <c r="CZ104" s="10" t="s">
        <v>62</v>
      </c>
      <c r="DA104" s="9" t="s">
        <v>163</v>
      </c>
      <c r="DB104" s="115">
        <v>0.3</v>
      </c>
    </row>
    <row r="105" spans="1:106" s="73" customFormat="1">
      <c r="A105" s="211">
        <v>101</v>
      </c>
      <c r="B105" s="211" t="s">
        <v>241</v>
      </c>
      <c r="C105" s="211">
        <v>2</v>
      </c>
      <c r="D105" s="8" t="s">
        <v>217</v>
      </c>
      <c r="E105" s="9" t="s">
        <v>63</v>
      </c>
      <c r="F105" s="9" t="s">
        <v>289</v>
      </c>
      <c r="G105" s="210">
        <v>0</v>
      </c>
      <c r="H105" s="115">
        <v>4400000</v>
      </c>
      <c r="J105" s="211">
        <v>101</v>
      </c>
      <c r="K105" s="211" t="s">
        <v>195</v>
      </c>
      <c r="L105" s="211">
        <v>2</v>
      </c>
      <c r="M105" s="8" t="s">
        <v>216</v>
      </c>
      <c r="N105" s="9" t="s">
        <v>354</v>
      </c>
      <c r="O105" s="9" t="s">
        <v>277</v>
      </c>
      <c r="P105" s="210">
        <v>1650</v>
      </c>
      <c r="Q105" s="115">
        <v>0</v>
      </c>
      <c r="S105" s="211">
        <v>101</v>
      </c>
      <c r="T105" s="211" t="s">
        <v>238</v>
      </c>
      <c r="U105" s="211">
        <v>2</v>
      </c>
      <c r="V105" s="8" t="s">
        <v>47</v>
      </c>
      <c r="W105" s="9" t="s">
        <v>378</v>
      </c>
      <c r="X105" s="9" t="s">
        <v>290</v>
      </c>
      <c r="Y105" s="210">
        <v>0</v>
      </c>
      <c r="Z105" s="115">
        <v>-15625050</v>
      </c>
      <c r="AB105" s="211">
        <v>101</v>
      </c>
      <c r="AC105" s="9" t="s">
        <v>240</v>
      </c>
      <c r="AD105" s="9">
        <v>3</v>
      </c>
      <c r="AE105" s="8" t="s">
        <v>1623</v>
      </c>
      <c r="AF105" s="10" t="s">
        <v>364</v>
      </c>
      <c r="AG105" s="10" t="s">
        <v>2251</v>
      </c>
      <c r="AH105" s="342">
        <v>0</v>
      </c>
      <c r="AI105" s="361">
        <v>24200000</v>
      </c>
      <c r="AK105" s="211">
        <v>101</v>
      </c>
      <c r="AL105" s="211" t="s">
        <v>194</v>
      </c>
      <c r="AM105" s="211">
        <v>14</v>
      </c>
      <c r="AN105" s="8" t="s">
        <v>217</v>
      </c>
      <c r="AO105" s="9" t="s">
        <v>63</v>
      </c>
      <c r="AP105" s="9" t="s">
        <v>281</v>
      </c>
      <c r="AQ105" s="210">
        <v>0</v>
      </c>
      <c r="AR105" s="115">
        <v>3300000</v>
      </c>
      <c r="AT105" s="211">
        <v>101</v>
      </c>
      <c r="AU105" s="9" t="s">
        <v>241</v>
      </c>
      <c r="AV105" s="9">
        <v>2</v>
      </c>
      <c r="AW105" s="8" t="s">
        <v>1623</v>
      </c>
      <c r="AX105" s="10" t="s">
        <v>364</v>
      </c>
      <c r="AY105" s="10" t="s">
        <v>2610</v>
      </c>
      <c r="AZ105" s="342">
        <v>0</v>
      </c>
      <c r="BA105" s="361">
        <v>12906666.663000001</v>
      </c>
      <c r="BC105" s="211">
        <v>101</v>
      </c>
      <c r="BD105" s="9" t="s">
        <v>239</v>
      </c>
      <c r="BE105" s="9">
        <v>1</v>
      </c>
      <c r="BF105" s="8" t="s">
        <v>47</v>
      </c>
      <c r="BG105" s="9" t="s">
        <v>378</v>
      </c>
      <c r="BH105" s="9" t="s">
        <v>393</v>
      </c>
      <c r="BI105" s="343">
        <v>0</v>
      </c>
      <c r="BJ105" s="345">
        <v>150000000</v>
      </c>
      <c r="BL105" s="211">
        <v>101</v>
      </c>
      <c r="BM105" s="9" t="s">
        <v>195</v>
      </c>
      <c r="BN105" s="9">
        <v>10</v>
      </c>
      <c r="BO105" s="8" t="s">
        <v>35</v>
      </c>
      <c r="BP105" s="9" t="s">
        <v>354</v>
      </c>
      <c r="BQ105" s="9" t="s">
        <v>150</v>
      </c>
      <c r="BR105" s="210">
        <v>0</v>
      </c>
      <c r="BS105" s="115">
        <v>0.52</v>
      </c>
      <c r="BU105" s="211">
        <v>101</v>
      </c>
      <c r="BV105" s="9" t="s">
        <v>244</v>
      </c>
      <c r="BW105" s="9">
        <v>15</v>
      </c>
      <c r="BX105" s="8" t="s">
        <v>121</v>
      </c>
      <c r="BY105" s="10" t="s">
        <v>595</v>
      </c>
      <c r="BZ105" s="127" t="s">
        <v>592</v>
      </c>
      <c r="CA105" s="342">
        <v>0</v>
      </c>
      <c r="CB105" s="344">
        <v>41800000</v>
      </c>
      <c r="CD105" s="211">
        <v>101</v>
      </c>
      <c r="CE105" s="9" t="s">
        <v>239</v>
      </c>
      <c r="CF105" s="9">
        <v>3</v>
      </c>
      <c r="CG105" s="8" t="s">
        <v>40</v>
      </c>
      <c r="CH105" s="9" t="s">
        <v>354</v>
      </c>
      <c r="CI105" s="9" t="s">
        <v>399</v>
      </c>
      <c r="CJ105" s="210">
        <v>0</v>
      </c>
      <c r="CK105" s="537">
        <v>0.17</v>
      </c>
      <c r="CM105" s="211">
        <v>1</v>
      </c>
      <c r="CN105" s="211" t="s">
        <v>241</v>
      </c>
      <c r="CO105" s="211">
        <v>1</v>
      </c>
      <c r="CP105" s="8" t="s">
        <v>208</v>
      </c>
      <c r="CQ105" s="9" t="s">
        <v>118</v>
      </c>
      <c r="CR105" s="10" t="s">
        <v>258</v>
      </c>
      <c r="CS105" s="210">
        <v>0</v>
      </c>
      <c r="CT105" s="115">
        <v>1400000</v>
      </c>
      <c r="CV105" s="211">
        <v>2</v>
      </c>
      <c r="CW105" s="9" t="s">
        <v>241</v>
      </c>
      <c r="CX105" s="9">
        <v>16</v>
      </c>
      <c r="CY105" s="8" t="s">
        <v>98</v>
      </c>
      <c r="CZ105" s="10" t="s">
        <v>62</v>
      </c>
      <c r="DA105" s="9" t="s">
        <v>485</v>
      </c>
      <c r="DB105" s="115">
        <v>-0.31999999284744263</v>
      </c>
    </row>
    <row r="106" spans="1:106" s="73" customFormat="1">
      <c r="A106" s="211">
        <v>102</v>
      </c>
      <c r="B106" s="211" t="s">
        <v>238</v>
      </c>
      <c r="C106" s="211">
        <v>2</v>
      </c>
      <c r="D106" s="8" t="s">
        <v>47</v>
      </c>
      <c r="E106" s="9" t="s">
        <v>378</v>
      </c>
      <c r="F106" s="9" t="s">
        <v>290</v>
      </c>
      <c r="G106" s="210">
        <v>0</v>
      </c>
      <c r="H106" s="115">
        <v>-15625050</v>
      </c>
      <c r="J106" s="211">
        <v>102</v>
      </c>
      <c r="K106" s="211" t="s">
        <v>240</v>
      </c>
      <c r="L106" s="211">
        <v>3</v>
      </c>
      <c r="M106" s="8" t="s">
        <v>216</v>
      </c>
      <c r="N106" s="9" t="s">
        <v>354</v>
      </c>
      <c r="O106" s="9" t="s">
        <v>278</v>
      </c>
      <c r="P106" s="210">
        <v>1650</v>
      </c>
      <c r="Q106" s="115">
        <v>0</v>
      </c>
      <c r="S106" s="211">
        <v>102</v>
      </c>
      <c r="T106" s="211" t="s">
        <v>140</v>
      </c>
      <c r="U106" s="211">
        <v>1</v>
      </c>
      <c r="V106" s="8" t="s">
        <v>47</v>
      </c>
      <c r="W106" s="9" t="s">
        <v>378</v>
      </c>
      <c r="X106" s="9" t="s">
        <v>291</v>
      </c>
      <c r="Y106" s="210">
        <v>0</v>
      </c>
      <c r="Z106" s="115">
        <v>150000000</v>
      </c>
      <c r="AB106" s="211">
        <v>102</v>
      </c>
      <c r="AC106" s="211" t="s">
        <v>242</v>
      </c>
      <c r="AD106" s="211">
        <v>29</v>
      </c>
      <c r="AE106" s="8" t="s">
        <v>215</v>
      </c>
      <c r="AF106" s="10" t="s">
        <v>118</v>
      </c>
      <c r="AG106" s="9" t="s">
        <v>273</v>
      </c>
      <c r="AH106" s="210">
        <v>99</v>
      </c>
      <c r="AI106" s="115">
        <v>0</v>
      </c>
      <c r="AK106" s="211">
        <v>102</v>
      </c>
      <c r="AL106" s="211" t="s">
        <v>194</v>
      </c>
      <c r="AM106" s="211">
        <v>14</v>
      </c>
      <c r="AN106" s="8" t="s">
        <v>217</v>
      </c>
      <c r="AO106" s="9" t="s">
        <v>63</v>
      </c>
      <c r="AP106" s="9" t="s">
        <v>282</v>
      </c>
      <c r="AQ106" s="210">
        <v>0</v>
      </c>
      <c r="AR106" s="115">
        <v>4400000</v>
      </c>
      <c r="AT106" s="211">
        <v>102</v>
      </c>
      <c r="AU106" s="211" t="s">
        <v>242</v>
      </c>
      <c r="AV106" s="211">
        <v>29</v>
      </c>
      <c r="AW106" s="8" t="s">
        <v>215</v>
      </c>
      <c r="AX106" s="10" t="s">
        <v>118</v>
      </c>
      <c r="AY106" s="9" t="s">
        <v>273</v>
      </c>
      <c r="AZ106" s="210">
        <v>99</v>
      </c>
      <c r="BA106" s="115">
        <v>0</v>
      </c>
      <c r="BC106" s="211">
        <v>102</v>
      </c>
      <c r="BD106" s="9" t="s">
        <v>240</v>
      </c>
      <c r="BE106" s="9">
        <v>1</v>
      </c>
      <c r="BF106" s="8" t="s">
        <v>47</v>
      </c>
      <c r="BG106" s="9" t="s">
        <v>378</v>
      </c>
      <c r="BH106" s="9" t="s">
        <v>408</v>
      </c>
      <c r="BI106" s="343">
        <v>0</v>
      </c>
      <c r="BJ106" s="345">
        <v>150000000</v>
      </c>
      <c r="BL106" s="211">
        <v>102</v>
      </c>
      <c r="BM106" s="9" t="s">
        <v>239</v>
      </c>
      <c r="BN106" s="9">
        <v>1</v>
      </c>
      <c r="BO106" s="8" t="s">
        <v>35</v>
      </c>
      <c r="BP106" s="9" t="s">
        <v>144</v>
      </c>
      <c r="BQ106" s="9" t="s">
        <v>401</v>
      </c>
      <c r="BR106" s="210">
        <v>0</v>
      </c>
      <c r="BS106" s="115">
        <v>-2.16</v>
      </c>
      <c r="BU106" s="211">
        <v>102</v>
      </c>
      <c r="BV106" s="9" t="s">
        <v>244</v>
      </c>
      <c r="BW106" s="9">
        <v>15</v>
      </c>
      <c r="BX106" s="8" t="s">
        <v>121</v>
      </c>
      <c r="BY106" s="10" t="s">
        <v>595</v>
      </c>
      <c r="BZ106" s="127" t="s">
        <v>593</v>
      </c>
      <c r="CA106" s="342">
        <v>0</v>
      </c>
      <c r="CB106" s="344">
        <v>29700000</v>
      </c>
      <c r="CD106" s="211">
        <v>102</v>
      </c>
      <c r="CE106" s="9" t="s">
        <v>239</v>
      </c>
      <c r="CF106" s="9">
        <v>3</v>
      </c>
      <c r="CG106" s="8" t="s">
        <v>40</v>
      </c>
      <c r="CH106" s="9" t="s">
        <v>355</v>
      </c>
      <c r="CI106" s="9" t="s">
        <v>400</v>
      </c>
      <c r="CJ106" s="210">
        <v>0</v>
      </c>
      <c r="CK106" s="537">
        <v>0.42</v>
      </c>
      <c r="CM106" s="1855" t="s">
        <v>68</v>
      </c>
      <c r="CN106" s="1855"/>
      <c r="CO106" s="1855"/>
      <c r="CP106" s="1855"/>
      <c r="CQ106" s="1855"/>
      <c r="CR106" s="1855"/>
      <c r="CS106" s="546">
        <f>SUM(CS105)</f>
        <v>0</v>
      </c>
      <c r="CT106" s="547">
        <f>SUM(CT105)</f>
        <v>1400000</v>
      </c>
      <c r="CV106" s="211">
        <v>3</v>
      </c>
      <c r="CW106" s="9" t="s">
        <v>245</v>
      </c>
      <c r="CX106" s="9">
        <v>10</v>
      </c>
      <c r="CY106" s="8" t="s">
        <v>98</v>
      </c>
      <c r="CZ106" s="10" t="s">
        <v>62</v>
      </c>
      <c r="DA106" s="9" t="s">
        <v>634</v>
      </c>
      <c r="DB106" s="347">
        <v>0.10000000894069672</v>
      </c>
    </row>
    <row r="107" spans="1:106" s="73" customFormat="1" ht="13.5" thickBot="1">
      <c r="A107" s="211">
        <v>103</v>
      </c>
      <c r="B107" s="211" t="s">
        <v>140</v>
      </c>
      <c r="C107" s="211">
        <v>1</v>
      </c>
      <c r="D107" s="8" t="s">
        <v>47</v>
      </c>
      <c r="E107" s="9" t="s">
        <v>378</v>
      </c>
      <c r="F107" s="9" t="s">
        <v>291</v>
      </c>
      <c r="G107" s="210">
        <v>0</v>
      </c>
      <c r="H107" s="115">
        <v>150000000</v>
      </c>
      <c r="J107" s="211">
        <v>103</v>
      </c>
      <c r="K107" s="211" t="s">
        <v>194</v>
      </c>
      <c r="L107" s="211">
        <v>18</v>
      </c>
      <c r="M107" s="8" t="s">
        <v>217</v>
      </c>
      <c r="N107" s="9" t="s">
        <v>144</v>
      </c>
      <c r="O107" s="9" t="s">
        <v>279</v>
      </c>
      <c r="P107" s="210">
        <v>0</v>
      </c>
      <c r="Q107" s="115">
        <v>9353850</v>
      </c>
      <c r="S107" s="211">
        <v>103</v>
      </c>
      <c r="T107" s="9" t="s">
        <v>194</v>
      </c>
      <c r="U107" s="9">
        <v>6</v>
      </c>
      <c r="V107" s="8" t="s">
        <v>47</v>
      </c>
      <c r="W107" s="9" t="s">
        <v>378</v>
      </c>
      <c r="X107" s="9" t="s">
        <v>161</v>
      </c>
      <c r="Y107" s="343">
        <v>0</v>
      </c>
      <c r="Z107" s="345">
        <v>150000000</v>
      </c>
      <c r="AB107" s="211">
        <v>103</v>
      </c>
      <c r="AC107" s="9" t="s">
        <v>240</v>
      </c>
      <c r="AD107" s="9">
        <v>3</v>
      </c>
      <c r="AE107" s="8" t="s">
        <v>412</v>
      </c>
      <c r="AF107" s="10" t="s">
        <v>354</v>
      </c>
      <c r="AG107" s="10" t="s">
        <v>2283</v>
      </c>
      <c r="AH107" s="346">
        <v>0</v>
      </c>
      <c r="AI107" s="347">
        <v>24200000</v>
      </c>
      <c r="AK107" s="211">
        <v>103</v>
      </c>
      <c r="AL107" s="211" t="s">
        <v>194</v>
      </c>
      <c r="AM107" s="211">
        <v>18</v>
      </c>
      <c r="AN107" s="8" t="s">
        <v>217</v>
      </c>
      <c r="AO107" s="9" t="s">
        <v>63</v>
      </c>
      <c r="AP107" s="9" t="s">
        <v>283</v>
      </c>
      <c r="AQ107" s="210">
        <v>0</v>
      </c>
      <c r="AR107" s="115">
        <v>3300000</v>
      </c>
      <c r="AT107" s="211">
        <v>103</v>
      </c>
      <c r="AU107" s="9" t="s">
        <v>241</v>
      </c>
      <c r="AV107" s="9">
        <v>7</v>
      </c>
      <c r="AW107" s="8" t="s">
        <v>2686</v>
      </c>
      <c r="AX107" s="10" t="s">
        <v>433</v>
      </c>
      <c r="AY107" s="10" t="s">
        <v>2687</v>
      </c>
      <c r="AZ107" s="342">
        <v>0</v>
      </c>
      <c r="BA107" s="361">
        <v>13200000</v>
      </c>
      <c r="BC107" s="211">
        <v>103</v>
      </c>
      <c r="BD107" s="9" t="s">
        <v>241</v>
      </c>
      <c r="BE107" s="9">
        <v>1</v>
      </c>
      <c r="BF107" s="8" t="s">
        <v>47</v>
      </c>
      <c r="BG107" s="9" t="s">
        <v>378</v>
      </c>
      <c r="BH107" s="9" t="s">
        <v>465</v>
      </c>
      <c r="BI107" s="343">
        <v>0</v>
      </c>
      <c r="BJ107" s="345">
        <v>85000000</v>
      </c>
      <c r="BL107" s="211">
        <v>103</v>
      </c>
      <c r="BM107" s="9" t="s">
        <v>241</v>
      </c>
      <c r="BN107" s="9">
        <v>8</v>
      </c>
      <c r="BO107" s="8" t="s">
        <v>35</v>
      </c>
      <c r="BP107" s="9" t="s">
        <v>354</v>
      </c>
      <c r="BQ107" s="9" t="s">
        <v>470</v>
      </c>
      <c r="BR107" s="210">
        <v>0</v>
      </c>
      <c r="BS107" s="341">
        <v>11000000</v>
      </c>
      <c r="BU107" s="211">
        <v>103</v>
      </c>
      <c r="BV107" s="9" t="s">
        <v>244</v>
      </c>
      <c r="BW107" s="9">
        <v>15</v>
      </c>
      <c r="BX107" s="8" t="s">
        <v>121</v>
      </c>
      <c r="BY107" s="10" t="s">
        <v>357</v>
      </c>
      <c r="BZ107" s="127" t="s">
        <v>594</v>
      </c>
      <c r="CA107" s="210">
        <v>0</v>
      </c>
      <c r="CB107" s="341">
        <v>33146666.662999999</v>
      </c>
      <c r="CD107" s="211">
        <v>103</v>
      </c>
      <c r="CE107" s="9" t="s">
        <v>240</v>
      </c>
      <c r="CF107" s="9">
        <v>1</v>
      </c>
      <c r="CG107" s="8" t="s">
        <v>40</v>
      </c>
      <c r="CH107" s="9" t="s">
        <v>354</v>
      </c>
      <c r="CI107" s="9" t="s">
        <v>407</v>
      </c>
      <c r="CJ107" s="210">
        <v>0</v>
      </c>
      <c r="CK107" s="537">
        <v>-107.28</v>
      </c>
      <c r="CM107" s="211">
        <v>1</v>
      </c>
      <c r="CN107" s="9" t="s">
        <v>140</v>
      </c>
      <c r="CO107" s="9">
        <v>1</v>
      </c>
      <c r="CP107" s="8" t="s">
        <v>133</v>
      </c>
      <c r="CQ107" s="9" t="s">
        <v>364</v>
      </c>
      <c r="CR107" s="9" t="s">
        <v>1547</v>
      </c>
      <c r="CS107" s="210">
        <v>0</v>
      </c>
      <c r="CT107" s="115">
        <v>33000000</v>
      </c>
      <c r="CV107" s="1855" t="s">
        <v>68</v>
      </c>
      <c r="CW107" s="1855"/>
      <c r="CX107" s="1855"/>
      <c r="CY107" s="1855"/>
      <c r="CZ107" s="1855"/>
      <c r="DA107" s="1855"/>
      <c r="DB107" s="547">
        <f>SUM(DB104:DB106)</f>
        <v>8.0000016093254078E-2</v>
      </c>
    </row>
    <row r="108" spans="1:106" s="73" customFormat="1" ht="12.75" customHeight="1" thickBot="1">
      <c r="A108" s="211">
        <v>104</v>
      </c>
      <c r="B108" s="9" t="s">
        <v>194</v>
      </c>
      <c r="C108" s="9">
        <v>6</v>
      </c>
      <c r="D108" s="8" t="s">
        <v>47</v>
      </c>
      <c r="E108" s="9" t="s">
        <v>378</v>
      </c>
      <c r="F108" s="9" t="s">
        <v>161</v>
      </c>
      <c r="G108" s="343">
        <v>0</v>
      </c>
      <c r="H108" s="345">
        <v>150000000</v>
      </c>
      <c r="J108" s="211">
        <v>104</v>
      </c>
      <c r="K108" s="211" t="s">
        <v>194</v>
      </c>
      <c r="L108" s="211">
        <v>8</v>
      </c>
      <c r="M108" s="8" t="s">
        <v>217</v>
      </c>
      <c r="N108" s="9" t="s">
        <v>118</v>
      </c>
      <c r="O108" s="9" t="s">
        <v>280</v>
      </c>
      <c r="P108" s="210">
        <v>0</v>
      </c>
      <c r="Q108" s="115">
        <v>3750000</v>
      </c>
      <c r="S108" s="211">
        <v>104</v>
      </c>
      <c r="T108" s="9" t="s">
        <v>195</v>
      </c>
      <c r="U108" s="9">
        <v>1</v>
      </c>
      <c r="V108" s="8" t="s">
        <v>47</v>
      </c>
      <c r="W108" s="9" t="s">
        <v>378</v>
      </c>
      <c r="X108" s="9" t="s">
        <v>162</v>
      </c>
      <c r="Y108" s="343">
        <v>0</v>
      </c>
      <c r="Z108" s="345">
        <v>150000000</v>
      </c>
      <c r="AB108" s="211">
        <v>104</v>
      </c>
      <c r="AC108" s="211" t="s">
        <v>140</v>
      </c>
      <c r="AD108" s="211">
        <v>1</v>
      </c>
      <c r="AE108" s="8" t="s">
        <v>216</v>
      </c>
      <c r="AF108" s="9" t="s">
        <v>354</v>
      </c>
      <c r="AG108" s="9" t="s">
        <v>275</v>
      </c>
      <c r="AH108" s="210">
        <v>620</v>
      </c>
      <c r="AI108" s="115">
        <v>0</v>
      </c>
      <c r="AK108" s="211">
        <v>104</v>
      </c>
      <c r="AL108" s="211" t="s">
        <v>195</v>
      </c>
      <c r="AM108" s="211">
        <v>15</v>
      </c>
      <c r="AN108" s="8" t="s">
        <v>217</v>
      </c>
      <c r="AO108" s="9" t="s">
        <v>63</v>
      </c>
      <c r="AP108" s="9" t="s">
        <v>284</v>
      </c>
      <c r="AQ108" s="210">
        <v>0</v>
      </c>
      <c r="AR108" s="115">
        <v>4400000</v>
      </c>
      <c r="AT108" s="211">
        <v>104</v>
      </c>
      <c r="AU108" s="9" t="s">
        <v>241</v>
      </c>
      <c r="AV108" s="9">
        <v>7</v>
      </c>
      <c r="AW108" s="8" t="s">
        <v>2686</v>
      </c>
      <c r="AX108" s="10" t="s">
        <v>118</v>
      </c>
      <c r="AY108" s="10" t="s">
        <v>2688</v>
      </c>
      <c r="AZ108" s="342">
        <v>0</v>
      </c>
      <c r="BA108" s="361">
        <v>4033220</v>
      </c>
      <c r="BC108" s="211">
        <v>104</v>
      </c>
      <c r="BD108" s="9" t="s">
        <v>242</v>
      </c>
      <c r="BE108" s="9">
        <v>11</v>
      </c>
      <c r="BF108" s="8" t="s">
        <v>47</v>
      </c>
      <c r="BG108" s="9" t="s">
        <v>378</v>
      </c>
      <c r="BH108" s="9" t="s">
        <v>494</v>
      </c>
      <c r="BI108" s="343">
        <v>0</v>
      </c>
      <c r="BJ108" s="345">
        <v>85000000</v>
      </c>
      <c r="BL108" s="211">
        <v>104</v>
      </c>
      <c r="BM108" s="9" t="s">
        <v>241</v>
      </c>
      <c r="BN108" s="9">
        <v>8</v>
      </c>
      <c r="BO108" s="8" t="s">
        <v>35</v>
      </c>
      <c r="BP108" s="9" t="s">
        <v>354</v>
      </c>
      <c r="BQ108" s="9" t="s">
        <v>471</v>
      </c>
      <c r="BR108" s="210">
        <v>0</v>
      </c>
      <c r="BS108" s="341">
        <v>11000000</v>
      </c>
      <c r="BU108" s="211">
        <v>104</v>
      </c>
      <c r="BV108" s="211" t="s">
        <v>241</v>
      </c>
      <c r="BW108" s="211">
        <v>19</v>
      </c>
      <c r="BX108" s="186" t="s">
        <v>207</v>
      </c>
      <c r="BY108" s="211" t="s">
        <v>256</v>
      </c>
      <c r="BZ108" s="127" t="s">
        <v>255</v>
      </c>
      <c r="CA108" s="210">
        <v>0</v>
      </c>
      <c r="CB108" s="115">
        <v>13640000</v>
      </c>
      <c r="CD108" s="211">
        <v>104</v>
      </c>
      <c r="CE108" s="9" t="s">
        <v>240</v>
      </c>
      <c r="CF108" s="9">
        <v>11</v>
      </c>
      <c r="CG108" s="8" t="s">
        <v>40</v>
      </c>
      <c r="CH108" s="9" t="s">
        <v>355</v>
      </c>
      <c r="CI108" s="9" t="s">
        <v>409</v>
      </c>
      <c r="CJ108" s="343">
        <v>0</v>
      </c>
      <c r="CK108" s="539">
        <v>0.59680000320076942</v>
      </c>
      <c r="CM108" s="1855" t="s">
        <v>68</v>
      </c>
      <c r="CN108" s="1855"/>
      <c r="CO108" s="1855"/>
      <c r="CP108" s="1855"/>
      <c r="CQ108" s="1855"/>
      <c r="CR108" s="1855"/>
      <c r="CS108" s="546">
        <f>SUM(CS107)</f>
        <v>0</v>
      </c>
      <c r="CT108" s="547">
        <f>SUM(CT107)</f>
        <v>33000000</v>
      </c>
      <c r="CV108" s="1860" t="s">
        <v>61</v>
      </c>
      <c r="CW108" s="1861"/>
      <c r="CX108" s="1861"/>
      <c r="CY108" s="1861"/>
      <c r="CZ108" s="1861"/>
      <c r="DA108" s="1862"/>
      <c r="DB108" s="549">
        <f>SUM(DB19,DB21,DB36,DB38,DB47,DB49,DB55,DB57,DB81,DB85,DB88,DB90,DB92,DB98,DB100,DB103,DB107)</f>
        <v>283164621.96175408</v>
      </c>
    </row>
    <row r="109" spans="1:106" s="73" customFormat="1" ht="12" customHeight="1">
      <c r="A109" s="211">
        <v>105</v>
      </c>
      <c r="B109" s="9" t="s">
        <v>195</v>
      </c>
      <c r="C109" s="9">
        <v>1</v>
      </c>
      <c r="D109" s="8" t="s">
        <v>47</v>
      </c>
      <c r="E109" s="9" t="s">
        <v>378</v>
      </c>
      <c r="F109" s="9" t="s">
        <v>162</v>
      </c>
      <c r="G109" s="343">
        <v>0</v>
      </c>
      <c r="H109" s="345">
        <v>150000000</v>
      </c>
      <c r="J109" s="211">
        <v>105</v>
      </c>
      <c r="K109" s="211" t="s">
        <v>194</v>
      </c>
      <c r="L109" s="211">
        <v>14</v>
      </c>
      <c r="M109" s="8" t="s">
        <v>217</v>
      </c>
      <c r="N109" s="9" t="s">
        <v>63</v>
      </c>
      <c r="O109" s="9" t="s">
        <v>281</v>
      </c>
      <c r="P109" s="210">
        <v>0</v>
      </c>
      <c r="Q109" s="115">
        <v>3300000</v>
      </c>
      <c r="S109" s="211">
        <v>105</v>
      </c>
      <c r="T109" s="9" t="s">
        <v>239</v>
      </c>
      <c r="U109" s="9">
        <v>1</v>
      </c>
      <c r="V109" s="8" t="s">
        <v>47</v>
      </c>
      <c r="W109" s="9" t="s">
        <v>378</v>
      </c>
      <c r="X109" s="9" t="s">
        <v>393</v>
      </c>
      <c r="Y109" s="343">
        <v>0</v>
      </c>
      <c r="Z109" s="345">
        <v>150000000</v>
      </c>
      <c r="AB109" s="211">
        <v>105</v>
      </c>
      <c r="AC109" s="211" t="s">
        <v>194</v>
      </c>
      <c r="AD109" s="211">
        <v>10</v>
      </c>
      <c r="AE109" s="8" t="s">
        <v>216</v>
      </c>
      <c r="AF109" s="9" t="s">
        <v>354</v>
      </c>
      <c r="AG109" s="9" t="s">
        <v>276</v>
      </c>
      <c r="AH109" s="210">
        <v>1650</v>
      </c>
      <c r="AI109" s="115">
        <v>0</v>
      </c>
      <c r="AK109" s="211">
        <v>105</v>
      </c>
      <c r="AL109" s="211" t="s">
        <v>239</v>
      </c>
      <c r="AM109" s="211">
        <v>3</v>
      </c>
      <c r="AN109" s="8" t="s">
        <v>217</v>
      </c>
      <c r="AO109" s="9" t="s">
        <v>63</v>
      </c>
      <c r="AP109" s="9" t="s">
        <v>285</v>
      </c>
      <c r="AQ109" s="210">
        <v>0</v>
      </c>
      <c r="AR109" s="115">
        <v>4400000</v>
      </c>
      <c r="AT109" s="211">
        <v>105</v>
      </c>
      <c r="AU109" s="9" t="s">
        <v>241</v>
      </c>
      <c r="AV109" s="9">
        <v>2</v>
      </c>
      <c r="AW109" s="8" t="s">
        <v>412</v>
      </c>
      <c r="AX109" s="10" t="s">
        <v>354</v>
      </c>
      <c r="AY109" s="10" t="s">
        <v>2622</v>
      </c>
      <c r="AZ109" s="346">
        <v>0</v>
      </c>
      <c r="BA109" s="377">
        <v>24200000</v>
      </c>
      <c r="BC109" s="211">
        <v>105</v>
      </c>
      <c r="BD109" s="9" t="s">
        <v>243</v>
      </c>
      <c r="BE109" s="9">
        <v>2</v>
      </c>
      <c r="BF109" s="8" t="s">
        <v>47</v>
      </c>
      <c r="BG109" s="9" t="s">
        <v>378</v>
      </c>
      <c r="BH109" s="9" t="s">
        <v>529</v>
      </c>
      <c r="BI109" s="210">
        <v>0</v>
      </c>
      <c r="BJ109" s="341">
        <v>85000000</v>
      </c>
      <c r="BL109" s="211">
        <v>105</v>
      </c>
      <c r="BM109" s="9" t="s">
        <v>241</v>
      </c>
      <c r="BN109" s="9">
        <v>8</v>
      </c>
      <c r="BO109" s="8" t="s">
        <v>35</v>
      </c>
      <c r="BP109" s="9" t="s">
        <v>354</v>
      </c>
      <c r="BQ109" s="9" t="s">
        <v>472</v>
      </c>
      <c r="BR109" s="210">
        <v>0</v>
      </c>
      <c r="BS109" s="341">
        <v>11000000</v>
      </c>
      <c r="BU109" s="211">
        <v>105</v>
      </c>
      <c r="BV109" s="9" t="s">
        <v>194</v>
      </c>
      <c r="BW109" s="9">
        <v>11</v>
      </c>
      <c r="BX109" s="8" t="s">
        <v>151</v>
      </c>
      <c r="BY109" s="9" t="s">
        <v>144</v>
      </c>
      <c r="BZ109" s="10" t="s">
        <v>152</v>
      </c>
      <c r="CA109" s="210">
        <v>0</v>
      </c>
      <c r="CB109" s="115">
        <v>130000</v>
      </c>
      <c r="CD109" s="211">
        <v>105</v>
      </c>
      <c r="CE109" s="9" t="s">
        <v>240</v>
      </c>
      <c r="CF109" s="9">
        <v>19</v>
      </c>
      <c r="CG109" s="8" t="s">
        <v>40</v>
      </c>
      <c r="CH109" s="9" t="s">
        <v>355</v>
      </c>
      <c r="CI109" s="9" t="s">
        <v>416</v>
      </c>
      <c r="CJ109" s="343">
        <v>0</v>
      </c>
      <c r="CK109" s="539">
        <v>0.14200000092387199</v>
      </c>
      <c r="CM109" s="211">
        <v>1</v>
      </c>
      <c r="CN109" s="211" t="s">
        <v>243</v>
      </c>
      <c r="CO109" s="211">
        <v>28</v>
      </c>
      <c r="CP109" s="8" t="s">
        <v>209</v>
      </c>
      <c r="CQ109" s="9" t="s">
        <v>63</v>
      </c>
      <c r="CR109" s="10" t="s">
        <v>259</v>
      </c>
      <c r="CS109" s="210">
        <v>0</v>
      </c>
      <c r="CT109" s="115">
        <v>35000000</v>
      </c>
    </row>
    <row r="110" spans="1:106" s="73" customFormat="1" ht="12.75" customHeight="1">
      <c r="A110" s="211">
        <v>106</v>
      </c>
      <c r="B110" s="9" t="s">
        <v>239</v>
      </c>
      <c r="C110" s="9">
        <v>1</v>
      </c>
      <c r="D110" s="8" t="s">
        <v>47</v>
      </c>
      <c r="E110" s="9" t="s">
        <v>378</v>
      </c>
      <c r="F110" s="9" t="s">
        <v>393</v>
      </c>
      <c r="G110" s="343">
        <v>0</v>
      </c>
      <c r="H110" s="345">
        <v>150000000</v>
      </c>
      <c r="J110" s="211">
        <v>106</v>
      </c>
      <c r="K110" s="211" t="s">
        <v>194</v>
      </c>
      <c r="L110" s="211">
        <v>14</v>
      </c>
      <c r="M110" s="8" t="s">
        <v>217</v>
      </c>
      <c r="N110" s="9" t="s">
        <v>63</v>
      </c>
      <c r="O110" s="9" t="s">
        <v>282</v>
      </c>
      <c r="P110" s="210">
        <v>0</v>
      </c>
      <c r="Q110" s="115">
        <v>4400000</v>
      </c>
      <c r="S110" s="211">
        <v>106</v>
      </c>
      <c r="T110" s="9" t="s">
        <v>240</v>
      </c>
      <c r="U110" s="9">
        <v>1</v>
      </c>
      <c r="V110" s="8" t="s">
        <v>47</v>
      </c>
      <c r="W110" s="9" t="s">
        <v>378</v>
      </c>
      <c r="X110" s="9" t="s">
        <v>408</v>
      </c>
      <c r="Y110" s="343">
        <v>0</v>
      </c>
      <c r="Z110" s="345">
        <v>150000000</v>
      </c>
      <c r="AB110" s="211">
        <v>106</v>
      </c>
      <c r="AC110" s="211" t="s">
        <v>195</v>
      </c>
      <c r="AD110" s="211">
        <v>2</v>
      </c>
      <c r="AE110" s="8" t="s">
        <v>216</v>
      </c>
      <c r="AF110" s="9" t="s">
        <v>354</v>
      </c>
      <c r="AG110" s="9" t="s">
        <v>277</v>
      </c>
      <c r="AH110" s="210">
        <v>1650</v>
      </c>
      <c r="AI110" s="115">
        <v>0</v>
      </c>
      <c r="AK110" s="211">
        <v>106</v>
      </c>
      <c r="AL110" s="211" t="s">
        <v>239</v>
      </c>
      <c r="AM110" s="211">
        <v>3</v>
      </c>
      <c r="AN110" s="8" t="s">
        <v>217</v>
      </c>
      <c r="AO110" s="9" t="s">
        <v>63</v>
      </c>
      <c r="AP110" s="9" t="s">
        <v>286</v>
      </c>
      <c r="AQ110" s="210">
        <v>0</v>
      </c>
      <c r="AR110" s="115">
        <v>3300000</v>
      </c>
      <c r="AT110" s="211">
        <v>106</v>
      </c>
      <c r="AU110" s="211" t="s">
        <v>140</v>
      </c>
      <c r="AV110" s="211">
        <v>1</v>
      </c>
      <c r="AW110" s="8" t="s">
        <v>216</v>
      </c>
      <c r="AX110" s="9" t="s">
        <v>354</v>
      </c>
      <c r="AY110" s="9" t="s">
        <v>275</v>
      </c>
      <c r="AZ110" s="210">
        <v>620</v>
      </c>
      <c r="BA110" s="115">
        <v>0</v>
      </c>
      <c r="BC110" s="211">
        <v>106</v>
      </c>
      <c r="BD110" s="9" t="s">
        <v>244</v>
      </c>
      <c r="BE110" s="9">
        <v>1</v>
      </c>
      <c r="BF110" s="8" t="s">
        <v>47</v>
      </c>
      <c r="BG110" s="9" t="s">
        <v>378</v>
      </c>
      <c r="BH110" s="9" t="s">
        <v>574</v>
      </c>
      <c r="BI110" s="210">
        <v>0</v>
      </c>
      <c r="BJ110" s="341">
        <v>85000000</v>
      </c>
      <c r="BL110" s="211">
        <v>106</v>
      </c>
      <c r="BM110" s="9" t="s">
        <v>241</v>
      </c>
      <c r="BN110" s="9">
        <v>8</v>
      </c>
      <c r="BO110" s="8" t="s">
        <v>35</v>
      </c>
      <c r="BP110" s="9" t="s">
        <v>354</v>
      </c>
      <c r="BQ110" s="9" t="s">
        <v>473</v>
      </c>
      <c r="BR110" s="342">
        <v>0</v>
      </c>
      <c r="BS110" s="344">
        <v>11000000</v>
      </c>
      <c r="BU110" s="211">
        <v>106</v>
      </c>
      <c r="BV110" s="9" t="s">
        <v>244</v>
      </c>
      <c r="BW110" s="9">
        <v>8</v>
      </c>
      <c r="BX110" s="8" t="s">
        <v>151</v>
      </c>
      <c r="BY110" s="9" t="s">
        <v>354</v>
      </c>
      <c r="BZ110" s="10" t="s">
        <v>587</v>
      </c>
      <c r="CA110" s="210">
        <v>0</v>
      </c>
      <c r="CB110" s="115">
        <v>24200000</v>
      </c>
      <c r="CD110" s="211">
        <v>106</v>
      </c>
      <c r="CE110" s="9" t="s">
        <v>240</v>
      </c>
      <c r="CF110" s="9">
        <v>19</v>
      </c>
      <c r="CG110" s="8" t="s">
        <v>40</v>
      </c>
      <c r="CH110" s="9" t="s">
        <v>354</v>
      </c>
      <c r="CI110" s="9" t="s">
        <v>417</v>
      </c>
      <c r="CJ110" s="343">
        <v>0</v>
      </c>
      <c r="CK110" s="539">
        <v>0.10199999809265137</v>
      </c>
      <c r="CM110" s="211">
        <v>2</v>
      </c>
      <c r="CN110" s="211" t="s">
        <v>238</v>
      </c>
      <c r="CO110" s="211">
        <v>20</v>
      </c>
      <c r="CP110" s="8" t="s">
        <v>209</v>
      </c>
      <c r="CQ110" s="9" t="s">
        <v>63</v>
      </c>
      <c r="CR110" s="10" t="s">
        <v>260</v>
      </c>
      <c r="CS110" s="210">
        <v>0</v>
      </c>
      <c r="CT110" s="115">
        <v>40500000</v>
      </c>
    </row>
    <row r="111" spans="1:106" s="114" customFormat="1" ht="12" customHeight="1">
      <c r="A111" s="211">
        <v>107</v>
      </c>
      <c r="B111" s="9" t="s">
        <v>240</v>
      </c>
      <c r="C111" s="9">
        <v>1</v>
      </c>
      <c r="D111" s="8" t="s">
        <v>47</v>
      </c>
      <c r="E111" s="9" t="s">
        <v>378</v>
      </c>
      <c r="F111" s="9" t="s">
        <v>408</v>
      </c>
      <c r="G111" s="343">
        <v>0</v>
      </c>
      <c r="H111" s="345">
        <v>150000000</v>
      </c>
      <c r="J111" s="211">
        <v>107</v>
      </c>
      <c r="K111" s="211" t="s">
        <v>194</v>
      </c>
      <c r="L111" s="211">
        <v>18</v>
      </c>
      <c r="M111" s="8" t="s">
        <v>217</v>
      </c>
      <c r="N111" s="9" t="s">
        <v>63</v>
      </c>
      <c r="O111" s="9" t="s">
        <v>283</v>
      </c>
      <c r="P111" s="210">
        <v>0</v>
      </c>
      <c r="Q111" s="115">
        <v>3300000</v>
      </c>
      <c r="S111" s="211">
        <v>107</v>
      </c>
      <c r="T111" s="9" t="s">
        <v>241</v>
      </c>
      <c r="U111" s="9">
        <v>1</v>
      </c>
      <c r="V111" s="8" t="s">
        <v>47</v>
      </c>
      <c r="W111" s="9" t="s">
        <v>378</v>
      </c>
      <c r="X111" s="9" t="s">
        <v>465</v>
      </c>
      <c r="Y111" s="343">
        <v>0</v>
      </c>
      <c r="Z111" s="345">
        <v>85000000</v>
      </c>
      <c r="AB111" s="211">
        <v>107</v>
      </c>
      <c r="AC111" s="211" t="s">
        <v>240</v>
      </c>
      <c r="AD111" s="211">
        <v>3</v>
      </c>
      <c r="AE111" s="8" t="s">
        <v>216</v>
      </c>
      <c r="AF111" s="9" t="s">
        <v>354</v>
      </c>
      <c r="AG111" s="9" t="s">
        <v>278</v>
      </c>
      <c r="AH111" s="210">
        <v>1650</v>
      </c>
      <c r="AI111" s="115">
        <v>0</v>
      </c>
      <c r="AK111" s="211">
        <v>107</v>
      </c>
      <c r="AL111" s="211" t="s">
        <v>240</v>
      </c>
      <c r="AM111" s="211">
        <v>1</v>
      </c>
      <c r="AN111" s="8" t="s">
        <v>217</v>
      </c>
      <c r="AO111" s="9" t="s">
        <v>63</v>
      </c>
      <c r="AP111" s="9" t="s">
        <v>287</v>
      </c>
      <c r="AQ111" s="210">
        <v>0</v>
      </c>
      <c r="AR111" s="115">
        <v>4400000</v>
      </c>
      <c r="AT111" s="211">
        <v>107</v>
      </c>
      <c r="AU111" s="211" t="s">
        <v>194</v>
      </c>
      <c r="AV111" s="211">
        <v>10</v>
      </c>
      <c r="AW111" s="8" t="s">
        <v>216</v>
      </c>
      <c r="AX111" s="9" t="s">
        <v>354</v>
      </c>
      <c r="AY111" s="9" t="s">
        <v>276</v>
      </c>
      <c r="AZ111" s="210">
        <v>1650</v>
      </c>
      <c r="BA111" s="115">
        <v>0</v>
      </c>
      <c r="BC111" s="211">
        <v>107</v>
      </c>
      <c r="BD111" s="9" t="s">
        <v>245</v>
      </c>
      <c r="BE111" s="9">
        <v>5</v>
      </c>
      <c r="BF111" s="8" t="s">
        <v>47</v>
      </c>
      <c r="BG111" s="9" t="s">
        <v>378</v>
      </c>
      <c r="BH111" s="9" t="s">
        <v>636</v>
      </c>
      <c r="BI111" s="210">
        <v>0</v>
      </c>
      <c r="BJ111" s="341">
        <v>85000000</v>
      </c>
      <c r="BL111" s="211">
        <v>107</v>
      </c>
      <c r="BM111" s="9" t="s">
        <v>241</v>
      </c>
      <c r="BN111" s="9">
        <v>8</v>
      </c>
      <c r="BO111" s="8" t="s">
        <v>35</v>
      </c>
      <c r="BP111" s="9" t="s">
        <v>354</v>
      </c>
      <c r="BQ111" s="9" t="s">
        <v>474</v>
      </c>
      <c r="BR111" s="342">
        <v>0</v>
      </c>
      <c r="BS111" s="344">
        <v>11000000</v>
      </c>
      <c r="BU111" s="211">
        <v>107</v>
      </c>
      <c r="BV111" s="9" t="s">
        <v>244</v>
      </c>
      <c r="BW111" s="9">
        <v>8</v>
      </c>
      <c r="BX111" s="8" t="s">
        <v>117</v>
      </c>
      <c r="BY111" s="9" t="s">
        <v>354</v>
      </c>
      <c r="BZ111" s="10" t="s">
        <v>588</v>
      </c>
      <c r="CA111" s="342">
        <v>0</v>
      </c>
      <c r="CB111" s="344">
        <v>24200000</v>
      </c>
      <c r="CD111" s="211">
        <v>107</v>
      </c>
      <c r="CE111" s="9" t="s">
        <v>240</v>
      </c>
      <c r="CF111" s="9">
        <v>19</v>
      </c>
      <c r="CG111" s="8" t="s">
        <v>40</v>
      </c>
      <c r="CH111" s="9" t="s">
        <v>374</v>
      </c>
      <c r="CI111" s="9" t="s">
        <v>418</v>
      </c>
      <c r="CJ111" s="343">
        <v>0</v>
      </c>
      <c r="CK111" s="539">
        <v>0.1419999971985817</v>
      </c>
      <c r="CM111" s="1855" t="s">
        <v>68</v>
      </c>
      <c r="CN111" s="1855"/>
      <c r="CO111" s="1855"/>
      <c r="CP111" s="1855"/>
      <c r="CQ111" s="1855"/>
      <c r="CR111" s="1855"/>
      <c r="CS111" s="546">
        <f>SUM(CS109:CS110)</f>
        <v>0</v>
      </c>
      <c r="CT111" s="547">
        <f>SUM(CT109:CT110)</f>
        <v>75500000</v>
      </c>
      <c r="CV111" s="1839" t="s">
        <v>1683</v>
      </c>
      <c r="CW111" s="1840"/>
      <c r="CX111" s="1840"/>
      <c r="CY111" s="1840"/>
      <c r="CZ111" s="1840"/>
      <c r="DA111" s="1840"/>
      <c r="DB111" s="1841"/>
    </row>
    <row r="112" spans="1:106" s="114" customFormat="1" ht="12" customHeight="1">
      <c r="A112" s="211">
        <v>108</v>
      </c>
      <c r="B112" s="9" t="s">
        <v>241</v>
      </c>
      <c r="C112" s="9">
        <v>1</v>
      </c>
      <c r="D112" s="8" t="s">
        <v>47</v>
      </c>
      <c r="E112" s="9" t="s">
        <v>378</v>
      </c>
      <c r="F112" s="9" t="s">
        <v>465</v>
      </c>
      <c r="G112" s="343">
        <v>0</v>
      </c>
      <c r="H112" s="345">
        <v>85000000</v>
      </c>
      <c r="J112" s="211">
        <v>108</v>
      </c>
      <c r="K112" s="211" t="s">
        <v>195</v>
      </c>
      <c r="L112" s="211">
        <v>15</v>
      </c>
      <c r="M112" s="8" t="s">
        <v>217</v>
      </c>
      <c r="N112" s="9" t="s">
        <v>63</v>
      </c>
      <c r="O112" s="9" t="s">
        <v>284</v>
      </c>
      <c r="P112" s="210">
        <v>0</v>
      </c>
      <c r="Q112" s="115">
        <v>4400000</v>
      </c>
      <c r="S112" s="211">
        <v>108</v>
      </c>
      <c r="T112" s="9" t="s">
        <v>242</v>
      </c>
      <c r="U112" s="9">
        <v>11</v>
      </c>
      <c r="V112" s="8" t="s">
        <v>47</v>
      </c>
      <c r="W112" s="9" t="s">
        <v>378</v>
      </c>
      <c r="X112" s="9" t="s">
        <v>494</v>
      </c>
      <c r="Y112" s="343">
        <v>0</v>
      </c>
      <c r="Z112" s="345">
        <v>85000000</v>
      </c>
      <c r="AB112" s="211">
        <v>108</v>
      </c>
      <c r="AC112" s="211" t="s">
        <v>194</v>
      </c>
      <c r="AD112" s="211">
        <v>18</v>
      </c>
      <c r="AE112" s="8" t="s">
        <v>217</v>
      </c>
      <c r="AF112" s="9" t="s">
        <v>144</v>
      </c>
      <c r="AG112" s="9" t="s">
        <v>279</v>
      </c>
      <c r="AH112" s="210">
        <v>0</v>
      </c>
      <c r="AI112" s="115">
        <v>9353850</v>
      </c>
      <c r="AK112" s="211">
        <v>108</v>
      </c>
      <c r="AL112" s="211" t="s">
        <v>58</v>
      </c>
      <c r="AM112" s="211">
        <v>5</v>
      </c>
      <c r="AN112" s="8" t="s">
        <v>217</v>
      </c>
      <c r="AO112" s="9" t="s">
        <v>63</v>
      </c>
      <c r="AP112" s="9" t="s">
        <v>288</v>
      </c>
      <c r="AQ112" s="210">
        <v>0</v>
      </c>
      <c r="AR112" s="115">
        <v>4400000</v>
      </c>
      <c r="AT112" s="211">
        <v>108</v>
      </c>
      <c r="AU112" s="211" t="s">
        <v>195</v>
      </c>
      <c r="AV112" s="211">
        <v>2</v>
      </c>
      <c r="AW112" s="8" t="s">
        <v>216</v>
      </c>
      <c r="AX112" s="9" t="s">
        <v>354</v>
      </c>
      <c r="AY112" s="9" t="s">
        <v>277</v>
      </c>
      <c r="AZ112" s="210">
        <v>1650</v>
      </c>
      <c r="BA112" s="115">
        <v>0</v>
      </c>
      <c r="BC112" s="211">
        <v>108</v>
      </c>
      <c r="BD112" s="9" t="s">
        <v>238</v>
      </c>
      <c r="BE112" s="9">
        <v>2</v>
      </c>
      <c r="BF112" s="8" t="s">
        <v>47</v>
      </c>
      <c r="BG112" s="9" t="s">
        <v>378</v>
      </c>
      <c r="BH112" s="9" t="s">
        <v>656</v>
      </c>
      <c r="BI112" s="343">
        <v>0</v>
      </c>
      <c r="BJ112" s="345">
        <v>7000000</v>
      </c>
      <c r="BL112" s="211">
        <v>108</v>
      </c>
      <c r="BM112" s="9" t="s">
        <v>241</v>
      </c>
      <c r="BN112" s="9">
        <v>8</v>
      </c>
      <c r="BO112" s="8" t="s">
        <v>35</v>
      </c>
      <c r="BP112" s="9" t="s">
        <v>354</v>
      </c>
      <c r="BQ112" s="9" t="s">
        <v>475</v>
      </c>
      <c r="BR112" s="342">
        <v>0</v>
      </c>
      <c r="BS112" s="344">
        <v>11000000</v>
      </c>
      <c r="BU112" s="211">
        <v>108</v>
      </c>
      <c r="BV112" s="9" t="s">
        <v>244</v>
      </c>
      <c r="BW112" s="9">
        <v>27</v>
      </c>
      <c r="BX112" s="8" t="s">
        <v>117</v>
      </c>
      <c r="BY112" s="9" t="s">
        <v>354</v>
      </c>
      <c r="BZ112" s="10" t="s">
        <v>605</v>
      </c>
      <c r="CA112" s="342">
        <v>0</v>
      </c>
      <c r="CB112" s="344">
        <v>24200000</v>
      </c>
      <c r="CD112" s="211">
        <v>108</v>
      </c>
      <c r="CE112" s="9" t="s">
        <v>240</v>
      </c>
      <c r="CF112" s="9">
        <v>19</v>
      </c>
      <c r="CG112" s="8" t="s">
        <v>40</v>
      </c>
      <c r="CH112" s="9" t="s">
        <v>355</v>
      </c>
      <c r="CI112" s="9" t="s">
        <v>419</v>
      </c>
      <c r="CJ112" s="343">
        <v>0</v>
      </c>
      <c r="CK112" s="539">
        <v>0.14200000092387199</v>
      </c>
      <c r="CM112" s="211">
        <v>1</v>
      </c>
      <c r="CN112" s="211" t="s">
        <v>194</v>
      </c>
      <c r="CO112" s="211">
        <v>7</v>
      </c>
      <c r="CP112" s="8" t="s">
        <v>210</v>
      </c>
      <c r="CQ112" s="9" t="s">
        <v>262</v>
      </c>
      <c r="CR112" s="9" t="s">
        <v>261</v>
      </c>
      <c r="CS112" s="210">
        <v>0</v>
      </c>
      <c r="CT112" s="115">
        <v>8800000</v>
      </c>
      <c r="CV112" s="1842"/>
      <c r="CW112" s="1843"/>
      <c r="CX112" s="1843"/>
      <c r="CY112" s="1843"/>
      <c r="CZ112" s="1843"/>
      <c r="DA112" s="1843"/>
      <c r="DB112" s="1844"/>
    </row>
    <row r="113" spans="1:106" s="114" customFormat="1" ht="12" customHeight="1">
      <c r="A113" s="211">
        <v>109</v>
      </c>
      <c r="B113" s="9" t="s">
        <v>242</v>
      </c>
      <c r="C113" s="9">
        <v>11</v>
      </c>
      <c r="D113" s="8" t="s">
        <v>47</v>
      </c>
      <c r="E113" s="9" t="s">
        <v>378</v>
      </c>
      <c r="F113" s="9" t="s">
        <v>494</v>
      </c>
      <c r="G113" s="343">
        <v>0</v>
      </c>
      <c r="H113" s="345">
        <v>85000000</v>
      </c>
      <c r="J113" s="211">
        <v>109</v>
      </c>
      <c r="K113" s="211" t="s">
        <v>239</v>
      </c>
      <c r="L113" s="211">
        <v>3</v>
      </c>
      <c r="M113" s="8" t="s">
        <v>217</v>
      </c>
      <c r="N113" s="9" t="s">
        <v>63</v>
      </c>
      <c r="O113" s="9" t="s">
        <v>285</v>
      </c>
      <c r="P113" s="210">
        <v>0</v>
      </c>
      <c r="Q113" s="115">
        <v>4400000</v>
      </c>
      <c r="S113" s="211">
        <v>109</v>
      </c>
      <c r="T113" s="9" t="s">
        <v>243</v>
      </c>
      <c r="U113" s="9">
        <v>2</v>
      </c>
      <c r="V113" s="8" t="s">
        <v>47</v>
      </c>
      <c r="W113" s="9" t="s">
        <v>378</v>
      </c>
      <c r="X113" s="9" t="s">
        <v>529</v>
      </c>
      <c r="Y113" s="210">
        <v>0</v>
      </c>
      <c r="Z113" s="341">
        <v>85000000</v>
      </c>
      <c r="AB113" s="211">
        <v>109</v>
      </c>
      <c r="AC113" s="211" t="s">
        <v>194</v>
      </c>
      <c r="AD113" s="211">
        <v>8</v>
      </c>
      <c r="AE113" s="8" t="s">
        <v>217</v>
      </c>
      <c r="AF113" s="9" t="s">
        <v>118</v>
      </c>
      <c r="AG113" s="9" t="s">
        <v>280</v>
      </c>
      <c r="AH113" s="210">
        <v>0</v>
      </c>
      <c r="AI113" s="115">
        <v>3750000</v>
      </c>
      <c r="AK113" s="211">
        <v>109</v>
      </c>
      <c r="AL113" s="211" t="s">
        <v>241</v>
      </c>
      <c r="AM113" s="211">
        <v>2</v>
      </c>
      <c r="AN113" s="8" t="s">
        <v>217</v>
      </c>
      <c r="AO113" s="9" t="s">
        <v>63</v>
      </c>
      <c r="AP113" s="9" t="s">
        <v>289</v>
      </c>
      <c r="AQ113" s="210">
        <v>0</v>
      </c>
      <c r="AR113" s="115">
        <v>4400000</v>
      </c>
      <c r="AT113" s="211">
        <v>109</v>
      </c>
      <c r="AU113" s="211" t="s">
        <v>240</v>
      </c>
      <c r="AV113" s="211">
        <v>3</v>
      </c>
      <c r="AW113" s="8" t="s">
        <v>216</v>
      </c>
      <c r="AX113" s="9" t="s">
        <v>354</v>
      </c>
      <c r="AY113" s="9" t="s">
        <v>278</v>
      </c>
      <c r="AZ113" s="210">
        <v>1650</v>
      </c>
      <c r="BA113" s="115">
        <v>0</v>
      </c>
      <c r="BC113" s="211">
        <v>109</v>
      </c>
      <c r="BD113" s="9" t="s">
        <v>194</v>
      </c>
      <c r="BE113" s="9">
        <v>9</v>
      </c>
      <c r="BF113" s="8" t="s">
        <v>47</v>
      </c>
      <c r="BG113" s="9" t="s">
        <v>378</v>
      </c>
      <c r="BH113" s="10" t="s">
        <v>1766</v>
      </c>
      <c r="BI113" s="343">
        <v>0</v>
      </c>
      <c r="BJ113" s="345">
        <v>7000000</v>
      </c>
      <c r="BL113" s="211">
        <v>109</v>
      </c>
      <c r="BM113" s="9" t="s">
        <v>241</v>
      </c>
      <c r="BN113" s="9">
        <v>8</v>
      </c>
      <c r="BO113" s="8" t="s">
        <v>35</v>
      </c>
      <c r="BP113" s="9" t="s">
        <v>354</v>
      </c>
      <c r="BQ113" s="9" t="s">
        <v>476</v>
      </c>
      <c r="BR113" s="342">
        <v>0</v>
      </c>
      <c r="BS113" s="344">
        <v>11000000</v>
      </c>
      <c r="BU113" s="211">
        <v>109</v>
      </c>
      <c r="BV113" s="9" t="s">
        <v>194</v>
      </c>
      <c r="BW113" s="9">
        <v>4</v>
      </c>
      <c r="BX113" s="8" t="s">
        <v>387</v>
      </c>
      <c r="BY113" s="9" t="s">
        <v>388</v>
      </c>
      <c r="BZ113" s="10" t="s">
        <v>389</v>
      </c>
      <c r="CA113" s="210">
        <v>0</v>
      </c>
      <c r="CB113" s="115">
        <v>696000000</v>
      </c>
      <c r="CD113" s="211">
        <v>109</v>
      </c>
      <c r="CE113" s="9" t="s">
        <v>240</v>
      </c>
      <c r="CF113" s="9">
        <v>20</v>
      </c>
      <c r="CG113" s="8" t="s">
        <v>40</v>
      </c>
      <c r="CH113" s="9" t="s">
        <v>355</v>
      </c>
      <c r="CI113" s="9" t="s">
        <v>420</v>
      </c>
      <c r="CJ113" s="343">
        <v>0</v>
      </c>
      <c r="CK113" s="539">
        <v>7.9199999570846558E-2</v>
      </c>
      <c r="CM113" s="1855" t="s">
        <v>68</v>
      </c>
      <c r="CN113" s="1855"/>
      <c r="CO113" s="1855"/>
      <c r="CP113" s="1855"/>
      <c r="CQ113" s="1855"/>
      <c r="CR113" s="1855"/>
      <c r="CS113" s="546">
        <f>SUM(CS112)</f>
        <v>0</v>
      </c>
      <c r="CT113" s="547">
        <f>SUM(CT112)</f>
        <v>8800000</v>
      </c>
      <c r="CV113" s="1845" t="s">
        <v>81</v>
      </c>
      <c r="CW113" s="1846"/>
      <c r="CX113" s="1846"/>
      <c r="CY113" s="1846"/>
      <c r="CZ113" s="1847"/>
      <c r="DA113" s="528" t="s">
        <v>54</v>
      </c>
      <c r="DB113" s="528" t="s">
        <v>55</v>
      </c>
    </row>
    <row r="114" spans="1:106" s="40" customFormat="1" ht="12" customHeight="1">
      <c r="A114" s="211">
        <v>110</v>
      </c>
      <c r="B114" s="9" t="s">
        <v>243</v>
      </c>
      <c r="C114" s="9">
        <v>2</v>
      </c>
      <c r="D114" s="8" t="s">
        <v>47</v>
      </c>
      <c r="E114" s="9" t="s">
        <v>378</v>
      </c>
      <c r="F114" s="9" t="s">
        <v>529</v>
      </c>
      <c r="G114" s="210">
        <v>0</v>
      </c>
      <c r="H114" s="341">
        <v>85000000</v>
      </c>
      <c r="J114" s="211">
        <v>110</v>
      </c>
      <c r="K114" s="211" t="s">
        <v>239</v>
      </c>
      <c r="L114" s="211">
        <v>3</v>
      </c>
      <c r="M114" s="8" t="s">
        <v>217</v>
      </c>
      <c r="N114" s="9" t="s">
        <v>63</v>
      </c>
      <c r="O114" s="9" t="s">
        <v>286</v>
      </c>
      <c r="P114" s="210">
        <v>0</v>
      </c>
      <c r="Q114" s="115">
        <v>3300000</v>
      </c>
      <c r="S114" s="211">
        <v>110</v>
      </c>
      <c r="T114" s="9" t="s">
        <v>244</v>
      </c>
      <c r="U114" s="9">
        <v>1</v>
      </c>
      <c r="V114" s="8" t="s">
        <v>47</v>
      </c>
      <c r="W114" s="9" t="s">
        <v>378</v>
      </c>
      <c r="X114" s="9" t="s">
        <v>574</v>
      </c>
      <c r="Y114" s="210">
        <v>0</v>
      </c>
      <c r="Z114" s="341">
        <v>85000000</v>
      </c>
      <c r="AB114" s="211">
        <v>110</v>
      </c>
      <c r="AC114" s="211" t="s">
        <v>194</v>
      </c>
      <c r="AD114" s="211">
        <v>14</v>
      </c>
      <c r="AE114" s="8" t="s">
        <v>217</v>
      </c>
      <c r="AF114" s="9" t="s">
        <v>63</v>
      </c>
      <c r="AG114" s="9" t="s">
        <v>281</v>
      </c>
      <c r="AH114" s="210">
        <v>0</v>
      </c>
      <c r="AI114" s="115">
        <v>3300000</v>
      </c>
      <c r="AK114" s="211">
        <v>110</v>
      </c>
      <c r="AL114" s="211" t="s">
        <v>238</v>
      </c>
      <c r="AM114" s="211">
        <v>2</v>
      </c>
      <c r="AN114" s="8" t="s">
        <v>47</v>
      </c>
      <c r="AO114" s="9" t="s">
        <v>378</v>
      </c>
      <c r="AP114" s="9" t="s">
        <v>290</v>
      </c>
      <c r="AQ114" s="210">
        <v>0</v>
      </c>
      <c r="AR114" s="115">
        <v>-15625050</v>
      </c>
      <c r="AT114" s="211">
        <v>110</v>
      </c>
      <c r="AU114" s="211" t="s">
        <v>194</v>
      </c>
      <c r="AV114" s="211">
        <v>18</v>
      </c>
      <c r="AW114" s="8" t="s">
        <v>217</v>
      </c>
      <c r="AX114" s="9" t="s">
        <v>144</v>
      </c>
      <c r="AY114" s="9" t="s">
        <v>279</v>
      </c>
      <c r="AZ114" s="210">
        <v>0</v>
      </c>
      <c r="BA114" s="115">
        <v>9353850</v>
      </c>
      <c r="BC114" s="211">
        <v>110</v>
      </c>
      <c r="BD114" s="9" t="s">
        <v>239</v>
      </c>
      <c r="BE114" s="9">
        <v>1</v>
      </c>
      <c r="BF114" s="8" t="s">
        <v>47</v>
      </c>
      <c r="BG114" s="9" t="s">
        <v>378</v>
      </c>
      <c r="BH114" s="10" t="s">
        <v>2086</v>
      </c>
      <c r="BI114" s="343">
        <v>0</v>
      </c>
      <c r="BJ114" s="345">
        <v>107000000</v>
      </c>
      <c r="BL114" s="211">
        <v>110</v>
      </c>
      <c r="BM114" s="9" t="s">
        <v>241</v>
      </c>
      <c r="BN114" s="9">
        <v>8</v>
      </c>
      <c r="BO114" s="8" t="s">
        <v>35</v>
      </c>
      <c r="BP114" s="9" t="s">
        <v>354</v>
      </c>
      <c r="BQ114" s="9" t="s">
        <v>477</v>
      </c>
      <c r="BR114" s="342">
        <v>0</v>
      </c>
      <c r="BS114" s="344">
        <v>8693987.5</v>
      </c>
      <c r="BU114" s="211">
        <v>110</v>
      </c>
      <c r="BV114" s="9" t="s">
        <v>194</v>
      </c>
      <c r="BW114" s="9">
        <v>11</v>
      </c>
      <c r="BX114" s="8" t="s">
        <v>40</v>
      </c>
      <c r="BY114" s="9" t="s">
        <v>354</v>
      </c>
      <c r="BZ114" s="9" t="s">
        <v>153</v>
      </c>
      <c r="CA114" s="210">
        <v>0</v>
      </c>
      <c r="CB114" s="115">
        <v>-0.31</v>
      </c>
      <c r="CD114" s="211">
        <v>110</v>
      </c>
      <c r="CE114" s="9" t="s">
        <v>58</v>
      </c>
      <c r="CF114" s="9">
        <v>30</v>
      </c>
      <c r="CG114" s="8" t="s">
        <v>40</v>
      </c>
      <c r="CH114" s="9" t="s">
        <v>355</v>
      </c>
      <c r="CI114" s="9" t="s">
        <v>447</v>
      </c>
      <c r="CJ114" s="210">
        <v>0</v>
      </c>
      <c r="CK114" s="540">
        <v>0.84160000085830688</v>
      </c>
      <c r="CM114" s="211">
        <v>1</v>
      </c>
      <c r="CN114" s="9" t="s">
        <v>195</v>
      </c>
      <c r="CO114" s="9">
        <v>12</v>
      </c>
      <c r="CP114" s="8" t="s">
        <v>111</v>
      </c>
      <c r="CQ114" s="10" t="s">
        <v>147</v>
      </c>
      <c r="CR114" s="10" t="s">
        <v>160</v>
      </c>
      <c r="CS114" s="210">
        <v>0</v>
      </c>
      <c r="CT114" s="115">
        <v>84480000</v>
      </c>
      <c r="CV114" s="79">
        <v>1</v>
      </c>
      <c r="CW114" s="40" t="s">
        <v>1673</v>
      </c>
      <c r="DA114" s="579">
        <f>SUM(CS193)</f>
        <v>12049</v>
      </c>
      <c r="DB114" s="580">
        <f>SUM(CT193)</f>
        <v>7824150887.2220001</v>
      </c>
    </row>
    <row r="115" spans="1:106" s="40" customFormat="1" ht="12" customHeight="1">
      <c r="A115" s="211">
        <v>111</v>
      </c>
      <c r="B115" s="9" t="s">
        <v>244</v>
      </c>
      <c r="C115" s="9">
        <v>1</v>
      </c>
      <c r="D115" s="8" t="s">
        <v>47</v>
      </c>
      <c r="E115" s="9" t="s">
        <v>378</v>
      </c>
      <c r="F115" s="9" t="s">
        <v>574</v>
      </c>
      <c r="G115" s="210">
        <v>0</v>
      </c>
      <c r="H115" s="341">
        <v>85000000</v>
      </c>
      <c r="J115" s="211">
        <v>111</v>
      </c>
      <c r="K115" s="211" t="s">
        <v>240</v>
      </c>
      <c r="L115" s="211">
        <v>1</v>
      </c>
      <c r="M115" s="8" t="s">
        <v>217</v>
      </c>
      <c r="N115" s="9" t="s">
        <v>63</v>
      </c>
      <c r="O115" s="9" t="s">
        <v>287</v>
      </c>
      <c r="P115" s="210">
        <v>0</v>
      </c>
      <c r="Q115" s="115">
        <v>4400000</v>
      </c>
      <c r="S115" s="211">
        <v>111</v>
      </c>
      <c r="T115" s="9" t="s">
        <v>245</v>
      </c>
      <c r="U115" s="9">
        <v>5</v>
      </c>
      <c r="V115" s="8" t="s">
        <v>47</v>
      </c>
      <c r="W115" s="9" t="s">
        <v>378</v>
      </c>
      <c r="X115" s="9" t="s">
        <v>636</v>
      </c>
      <c r="Y115" s="210">
        <v>0</v>
      </c>
      <c r="Z115" s="341">
        <v>85000000</v>
      </c>
      <c r="AB115" s="211">
        <v>111</v>
      </c>
      <c r="AC115" s="211" t="s">
        <v>194</v>
      </c>
      <c r="AD115" s="211">
        <v>14</v>
      </c>
      <c r="AE115" s="8" t="s">
        <v>217</v>
      </c>
      <c r="AF115" s="9" t="s">
        <v>63</v>
      </c>
      <c r="AG115" s="9" t="s">
        <v>282</v>
      </c>
      <c r="AH115" s="210">
        <v>0</v>
      </c>
      <c r="AI115" s="115">
        <v>4400000</v>
      </c>
      <c r="AK115" s="211">
        <v>111</v>
      </c>
      <c r="AL115" s="211" t="s">
        <v>140</v>
      </c>
      <c r="AM115" s="211">
        <v>1</v>
      </c>
      <c r="AN115" s="8" t="s">
        <v>47</v>
      </c>
      <c r="AO115" s="9" t="s">
        <v>378</v>
      </c>
      <c r="AP115" s="9" t="s">
        <v>291</v>
      </c>
      <c r="AQ115" s="210">
        <v>0</v>
      </c>
      <c r="AR115" s="115">
        <v>150000000</v>
      </c>
      <c r="AT115" s="211">
        <v>111</v>
      </c>
      <c r="AU115" s="211" t="s">
        <v>194</v>
      </c>
      <c r="AV115" s="211">
        <v>8</v>
      </c>
      <c r="AW115" s="8" t="s">
        <v>217</v>
      </c>
      <c r="AX115" s="9" t="s">
        <v>118</v>
      </c>
      <c r="AY115" s="9" t="s">
        <v>280</v>
      </c>
      <c r="AZ115" s="210">
        <v>0</v>
      </c>
      <c r="BA115" s="115">
        <v>3750000</v>
      </c>
      <c r="BC115" s="211">
        <v>111</v>
      </c>
      <c r="BD115" s="9" t="s">
        <v>240</v>
      </c>
      <c r="BE115" s="9">
        <v>3</v>
      </c>
      <c r="BF115" s="8" t="s">
        <v>47</v>
      </c>
      <c r="BG115" s="9" t="s">
        <v>378</v>
      </c>
      <c r="BH115" s="10" t="s">
        <v>2229</v>
      </c>
      <c r="BI115" s="343">
        <v>0</v>
      </c>
      <c r="BJ115" s="345">
        <v>107000000</v>
      </c>
      <c r="BL115" s="211">
        <v>111</v>
      </c>
      <c r="BM115" s="9" t="s">
        <v>241</v>
      </c>
      <c r="BN115" s="9">
        <v>8</v>
      </c>
      <c r="BO115" s="8" t="s">
        <v>35</v>
      </c>
      <c r="BP115" s="9" t="s">
        <v>354</v>
      </c>
      <c r="BQ115" s="9" t="s">
        <v>478</v>
      </c>
      <c r="BR115" s="342">
        <v>0</v>
      </c>
      <c r="BS115" s="344">
        <v>7706875</v>
      </c>
      <c r="BU115" s="211">
        <v>111</v>
      </c>
      <c r="BV115" s="9" t="s">
        <v>194</v>
      </c>
      <c r="BW115" s="9">
        <v>11</v>
      </c>
      <c r="BX115" s="8" t="s">
        <v>40</v>
      </c>
      <c r="BY115" s="9" t="s">
        <v>374</v>
      </c>
      <c r="BZ115" s="9" t="s">
        <v>154</v>
      </c>
      <c r="CA115" s="210">
        <v>0</v>
      </c>
      <c r="CB115" s="115">
        <v>0.42</v>
      </c>
      <c r="CD115" s="211">
        <v>111</v>
      </c>
      <c r="CE115" s="9" t="s">
        <v>241</v>
      </c>
      <c r="CF115" s="9">
        <v>16</v>
      </c>
      <c r="CG115" s="8" t="s">
        <v>40</v>
      </c>
      <c r="CH115" s="9" t="s">
        <v>354</v>
      </c>
      <c r="CI115" s="9" t="s">
        <v>482</v>
      </c>
      <c r="CJ115" s="210">
        <v>0</v>
      </c>
      <c r="CK115" s="540">
        <v>0.36600000038743019</v>
      </c>
      <c r="CM115" s="1855" t="s">
        <v>68</v>
      </c>
      <c r="CN115" s="1855"/>
      <c r="CO115" s="1855"/>
      <c r="CP115" s="1855"/>
      <c r="CQ115" s="1855"/>
      <c r="CR115" s="1855"/>
      <c r="CS115" s="546">
        <f>SUM(CS114)</f>
        <v>0</v>
      </c>
      <c r="CT115" s="547">
        <f>SUM(CT114)</f>
        <v>84480000</v>
      </c>
      <c r="CV115" s="79">
        <v>2</v>
      </c>
      <c r="CW115" s="40" t="s">
        <v>1674</v>
      </c>
      <c r="DA115" s="581" t="s">
        <v>14</v>
      </c>
      <c r="DB115" s="580">
        <f>SUM(DB108)</f>
        <v>283164621.96175408</v>
      </c>
    </row>
    <row r="116" spans="1:106" s="40" customFormat="1" ht="12" customHeight="1">
      <c r="A116" s="211">
        <v>112</v>
      </c>
      <c r="B116" s="9" t="s">
        <v>245</v>
      </c>
      <c r="C116" s="9">
        <v>5</v>
      </c>
      <c r="D116" s="8" t="s">
        <v>47</v>
      </c>
      <c r="E116" s="9" t="s">
        <v>378</v>
      </c>
      <c r="F116" s="9" t="s">
        <v>636</v>
      </c>
      <c r="G116" s="210">
        <v>0</v>
      </c>
      <c r="H116" s="341">
        <v>85000000</v>
      </c>
      <c r="J116" s="211">
        <v>112</v>
      </c>
      <c r="K116" s="211" t="s">
        <v>58</v>
      </c>
      <c r="L116" s="211">
        <v>5</v>
      </c>
      <c r="M116" s="8" t="s">
        <v>217</v>
      </c>
      <c r="N116" s="9" t="s">
        <v>63</v>
      </c>
      <c r="O116" s="9" t="s">
        <v>288</v>
      </c>
      <c r="P116" s="210">
        <v>0</v>
      </c>
      <c r="Q116" s="115">
        <v>4400000</v>
      </c>
      <c r="S116" s="211">
        <v>112</v>
      </c>
      <c r="T116" s="9" t="s">
        <v>238</v>
      </c>
      <c r="U116" s="9">
        <v>2</v>
      </c>
      <c r="V116" s="8" t="s">
        <v>47</v>
      </c>
      <c r="W116" s="9" t="s">
        <v>378</v>
      </c>
      <c r="X116" s="9" t="s">
        <v>656</v>
      </c>
      <c r="Y116" s="343">
        <v>0</v>
      </c>
      <c r="Z116" s="345">
        <v>7000000</v>
      </c>
      <c r="AB116" s="211">
        <v>112</v>
      </c>
      <c r="AC116" s="211" t="s">
        <v>194</v>
      </c>
      <c r="AD116" s="211">
        <v>18</v>
      </c>
      <c r="AE116" s="8" t="s">
        <v>217</v>
      </c>
      <c r="AF116" s="9" t="s">
        <v>63</v>
      </c>
      <c r="AG116" s="9" t="s">
        <v>283</v>
      </c>
      <c r="AH116" s="210">
        <v>0</v>
      </c>
      <c r="AI116" s="115">
        <v>3300000</v>
      </c>
      <c r="AK116" s="211">
        <v>112</v>
      </c>
      <c r="AL116" s="9" t="s">
        <v>194</v>
      </c>
      <c r="AM116" s="9">
        <v>6</v>
      </c>
      <c r="AN116" s="8" t="s">
        <v>47</v>
      </c>
      <c r="AO116" s="9" t="s">
        <v>378</v>
      </c>
      <c r="AP116" s="9" t="s">
        <v>161</v>
      </c>
      <c r="AQ116" s="343">
        <v>0</v>
      </c>
      <c r="AR116" s="345">
        <v>150000000</v>
      </c>
      <c r="AT116" s="211">
        <v>112</v>
      </c>
      <c r="AU116" s="211" t="s">
        <v>194</v>
      </c>
      <c r="AV116" s="211">
        <v>14</v>
      </c>
      <c r="AW116" s="8" t="s">
        <v>217</v>
      </c>
      <c r="AX116" s="9" t="s">
        <v>63</v>
      </c>
      <c r="AY116" s="9" t="s">
        <v>281</v>
      </c>
      <c r="AZ116" s="210">
        <v>0</v>
      </c>
      <c r="BA116" s="115">
        <v>3300000</v>
      </c>
      <c r="BC116" s="211">
        <v>112</v>
      </c>
      <c r="BD116" s="9" t="s">
        <v>58</v>
      </c>
      <c r="BE116" s="9">
        <v>2</v>
      </c>
      <c r="BF116" s="8" t="s">
        <v>47</v>
      </c>
      <c r="BG116" s="9" t="s">
        <v>378</v>
      </c>
      <c r="BH116" s="10" t="s">
        <v>2441</v>
      </c>
      <c r="BI116" s="343">
        <v>0</v>
      </c>
      <c r="BJ116" s="345">
        <v>107000000</v>
      </c>
      <c r="BL116" s="211">
        <v>112</v>
      </c>
      <c r="BM116" s="9" t="s">
        <v>241</v>
      </c>
      <c r="BN116" s="9">
        <v>8</v>
      </c>
      <c r="BO116" s="8" t="s">
        <v>35</v>
      </c>
      <c r="BP116" s="9" t="s">
        <v>354</v>
      </c>
      <c r="BQ116" s="9" t="s">
        <v>479</v>
      </c>
      <c r="BR116" s="342">
        <v>0</v>
      </c>
      <c r="BS116" s="344">
        <v>3918750</v>
      </c>
      <c r="BU116" s="211">
        <v>112</v>
      </c>
      <c r="BV116" s="9" t="s">
        <v>194</v>
      </c>
      <c r="BW116" s="9">
        <v>11</v>
      </c>
      <c r="BX116" s="8" t="s">
        <v>40</v>
      </c>
      <c r="BY116" s="9" t="s">
        <v>354</v>
      </c>
      <c r="BZ116" s="9" t="s">
        <v>155</v>
      </c>
      <c r="CA116" s="210">
        <v>0</v>
      </c>
      <c r="CB116" s="115">
        <v>0.38</v>
      </c>
      <c r="CD116" s="211">
        <v>112</v>
      </c>
      <c r="CE116" s="9" t="s">
        <v>242</v>
      </c>
      <c r="CF116" s="9">
        <v>15</v>
      </c>
      <c r="CG116" s="8" t="s">
        <v>40</v>
      </c>
      <c r="CH116" s="9" t="s">
        <v>354</v>
      </c>
      <c r="CI116" s="9" t="s">
        <v>495</v>
      </c>
      <c r="CJ116" s="210">
        <v>0</v>
      </c>
      <c r="CK116" s="540">
        <v>0.02</v>
      </c>
      <c r="CM116" s="211">
        <v>1</v>
      </c>
      <c r="CN116" s="9" t="s">
        <v>140</v>
      </c>
      <c r="CO116" s="9">
        <v>1</v>
      </c>
      <c r="CP116" s="8" t="s">
        <v>430</v>
      </c>
      <c r="CQ116" s="10" t="s">
        <v>354</v>
      </c>
      <c r="CR116" s="10" t="s">
        <v>1550</v>
      </c>
      <c r="CS116" s="343">
        <v>0</v>
      </c>
      <c r="CT116" s="345">
        <v>-7738700</v>
      </c>
      <c r="CV116" s="1819" t="s">
        <v>61</v>
      </c>
      <c r="CW116" s="1848"/>
      <c r="CX116" s="1848"/>
      <c r="CY116" s="1848"/>
      <c r="CZ116" s="1849"/>
      <c r="DA116" s="1851">
        <f>SUM(DA114:DA115)</f>
        <v>12049</v>
      </c>
      <c r="DB116" s="1853">
        <f>SUM(DB114:DB115)</f>
        <v>8107315509.183754</v>
      </c>
    </row>
    <row r="117" spans="1:106" s="114" customFormat="1" ht="12" customHeight="1">
      <c r="A117" s="211">
        <v>113</v>
      </c>
      <c r="B117" s="9" t="s">
        <v>238</v>
      </c>
      <c r="C117" s="9">
        <v>2</v>
      </c>
      <c r="D117" s="8" t="s">
        <v>47</v>
      </c>
      <c r="E117" s="9" t="s">
        <v>378</v>
      </c>
      <c r="F117" s="9" t="s">
        <v>656</v>
      </c>
      <c r="G117" s="343">
        <v>0</v>
      </c>
      <c r="H117" s="345">
        <v>7000000</v>
      </c>
      <c r="J117" s="211">
        <v>113</v>
      </c>
      <c r="K117" s="211" t="s">
        <v>241</v>
      </c>
      <c r="L117" s="211">
        <v>2</v>
      </c>
      <c r="M117" s="8" t="s">
        <v>217</v>
      </c>
      <c r="N117" s="9" t="s">
        <v>63</v>
      </c>
      <c r="O117" s="9" t="s">
        <v>289</v>
      </c>
      <c r="P117" s="210">
        <v>0</v>
      </c>
      <c r="Q117" s="115">
        <v>4400000</v>
      </c>
      <c r="S117" s="211">
        <v>113</v>
      </c>
      <c r="T117" s="9" t="s">
        <v>194</v>
      </c>
      <c r="U117" s="9">
        <v>9</v>
      </c>
      <c r="V117" s="8" t="s">
        <v>47</v>
      </c>
      <c r="W117" s="9" t="s">
        <v>378</v>
      </c>
      <c r="X117" s="10" t="s">
        <v>1766</v>
      </c>
      <c r="Y117" s="343">
        <v>0</v>
      </c>
      <c r="Z117" s="345">
        <v>7000000</v>
      </c>
      <c r="AB117" s="211">
        <v>113</v>
      </c>
      <c r="AC117" s="211" t="s">
        <v>195</v>
      </c>
      <c r="AD117" s="211">
        <v>15</v>
      </c>
      <c r="AE117" s="8" t="s">
        <v>217</v>
      </c>
      <c r="AF117" s="9" t="s">
        <v>63</v>
      </c>
      <c r="AG117" s="9" t="s">
        <v>284</v>
      </c>
      <c r="AH117" s="210">
        <v>0</v>
      </c>
      <c r="AI117" s="115">
        <v>4400000</v>
      </c>
      <c r="AK117" s="211">
        <v>113</v>
      </c>
      <c r="AL117" s="9" t="s">
        <v>195</v>
      </c>
      <c r="AM117" s="9">
        <v>1</v>
      </c>
      <c r="AN117" s="8" t="s">
        <v>47</v>
      </c>
      <c r="AO117" s="9" t="s">
        <v>378</v>
      </c>
      <c r="AP117" s="9" t="s">
        <v>162</v>
      </c>
      <c r="AQ117" s="343">
        <v>0</v>
      </c>
      <c r="AR117" s="345">
        <v>150000000</v>
      </c>
      <c r="AT117" s="211">
        <v>113</v>
      </c>
      <c r="AU117" s="211" t="s">
        <v>194</v>
      </c>
      <c r="AV117" s="211">
        <v>14</v>
      </c>
      <c r="AW117" s="8" t="s">
        <v>217</v>
      </c>
      <c r="AX117" s="9" t="s">
        <v>63</v>
      </c>
      <c r="AY117" s="9" t="s">
        <v>282</v>
      </c>
      <c r="AZ117" s="210">
        <v>0</v>
      </c>
      <c r="BA117" s="115">
        <v>4400000</v>
      </c>
      <c r="BC117" s="211">
        <v>113</v>
      </c>
      <c r="BD117" s="211" t="s">
        <v>243</v>
      </c>
      <c r="BE117" s="211">
        <v>2</v>
      </c>
      <c r="BF117" s="8" t="s">
        <v>218</v>
      </c>
      <c r="BG117" s="10" t="s">
        <v>118</v>
      </c>
      <c r="BH117" s="9" t="s">
        <v>292</v>
      </c>
      <c r="BI117" s="210">
        <v>0</v>
      </c>
      <c r="BJ117" s="115">
        <v>8223100</v>
      </c>
      <c r="BL117" s="211">
        <v>113</v>
      </c>
      <c r="BM117" s="9" t="s">
        <v>243</v>
      </c>
      <c r="BN117" s="9">
        <v>3</v>
      </c>
      <c r="BO117" s="8" t="s">
        <v>35</v>
      </c>
      <c r="BP117" s="9" t="s">
        <v>354</v>
      </c>
      <c r="BQ117" s="9" t="s">
        <v>531</v>
      </c>
      <c r="BR117" s="343">
        <v>0</v>
      </c>
      <c r="BS117" s="345">
        <v>3300000</v>
      </c>
      <c r="BU117" s="211">
        <v>113</v>
      </c>
      <c r="BV117" s="9" t="s">
        <v>194</v>
      </c>
      <c r="BW117" s="9">
        <v>11</v>
      </c>
      <c r="BX117" s="8" t="s">
        <v>40</v>
      </c>
      <c r="BY117" s="9" t="s">
        <v>355</v>
      </c>
      <c r="BZ117" s="9" t="s">
        <v>156</v>
      </c>
      <c r="CA117" s="210">
        <v>0</v>
      </c>
      <c r="CB117" s="115">
        <v>0.42</v>
      </c>
      <c r="CD117" s="211">
        <v>113</v>
      </c>
      <c r="CE117" s="9" t="s">
        <v>242</v>
      </c>
      <c r="CF117" s="9">
        <v>29</v>
      </c>
      <c r="CG117" s="8" t="s">
        <v>40</v>
      </c>
      <c r="CH117" s="9" t="s">
        <v>354</v>
      </c>
      <c r="CI117" s="9" t="s">
        <v>512</v>
      </c>
      <c r="CJ117" s="343">
        <v>0</v>
      </c>
      <c r="CK117" s="539">
        <v>0.92440000176429749</v>
      </c>
      <c r="CM117" s="1855" t="s">
        <v>68</v>
      </c>
      <c r="CN117" s="1855"/>
      <c r="CO117" s="1855"/>
      <c r="CP117" s="1855"/>
      <c r="CQ117" s="1855"/>
      <c r="CR117" s="1855"/>
      <c r="CS117" s="546">
        <f>SUM(CS116)</f>
        <v>0</v>
      </c>
      <c r="CT117" s="547">
        <f>SUM(CT116)</f>
        <v>-7738700</v>
      </c>
      <c r="CV117" s="1835"/>
      <c r="CW117" s="1836"/>
      <c r="CX117" s="1836"/>
      <c r="CY117" s="1836"/>
      <c r="CZ117" s="1850"/>
      <c r="DA117" s="1852"/>
      <c r="DB117" s="1854"/>
    </row>
    <row r="118" spans="1:106" s="114" customFormat="1" ht="12" customHeight="1" thickBot="1">
      <c r="A118" s="211">
        <v>114</v>
      </c>
      <c r="B118" s="53" t="s">
        <v>194</v>
      </c>
      <c r="C118" s="9">
        <v>9</v>
      </c>
      <c r="D118" s="8" t="s">
        <v>47</v>
      </c>
      <c r="E118" s="9" t="s">
        <v>378</v>
      </c>
      <c r="F118" s="10" t="s">
        <v>1766</v>
      </c>
      <c r="G118" s="343">
        <v>0</v>
      </c>
      <c r="H118" s="345">
        <v>107000000</v>
      </c>
      <c r="J118" s="211">
        <v>114</v>
      </c>
      <c r="K118" s="211" t="s">
        <v>238</v>
      </c>
      <c r="L118" s="211">
        <v>2</v>
      </c>
      <c r="M118" s="8" t="s">
        <v>47</v>
      </c>
      <c r="N118" s="9" t="s">
        <v>378</v>
      </c>
      <c r="O118" s="9" t="s">
        <v>290</v>
      </c>
      <c r="P118" s="210">
        <v>0</v>
      </c>
      <c r="Q118" s="115">
        <v>-15625050</v>
      </c>
      <c r="S118" s="211">
        <v>114</v>
      </c>
      <c r="T118" s="9" t="s">
        <v>195</v>
      </c>
      <c r="U118" s="9">
        <v>1</v>
      </c>
      <c r="V118" s="8" t="s">
        <v>47</v>
      </c>
      <c r="W118" s="9" t="s">
        <v>378</v>
      </c>
      <c r="X118" s="10" t="s">
        <v>2000</v>
      </c>
      <c r="Y118" s="343">
        <v>0</v>
      </c>
      <c r="Z118" s="345">
        <v>22000000</v>
      </c>
      <c r="AB118" s="211">
        <v>114</v>
      </c>
      <c r="AC118" s="211" t="s">
        <v>239</v>
      </c>
      <c r="AD118" s="211">
        <v>3</v>
      </c>
      <c r="AE118" s="8" t="s">
        <v>217</v>
      </c>
      <c r="AF118" s="9" t="s">
        <v>63</v>
      </c>
      <c r="AG118" s="9" t="s">
        <v>285</v>
      </c>
      <c r="AH118" s="210">
        <v>0</v>
      </c>
      <c r="AI118" s="115">
        <v>4400000</v>
      </c>
      <c r="AK118" s="211">
        <v>114</v>
      </c>
      <c r="AL118" s="9" t="s">
        <v>239</v>
      </c>
      <c r="AM118" s="9">
        <v>1</v>
      </c>
      <c r="AN118" s="8" t="s">
        <v>47</v>
      </c>
      <c r="AO118" s="9" t="s">
        <v>378</v>
      </c>
      <c r="AP118" s="9" t="s">
        <v>393</v>
      </c>
      <c r="AQ118" s="343">
        <v>0</v>
      </c>
      <c r="AR118" s="345">
        <v>150000000</v>
      </c>
      <c r="AT118" s="211">
        <v>114</v>
      </c>
      <c r="AU118" s="211" t="s">
        <v>194</v>
      </c>
      <c r="AV118" s="211">
        <v>18</v>
      </c>
      <c r="AW118" s="8" t="s">
        <v>217</v>
      </c>
      <c r="AX118" s="9" t="s">
        <v>63</v>
      </c>
      <c r="AY118" s="9" t="s">
        <v>283</v>
      </c>
      <c r="AZ118" s="210">
        <v>0</v>
      </c>
      <c r="BA118" s="115">
        <v>3300000</v>
      </c>
      <c r="BC118" s="903">
        <v>114</v>
      </c>
      <c r="BD118" s="482" t="s">
        <v>140</v>
      </c>
      <c r="BE118" s="482">
        <v>9</v>
      </c>
      <c r="BF118" s="483" t="s">
        <v>219</v>
      </c>
      <c r="BG118" s="482" t="s">
        <v>63</v>
      </c>
      <c r="BH118" s="482" t="s">
        <v>293</v>
      </c>
      <c r="BI118" s="803">
        <v>0</v>
      </c>
      <c r="BJ118" s="815">
        <v>5000000</v>
      </c>
      <c r="BL118" s="211">
        <v>114</v>
      </c>
      <c r="BM118" s="9" t="s">
        <v>243</v>
      </c>
      <c r="BN118" s="9">
        <v>3</v>
      </c>
      <c r="BO118" s="8" t="s">
        <v>35</v>
      </c>
      <c r="BP118" s="9" t="s">
        <v>354</v>
      </c>
      <c r="BQ118" s="9" t="s">
        <v>532</v>
      </c>
      <c r="BR118" s="343">
        <v>0</v>
      </c>
      <c r="BS118" s="345">
        <v>3300000</v>
      </c>
      <c r="BU118" s="211">
        <v>114</v>
      </c>
      <c r="BV118" s="9" t="s">
        <v>194</v>
      </c>
      <c r="BW118" s="9">
        <v>25</v>
      </c>
      <c r="BX118" s="8" t="s">
        <v>40</v>
      </c>
      <c r="BY118" s="9" t="s">
        <v>375</v>
      </c>
      <c r="BZ118" s="9" t="s">
        <v>157</v>
      </c>
      <c r="CA118" s="210">
        <v>0</v>
      </c>
      <c r="CB118" s="115">
        <v>0.04</v>
      </c>
      <c r="CD118" s="211">
        <v>114</v>
      </c>
      <c r="CE118" s="9" t="s">
        <v>243</v>
      </c>
      <c r="CF118" s="9">
        <v>15</v>
      </c>
      <c r="CG118" s="8" t="s">
        <v>40</v>
      </c>
      <c r="CH118" s="9" t="s">
        <v>354</v>
      </c>
      <c r="CI118" s="9" t="s">
        <v>556</v>
      </c>
      <c r="CJ118" s="343">
        <v>0</v>
      </c>
      <c r="CK118" s="539">
        <v>0.91320000216364861</v>
      </c>
      <c r="CM118" s="211">
        <v>1</v>
      </c>
      <c r="CN118" s="9" t="s">
        <v>140</v>
      </c>
      <c r="CO118" s="9">
        <v>1</v>
      </c>
      <c r="CP118" s="11" t="s">
        <v>108</v>
      </c>
      <c r="CQ118" s="9" t="s">
        <v>354</v>
      </c>
      <c r="CR118" s="9" t="s">
        <v>1554</v>
      </c>
      <c r="CS118" s="343">
        <v>0</v>
      </c>
      <c r="CT118" s="345">
        <v>24200000</v>
      </c>
    </row>
    <row r="119" spans="1:106" s="114" customFormat="1" ht="12" customHeight="1" thickBot="1">
      <c r="A119" s="211">
        <v>115</v>
      </c>
      <c r="B119" s="211" t="s">
        <v>243</v>
      </c>
      <c r="C119" s="211">
        <v>2</v>
      </c>
      <c r="D119" s="8" t="s">
        <v>218</v>
      </c>
      <c r="E119" s="10" t="s">
        <v>118</v>
      </c>
      <c r="F119" s="9" t="s">
        <v>292</v>
      </c>
      <c r="G119" s="210">
        <v>0</v>
      </c>
      <c r="H119" s="115">
        <v>8223100</v>
      </c>
      <c r="J119" s="211">
        <v>115</v>
      </c>
      <c r="K119" s="211" t="s">
        <v>140</v>
      </c>
      <c r="L119" s="211">
        <v>1</v>
      </c>
      <c r="M119" s="8" t="s">
        <v>47</v>
      </c>
      <c r="N119" s="9" t="s">
        <v>378</v>
      </c>
      <c r="O119" s="9" t="s">
        <v>291</v>
      </c>
      <c r="P119" s="210">
        <v>0</v>
      </c>
      <c r="Q119" s="115">
        <v>150000000</v>
      </c>
      <c r="S119" s="211">
        <v>115</v>
      </c>
      <c r="T119" s="9" t="s">
        <v>239</v>
      </c>
      <c r="U119" s="9">
        <v>1</v>
      </c>
      <c r="V119" s="8" t="s">
        <v>47</v>
      </c>
      <c r="W119" s="9" t="s">
        <v>378</v>
      </c>
      <c r="X119" s="10" t="s">
        <v>2086</v>
      </c>
      <c r="Y119" s="343">
        <v>0</v>
      </c>
      <c r="Z119" s="345">
        <v>107000000</v>
      </c>
      <c r="AB119" s="211">
        <v>115</v>
      </c>
      <c r="AC119" s="211" t="s">
        <v>239</v>
      </c>
      <c r="AD119" s="211">
        <v>3</v>
      </c>
      <c r="AE119" s="8" t="s">
        <v>217</v>
      </c>
      <c r="AF119" s="9" t="s">
        <v>63</v>
      </c>
      <c r="AG119" s="9" t="s">
        <v>286</v>
      </c>
      <c r="AH119" s="210">
        <v>0</v>
      </c>
      <c r="AI119" s="115">
        <v>3300000</v>
      </c>
      <c r="AK119" s="211">
        <v>115</v>
      </c>
      <c r="AL119" s="9" t="s">
        <v>240</v>
      </c>
      <c r="AM119" s="9">
        <v>1</v>
      </c>
      <c r="AN119" s="8" t="s">
        <v>47</v>
      </c>
      <c r="AO119" s="9" t="s">
        <v>378</v>
      </c>
      <c r="AP119" s="9" t="s">
        <v>408</v>
      </c>
      <c r="AQ119" s="343">
        <v>0</v>
      </c>
      <c r="AR119" s="345">
        <v>150000000</v>
      </c>
      <c r="AT119" s="211">
        <v>115</v>
      </c>
      <c r="AU119" s="211" t="s">
        <v>195</v>
      </c>
      <c r="AV119" s="211">
        <v>15</v>
      </c>
      <c r="AW119" s="8" t="s">
        <v>217</v>
      </c>
      <c r="AX119" s="9" t="s">
        <v>63</v>
      </c>
      <c r="AY119" s="9" t="s">
        <v>284</v>
      </c>
      <c r="AZ119" s="210">
        <v>0</v>
      </c>
      <c r="BA119" s="115">
        <v>4400000</v>
      </c>
      <c r="BC119" s="904"/>
      <c r="BD119" s="206"/>
      <c r="BE119" s="206"/>
      <c r="BF119" s="206"/>
      <c r="BG119" s="206"/>
      <c r="BH119" s="206"/>
      <c r="BI119" s="288">
        <f>SUM(BI5:BI118)</f>
        <v>12049</v>
      </c>
      <c r="BJ119" s="289">
        <f>SUM(BJ5:BJ118)</f>
        <v>4690631591.1620007</v>
      </c>
      <c r="BK119" s="1102" t="e">
        <f>BJ119+Bill_Out!O472</f>
        <v>#VALUE!</v>
      </c>
      <c r="BL119" s="211">
        <v>115</v>
      </c>
      <c r="BM119" s="9" t="s">
        <v>243</v>
      </c>
      <c r="BN119" s="9">
        <v>29</v>
      </c>
      <c r="BO119" s="8" t="s">
        <v>35</v>
      </c>
      <c r="BP119" s="9" t="s">
        <v>62</v>
      </c>
      <c r="BQ119" s="9" t="s">
        <v>567</v>
      </c>
      <c r="BR119" s="343">
        <v>0</v>
      </c>
      <c r="BS119" s="345">
        <v>7837500</v>
      </c>
      <c r="BU119" s="211">
        <v>115</v>
      </c>
      <c r="BV119" s="9" t="s">
        <v>194</v>
      </c>
      <c r="BW119" s="9">
        <v>25</v>
      </c>
      <c r="BX119" s="8" t="s">
        <v>40</v>
      </c>
      <c r="BY119" s="9" t="s">
        <v>374</v>
      </c>
      <c r="BZ119" s="9" t="s">
        <v>158</v>
      </c>
      <c r="CA119" s="210">
        <v>0</v>
      </c>
      <c r="CB119" s="115">
        <v>0.04</v>
      </c>
      <c r="CD119" s="211">
        <v>115</v>
      </c>
      <c r="CE119" s="9" t="s">
        <v>238</v>
      </c>
      <c r="CF119" s="9">
        <v>15</v>
      </c>
      <c r="CG119" s="8" t="s">
        <v>40</v>
      </c>
      <c r="CH119" s="9" t="s">
        <v>118</v>
      </c>
      <c r="CI119" s="9" t="s">
        <v>1390</v>
      </c>
      <c r="CJ119" s="343">
        <v>0</v>
      </c>
      <c r="CK119" s="345">
        <v>1650979</v>
      </c>
      <c r="CM119" s="1855" t="s">
        <v>68</v>
      </c>
      <c r="CN119" s="1855"/>
      <c r="CO119" s="1855"/>
      <c r="CP119" s="1855"/>
      <c r="CQ119" s="1855"/>
      <c r="CR119" s="1855"/>
      <c r="CS119" s="546">
        <f>SUM(CS118)</f>
        <v>0</v>
      </c>
      <c r="CT119" s="547">
        <f>SUM(CT118)</f>
        <v>24200000</v>
      </c>
    </row>
    <row r="120" spans="1:106" s="114" customFormat="1" ht="12" customHeight="1">
      <c r="A120" s="211">
        <v>116</v>
      </c>
      <c r="B120" s="9" t="s">
        <v>140</v>
      </c>
      <c r="C120" s="9">
        <v>9</v>
      </c>
      <c r="D120" s="8" t="s">
        <v>219</v>
      </c>
      <c r="E120" s="9" t="s">
        <v>63</v>
      </c>
      <c r="F120" s="9" t="s">
        <v>293</v>
      </c>
      <c r="G120" s="210">
        <v>0</v>
      </c>
      <c r="H120" s="115">
        <v>5000000</v>
      </c>
      <c r="J120" s="211">
        <v>116</v>
      </c>
      <c r="K120" s="9" t="s">
        <v>194</v>
      </c>
      <c r="L120" s="9">
        <v>6</v>
      </c>
      <c r="M120" s="8" t="s">
        <v>47</v>
      </c>
      <c r="N120" s="9" t="s">
        <v>378</v>
      </c>
      <c r="O120" s="9" t="s">
        <v>161</v>
      </c>
      <c r="P120" s="343">
        <v>0</v>
      </c>
      <c r="Q120" s="345">
        <v>150000000</v>
      </c>
      <c r="S120" s="211">
        <v>116</v>
      </c>
      <c r="T120" s="211" t="s">
        <v>243</v>
      </c>
      <c r="U120" s="211">
        <v>2</v>
      </c>
      <c r="V120" s="8" t="s">
        <v>218</v>
      </c>
      <c r="W120" s="10" t="s">
        <v>118</v>
      </c>
      <c r="X120" s="9" t="s">
        <v>292</v>
      </c>
      <c r="Y120" s="210">
        <v>0</v>
      </c>
      <c r="Z120" s="115">
        <v>8223100</v>
      </c>
      <c r="AB120" s="211">
        <v>116</v>
      </c>
      <c r="AC120" s="211" t="s">
        <v>240</v>
      </c>
      <c r="AD120" s="211">
        <v>1</v>
      </c>
      <c r="AE120" s="8" t="s">
        <v>217</v>
      </c>
      <c r="AF120" s="9" t="s">
        <v>63</v>
      </c>
      <c r="AG120" s="9" t="s">
        <v>287</v>
      </c>
      <c r="AH120" s="210">
        <v>0</v>
      </c>
      <c r="AI120" s="115">
        <v>4400000</v>
      </c>
      <c r="AK120" s="211">
        <v>116</v>
      </c>
      <c r="AL120" s="9" t="s">
        <v>241</v>
      </c>
      <c r="AM120" s="9">
        <v>1</v>
      </c>
      <c r="AN120" s="8" t="s">
        <v>47</v>
      </c>
      <c r="AO120" s="9" t="s">
        <v>378</v>
      </c>
      <c r="AP120" s="9" t="s">
        <v>465</v>
      </c>
      <c r="AQ120" s="343">
        <v>0</v>
      </c>
      <c r="AR120" s="345">
        <v>85000000</v>
      </c>
      <c r="AT120" s="211">
        <v>116</v>
      </c>
      <c r="AU120" s="211" t="s">
        <v>239</v>
      </c>
      <c r="AV120" s="211">
        <v>3</v>
      </c>
      <c r="AW120" s="8" t="s">
        <v>217</v>
      </c>
      <c r="AX120" s="9" t="s">
        <v>63</v>
      </c>
      <c r="AY120" s="9" t="s">
        <v>285</v>
      </c>
      <c r="AZ120" s="210">
        <v>0</v>
      </c>
      <c r="BA120" s="115">
        <v>4400000</v>
      </c>
      <c r="BC120" s="165"/>
      <c r="BL120" s="211">
        <v>116</v>
      </c>
      <c r="BM120" s="211" t="s">
        <v>239</v>
      </c>
      <c r="BN120" s="211">
        <v>20</v>
      </c>
      <c r="BO120" s="186" t="s">
        <v>112</v>
      </c>
      <c r="BP120" s="10" t="s">
        <v>354</v>
      </c>
      <c r="BQ120" s="10" t="s">
        <v>254</v>
      </c>
      <c r="BR120" s="210">
        <v>330</v>
      </c>
      <c r="BS120" s="115">
        <v>0</v>
      </c>
      <c r="BU120" s="211">
        <v>116</v>
      </c>
      <c r="BV120" s="9" t="s">
        <v>195</v>
      </c>
      <c r="BW120" s="9">
        <v>22</v>
      </c>
      <c r="BX120" s="8" t="s">
        <v>40</v>
      </c>
      <c r="BY120" s="9" t="s">
        <v>355</v>
      </c>
      <c r="BZ120" s="9" t="s">
        <v>350</v>
      </c>
      <c r="CA120" s="210">
        <v>0</v>
      </c>
      <c r="CB120" s="115">
        <v>7.0000000000000007E-2</v>
      </c>
      <c r="CD120" s="211">
        <v>116</v>
      </c>
      <c r="CE120" s="9" t="s">
        <v>238</v>
      </c>
      <c r="CF120" s="9">
        <v>15</v>
      </c>
      <c r="CG120" s="8" t="s">
        <v>40</v>
      </c>
      <c r="CH120" s="9" t="s">
        <v>118</v>
      </c>
      <c r="CI120" s="9" t="s">
        <v>1391</v>
      </c>
      <c r="CJ120" s="343">
        <v>0</v>
      </c>
      <c r="CK120" s="345">
        <v>1037300</v>
      </c>
      <c r="CM120" s="211">
        <v>1</v>
      </c>
      <c r="CN120" s="9" t="s">
        <v>245</v>
      </c>
      <c r="CO120" s="9">
        <v>11</v>
      </c>
      <c r="CP120" s="11" t="s">
        <v>606</v>
      </c>
      <c r="CQ120" s="9" t="s">
        <v>354</v>
      </c>
      <c r="CR120" s="9" t="s">
        <v>637</v>
      </c>
      <c r="CS120" s="343">
        <v>0</v>
      </c>
      <c r="CT120" s="344">
        <v>24200000</v>
      </c>
    </row>
    <row r="121" spans="1:106" s="114" customFormat="1" ht="12" customHeight="1" thickBot="1">
      <c r="A121" s="536">
        <v>117</v>
      </c>
      <c r="B121" s="482" t="s">
        <v>140</v>
      </c>
      <c r="C121" s="482">
        <v>21</v>
      </c>
      <c r="D121" s="483" t="s">
        <v>98</v>
      </c>
      <c r="E121" s="484" t="s">
        <v>62</v>
      </c>
      <c r="F121" s="482" t="s">
        <v>1640</v>
      </c>
      <c r="G121" s="803">
        <v>0</v>
      </c>
      <c r="H121" s="810">
        <v>263104087.40000001</v>
      </c>
      <c r="J121" s="211">
        <v>117</v>
      </c>
      <c r="K121" s="9" t="s">
        <v>195</v>
      </c>
      <c r="L121" s="9">
        <v>1</v>
      </c>
      <c r="M121" s="8" t="s">
        <v>47</v>
      </c>
      <c r="N121" s="9" t="s">
        <v>378</v>
      </c>
      <c r="O121" s="9" t="s">
        <v>162</v>
      </c>
      <c r="P121" s="343">
        <v>0</v>
      </c>
      <c r="Q121" s="345">
        <v>150000000</v>
      </c>
      <c r="S121" s="536">
        <v>117</v>
      </c>
      <c r="T121" s="482" t="s">
        <v>140</v>
      </c>
      <c r="U121" s="482">
        <v>9</v>
      </c>
      <c r="V121" s="483" t="s">
        <v>219</v>
      </c>
      <c r="W121" s="482" t="s">
        <v>63</v>
      </c>
      <c r="X121" s="482" t="s">
        <v>293</v>
      </c>
      <c r="Y121" s="803">
        <v>0</v>
      </c>
      <c r="Z121" s="815">
        <v>5000000</v>
      </c>
      <c r="AB121" s="211">
        <v>117</v>
      </c>
      <c r="AC121" s="211" t="s">
        <v>58</v>
      </c>
      <c r="AD121" s="211">
        <v>5</v>
      </c>
      <c r="AE121" s="8" t="s">
        <v>217</v>
      </c>
      <c r="AF121" s="9" t="s">
        <v>63</v>
      </c>
      <c r="AG121" s="9" t="s">
        <v>288</v>
      </c>
      <c r="AH121" s="210">
        <v>0</v>
      </c>
      <c r="AI121" s="115">
        <v>4400000</v>
      </c>
      <c r="AK121" s="211">
        <v>117</v>
      </c>
      <c r="AL121" s="9" t="s">
        <v>242</v>
      </c>
      <c r="AM121" s="9">
        <v>11</v>
      </c>
      <c r="AN121" s="8" t="s">
        <v>47</v>
      </c>
      <c r="AO121" s="9" t="s">
        <v>378</v>
      </c>
      <c r="AP121" s="9" t="s">
        <v>494</v>
      </c>
      <c r="AQ121" s="343">
        <v>0</v>
      </c>
      <c r="AR121" s="345">
        <v>85000000</v>
      </c>
      <c r="AT121" s="211">
        <v>117</v>
      </c>
      <c r="AU121" s="211" t="s">
        <v>239</v>
      </c>
      <c r="AV121" s="211">
        <v>3</v>
      </c>
      <c r="AW121" s="8" t="s">
        <v>217</v>
      </c>
      <c r="AX121" s="9" t="s">
        <v>63</v>
      </c>
      <c r="AY121" s="9" t="s">
        <v>286</v>
      </c>
      <c r="AZ121" s="210">
        <v>0</v>
      </c>
      <c r="BA121" s="115">
        <v>3300000</v>
      </c>
      <c r="BC121" s="809" t="s">
        <v>1674</v>
      </c>
      <c r="BD121" s="163"/>
      <c r="BE121" s="163"/>
      <c r="BF121" s="156"/>
      <c r="BG121" s="163"/>
      <c r="BH121" s="163"/>
      <c r="BI121" s="583"/>
      <c r="BJ121" s="788"/>
      <c r="BL121" s="211">
        <v>117</v>
      </c>
      <c r="BM121" s="9" t="s">
        <v>242</v>
      </c>
      <c r="BN121" s="9">
        <v>11</v>
      </c>
      <c r="BO121" s="8" t="s">
        <v>121</v>
      </c>
      <c r="BP121" s="10" t="s">
        <v>373</v>
      </c>
      <c r="BQ121" s="127" t="s">
        <v>491</v>
      </c>
      <c r="BR121" s="210">
        <v>0</v>
      </c>
      <c r="BS121" s="115">
        <v>48950000</v>
      </c>
      <c r="BU121" s="211">
        <v>117</v>
      </c>
      <c r="BV121" s="9" t="s">
        <v>195</v>
      </c>
      <c r="BW121" s="9">
        <v>9</v>
      </c>
      <c r="BX121" s="8" t="s">
        <v>40</v>
      </c>
      <c r="BY121" s="9" t="s">
        <v>355</v>
      </c>
      <c r="BZ121" s="9" t="s">
        <v>351</v>
      </c>
      <c r="CA121" s="210">
        <v>0</v>
      </c>
      <c r="CB121" s="115">
        <v>0.41</v>
      </c>
      <c r="CD121" s="211">
        <v>117</v>
      </c>
      <c r="CE121" s="9" t="s">
        <v>238</v>
      </c>
      <c r="CF121" s="9">
        <v>18</v>
      </c>
      <c r="CG121" s="8" t="s">
        <v>40</v>
      </c>
      <c r="CH121" s="9" t="s">
        <v>354</v>
      </c>
      <c r="CI121" s="9" t="s">
        <v>1413</v>
      </c>
      <c r="CJ121" s="343">
        <v>0</v>
      </c>
      <c r="CK121" s="345">
        <v>-567020</v>
      </c>
      <c r="CM121" s="211">
        <v>2</v>
      </c>
      <c r="CN121" s="9" t="s">
        <v>238</v>
      </c>
      <c r="CO121" s="9">
        <v>4</v>
      </c>
      <c r="CP121" s="11" t="s">
        <v>606</v>
      </c>
      <c r="CQ121" s="9" t="s">
        <v>354</v>
      </c>
      <c r="CR121" s="9" t="s">
        <v>660</v>
      </c>
      <c r="CS121" s="342">
        <v>0</v>
      </c>
      <c r="CT121" s="344">
        <v>24200000</v>
      </c>
    </row>
    <row r="122" spans="1:106" s="114" customFormat="1" ht="12" customHeight="1" thickBot="1">
      <c r="A122" s="165"/>
      <c r="B122" s="206"/>
      <c r="C122" s="206"/>
      <c r="D122" s="206"/>
      <c r="E122" s="206"/>
      <c r="F122" s="206"/>
      <c r="G122" s="288">
        <f>SUM(G5:G121)</f>
        <v>12049</v>
      </c>
      <c r="H122" s="289">
        <f>SUM(H5:H121)</f>
        <v>6431244115.551199</v>
      </c>
      <c r="J122" s="211">
        <v>118</v>
      </c>
      <c r="K122" s="9" t="s">
        <v>239</v>
      </c>
      <c r="L122" s="9">
        <v>1</v>
      </c>
      <c r="M122" s="8" t="s">
        <v>47</v>
      </c>
      <c r="N122" s="9" t="s">
        <v>378</v>
      </c>
      <c r="O122" s="9" t="s">
        <v>393</v>
      </c>
      <c r="P122" s="343">
        <v>0</v>
      </c>
      <c r="Q122" s="345">
        <v>150000000</v>
      </c>
      <c r="S122" s="165"/>
      <c r="T122" s="206"/>
      <c r="U122" s="206"/>
      <c r="V122" s="206"/>
      <c r="W122" s="206"/>
      <c r="X122" s="206"/>
      <c r="Y122" s="288">
        <f>SUM(Y5:Y121)</f>
        <v>12049</v>
      </c>
      <c r="Z122" s="289">
        <f>SUM(Z5:Z121)</f>
        <v>6255772520.5995998</v>
      </c>
      <c r="AB122" s="211">
        <v>118</v>
      </c>
      <c r="AC122" s="211" t="s">
        <v>241</v>
      </c>
      <c r="AD122" s="211">
        <v>2</v>
      </c>
      <c r="AE122" s="8" t="s">
        <v>217</v>
      </c>
      <c r="AF122" s="9" t="s">
        <v>63</v>
      </c>
      <c r="AG122" s="9" t="s">
        <v>289</v>
      </c>
      <c r="AH122" s="210">
        <v>0</v>
      </c>
      <c r="AI122" s="115">
        <v>4400000</v>
      </c>
      <c r="AK122" s="211">
        <v>118</v>
      </c>
      <c r="AL122" s="9" t="s">
        <v>243</v>
      </c>
      <c r="AM122" s="9">
        <v>2</v>
      </c>
      <c r="AN122" s="8" t="s">
        <v>47</v>
      </c>
      <c r="AO122" s="9" t="s">
        <v>378</v>
      </c>
      <c r="AP122" s="9" t="s">
        <v>529</v>
      </c>
      <c r="AQ122" s="210">
        <v>0</v>
      </c>
      <c r="AR122" s="341">
        <v>85000000</v>
      </c>
      <c r="AT122" s="211">
        <v>118</v>
      </c>
      <c r="AU122" s="211" t="s">
        <v>240</v>
      </c>
      <c r="AV122" s="211">
        <v>1</v>
      </c>
      <c r="AW122" s="8" t="s">
        <v>217</v>
      </c>
      <c r="AX122" s="9" t="s">
        <v>63</v>
      </c>
      <c r="AY122" s="9" t="s">
        <v>287</v>
      </c>
      <c r="AZ122" s="210">
        <v>0</v>
      </c>
      <c r="BA122" s="115">
        <v>4400000</v>
      </c>
      <c r="BC122" s="42">
        <v>1</v>
      </c>
      <c r="BD122" s="42" t="s">
        <v>238</v>
      </c>
      <c r="BE122" s="42">
        <v>30</v>
      </c>
      <c r="BF122" s="123" t="s">
        <v>20</v>
      </c>
      <c r="BG122" s="113" t="s">
        <v>346</v>
      </c>
      <c r="BH122" s="113" t="s">
        <v>1717</v>
      </c>
      <c r="BI122" s="1008">
        <v>0</v>
      </c>
      <c r="BJ122" s="811">
        <v>0.6151999905705452</v>
      </c>
      <c r="BL122" s="211">
        <v>118</v>
      </c>
      <c r="BM122" s="9" t="s">
        <v>243</v>
      </c>
      <c r="BN122" s="9">
        <v>3</v>
      </c>
      <c r="BO122" s="8" t="s">
        <v>121</v>
      </c>
      <c r="BP122" s="10" t="s">
        <v>373</v>
      </c>
      <c r="BQ122" s="127" t="s">
        <v>530</v>
      </c>
      <c r="BR122" s="343">
        <v>0</v>
      </c>
      <c r="BS122" s="345">
        <v>48950000</v>
      </c>
      <c r="BU122" s="211">
        <v>118</v>
      </c>
      <c r="BV122" s="9" t="s">
        <v>239</v>
      </c>
      <c r="BW122" s="9">
        <v>3</v>
      </c>
      <c r="BX122" s="8" t="s">
        <v>40</v>
      </c>
      <c r="BY122" s="9" t="s">
        <v>354</v>
      </c>
      <c r="BZ122" s="9" t="s">
        <v>398</v>
      </c>
      <c r="CA122" s="210">
        <v>0</v>
      </c>
      <c r="CB122" s="115">
        <v>0.17</v>
      </c>
      <c r="CD122" s="211">
        <v>118</v>
      </c>
      <c r="CE122" s="9" t="s">
        <v>238</v>
      </c>
      <c r="CF122" s="9">
        <v>18</v>
      </c>
      <c r="CG122" s="8" t="s">
        <v>40</v>
      </c>
      <c r="CH122" s="9" t="s">
        <v>354</v>
      </c>
      <c r="CI122" s="9" t="s">
        <v>1414</v>
      </c>
      <c r="CJ122" s="343">
        <v>0</v>
      </c>
      <c r="CK122" s="345">
        <v>-567020</v>
      </c>
      <c r="CM122" s="211">
        <v>3</v>
      </c>
      <c r="CN122" s="9" t="s">
        <v>140</v>
      </c>
      <c r="CO122" s="9">
        <v>1</v>
      </c>
      <c r="CP122" s="11" t="s">
        <v>606</v>
      </c>
      <c r="CQ122" s="9" t="s">
        <v>354</v>
      </c>
      <c r="CR122" s="9" t="s">
        <v>1555</v>
      </c>
      <c r="CS122" s="342">
        <v>0</v>
      </c>
      <c r="CT122" s="344">
        <v>24200000</v>
      </c>
    </row>
    <row r="123" spans="1:106" s="114" customFormat="1" ht="12" customHeight="1">
      <c r="A123" s="165"/>
      <c r="B123" s="163"/>
      <c r="C123" s="163"/>
      <c r="D123" s="156"/>
      <c r="E123" s="163"/>
      <c r="F123" s="375"/>
      <c r="G123" s="583"/>
      <c r="H123" s="788"/>
      <c r="J123" s="211">
        <v>119</v>
      </c>
      <c r="K123" s="9" t="s">
        <v>240</v>
      </c>
      <c r="L123" s="9">
        <v>1</v>
      </c>
      <c r="M123" s="8" t="s">
        <v>47</v>
      </c>
      <c r="N123" s="9" t="s">
        <v>378</v>
      </c>
      <c r="O123" s="9" t="s">
        <v>408</v>
      </c>
      <c r="P123" s="343">
        <v>0</v>
      </c>
      <c r="Q123" s="345">
        <v>150000000</v>
      </c>
      <c r="S123" s="165"/>
      <c r="AB123" s="211">
        <v>119</v>
      </c>
      <c r="AC123" s="211" t="s">
        <v>238</v>
      </c>
      <c r="AD123" s="211">
        <v>2</v>
      </c>
      <c r="AE123" s="8" t="s">
        <v>47</v>
      </c>
      <c r="AF123" s="9" t="s">
        <v>378</v>
      </c>
      <c r="AG123" s="9" t="s">
        <v>290</v>
      </c>
      <c r="AH123" s="210">
        <v>0</v>
      </c>
      <c r="AI123" s="115">
        <v>-15625050</v>
      </c>
      <c r="AK123" s="211">
        <v>119</v>
      </c>
      <c r="AL123" s="9" t="s">
        <v>244</v>
      </c>
      <c r="AM123" s="9">
        <v>1</v>
      </c>
      <c r="AN123" s="8" t="s">
        <v>47</v>
      </c>
      <c r="AO123" s="9" t="s">
        <v>378</v>
      </c>
      <c r="AP123" s="9" t="s">
        <v>574</v>
      </c>
      <c r="AQ123" s="210">
        <v>0</v>
      </c>
      <c r="AR123" s="341">
        <v>85000000</v>
      </c>
      <c r="AT123" s="211">
        <v>119</v>
      </c>
      <c r="AU123" s="211" t="s">
        <v>58</v>
      </c>
      <c r="AV123" s="211">
        <v>5</v>
      </c>
      <c r="AW123" s="8" t="s">
        <v>217</v>
      </c>
      <c r="AX123" s="9" t="s">
        <v>63</v>
      </c>
      <c r="AY123" s="9" t="s">
        <v>288</v>
      </c>
      <c r="AZ123" s="210">
        <v>0</v>
      </c>
      <c r="BA123" s="115">
        <v>4400000</v>
      </c>
      <c r="BC123" s="9">
        <v>2</v>
      </c>
      <c r="BD123" s="9" t="s">
        <v>140</v>
      </c>
      <c r="BE123" s="9">
        <v>30</v>
      </c>
      <c r="BF123" s="8" t="s">
        <v>20</v>
      </c>
      <c r="BG123" s="10" t="s">
        <v>346</v>
      </c>
      <c r="BH123" s="10" t="s">
        <v>1716</v>
      </c>
      <c r="BI123" s="346">
        <v>0</v>
      </c>
      <c r="BJ123" s="347">
        <v>0.92639999836683273</v>
      </c>
      <c r="BL123" s="211">
        <v>119</v>
      </c>
      <c r="BM123" s="211" t="s">
        <v>241</v>
      </c>
      <c r="BN123" s="211">
        <v>19</v>
      </c>
      <c r="BO123" s="186" t="s">
        <v>207</v>
      </c>
      <c r="BP123" s="211" t="s">
        <v>256</v>
      </c>
      <c r="BQ123" s="127" t="s">
        <v>255</v>
      </c>
      <c r="BR123" s="210">
        <v>0</v>
      </c>
      <c r="BS123" s="115">
        <v>13640000</v>
      </c>
      <c r="BU123" s="211">
        <v>119</v>
      </c>
      <c r="BV123" s="9" t="s">
        <v>239</v>
      </c>
      <c r="BW123" s="9">
        <v>3</v>
      </c>
      <c r="BX123" s="8" t="s">
        <v>40</v>
      </c>
      <c r="BY123" s="9" t="s">
        <v>354</v>
      </c>
      <c r="BZ123" s="9" t="s">
        <v>399</v>
      </c>
      <c r="CA123" s="210">
        <v>0</v>
      </c>
      <c r="CB123" s="115">
        <v>0.17</v>
      </c>
      <c r="CD123" s="211">
        <v>119</v>
      </c>
      <c r="CE123" s="9" t="s">
        <v>238</v>
      </c>
      <c r="CF123" s="9">
        <v>18</v>
      </c>
      <c r="CG123" s="8" t="s">
        <v>40</v>
      </c>
      <c r="CH123" s="9" t="s">
        <v>354</v>
      </c>
      <c r="CI123" s="9" t="s">
        <v>1415</v>
      </c>
      <c r="CJ123" s="343">
        <v>0</v>
      </c>
      <c r="CK123" s="345">
        <v>-567020</v>
      </c>
      <c r="CM123" s="1855" t="s">
        <v>68</v>
      </c>
      <c r="CN123" s="1855"/>
      <c r="CO123" s="1855"/>
      <c r="CP123" s="1855"/>
      <c r="CQ123" s="1855"/>
      <c r="CR123" s="1855"/>
      <c r="CS123" s="546">
        <f>SUM(CS120:CS122)</f>
        <v>0</v>
      </c>
      <c r="CT123" s="547">
        <f>SUM(CT120:CT122)</f>
        <v>72600000</v>
      </c>
      <c r="DB123" s="577"/>
    </row>
    <row r="124" spans="1:106" s="114" customFormat="1" ht="12" customHeight="1">
      <c r="A124" s="809" t="s">
        <v>1674</v>
      </c>
      <c r="B124" s="163"/>
      <c r="C124" s="163"/>
      <c r="D124" s="156"/>
      <c r="E124" s="163"/>
      <c r="F124" s="163"/>
      <c r="G124" s="583"/>
      <c r="H124" s="788"/>
      <c r="J124" s="211">
        <v>120</v>
      </c>
      <c r="K124" s="9" t="s">
        <v>241</v>
      </c>
      <c r="L124" s="9">
        <v>1</v>
      </c>
      <c r="M124" s="8" t="s">
        <v>47</v>
      </c>
      <c r="N124" s="9" t="s">
        <v>378</v>
      </c>
      <c r="O124" s="9" t="s">
        <v>465</v>
      </c>
      <c r="P124" s="343">
        <v>0</v>
      </c>
      <c r="Q124" s="345">
        <v>85000000</v>
      </c>
      <c r="S124" s="809" t="s">
        <v>1674</v>
      </c>
      <c r="T124" s="163"/>
      <c r="U124" s="163"/>
      <c r="V124" s="156"/>
      <c r="W124" s="163"/>
      <c r="X124" s="163"/>
      <c r="Y124" s="583"/>
      <c r="Z124" s="788"/>
      <c r="AB124" s="211">
        <v>120</v>
      </c>
      <c r="AC124" s="211" t="s">
        <v>140</v>
      </c>
      <c r="AD124" s="211">
        <v>1</v>
      </c>
      <c r="AE124" s="8" t="s">
        <v>47</v>
      </c>
      <c r="AF124" s="9" t="s">
        <v>378</v>
      </c>
      <c r="AG124" s="9" t="s">
        <v>291</v>
      </c>
      <c r="AH124" s="210">
        <v>0</v>
      </c>
      <c r="AI124" s="115">
        <v>150000000</v>
      </c>
      <c r="AK124" s="211">
        <v>120</v>
      </c>
      <c r="AL124" s="9" t="s">
        <v>245</v>
      </c>
      <c r="AM124" s="9">
        <v>5</v>
      </c>
      <c r="AN124" s="8" t="s">
        <v>47</v>
      </c>
      <c r="AO124" s="9" t="s">
        <v>378</v>
      </c>
      <c r="AP124" s="9" t="s">
        <v>636</v>
      </c>
      <c r="AQ124" s="210">
        <v>0</v>
      </c>
      <c r="AR124" s="341">
        <v>85000000</v>
      </c>
      <c r="AT124" s="211">
        <v>120</v>
      </c>
      <c r="AU124" s="211" t="s">
        <v>241</v>
      </c>
      <c r="AV124" s="211">
        <v>2</v>
      </c>
      <c r="AW124" s="8" t="s">
        <v>217</v>
      </c>
      <c r="AX124" s="9" t="s">
        <v>63</v>
      </c>
      <c r="AY124" s="9" t="s">
        <v>289</v>
      </c>
      <c r="AZ124" s="210">
        <v>0</v>
      </c>
      <c r="BA124" s="115">
        <v>4400000</v>
      </c>
      <c r="BC124" s="9">
        <v>3</v>
      </c>
      <c r="BD124" s="9" t="s">
        <v>194</v>
      </c>
      <c r="BE124" s="9">
        <v>30</v>
      </c>
      <c r="BF124" s="8" t="s">
        <v>20</v>
      </c>
      <c r="BG124" s="10" t="s">
        <v>346</v>
      </c>
      <c r="BH124" s="10" t="s">
        <v>2024</v>
      </c>
      <c r="BI124" s="343">
        <v>0</v>
      </c>
      <c r="BJ124" s="345">
        <v>1.6393600031733513</v>
      </c>
      <c r="BL124" s="211">
        <v>120</v>
      </c>
      <c r="BM124" s="9" t="s">
        <v>194</v>
      </c>
      <c r="BN124" s="9">
        <v>11</v>
      </c>
      <c r="BO124" s="8" t="s">
        <v>151</v>
      </c>
      <c r="BP124" s="9" t="s">
        <v>144</v>
      </c>
      <c r="BQ124" s="10" t="s">
        <v>152</v>
      </c>
      <c r="BR124" s="210">
        <v>0</v>
      </c>
      <c r="BS124" s="115">
        <v>130000</v>
      </c>
      <c r="BU124" s="211">
        <v>120</v>
      </c>
      <c r="BV124" s="9" t="s">
        <v>239</v>
      </c>
      <c r="BW124" s="9">
        <v>3</v>
      </c>
      <c r="BX124" s="8" t="s">
        <v>40</v>
      </c>
      <c r="BY124" s="9" t="s">
        <v>355</v>
      </c>
      <c r="BZ124" s="9" t="s">
        <v>400</v>
      </c>
      <c r="CA124" s="210">
        <v>0</v>
      </c>
      <c r="CB124" s="115">
        <v>0.42</v>
      </c>
      <c r="CD124" s="211">
        <v>120</v>
      </c>
      <c r="CE124" s="9" t="s">
        <v>238</v>
      </c>
      <c r="CF124" s="9">
        <v>18</v>
      </c>
      <c r="CG124" s="8" t="s">
        <v>40</v>
      </c>
      <c r="CH124" s="9" t="s">
        <v>355</v>
      </c>
      <c r="CI124" s="9" t="s">
        <v>1416</v>
      </c>
      <c r="CJ124" s="343">
        <v>0</v>
      </c>
      <c r="CK124" s="345">
        <v>-580080</v>
      </c>
      <c r="CM124" s="211">
        <v>1</v>
      </c>
      <c r="CN124" s="9" t="s">
        <v>140</v>
      </c>
      <c r="CO124" s="9">
        <v>8</v>
      </c>
      <c r="CP124" s="11" t="s">
        <v>639</v>
      </c>
      <c r="CQ124" s="9" t="s">
        <v>147</v>
      </c>
      <c r="CR124" s="9" t="s">
        <v>1596</v>
      </c>
      <c r="CS124" s="342">
        <v>0</v>
      </c>
      <c r="CT124" s="344">
        <v>9784813.5</v>
      </c>
      <c r="DB124" s="577"/>
    </row>
    <row r="125" spans="1:106" s="114" customFormat="1" ht="12" customHeight="1">
      <c r="A125" s="804">
        <v>1</v>
      </c>
      <c r="B125" s="42" t="s">
        <v>238</v>
      </c>
      <c r="C125" s="42">
        <v>30</v>
      </c>
      <c r="D125" s="123" t="s">
        <v>20</v>
      </c>
      <c r="E125" s="113" t="s">
        <v>346</v>
      </c>
      <c r="F125" s="113" t="s">
        <v>1717</v>
      </c>
      <c r="G125" s="805">
        <v>0</v>
      </c>
      <c r="H125" s="811">
        <v>0.6151999905705452</v>
      </c>
      <c r="J125" s="211">
        <v>121</v>
      </c>
      <c r="K125" s="9" t="s">
        <v>242</v>
      </c>
      <c r="L125" s="9">
        <v>11</v>
      </c>
      <c r="M125" s="8" t="s">
        <v>47</v>
      </c>
      <c r="N125" s="9" t="s">
        <v>378</v>
      </c>
      <c r="O125" s="9" t="s">
        <v>494</v>
      </c>
      <c r="P125" s="343">
        <v>0</v>
      </c>
      <c r="Q125" s="345">
        <v>85000000</v>
      </c>
      <c r="S125" s="911">
        <v>1</v>
      </c>
      <c r="T125" s="42" t="s">
        <v>238</v>
      </c>
      <c r="U125" s="42">
        <v>30</v>
      </c>
      <c r="V125" s="123" t="s">
        <v>20</v>
      </c>
      <c r="W125" s="113" t="s">
        <v>346</v>
      </c>
      <c r="X125" s="113" t="s">
        <v>1717</v>
      </c>
      <c r="Y125" s="805">
        <v>0</v>
      </c>
      <c r="Z125" s="811">
        <v>0.6151999905705452</v>
      </c>
      <c r="AB125" s="211">
        <v>121</v>
      </c>
      <c r="AC125" s="9" t="s">
        <v>194</v>
      </c>
      <c r="AD125" s="9">
        <v>6</v>
      </c>
      <c r="AE125" s="8" t="s">
        <v>47</v>
      </c>
      <c r="AF125" s="9" t="s">
        <v>378</v>
      </c>
      <c r="AG125" s="9" t="s">
        <v>161</v>
      </c>
      <c r="AH125" s="343">
        <v>0</v>
      </c>
      <c r="AI125" s="345">
        <v>150000000</v>
      </c>
      <c r="AK125" s="211">
        <v>121</v>
      </c>
      <c r="AL125" s="9" t="s">
        <v>238</v>
      </c>
      <c r="AM125" s="9">
        <v>2</v>
      </c>
      <c r="AN125" s="8" t="s">
        <v>47</v>
      </c>
      <c r="AO125" s="9" t="s">
        <v>378</v>
      </c>
      <c r="AP125" s="9" t="s">
        <v>656</v>
      </c>
      <c r="AQ125" s="343">
        <v>0</v>
      </c>
      <c r="AR125" s="345">
        <v>7000000</v>
      </c>
      <c r="AT125" s="211">
        <v>121</v>
      </c>
      <c r="AU125" s="211" t="s">
        <v>238</v>
      </c>
      <c r="AV125" s="211">
        <v>2</v>
      </c>
      <c r="AW125" s="8" t="s">
        <v>47</v>
      </c>
      <c r="AX125" s="9" t="s">
        <v>378</v>
      </c>
      <c r="AY125" s="9" t="s">
        <v>290</v>
      </c>
      <c r="AZ125" s="210">
        <v>0</v>
      </c>
      <c r="BA125" s="115">
        <v>-15625050</v>
      </c>
      <c r="BC125" s="9">
        <v>4</v>
      </c>
      <c r="BD125" s="9" t="s">
        <v>195</v>
      </c>
      <c r="BE125" s="9">
        <v>28</v>
      </c>
      <c r="BF125" s="8" t="s">
        <v>20</v>
      </c>
      <c r="BG125" s="10" t="s">
        <v>346</v>
      </c>
      <c r="BH125" s="10" t="s">
        <v>2175</v>
      </c>
      <c r="BI125" s="343">
        <v>0</v>
      </c>
      <c r="BJ125" s="345">
        <v>1.1206399947404861</v>
      </c>
      <c r="BL125" s="211">
        <v>121</v>
      </c>
      <c r="BM125" s="9" t="s">
        <v>243</v>
      </c>
      <c r="BN125" s="9">
        <v>8</v>
      </c>
      <c r="BO125" s="8" t="s">
        <v>151</v>
      </c>
      <c r="BP125" s="9" t="s">
        <v>354</v>
      </c>
      <c r="BQ125" s="10" t="s">
        <v>533</v>
      </c>
      <c r="BR125" s="210">
        <v>0</v>
      </c>
      <c r="BS125" s="115">
        <v>24200000</v>
      </c>
      <c r="BU125" s="211">
        <v>121</v>
      </c>
      <c r="BV125" s="9" t="s">
        <v>240</v>
      </c>
      <c r="BW125" s="9">
        <v>1</v>
      </c>
      <c r="BX125" s="8" t="s">
        <v>40</v>
      </c>
      <c r="BY125" s="9" t="s">
        <v>354</v>
      </c>
      <c r="BZ125" s="9" t="s">
        <v>407</v>
      </c>
      <c r="CA125" s="210">
        <v>0</v>
      </c>
      <c r="CB125" s="115">
        <v>-107.28</v>
      </c>
      <c r="CD125" s="211">
        <v>121</v>
      </c>
      <c r="CE125" s="9" t="s">
        <v>238</v>
      </c>
      <c r="CF125" s="9">
        <v>18</v>
      </c>
      <c r="CG125" s="8" t="s">
        <v>40</v>
      </c>
      <c r="CH125" s="9" t="s">
        <v>355</v>
      </c>
      <c r="CI125" s="9" t="s">
        <v>1417</v>
      </c>
      <c r="CJ125" s="343">
        <v>0</v>
      </c>
      <c r="CK125" s="345">
        <v>-580080</v>
      </c>
      <c r="CM125" s="1855" t="s">
        <v>68</v>
      </c>
      <c r="CN125" s="1855"/>
      <c r="CO125" s="1855"/>
      <c r="CP125" s="1855"/>
      <c r="CQ125" s="1855"/>
      <c r="CR125" s="1855"/>
      <c r="CS125" s="546">
        <f>SUM(CS124)</f>
        <v>0</v>
      </c>
      <c r="CT125" s="547">
        <f>SUM(CT124)</f>
        <v>9784813.5</v>
      </c>
      <c r="DB125" s="577"/>
    </row>
    <row r="126" spans="1:106" s="114" customFormat="1" ht="12" customHeight="1">
      <c r="A126" s="806">
        <v>2</v>
      </c>
      <c r="B126" s="9" t="s">
        <v>140</v>
      </c>
      <c r="C126" s="9">
        <v>30</v>
      </c>
      <c r="D126" s="8" t="s">
        <v>20</v>
      </c>
      <c r="E126" s="10" t="s">
        <v>346</v>
      </c>
      <c r="F126" s="10" t="s">
        <v>1716</v>
      </c>
      <c r="G126" s="364">
        <v>0</v>
      </c>
      <c r="H126" s="347">
        <v>0.92639999836683273</v>
      </c>
      <c r="J126" s="211">
        <v>122</v>
      </c>
      <c r="K126" s="9" t="s">
        <v>243</v>
      </c>
      <c r="L126" s="9">
        <v>2</v>
      </c>
      <c r="M126" s="8" t="s">
        <v>47</v>
      </c>
      <c r="N126" s="9" t="s">
        <v>378</v>
      </c>
      <c r="O126" s="9" t="s">
        <v>529</v>
      </c>
      <c r="P126" s="210">
        <v>0</v>
      </c>
      <c r="Q126" s="341">
        <v>85000000</v>
      </c>
      <c r="S126" s="912">
        <v>2</v>
      </c>
      <c r="T126" s="9" t="s">
        <v>140</v>
      </c>
      <c r="U126" s="9">
        <v>30</v>
      </c>
      <c r="V126" s="8" t="s">
        <v>20</v>
      </c>
      <c r="W126" s="10" t="s">
        <v>346</v>
      </c>
      <c r="X126" s="10" t="s">
        <v>1716</v>
      </c>
      <c r="Y126" s="364">
        <v>0</v>
      </c>
      <c r="Z126" s="347">
        <v>0.92639999836683273</v>
      </c>
      <c r="AB126" s="211">
        <v>122</v>
      </c>
      <c r="AC126" s="9" t="s">
        <v>195</v>
      </c>
      <c r="AD126" s="9">
        <v>1</v>
      </c>
      <c r="AE126" s="8" t="s">
        <v>47</v>
      </c>
      <c r="AF126" s="9" t="s">
        <v>378</v>
      </c>
      <c r="AG126" s="9" t="s">
        <v>162</v>
      </c>
      <c r="AH126" s="343">
        <v>0</v>
      </c>
      <c r="AI126" s="345">
        <v>150000000</v>
      </c>
      <c r="AK126" s="211">
        <v>122</v>
      </c>
      <c r="AL126" s="9" t="s">
        <v>194</v>
      </c>
      <c r="AM126" s="9">
        <v>9</v>
      </c>
      <c r="AN126" s="8" t="s">
        <v>47</v>
      </c>
      <c r="AO126" s="9" t="s">
        <v>378</v>
      </c>
      <c r="AP126" s="10" t="s">
        <v>1766</v>
      </c>
      <c r="AQ126" s="343">
        <v>0</v>
      </c>
      <c r="AR126" s="345">
        <v>7000000</v>
      </c>
      <c r="AT126" s="211">
        <v>122</v>
      </c>
      <c r="AU126" s="211" t="s">
        <v>140</v>
      </c>
      <c r="AV126" s="211">
        <v>1</v>
      </c>
      <c r="AW126" s="8" t="s">
        <v>47</v>
      </c>
      <c r="AX126" s="9" t="s">
        <v>378</v>
      </c>
      <c r="AY126" s="9" t="s">
        <v>291</v>
      </c>
      <c r="AZ126" s="210">
        <v>0</v>
      </c>
      <c r="BA126" s="115">
        <v>150000000</v>
      </c>
      <c r="BC126" s="9">
        <v>5</v>
      </c>
      <c r="BD126" s="9" t="s">
        <v>239</v>
      </c>
      <c r="BE126" s="9">
        <v>30</v>
      </c>
      <c r="BF126" s="8" t="s">
        <v>20</v>
      </c>
      <c r="BG126" s="10" t="s">
        <v>354</v>
      </c>
      <c r="BH126" s="10" t="s">
        <v>2232</v>
      </c>
      <c r="BI126" s="343">
        <v>0</v>
      </c>
      <c r="BJ126" s="345">
        <v>1.8068800047039986</v>
      </c>
      <c r="BL126" s="211">
        <v>122</v>
      </c>
      <c r="BM126" s="9" t="s">
        <v>243</v>
      </c>
      <c r="BN126" s="9">
        <v>8</v>
      </c>
      <c r="BO126" s="8" t="s">
        <v>117</v>
      </c>
      <c r="BP126" s="9" t="s">
        <v>354</v>
      </c>
      <c r="BQ126" s="10" t="s">
        <v>535</v>
      </c>
      <c r="BR126" s="210">
        <v>0</v>
      </c>
      <c r="BS126" s="115">
        <v>24200000</v>
      </c>
      <c r="BU126" s="211">
        <v>122</v>
      </c>
      <c r="BV126" s="9" t="s">
        <v>240</v>
      </c>
      <c r="BW126" s="9">
        <v>11</v>
      </c>
      <c r="BX126" s="8" t="s">
        <v>40</v>
      </c>
      <c r="BY126" s="9" t="s">
        <v>355</v>
      </c>
      <c r="BZ126" s="9" t="s">
        <v>409</v>
      </c>
      <c r="CA126" s="343">
        <v>0</v>
      </c>
      <c r="CB126" s="345">
        <v>0.59680000320076942</v>
      </c>
      <c r="CD126" s="211">
        <v>122</v>
      </c>
      <c r="CE126" s="9" t="s">
        <v>238</v>
      </c>
      <c r="CF126" s="9">
        <v>18</v>
      </c>
      <c r="CG126" s="8" t="s">
        <v>40</v>
      </c>
      <c r="CH126" s="9" t="s">
        <v>448</v>
      </c>
      <c r="CI126" s="9" t="s">
        <v>1418</v>
      </c>
      <c r="CJ126" s="343">
        <v>0</v>
      </c>
      <c r="CK126" s="345">
        <v>-711750</v>
      </c>
      <c r="CM126" s="211">
        <v>1</v>
      </c>
      <c r="CN126" s="9" t="s">
        <v>140</v>
      </c>
      <c r="CO126" s="9">
        <v>1</v>
      </c>
      <c r="CP126" s="8" t="s">
        <v>136</v>
      </c>
      <c r="CQ126" s="10" t="s">
        <v>354</v>
      </c>
      <c r="CR126" s="9" t="s">
        <v>1600</v>
      </c>
      <c r="CS126" s="342">
        <v>0</v>
      </c>
      <c r="CT126" s="344">
        <v>54450000</v>
      </c>
      <c r="DB126" s="577"/>
    </row>
    <row r="127" spans="1:106" s="40" customFormat="1" ht="12" customHeight="1">
      <c r="A127" s="806">
        <v>3</v>
      </c>
      <c r="B127" s="9" t="s">
        <v>194</v>
      </c>
      <c r="C127" s="9">
        <v>18</v>
      </c>
      <c r="D127" s="8" t="s">
        <v>22</v>
      </c>
      <c r="E127" s="10" t="s">
        <v>354</v>
      </c>
      <c r="F127" s="10" t="s">
        <v>1776</v>
      </c>
      <c r="G127" s="364">
        <v>0</v>
      </c>
      <c r="H127" s="347">
        <v>0.19999999925494194</v>
      </c>
      <c r="J127" s="211">
        <v>123</v>
      </c>
      <c r="K127" s="9" t="s">
        <v>244</v>
      </c>
      <c r="L127" s="9">
        <v>1</v>
      </c>
      <c r="M127" s="8" t="s">
        <v>47</v>
      </c>
      <c r="N127" s="9" t="s">
        <v>378</v>
      </c>
      <c r="O127" s="9" t="s">
        <v>574</v>
      </c>
      <c r="P127" s="210">
        <v>0</v>
      </c>
      <c r="Q127" s="341">
        <v>85000000</v>
      </c>
      <c r="S127" s="912">
        <v>3</v>
      </c>
      <c r="T127" s="9" t="s">
        <v>194</v>
      </c>
      <c r="U127" s="9">
        <v>30</v>
      </c>
      <c r="V127" s="8" t="s">
        <v>20</v>
      </c>
      <c r="W127" s="10" t="s">
        <v>346</v>
      </c>
      <c r="X127" s="10" t="s">
        <v>2024</v>
      </c>
      <c r="Y127" s="343">
        <v>0</v>
      </c>
      <c r="Z127" s="345">
        <v>1.6393600031733513</v>
      </c>
      <c r="AB127" s="211">
        <v>123</v>
      </c>
      <c r="AC127" s="9" t="s">
        <v>239</v>
      </c>
      <c r="AD127" s="9">
        <v>1</v>
      </c>
      <c r="AE127" s="8" t="s">
        <v>47</v>
      </c>
      <c r="AF127" s="9" t="s">
        <v>378</v>
      </c>
      <c r="AG127" s="9" t="s">
        <v>393</v>
      </c>
      <c r="AH127" s="343">
        <v>0</v>
      </c>
      <c r="AI127" s="345">
        <v>150000000</v>
      </c>
      <c r="AK127" s="211">
        <v>123</v>
      </c>
      <c r="AL127" s="9" t="s">
        <v>239</v>
      </c>
      <c r="AM127" s="9">
        <v>1</v>
      </c>
      <c r="AN127" s="8" t="s">
        <v>47</v>
      </c>
      <c r="AO127" s="9" t="s">
        <v>378</v>
      </c>
      <c r="AP127" s="10" t="s">
        <v>2086</v>
      </c>
      <c r="AQ127" s="343">
        <v>0</v>
      </c>
      <c r="AR127" s="345">
        <v>107000000</v>
      </c>
      <c r="AT127" s="211">
        <v>123</v>
      </c>
      <c r="AU127" s="9" t="s">
        <v>194</v>
      </c>
      <c r="AV127" s="9">
        <v>6</v>
      </c>
      <c r="AW127" s="8" t="s">
        <v>47</v>
      </c>
      <c r="AX127" s="9" t="s">
        <v>378</v>
      </c>
      <c r="AY127" s="9" t="s">
        <v>161</v>
      </c>
      <c r="AZ127" s="343">
        <v>0</v>
      </c>
      <c r="BA127" s="345">
        <v>150000000</v>
      </c>
      <c r="BC127" s="9">
        <v>6</v>
      </c>
      <c r="BD127" s="300" t="s">
        <v>240</v>
      </c>
      <c r="BE127" s="9">
        <v>28</v>
      </c>
      <c r="BF127" s="8" t="s">
        <v>20</v>
      </c>
      <c r="BG127" s="10" t="s">
        <v>346</v>
      </c>
      <c r="BH127" s="10" t="s">
        <v>2411</v>
      </c>
      <c r="BI127" s="343">
        <v>0</v>
      </c>
      <c r="BJ127" s="345">
        <v>1.6833600103855133</v>
      </c>
      <c r="BL127" s="211">
        <v>123</v>
      </c>
      <c r="BM127" s="9" t="s">
        <v>194</v>
      </c>
      <c r="BN127" s="9">
        <v>4</v>
      </c>
      <c r="BO127" s="8" t="s">
        <v>387</v>
      </c>
      <c r="BP127" s="9" t="s">
        <v>388</v>
      </c>
      <c r="BQ127" s="10" t="s">
        <v>389</v>
      </c>
      <c r="BR127" s="210">
        <v>0</v>
      </c>
      <c r="BS127" s="115">
        <v>696000000</v>
      </c>
      <c r="BU127" s="211">
        <v>123</v>
      </c>
      <c r="BV127" s="9" t="s">
        <v>240</v>
      </c>
      <c r="BW127" s="9">
        <v>19</v>
      </c>
      <c r="BX127" s="8" t="s">
        <v>40</v>
      </c>
      <c r="BY127" s="9" t="s">
        <v>355</v>
      </c>
      <c r="BZ127" s="9" t="s">
        <v>416</v>
      </c>
      <c r="CA127" s="343">
        <v>0</v>
      </c>
      <c r="CB127" s="345">
        <v>0.14200000092387199</v>
      </c>
      <c r="CD127" s="211">
        <v>123</v>
      </c>
      <c r="CE127" s="9" t="s">
        <v>238</v>
      </c>
      <c r="CF127" s="9">
        <v>18</v>
      </c>
      <c r="CG127" s="8" t="s">
        <v>40</v>
      </c>
      <c r="CH127" s="9" t="s">
        <v>355</v>
      </c>
      <c r="CI127" s="9" t="s">
        <v>1419</v>
      </c>
      <c r="CJ127" s="343">
        <v>0</v>
      </c>
      <c r="CK127" s="345">
        <v>-580080</v>
      </c>
      <c r="CM127" s="211">
        <v>2</v>
      </c>
      <c r="CN127" s="9" t="s">
        <v>140</v>
      </c>
      <c r="CO127" s="9">
        <v>5</v>
      </c>
      <c r="CP127" s="8" t="s">
        <v>136</v>
      </c>
      <c r="CQ127" s="10" t="s">
        <v>354</v>
      </c>
      <c r="CR127" s="9" t="s">
        <v>1605</v>
      </c>
      <c r="CS127" s="342">
        <v>0</v>
      </c>
      <c r="CT127" s="344">
        <v>54450000</v>
      </c>
      <c r="DB127" s="578"/>
    </row>
    <row r="128" spans="1:106" s="40" customFormat="1" ht="12" customHeight="1">
      <c r="A128" s="806">
        <v>4</v>
      </c>
      <c r="B128" s="9" t="s">
        <v>140</v>
      </c>
      <c r="C128" s="9">
        <v>15</v>
      </c>
      <c r="D128" s="8" t="s">
        <v>1625</v>
      </c>
      <c r="E128" s="9" t="s">
        <v>144</v>
      </c>
      <c r="F128" s="9" t="s">
        <v>1626</v>
      </c>
      <c r="G128" s="364">
        <v>0</v>
      </c>
      <c r="H128" s="347">
        <v>-200</v>
      </c>
      <c r="J128" s="211">
        <v>124</v>
      </c>
      <c r="K128" s="9" t="s">
        <v>245</v>
      </c>
      <c r="L128" s="9">
        <v>5</v>
      </c>
      <c r="M128" s="8" t="s">
        <v>47</v>
      </c>
      <c r="N128" s="9" t="s">
        <v>378</v>
      </c>
      <c r="O128" s="9" t="s">
        <v>636</v>
      </c>
      <c r="P128" s="210">
        <v>0</v>
      </c>
      <c r="Q128" s="341">
        <v>85000000</v>
      </c>
      <c r="S128" s="912">
        <v>4</v>
      </c>
      <c r="T128" s="9" t="s">
        <v>195</v>
      </c>
      <c r="U128" s="9">
        <v>28</v>
      </c>
      <c r="V128" s="8" t="s">
        <v>20</v>
      </c>
      <c r="W128" s="10" t="s">
        <v>346</v>
      </c>
      <c r="X128" s="10" t="s">
        <v>2175</v>
      </c>
      <c r="Y128" s="343">
        <v>0</v>
      </c>
      <c r="Z128" s="345">
        <v>1.1206399947404861</v>
      </c>
      <c r="AB128" s="211">
        <v>124</v>
      </c>
      <c r="AC128" s="9" t="s">
        <v>240</v>
      </c>
      <c r="AD128" s="9">
        <v>1</v>
      </c>
      <c r="AE128" s="8" t="s">
        <v>47</v>
      </c>
      <c r="AF128" s="9" t="s">
        <v>378</v>
      </c>
      <c r="AG128" s="9" t="s">
        <v>408</v>
      </c>
      <c r="AH128" s="343">
        <v>0</v>
      </c>
      <c r="AI128" s="345">
        <v>150000000</v>
      </c>
      <c r="AK128" s="211">
        <v>124</v>
      </c>
      <c r="AL128" s="9" t="s">
        <v>240</v>
      </c>
      <c r="AM128" s="9">
        <v>3</v>
      </c>
      <c r="AN128" s="8" t="s">
        <v>47</v>
      </c>
      <c r="AO128" s="9" t="s">
        <v>378</v>
      </c>
      <c r="AP128" s="10" t="s">
        <v>2229</v>
      </c>
      <c r="AQ128" s="343">
        <v>0</v>
      </c>
      <c r="AR128" s="345">
        <v>107000000</v>
      </c>
      <c r="AT128" s="211">
        <v>124</v>
      </c>
      <c r="AU128" s="9" t="s">
        <v>195</v>
      </c>
      <c r="AV128" s="9">
        <v>1</v>
      </c>
      <c r="AW128" s="8" t="s">
        <v>47</v>
      </c>
      <c r="AX128" s="9" t="s">
        <v>378</v>
      </c>
      <c r="AY128" s="9" t="s">
        <v>162</v>
      </c>
      <c r="AZ128" s="343">
        <v>0</v>
      </c>
      <c r="BA128" s="345">
        <v>150000000</v>
      </c>
      <c r="BC128" s="9">
        <v>7</v>
      </c>
      <c r="BD128" s="53" t="s">
        <v>241</v>
      </c>
      <c r="BE128" s="53">
        <v>14</v>
      </c>
      <c r="BF128" s="8" t="s">
        <v>20</v>
      </c>
      <c r="BG128" s="10" t="s">
        <v>354</v>
      </c>
      <c r="BH128" s="10" t="s">
        <v>2681</v>
      </c>
      <c r="BI128" s="343">
        <v>0</v>
      </c>
      <c r="BJ128" s="345">
        <v>-0.39999997615814209</v>
      </c>
      <c r="BL128" s="211">
        <v>124</v>
      </c>
      <c r="BM128" s="9" t="s">
        <v>194</v>
      </c>
      <c r="BN128" s="9">
        <v>11</v>
      </c>
      <c r="BO128" s="8" t="s">
        <v>40</v>
      </c>
      <c r="BP128" s="9" t="s">
        <v>354</v>
      </c>
      <c r="BQ128" s="9" t="s">
        <v>153</v>
      </c>
      <c r="BR128" s="210">
        <v>0</v>
      </c>
      <c r="BS128" s="115">
        <v>-0.31</v>
      </c>
      <c r="BU128" s="211">
        <v>124</v>
      </c>
      <c r="BV128" s="9" t="s">
        <v>240</v>
      </c>
      <c r="BW128" s="9">
        <v>19</v>
      </c>
      <c r="BX128" s="8" t="s">
        <v>40</v>
      </c>
      <c r="BY128" s="9" t="s">
        <v>354</v>
      </c>
      <c r="BZ128" s="9" t="s">
        <v>417</v>
      </c>
      <c r="CA128" s="343">
        <v>0</v>
      </c>
      <c r="CB128" s="345">
        <v>0.10199999809265137</v>
      </c>
      <c r="CD128" s="211">
        <v>124</v>
      </c>
      <c r="CE128" s="9" t="s">
        <v>238</v>
      </c>
      <c r="CF128" s="9">
        <v>18</v>
      </c>
      <c r="CG128" s="8" t="s">
        <v>40</v>
      </c>
      <c r="CH128" s="9" t="s">
        <v>364</v>
      </c>
      <c r="CI128" s="9" t="s">
        <v>1420</v>
      </c>
      <c r="CJ128" s="343">
        <v>0</v>
      </c>
      <c r="CK128" s="345">
        <v>-190000</v>
      </c>
      <c r="CM128" s="211">
        <v>3</v>
      </c>
      <c r="CN128" s="9" t="s">
        <v>140</v>
      </c>
      <c r="CO128" s="9">
        <v>5</v>
      </c>
      <c r="CP128" s="8" t="s">
        <v>136</v>
      </c>
      <c r="CQ128" s="10" t="s">
        <v>354</v>
      </c>
      <c r="CR128" s="9" t="s">
        <v>1606</v>
      </c>
      <c r="CS128" s="342">
        <v>0</v>
      </c>
      <c r="CT128" s="344">
        <v>29700000</v>
      </c>
    </row>
    <row r="129" spans="1:98" s="114" customFormat="1" ht="12" customHeight="1">
      <c r="A129" s="806">
        <v>5</v>
      </c>
      <c r="B129" s="9" t="s">
        <v>140</v>
      </c>
      <c r="C129" s="9">
        <v>1</v>
      </c>
      <c r="D129" s="8" t="s">
        <v>49</v>
      </c>
      <c r="E129" s="9" t="s">
        <v>355</v>
      </c>
      <c r="F129" s="10" t="s">
        <v>1577</v>
      </c>
      <c r="G129" s="364">
        <v>0</v>
      </c>
      <c r="H129" s="347">
        <v>-0.19999999925494194</v>
      </c>
      <c r="J129" s="211">
        <v>125</v>
      </c>
      <c r="K129" s="9" t="s">
        <v>238</v>
      </c>
      <c r="L129" s="9">
        <v>2</v>
      </c>
      <c r="M129" s="8" t="s">
        <v>47</v>
      </c>
      <c r="N129" s="9" t="s">
        <v>378</v>
      </c>
      <c r="O129" s="9" t="s">
        <v>656</v>
      </c>
      <c r="P129" s="343">
        <v>0</v>
      </c>
      <c r="Q129" s="345">
        <v>7000000</v>
      </c>
      <c r="S129" s="912">
        <v>5</v>
      </c>
      <c r="T129" s="9" t="s">
        <v>194</v>
      </c>
      <c r="U129" s="9">
        <v>18</v>
      </c>
      <c r="V129" s="8" t="s">
        <v>22</v>
      </c>
      <c r="W129" s="10" t="s">
        <v>354</v>
      </c>
      <c r="X129" s="10" t="s">
        <v>1776</v>
      </c>
      <c r="Y129" s="364">
        <v>0</v>
      </c>
      <c r="Z129" s="347">
        <v>0.19999999925494194</v>
      </c>
      <c r="AB129" s="211">
        <v>125</v>
      </c>
      <c r="AC129" s="9" t="s">
        <v>241</v>
      </c>
      <c r="AD129" s="9">
        <v>1</v>
      </c>
      <c r="AE129" s="8" t="s">
        <v>47</v>
      </c>
      <c r="AF129" s="9" t="s">
        <v>378</v>
      </c>
      <c r="AG129" s="9" t="s">
        <v>465</v>
      </c>
      <c r="AH129" s="343">
        <v>0</v>
      </c>
      <c r="AI129" s="345">
        <v>85000000</v>
      </c>
      <c r="AK129" s="211">
        <v>125</v>
      </c>
      <c r="AL129" s="9" t="s">
        <v>58</v>
      </c>
      <c r="AM129" s="9">
        <v>2</v>
      </c>
      <c r="AN129" s="8" t="s">
        <v>47</v>
      </c>
      <c r="AO129" s="9" t="s">
        <v>378</v>
      </c>
      <c r="AP129" s="10" t="s">
        <v>2441</v>
      </c>
      <c r="AQ129" s="343">
        <v>0</v>
      </c>
      <c r="AR129" s="345">
        <v>107000000</v>
      </c>
      <c r="AT129" s="211">
        <v>125</v>
      </c>
      <c r="AU129" s="9" t="s">
        <v>239</v>
      </c>
      <c r="AV129" s="9">
        <v>1</v>
      </c>
      <c r="AW129" s="8" t="s">
        <v>47</v>
      </c>
      <c r="AX129" s="9" t="s">
        <v>378</v>
      </c>
      <c r="AY129" s="9" t="s">
        <v>393</v>
      </c>
      <c r="AZ129" s="343">
        <v>0</v>
      </c>
      <c r="BA129" s="345">
        <v>150000000</v>
      </c>
      <c r="BC129" s="9">
        <v>8</v>
      </c>
      <c r="BD129" s="9" t="s">
        <v>194</v>
      </c>
      <c r="BE129" s="9">
        <v>18</v>
      </c>
      <c r="BF129" s="8" t="s">
        <v>22</v>
      </c>
      <c r="BG129" s="10" t="s">
        <v>354</v>
      </c>
      <c r="BH129" s="10" t="s">
        <v>1776</v>
      </c>
      <c r="BI129" s="346">
        <v>0</v>
      </c>
      <c r="BJ129" s="347">
        <v>0.19999999925494194</v>
      </c>
      <c r="BL129" s="211">
        <v>125</v>
      </c>
      <c r="BM129" s="9" t="s">
        <v>194</v>
      </c>
      <c r="BN129" s="9">
        <v>11</v>
      </c>
      <c r="BO129" s="8" t="s">
        <v>40</v>
      </c>
      <c r="BP129" s="9" t="s">
        <v>374</v>
      </c>
      <c r="BQ129" s="9" t="s">
        <v>154</v>
      </c>
      <c r="BR129" s="210">
        <v>0</v>
      </c>
      <c r="BS129" s="115">
        <v>0.42</v>
      </c>
      <c r="BU129" s="211">
        <v>125</v>
      </c>
      <c r="BV129" s="9" t="s">
        <v>240</v>
      </c>
      <c r="BW129" s="9">
        <v>19</v>
      </c>
      <c r="BX129" s="8" t="s">
        <v>40</v>
      </c>
      <c r="BY129" s="9" t="s">
        <v>374</v>
      </c>
      <c r="BZ129" s="9" t="s">
        <v>418</v>
      </c>
      <c r="CA129" s="343">
        <v>0</v>
      </c>
      <c r="CB129" s="345">
        <v>0.1419999971985817</v>
      </c>
      <c r="CD129" s="211">
        <v>125</v>
      </c>
      <c r="CE129" s="9" t="s">
        <v>238</v>
      </c>
      <c r="CF129" s="9">
        <v>18</v>
      </c>
      <c r="CG129" s="8" t="s">
        <v>40</v>
      </c>
      <c r="CH129" s="9" t="s">
        <v>355</v>
      </c>
      <c r="CI129" s="9" t="s">
        <v>1421</v>
      </c>
      <c r="CJ129" s="343">
        <v>0</v>
      </c>
      <c r="CK129" s="345">
        <v>-580080</v>
      </c>
      <c r="CM129" s="211">
        <v>4</v>
      </c>
      <c r="CN129" s="9" t="s">
        <v>140</v>
      </c>
      <c r="CO129" s="9">
        <v>6</v>
      </c>
      <c r="CP129" s="8" t="s">
        <v>136</v>
      </c>
      <c r="CQ129" s="10" t="s">
        <v>354</v>
      </c>
      <c r="CR129" s="9" t="s">
        <v>1607</v>
      </c>
      <c r="CS129" s="342">
        <v>0</v>
      </c>
      <c r="CT129" s="344">
        <v>54450000</v>
      </c>
    </row>
    <row r="130" spans="1:98" s="114" customFormat="1" ht="12" customHeight="1">
      <c r="A130" s="806">
        <v>6</v>
      </c>
      <c r="B130" s="9" t="s">
        <v>238</v>
      </c>
      <c r="C130" s="9">
        <v>15</v>
      </c>
      <c r="D130" s="8" t="s">
        <v>40</v>
      </c>
      <c r="E130" s="9" t="s">
        <v>118</v>
      </c>
      <c r="F130" s="9" t="s">
        <v>1390</v>
      </c>
      <c r="G130" s="364">
        <v>0</v>
      </c>
      <c r="H130" s="347">
        <v>-220000</v>
      </c>
      <c r="J130" s="211">
        <v>126</v>
      </c>
      <c r="K130" s="9" t="s">
        <v>194</v>
      </c>
      <c r="L130" s="9">
        <v>9</v>
      </c>
      <c r="M130" s="8" t="s">
        <v>47</v>
      </c>
      <c r="N130" s="9" t="s">
        <v>378</v>
      </c>
      <c r="O130" s="10" t="s">
        <v>1766</v>
      </c>
      <c r="P130" s="343">
        <v>0</v>
      </c>
      <c r="Q130" s="345">
        <v>7000000</v>
      </c>
      <c r="S130" s="912">
        <v>6</v>
      </c>
      <c r="T130" s="9" t="s">
        <v>195</v>
      </c>
      <c r="U130" s="9">
        <v>16</v>
      </c>
      <c r="V130" s="8" t="s">
        <v>2070</v>
      </c>
      <c r="W130" s="10" t="s">
        <v>118</v>
      </c>
      <c r="X130" s="10" t="s">
        <v>2072</v>
      </c>
      <c r="Y130" s="342">
        <v>0</v>
      </c>
      <c r="Z130" s="361">
        <v>0.5</v>
      </c>
      <c r="AB130" s="211">
        <v>126</v>
      </c>
      <c r="AC130" s="9" t="s">
        <v>242</v>
      </c>
      <c r="AD130" s="9">
        <v>11</v>
      </c>
      <c r="AE130" s="8" t="s">
        <v>47</v>
      </c>
      <c r="AF130" s="9" t="s">
        <v>378</v>
      </c>
      <c r="AG130" s="9" t="s">
        <v>494</v>
      </c>
      <c r="AH130" s="343">
        <v>0</v>
      </c>
      <c r="AI130" s="345">
        <v>85000000</v>
      </c>
      <c r="AK130" s="211">
        <v>126</v>
      </c>
      <c r="AL130" s="211" t="s">
        <v>243</v>
      </c>
      <c r="AM130" s="211">
        <v>2</v>
      </c>
      <c r="AN130" s="8" t="s">
        <v>218</v>
      </c>
      <c r="AO130" s="10" t="s">
        <v>118</v>
      </c>
      <c r="AP130" s="9" t="s">
        <v>292</v>
      </c>
      <c r="AQ130" s="210">
        <v>0</v>
      </c>
      <c r="AR130" s="115">
        <v>8223100</v>
      </c>
      <c r="AT130" s="211">
        <v>126</v>
      </c>
      <c r="AU130" s="9" t="s">
        <v>240</v>
      </c>
      <c r="AV130" s="9">
        <v>1</v>
      </c>
      <c r="AW130" s="8" t="s">
        <v>47</v>
      </c>
      <c r="AX130" s="9" t="s">
        <v>378</v>
      </c>
      <c r="AY130" s="9" t="s">
        <v>408</v>
      </c>
      <c r="AZ130" s="343">
        <v>0</v>
      </c>
      <c r="BA130" s="345">
        <v>150000000</v>
      </c>
      <c r="BC130" s="9">
        <v>9</v>
      </c>
      <c r="BD130" s="9" t="s">
        <v>195</v>
      </c>
      <c r="BE130" s="9">
        <v>16</v>
      </c>
      <c r="BF130" s="8" t="s">
        <v>2070</v>
      </c>
      <c r="BG130" s="10" t="s">
        <v>118</v>
      </c>
      <c r="BH130" s="10" t="s">
        <v>2072</v>
      </c>
      <c r="BI130" s="342">
        <v>0</v>
      </c>
      <c r="BJ130" s="361">
        <v>0.5</v>
      </c>
      <c r="BL130" s="211">
        <v>126</v>
      </c>
      <c r="BM130" s="9" t="s">
        <v>194</v>
      </c>
      <c r="BN130" s="9">
        <v>11</v>
      </c>
      <c r="BO130" s="8" t="s">
        <v>40</v>
      </c>
      <c r="BP130" s="9" t="s">
        <v>354</v>
      </c>
      <c r="BQ130" s="9" t="s">
        <v>155</v>
      </c>
      <c r="BR130" s="210">
        <v>0</v>
      </c>
      <c r="BS130" s="115">
        <v>0.38</v>
      </c>
      <c r="BU130" s="211">
        <v>126</v>
      </c>
      <c r="BV130" s="9" t="s">
        <v>240</v>
      </c>
      <c r="BW130" s="9">
        <v>19</v>
      </c>
      <c r="BX130" s="8" t="s">
        <v>40</v>
      </c>
      <c r="BY130" s="9" t="s">
        <v>355</v>
      </c>
      <c r="BZ130" s="9" t="s">
        <v>419</v>
      </c>
      <c r="CA130" s="343">
        <v>0</v>
      </c>
      <c r="CB130" s="345">
        <v>0.14200000092387199</v>
      </c>
      <c r="CD130" s="211">
        <v>126</v>
      </c>
      <c r="CE130" s="9" t="s">
        <v>140</v>
      </c>
      <c r="CF130" s="9">
        <v>6</v>
      </c>
      <c r="CG130" s="8" t="s">
        <v>40</v>
      </c>
      <c r="CH130" s="9" t="s">
        <v>144</v>
      </c>
      <c r="CI130" s="9" t="s">
        <v>1587</v>
      </c>
      <c r="CJ130" s="343">
        <v>0</v>
      </c>
      <c r="CK130" s="345">
        <v>14850000</v>
      </c>
      <c r="CM130" s="1855" t="s">
        <v>68</v>
      </c>
      <c r="CN130" s="1855"/>
      <c r="CO130" s="1855"/>
      <c r="CP130" s="1855"/>
      <c r="CQ130" s="1855"/>
      <c r="CR130" s="1855"/>
      <c r="CS130" s="546">
        <f>SUM(CS126:CS129)</f>
        <v>0</v>
      </c>
      <c r="CT130" s="547">
        <f>SUM(CT126:CT129)</f>
        <v>193050000</v>
      </c>
    </row>
    <row r="131" spans="1:98" s="114" customFormat="1" ht="12" customHeight="1">
      <c r="A131" s="806">
        <v>7</v>
      </c>
      <c r="B131" s="9" t="s">
        <v>140</v>
      </c>
      <c r="C131" s="9">
        <v>1</v>
      </c>
      <c r="D131" s="8" t="s">
        <v>133</v>
      </c>
      <c r="E131" s="9" t="s">
        <v>364</v>
      </c>
      <c r="F131" s="9" t="s">
        <v>1547</v>
      </c>
      <c r="G131" s="364">
        <v>0</v>
      </c>
      <c r="H131" s="347">
        <v>0.39000000059604645</v>
      </c>
      <c r="J131" s="211">
        <v>127</v>
      </c>
      <c r="K131" s="9" t="s">
        <v>195</v>
      </c>
      <c r="L131" s="9">
        <v>1</v>
      </c>
      <c r="M131" s="8" t="s">
        <v>47</v>
      </c>
      <c r="N131" s="9" t="s">
        <v>378</v>
      </c>
      <c r="O131" s="10" t="s">
        <v>2000</v>
      </c>
      <c r="P131" s="343">
        <v>0</v>
      </c>
      <c r="Q131" s="345">
        <v>107000000</v>
      </c>
      <c r="S131" s="912">
        <v>7</v>
      </c>
      <c r="T131" s="9" t="s">
        <v>140</v>
      </c>
      <c r="U131" s="9">
        <v>15</v>
      </c>
      <c r="V131" s="8" t="s">
        <v>1625</v>
      </c>
      <c r="W131" s="9" t="s">
        <v>144</v>
      </c>
      <c r="X131" s="9" t="s">
        <v>1626</v>
      </c>
      <c r="Y131" s="364">
        <v>0</v>
      </c>
      <c r="Z131" s="347">
        <v>-200</v>
      </c>
      <c r="AB131" s="211">
        <v>127</v>
      </c>
      <c r="AC131" s="9" t="s">
        <v>243</v>
      </c>
      <c r="AD131" s="9">
        <v>2</v>
      </c>
      <c r="AE131" s="8" t="s">
        <v>47</v>
      </c>
      <c r="AF131" s="9" t="s">
        <v>378</v>
      </c>
      <c r="AG131" s="9" t="s">
        <v>529</v>
      </c>
      <c r="AH131" s="210">
        <v>0</v>
      </c>
      <c r="AI131" s="341">
        <v>85000000</v>
      </c>
      <c r="AK131" s="211">
        <v>127</v>
      </c>
      <c r="AL131" s="9" t="s">
        <v>140</v>
      </c>
      <c r="AM131" s="9">
        <v>9</v>
      </c>
      <c r="AN131" s="8" t="s">
        <v>219</v>
      </c>
      <c r="AO131" s="9" t="s">
        <v>63</v>
      </c>
      <c r="AP131" s="9" t="s">
        <v>293</v>
      </c>
      <c r="AQ131" s="210">
        <v>0</v>
      </c>
      <c r="AR131" s="115">
        <v>5000000</v>
      </c>
      <c r="AT131" s="211">
        <v>127</v>
      </c>
      <c r="AU131" s="9" t="s">
        <v>241</v>
      </c>
      <c r="AV131" s="9">
        <v>1</v>
      </c>
      <c r="AW131" s="8" t="s">
        <v>47</v>
      </c>
      <c r="AX131" s="9" t="s">
        <v>378</v>
      </c>
      <c r="AY131" s="9" t="s">
        <v>465</v>
      </c>
      <c r="AZ131" s="343">
        <v>0</v>
      </c>
      <c r="BA131" s="345">
        <v>85000000</v>
      </c>
      <c r="BC131" s="9">
        <v>10</v>
      </c>
      <c r="BD131" s="9" t="s">
        <v>58</v>
      </c>
      <c r="BE131" s="9">
        <v>8</v>
      </c>
      <c r="BF131" s="8" t="s">
        <v>2070</v>
      </c>
      <c r="BG131" s="10" t="s">
        <v>118</v>
      </c>
      <c r="BH131" s="10" t="s">
        <v>2520</v>
      </c>
      <c r="BI131" s="343">
        <v>0</v>
      </c>
      <c r="BJ131" s="345">
        <v>0.5</v>
      </c>
      <c r="BL131" s="211">
        <v>127</v>
      </c>
      <c r="BM131" s="9" t="s">
        <v>194</v>
      </c>
      <c r="BN131" s="9">
        <v>11</v>
      </c>
      <c r="BO131" s="8" t="s">
        <v>40</v>
      </c>
      <c r="BP131" s="9" t="s">
        <v>355</v>
      </c>
      <c r="BQ131" s="9" t="s">
        <v>156</v>
      </c>
      <c r="BR131" s="210">
        <v>0</v>
      </c>
      <c r="BS131" s="115">
        <v>0.42</v>
      </c>
      <c r="BU131" s="211">
        <v>127</v>
      </c>
      <c r="BV131" s="9" t="s">
        <v>240</v>
      </c>
      <c r="BW131" s="9">
        <v>20</v>
      </c>
      <c r="BX131" s="8" t="s">
        <v>40</v>
      </c>
      <c r="BY131" s="9" t="s">
        <v>355</v>
      </c>
      <c r="BZ131" s="9" t="s">
        <v>420</v>
      </c>
      <c r="CA131" s="343">
        <v>0</v>
      </c>
      <c r="CB131" s="345">
        <v>7.9199999570846558E-2</v>
      </c>
      <c r="CD131" s="211">
        <v>127</v>
      </c>
      <c r="CE131" s="9" t="s">
        <v>140</v>
      </c>
      <c r="CF131" s="9">
        <v>6</v>
      </c>
      <c r="CG131" s="8" t="s">
        <v>40</v>
      </c>
      <c r="CH131" s="9" t="s">
        <v>118</v>
      </c>
      <c r="CI131" s="9" t="s">
        <v>1588</v>
      </c>
      <c r="CJ131" s="343">
        <v>0</v>
      </c>
      <c r="CK131" s="345">
        <v>1397300</v>
      </c>
      <c r="CM131" s="211">
        <v>1</v>
      </c>
      <c r="CN131" s="9" t="s">
        <v>238</v>
      </c>
      <c r="CO131" s="9">
        <v>15</v>
      </c>
      <c r="CP131" s="8" t="s">
        <v>644</v>
      </c>
      <c r="CQ131" s="10" t="s">
        <v>1564</v>
      </c>
      <c r="CR131" s="9" t="s">
        <v>783</v>
      </c>
      <c r="CS131" s="346">
        <v>0</v>
      </c>
      <c r="CT131" s="347">
        <v>25300000</v>
      </c>
    </row>
    <row r="132" spans="1:98" s="114" customFormat="1" ht="12" customHeight="1" thickBot="1">
      <c r="A132" s="807">
        <v>8</v>
      </c>
      <c r="B132" s="482" t="s">
        <v>238</v>
      </c>
      <c r="C132" s="482">
        <v>24</v>
      </c>
      <c r="D132" s="483" t="s">
        <v>98</v>
      </c>
      <c r="E132" s="484" t="s">
        <v>62</v>
      </c>
      <c r="F132" s="482" t="s">
        <v>1608</v>
      </c>
      <c r="G132" s="808">
        <v>0</v>
      </c>
      <c r="H132" s="486">
        <v>-1.9999995827674866E-2</v>
      </c>
      <c r="J132" s="211">
        <v>128</v>
      </c>
      <c r="K132" s="211" t="s">
        <v>243</v>
      </c>
      <c r="L132" s="211">
        <v>2</v>
      </c>
      <c r="M132" s="8" t="s">
        <v>218</v>
      </c>
      <c r="N132" s="10" t="s">
        <v>118</v>
      </c>
      <c r="O132" s="9" t="s">
        <v>292</v>
      </c>
      <c r="P132" s="210">
        <v>0</v>
      </c>
      <c r="Q132" s="115">
        <v>8223100</v>
      </c>
      <c r="S132" s="912">
        <v>8</v>
      </c>
      <c r="T132" s="9" t="s">
        <v>140</v>
      </c>
      <c r="U132" s="9">
        <v>1</v>
      </c>
      <c r="V132" s="8" t="s">
        <v>49</v>
      </c>
      <c r="W132" s="9" t="s">
        <v>355</v>
      </c>
      <c r="X132" s="10" t="s">
        <v>1577</v>
      </c>
      <c r="Y132" s="364">
        <v>0</v>
      </c>
      <c r="Z132" s="347">
        <v>-0.19999999925494194</v>
      </c>
      <c r="AB132" s="211">
        <v>128</v>
      </c>
      <c r="AC132" s="9" t="s">
        <v>244</v>
      </c>
      <c r="AD132" s="9">
        <v>1</v>
      </c>
      <c r="AE132" s="8" t="s">
        <v>47</v>
      </c>
      <c r="AF132" s="9" t="s">
        <v>378</v>
      </c>
      <c r="AG132" s="9" t="s">
        <v>574</v>
      </c>
      <c r="AH132" s="210">
        <v>0</v>
      </c>
      <c r="AI132" s="341">
        <v>85000000</v>
      </c>
      <c r="AK132" s="211">
        <v>128</v>
      </c>
      <c r="AL132" s="9" t="s">
        <v>240</v>
      </c>
      <c r="AM132" s="9">
        <v>5</v>
      </c>
      <c r="AN132" s="8" t="s">
        <v>98</v>
      </c>
      <c r="AO132" s="9" t="s">
        <v>62</v>
      </c>
      <c r="AP132" s="10" t="s">
        <v>2361</v>
      </c>
      <c r="AQ132" s="343">
        <v>0</v>
      </c>
      <c r="AR132" s="376">
        <v>189397445.59999999</v>
      </c>
      <c r="AT132" s="211">
        <v>128</v>
      </c>
      <c r="AU132" s="9" t="s">
        <v>242</v>
      </c>
      <c r="AV132" s="9">
        <v>11</v>
      </c>
      <c r="AW132" s="8" t="s">
        <v>47</v>
      </c>
      <c r="AX132" s="9" t="s">
        <v>378</v>
      </c>
      <c r="AY132" s="9" t="s">
        <v>494</v>
      </c>
      <c r="AZ132" s="343">
        <v>0</v>
      </c>
      <c r="BA132" s="345">
        <v>85000000</v>
      </c>
      <c r="BC132" s="9">
        <v>11</v>
      </c>
      <c r="BD132" s="9" t="s">
        <v>140</v>
      </c>
      <c r="BE132" s="9">
        <v>15</v>
      </c>
      <c r="BF132" s="8" t="s">
        <v>1625</v>
      </c>
      <c r="BG132" s="9" t="s">
        <v>144</v>
      </c>
      <c r="BH132" s="9" t="s">
        <v>1626</v>
      </c>
      <c r="BI132" s="346">
        <v>0</v>
      </c>
      <c r="BJ132" s="347">
        <v>-200</v>
      </c>
      <c r="BL132" s="211">
        <v>128</v>
      </c>
      <c r="BM132" s="9" t="s">
        <v>194</v>
      </c>
      <c r="BN132" s="9">
        <v>25</v>
      </c>
      <c r="BO132" s="8" t="s">
        <v>40</v>
      </c>
      <c r="BP132" s="9" t="s">
        <v>375</v>
      </c>
      <c r="BQ132" s="9" t="s">
        <v>157</v>
      </c>
      <c r="BR132" s="210">
        <v>0</v>
      </c>
      <c r="BS132" s="115">
        <v>0.04</v>
      </c>
      <c r="BU132" s="211">
        <v>128</v>
      </c>
      <c r="BV132" s="9" t="s">
        <v>58</v>
      </c>
      <c r="BW132" s="9">
        <v>30</v>
      </c>
      <c r="BX132" s="8" t="s">
        <v>40</v>
      </c>
      <c r="BY132" s="9" t="s">
        <v>355</v>
      </c>
      <c r="BZ132" s="9" t="s">
        <v>447</v>
      </c>
      <c r="CA132" s="210">
        <v>0</v>
      </c>
      <c r="CB132" s="341">
        <v>0.84160000085830688</v>
      </c>
      <c r="CD132" s="211">
        <v>128</v>
      </c>
      <c r="CE132" s="9" t="s">
        <v>140</v>
      </c>
      <c r="CF132" s="9">
        <v>6</v>
      </c>
      <c r="CG132" s="8" t="s">
        <v>40</v>
      </c>
      <c r="CH132" s="9" t="s">
        <v>118</v>
      </c>
      <c r="CI132" s="9" t="s">
        <v>1589</v>
      </c>
      <c r="CJ132" s="343">
        <v>0</v>
      </c>
      <c r="CK132" s="345">
        <v>1264800</v>
      </c>
      <c r="CM132" s="211">
        <v>2</v>
      </c>
      <c r="CN132" s="9" t="s">
        <v>140</v>
      </c>
      <c r="CO132" s="9">
        <v>1</v>
      </c>
      <c r="CP132" s="8" t="s">
        <v>644</v>
      </c>
      <c r="CQ132" s="10" t="s">
        <v>1564</v>
      </c>
      <c r="CR132" s="9" t="s">
        <v>1565</v>
      </c>
      <c r="CS132" s="342">
        <v>0</v>
      </c>
      <c r="CT132" s="347">
        <v>25300000</v>
      </c>
    </row>
    <row r="133" spans="1:98" s="40" customFormat="1" ht="12" customHeight="1" thickBot="1">
      <c r="A133" s="165"/>
      <c r="B133" s="206"/>
      <c r="C133" s="206"/>
      <c r="D133" s="206"/>
      <c r="E133" s="206"/>
      <c r="F133" s="206"/>
      <c r="G133" s="288">
        <f>SUM(G125:G132)</f>
        <v>0</v>
      </c>
      <c r="H133" s="289">
        <f>SUM(H125:H132)</f>
        <v>-220198.08840000629</v>
      </c>
      <c r="J133" s="903">
        <v>129</v>
      </c>
      <c r="K133" s="482" t="s">
        <v>140</v>
      </c>
      <c r="L133" s="482">
        <v>9</v>
      </c>
      <c r="M133" s="483" t="s">
        <v>219</v>
      </c>
      <c r="N133" s="482" t="s">
        <v>63</v>
      </c>
      <c r="O133" s="482" t="s">
        <v>293</v>
      </c>
      <c r="P133" s="803">
        <v>0</v>
      </c>
      <c r="Q133" s="815">
        <v>5000000</v>
      </c>
      <c r="S133" s="912">
        <v>9</v>
      </c>
      <c r="T133" s="9" t="s">
        <v>195</v>
      </c>
      <c r="U133" s="9">
        <v>1</v>
      </c>
      <c r="V133" s="8" t="s">
        <v>49</v>
      </c>
      <c r="W133" s="10" t="s">
        <v>355</v>
      </c>
      <c r="X133" s="10" t="s">
        <v>1978</v>
      </c>
      <c r="Y133" s="343">
        <v>0</v>
      </c>
      <c r="Z133" s="345">
        <v>-0.39999999850988388</v>
      </c>
      <c r="AB133" s="211">
        <v>129</v>
      </c>
      <c r="AC133" s="9" t="s">
        <v>245</v>
      </c>
      <c r="AD133" s="9">
        <v>5</v>
      </c>
      <c r="AE133" s="8" t="s">
        <v>47</v>
      </c>
      <c r="AF133" s="9" t="s">
        <v>378</v>
      </c>
      <c r="AG133" s="9" t="s">
        <v>636</v>
      </c>
      <c r="AH133" s="210">
        <v>0</v>
      </c>
      <c r="AI133" s="341">
        <v>85000000</v>
      </c>
      <c r="AK133" s="903">
        <v>129</v>
      </c>
      <c r="AL133" s="482" t="s">
        <v>240</v>
      </c>
      <c r="AM133" s="482">
        <v>5</v>
      </c>
      <c r="AN133" s="483" t="s">
        <v>98</v>
      </c>
      <c r="AO133" s="482" t="s">
        <v>62</v>
      </c>
      <c r="AP133" s="484" t="s">
        <v>2362</v>
      </c>
      <c r="AQ133" s="814">
        <v>0</v>
      </c>
      <c r="AR133" s="810">
        <v>260312511.80000001</v>
      </c>
      <c r="AT133" s="211">
        <v>129</v>
      </c>
      <c r="AU133" s="9" t="s">
        <v>243</v>
      </c>
      <c r="AV133" s="9">
        <v>2</v>
      </c>
      <c r="AW133" s="8" t="s">
        <v>47</v>
      </c>
      <c r="AX133" s="9" t="s">
        <v>378</v>
      </c>
      <c r="AY133" s="9" t="s">
        <v>529</v>
      </c>
      <c r="AZ133" s="210">
        <v>0</v>
      </c>
      <c r="BA133" s="341">
        <v>85000000</v>
      </c>
      <c r="BC133" s="9">
        <v>12</v>
      </c>
      <c r="BD133" s="9" t="s">
        <v>140</v>
      </c>
      <c r="BE133" s="9">
        <v>1</v>
      </c>
      <c r="BF133" s="8" t="s">
        <v>49</v>
      </c>
      <c r="BG133" s="9" t="s">
        <v>355</v>
      </c>
      <c r="BH133" s="10" t="s">
        <v>1577</v>
      </c>
      <c r="BI133" s="346">
        <v>0</v>
      </c>
      <c r="BJ133" s="347">
        <v>-0.19999999925494194</v>
      </c>
      <c r="BL133" s="211">
        <v>129</v>
      </c>
      <c r="BM133" s="9" t="s">
        <v>194</v>
      </c>
      <c r="BN133" s="9">
        <v>25</v>
      </c>
      <c r="BO133" s="8" t="s">
        <v>40</v>
      </c>
      <c r="BP133" s="9" t="s">
        <v>374</v>
      </c>
      <c r="BQ133" s="9" t="s">
        <v>158</v>
      </c>
      <c r="BR133" s="210">
        <v>0</v>
      </c>
      <c r="BS133" s="115">
        <v>0.04</v>
      </c>
      <c r="BU133" s="211">
        <v>129</v>
      </c>
      <c r="BV133" s="9" t="s">
        <v>241</v>
      </c>
      <c r="BW133" s="9">
        <v>16</v>
      </c>
      <c r="BX133" s="8" t="s">
        <v>40</v>
      </c>
      <c r="BY133" s="9" t="s">
        <v>354</v>
      </c>
      <c r="BZ133" s="9" t="s">
        <v>482</v>
      </c>
      <c r="CA133" s="210">
        <v>0</v>
      </c>
      <c r="CB133" s="341">
        <v>0.36600000038743019</v>
      </c>
      <c r="CD133" s="211">
        <v>129</v>
      </c>
      <c r="CE133" s="9" t="s">
        <v>140</v>
      </c>
      <c r="CF133" s="9">
        <v>28</v>
      </c>
      <c r="CG133" s="8" t="s">
        <v>40</v>
      </c>
      <c r="CH133" s="9" t="s">
        <v>354</v>
      </c>
      <c r="CI133" s="9" t="s">
        <v>1631</v>
      </c>
      <c r="CJ133" s="343">
        <v>0</v>
      </c>
      <c r="CK133" s="345">
        <v>30731690</v>
      </c>
      <c r="CM133" s="1855" t="s">
        <v>68</v>
      </c>
      <c r="CN133" s="1855"/>
      <c r="CO133" s="1855"/>
      <c r="CP133" s="1855"/>
      <c r="CQ133" s="1855"/>
      <c r="CR133" s="1855"/>
      <c r="CS133" s="546">
        <f>SUM(CS131:CS132)</f>
        <v>0</v>
      </c>
      <c r="CT133" s="547">
        <f>SUM(CT131:CT132)</f>
        <v>50600000</v>
      </c>
    </row>
    <row r="134" spans="1:98" s="114" customFormat="1" ht="12" customHeight="1" thickBot="1">
      <c r="A134" s="165"/>
      <c r="B134" s="163"/>
      <c r="C134" s="163"/>
      <c r="D134" s="156"/>
      <c r="E134" s="163"/>
      <c r="F134" s="163"/>
      <c r="G134" s="288">
        <f>SUM(G122,G133)</f>
        <v>12049</v>
      </c>
      <c r="H134" s="289">
        <f>H122+H133</f>
        <v>6431023917.4627991</v>
      </c>
      <c r="J134" s="904"/>
      <c r="K134" s="206"/>
      <c r="L134" s="206"/>
      <c r="M134" s="206"/>
      <c r="N134" s="206"/>
      <c r="O134" s="206"/>
      <c r="P134" s="288">
        <f>SUM(P5:P133)</f>
        <v>12049</v>
      </c>
      <c r="Q134" s="289">
        <f>SUM(Q5:Q133)</f>
        <v>6328682385.5487995</v>
      </c>
      <c r="S134" s="912">
        <v>10</v>
      </c>
      <c r="T134" s="9" t="s">
        <v>238</v>
      </c>
      <c r="U134" s="9">
        <v>15</v>
      </c>
      <c r="V134" s="8" t="s">
        <v>40</v>
      </c>
      <c r="W134" s="9" t="s">
        <v>118</v>
      </c>
      <c r="X134" s="9" t="s">
        <v>1390</v>
      </c>
      <c r="Y134" s="364">
        <v>0</v>
      </c>
      <c r="Z134" s="347">
        <v>-220000</v>
      </c>
      <c r="AB134" s="211">
        <v>130</v>
      </c>
      <c r="AC134" s="9" t="s">
        <v>238</v>
      </c>
      <c r="AD134" s="9">
        <v>2</v>
      </c>
      <c r="AE134" s="8" t="s">
        <v>47</v>
      </c>
      <c r="AF134" s="9" t="s">
        <v>378</v>
      </c>
      <c r="AG134" s="9" t="s">
        <v>656</v>
      </c>
      <c r="AH134" s="343">
        <v>0</v>
      </c>
      <c r="AI134" s="345">
        <v>7000000</v>
      </c>
      <c r="AK134" s="904"/>
      <c r="AL134" s="206"/>
      <c r="AM134" s="206"/>
      <c r="AN134" s="206"/>
      <c r="AO134" s="206"/>
      <c r="AP134" s="206"/>
      <c r="AQ134" s="288">
        <f>SUM(AQ5:AQ133)</f>
        <v>12049</v>
      </c>
      <c r="AR134" s="289">
        <f>SUM(AR5:AR133)</f>
        <v>7017543747.943203</v>
      </c>
      <c r="AT134" s="211">
        <v>130</v>
      </c>
      <c r="AU134" s="9" t="s">
        <v>244</v>
      </c>
      <c r="AV134" s="9">
        <v>1</v>
      </c>
      <c r="AW134" s="8" t="s">
        <v>47</v>
      </c>
      <c r="AX134" s="9" t="s">
        <v>378</v>
      </c>
      <c r="AY134" s="9" t="s">
        <v>574</v>
      </c>
      <c r="AZ134" s="210">
        <v>0</v>
      </c>
      <c r="BA134" s="341">
        <v>85000000</v>
      </c>
      <c r="BC134" s="9">
        <v>13</v>
      </c>
      <c r="BD134" s="9" t="s">
        <v>195</v>
      </c>
      <c r="BE134" s="9">
        <v>1</v>
      </c>
      <c r="BF134" s="8" t="s">
        <v>49</v>
      </c>
      <c r="BG134" s="10" t="s">
        <v>355</v>
      </c>
      <c r="BH134" s="10" t="s">
        <v>1978</v>
      </c>
      <c r="BI134" s="343">
        <v>0</v>
      </c>
      <c r="BJ134" s="345">
        <v>-0.39999999850988388</v>
      </c>
      <c r="BL134" s="211">
        <v>130</v>
      </c>
      <c r="BM134" s="9" t="s">
        <v>195</v>
      </c>
      <c r="BN134" s="9">
        <v>22</v>
      </c>
      <c r="BO134" s="8" t="s">
        <v>40</v>
      </c>
      <c r="BP134" s="9" t="s">
        <v>355</v>
      </c>
      <c r="BQ134" s="9" t="s">
        <v>350</v>
      </c>
      <c r="BR134" s="210">
        <v>0</v>
      </c>
      <c r="BS134" s="115">
        <v>7.0000000000000007E-2</v>
      </c>
      <c r="BU134" s="211">
        <v>130</v>
      </c>
      <c r="BV134" s="9" t="s">
        <v>242</v>
      </c>
      <c r="BW134" s="9">
        <v>15</v>
      </c>
      <c r="BX134" s="8" t="s">
        <v>40</v>
      </c>
      <c r="BY134" s="9" t="s">
        <v>354</v>
      </c>
      <c r="BZ134" s="9" t="s">
        <v>495</v>
      </c>
      <c r="CA134" s="210">
        <v>0</v>
      </c>
      <c r="CB134" s="341">
        <v>0.02</v>
      </c>
      <c r="CD134" s="211">
        <v>130</v>
      </c>
      <c r="CE134" s="9" t="s">
        <v>140</v>
      </c>
      <c r="CF134" s="9">
        <v>28</v>
      </c>
      <c r="CG134" s="8" t="s">
        <v>40</v>
      </c>
      <c r="CH134" s="9" t="s">
        <v>354</v>
      </c>
      <c r="CI134" s="9" t="s">
        <v>1632</v>
      </c>
      <c r="CJ134" s="343">
        <v>0</v>
      </c>
      <c r="CK134" s="345">
        <v>30731690</v>
      </c>
      <c r="CM134" s="211">
        <v>1</v>
      </c>
      <c r="CN134" s="211" t="s">
        <v>244</v>
      </c>
      <c r="CO134" s="211">
        <v>24</v>
      </c>
      <c r="CP134" s="8" t="s">
        <v>212</v>
      </c>
      <c r="CQ134" s="10" t="s">
        <v>62</v>
      </c>
      <c r="CR134" s="10" t="s">
        <v>264</v>
      </c>
      <c r="CS134" s="210">
        <v>0</v>
      </c>
      <c r="CT134" s="115">
        <v>7800000</v>
      </c>
    </row>
    <row r="135" spans="1:98" s="114" customFormat="1" ht="12" customHeight="1">
      <c r="A135" s="165"/>
      <c r="B135" s="163"/>
      <c r="C135" s="163"/>
      <c r="D135" s="156"/>
      <c r="E135" s="163"/>
      <c r="F135" s="163"/>
      <c r="G135" s="583"/>
      <c r="H135" s="788"/>
      <c r="J135" s="165"/>
      <c r="S135" s="912">
        <v>11</v>
      </c>
      <c r="T135" s="9" t="s">
        <v>140</v>
      </c>
      <c r="U135" s="9">
        <v>1</v>
      </c>
      <c r="V135" s="8" t="s">
        <v>133</v>
      </c>
      <c r="W135" s="9" t="s">
        <v>364</v>
      </c>
      <c r="X135" s="9" t="s">
        <v>1547</v>
      </c>
      <c r="Y135" s="364">
        <v>0</v>
      </c>
      <c r="Z135" s="347">
        <v>0.39000000059604645</v>
      </c>
      <c r="AB135" s="211">
        <v>131</v>
      </c>
      <c r="AC135" s="9" t="s">
        <v>194</v>
      </c>
      <c r="AD135" s="9">
        <v>9</v>
      </c>
      <c r="AE135" s="8" t="s">
        <v>47</v>
      </c>
      <c r="AF135" s="9" t="s">
        <v>378</v>
      </c>
      <c r="AG135" s="10" t="s">
        <v>1766</v>
      </c>
      <c r="AH135" s="343">
        <v>0</v>
      </c>
      <c r="AI135" s="345">
        <v>7000000</v>
      </c>
      <c r="AK135" s="165"/>
      <c r="AT135" s="211">
        <v>131</v>
      </c>
      <c r="AU135" s="9" t="s">
        <v>245</v>
      </c>
      <c r="AV135" s="9">
        <v>5</v>
      </c>
      <c r="AW135" s="8" t="s">
        <v>47</v>
      </c>
      <c r="AX135" s="9" t="s">
        <v>378</v>
      </c>
      <c r="AY135" s="9" t="s">
        <v>636</v>
      </c>
      <c r="AZ135" s="210">
        <v>0</v>
      </c>
      <c r="BA135" s="341">
        <v>85000000</v>
      </c>
      <c r="BC135" s="9">
        <v>14</v>
      </c>
      <c r="BD135" s="9" t="s">
        <v>239</v>
      </c>
      <c r="BE135" s="9">
        <v>1</v>
      </c>
      <c r="BF135" s="8" t="s">
        <v>49</v>
      </c>
      <c r="BG135" s="10" t="s">
        <v>355</v>
      </c>
      <c r="BH135" s="10" t="s">
        <v>2145</v>
      </c>
      <c r="BI135" s="343">
        <v>0</v>
      </c>
      <c r="BJ135" s="345">
        <v>0.39999999850988388</v>
      </c>
      <c r="BL135" s="211">
        <v>131</v>
      </c>
      <c r="BM135" s="9" t="s">
        <v>195</v>
      </c>
      <c r="BN135" s="9">
        <v>9</v>
      </c>
      <c r="BO135" s="8" t="s">
        <v>40</v>
      </c>
      <c r="BP135" s="9" t="s">
        <v>355</v>
      </c>
      <c r="BQ135" s="9" t="s">
        <v>351</v>
      </c>
      <c r="BR135" s="210">
        <v>0</v>
      </c>
      <c r="BS135" s="115">
        <v>0.41</v>
      </c>
      <c r="BU135" s="211">
        <v>131</v>
      </c>
      <c r="BV135" s="9" t="s">
        <v>242</v>
      </c>
      <c r="BW135" s="9">
        <v>29</v>
      </c>
      <c r="BX135" s="8" t="s">
        <v>40</v>
      </c>
      <c r="BY135" s="9" t="s">
        <v>354</v>
      </c>
      <c r="BZ135" s="9" t="s">
        <v>512</v>
      </c>
      <c r="CA135" s="343">
        <v>0</v>
      </c>
      <c r="CB135" s="345">
        <v>0.92440000176429749</v>
      </c>
      <c r="CD135" s="211">
        <v>131</v>
      </c>
      <c r="CE135" s="9" t="s">
        <v>140</v>
      </c>
      <c r="CF135" s="9">
        <v>28</v>
      </c>
      <c r="CG135" s="8" t="s">
        <v>40</v>
      </c>
      <c r="CH135" s="9" t="s">
        <v>354</v>
      </c>
      <c r="CI135" s="9" t="s">
        <v>1633</v>
      </c>
      <c r="CJ135" s="343">
        <v>0</v>
      </c>
      <c r="CK135" s="345">
        <v>30731690</v>
      </c>
      <c r="CM135" s="211">
        <v>2</v>
      </c>
      <c r="CN135" s="211" t="s">
        <v>244</v>
      </c>
      <c r="CO135" s="211">
        <v>24</v>
      </c>
      <c r="CP135" s="8" t="s">
        <v>212</v>
      </c>
      <c r="CQ135" s="10" t="s">
        <v>62</v>
      </c>
      <c r="CR135" s="10" t="s">
        <v>265</v>
      </c>
      <c r="CS135" s="210">
        <v>0</v>
      </c>
      <c r="CT135" s="115">
        <v>900000</v>
      </c>
    </row>
    <row r="136" spans="1:98" s="114" customFormat="1" ht="12" customHeight="1">
      <c r="A136" s="165"/>
      <c r="B136" s="163"/>
      <c r="C136" s="163"/>
      <c r="D136" s="156"/>
      <c r="E136" s="163"/>
      <c r="F136" s="163"/>
      <c r="G136" s="583"/>
      <c r="H136" s="788"/>
      <c r="J136" s="165"/>
      <c r="K136" s="163"/>
      <c r="L136" s="163"/>
      <c r="M136" s="156"/>
      <c r="N136" s="163"/>
      <c r="O136" s="375"/>
      <c r="P136" s="583"/>
      <c r="Q136" s="788"/>
      <c r="S136" s="912">
        <v>12</v>
      </c>
      <c r="T136" s="9" t="s">
        <v>238</v>
      </c>
      <c r="U136" s="9">
        <v>24</v>
      </c>
      <c r="V136" s="8" t="s">
        <v>98</v>
      </c>
      <c r="W136" s="10" t="s">
        <v>62</v>
      </c>
      <c r="X136" s="9" t="s">
        <v>1608</v>
      </c>
      <c r="Y136" s="364">
        <v>0</v>
      </c>
      <c r="Z136" s="347">
        <v>-1.9999995827674866E-2</v>
      </c>
      <c r="AB136" s="211">
        <v>132</v>
      </c>
      <c r="AC136" s="9" t="s">
        <v>239</v>
      </c>
      <c r="AD136" s="9">
        <v>1</v>
      </c>
      <c r="AE136" s="8" t="s">
        <v>47</v>
      </c>
      <c r="AF136" s="9" t="s">
        <v>378</v>
      </c>
      <c r="AG136" s="10" t="s">
        <v>2086</v>
      </c>
      <c r="AH136" s="343">
        <v>0</v>
      </c>
      <c r="AI136" s="345">
        <v>107000000</v>
      </c>
      <c r="AK136" s="809" t="s">
        <v>1674</v>
      </c>
      <c r="AL136" s="163"/>
      <c r="AM136" s="163"/>
      <c r="AN136" s="156"/>
      <c r="AO136" s="163"/>
      <c r="AP136" s="163"/>
      <c r="AQ136" s="583"/>
      <c r="AR136" s="788"/>
      <c r="AT136" s="211">
        <v>132</v>
      </c>
      <c r="AU136" s="9" t="s">
        <v>238</v>
      </c>
      <c r="AV136" s="9">
        <v>2</v>
      </c>
      <c r="AW136" s="8" t="s">
        <v>47</v>
      </c>
      <c r="AX136" s="9" t="s">
        <v>378</v>
      </c>
      <c r="AY136" s="9" t="s">
        <v>656</v>
      </c>
      <c r="AZ136" s="343">
        <v>0</v>
      </c>
      <c r="BA136" s="345">
        <v>7000000</v>
      </c>
      <c r="BC136" s="9">
        <v>15</v>
      </c>
      <c r="BD136" s="9" t="s">
        <v>240</v>
      </c>
      <c r="BE136" s="9">
        <v>3</v>
      </c>
      <c r="BF136" s="8" t="s">
        <v>49</v>
      </c>
      <c r="BG136" s="10" t="s">
        <v>355</v>
      </c>
      <c r="BH136" s="10" t="s">
        <v>2244</v>
      </c>
      <c r="BI136" s="342">
        <v>0</v>
      </c>
      <c r="BJ136" s="344">
        <v>-0.39999999850988388</v>
      </c>
      <c r="BL136" s="211">
        <v>132</v>
      </c>
      <c r="BM136" s="9" t="s">
        <v>239</v>
      </c>
      <c r="BN136" s="9">
        <v>3</v>
      </c>
      <c r="BO136" s="8" t="s">
        <v>40</v>
      </c>
      <c r="BP136" s="9" t="s">
        <v>354</v>
      </c>
      <c r="BQ136" s="9" t="s">
        <v>398</v>
      </c>
      <c r="BR136" s="210">
        <v>0</v>
      </c>
      <c r="BS136" s="115">
        <v>0.17</v>
      </c>
      <c r="BU136" s="211">
        <v>132</v>
      </c>
      <c r="BV136" s="9" t="s">
        <v>243</v>
      </c>
      <c r="BW136" s="9">
        <v>15</v>
      </c>
      <c r="BX136" s="8" t="s">
        <v>40</v>
      </c>
      <c r="BY136" s="9" t="s">
        <v>354</v>
      </c>
      <c r="BZ136" s="9" t="s">
        <v>556</v>
      </c>
      <c r="CA136" s="343">
        <v>0</v>
      </c>
      <c r="CB136" s="345">
        <v>0.91320000216364861</v>
      </c>
      <c r="CD136" s="211">
        <v>132</v>
      </c>
      <c r="CE136" s="9" t="s">
        <v>140</v>
      </c>
      <c r="CF136" s="9">
        <v>28</v>
      </c>
      <c r="CG136" s="8" t="s">
        <v>40</v>
      </c>
      <c r="CH136" s="9" t="s">
        <v>355</v>
      </c>
      <c r="CI136" s="9" t="s">
        <v>1634</v>
      </c>
      <c r="CJ136" s="343">
        <v>0</v>
      </c>
      <c r="CK136" s="345">
        <v>31438990</v>
      </c>
      <c r="CM136" s="211">
        <v>3</v>
      </c>
      <c r="CN136" s="211" t="s">
        <v>244</v>
      </c>
      <c r="CO136" s="211">
        <v>24</v>
      </c>
      <c r="CP136" s="8" t="s">
        <v>212</v>
      </c>
      <c r="CQ136" s="10" t="s">
        <v>62</v>
      </c>
      <c r="CR136" s="10" t="s">
        <v>266</v>
      </c>
      <c r="CS136" s="210">
        <v>0</v>
      </c>
      <c r="CT136" s="115">
        <v>4500000</v>
      </c>
    </row>
    <row r="137" spans="1:98" s="114" customFormat="1" ht="12" customHeight="1" thickBot="1">
      <c r="A137" s="165"/>
      <c r="B137" s="163"/>
      <c r="C137" s="163"/>
      <c r="D137" s="156"/>
      <c r="E137" s="163"/>
      <c r="F137" s="163"/>
      <c r="G137" s="583"/>
      <c r="H137" s="788"/>
      <c r="J137" s="809" t="s">
        <v>1674</v>
      </c>
      <c r="K137" s="163"/>
      <c r="L137" s="163"/>
      <c r="M137" s="156"/>
      <c r="N137" s="163"/>
      <c r="O137" s="163"/>
      <c r="P137" s="583"/>
      <c r="Q137" s="788"/>
      <c r="S137" s="913">
        <v>13</v>
      </c>
      <c r="T137" s="482" t="s">
        <v>140</v>
      </c>
      <c r="U137" s="482">
        <v>21</v>
      </c>
      <c r="V137" s="483" t="s">
        <v>98</v>
      </c>
      <c r="W137" s="484" t="s">
        <v>62</v>
      </c>
      <c r="X137" s="482" t="s">
        <v>1640</v>
      </c>
      <c r="Y137" s="814">
        <v>0</v>
      </c>
      <c r="Z137" s="816">
        <v>0.37999999523162842</v>
      </c>
      <c r="AB137" s="211">
        <v>133</v>
      </c>
      <c r="AC137" s="9" t="s">
        <v>240</v>
      </c>
      <c r="AD137" s="9">
        <v>3</v>
      </c>
      <c r="AE137" s="8" t="s">
        <v>47</v>
      </c>
      <c r="AF137" s="9" t="s">
        <v>378</v>
      </c>
      <c r="AG137" s="10" t="s">
        <v>2229</v>
      </c>
      <c r="AH137" s="343">
        <v>0</v>
      </c>
      <c r="AI137" s="345">
        <v>107000000</v>
      </c>
      <c r="AK137" s="42">
        <v>1</v>
      </c>
      <c r="AL137" s="42" t="s">
        <v>238</v>
      </c>
      <c r="AM137" s="42">
        <v>30</v>
      </c>
      <c r="AN137" s="123" t="s">
        <v>20</v>
      </c>
      <c r="AO137" s="113" t="s">
        <v>346</v>
      </c>
      <c r="AP137" s="113" t="s">
        <v>1717</v>
      </c>
      <c r="AQ137" s="1008">
        <v>0</v>
      </c>
      <c r="AR137" s="811">
        <v>0.6151999905705452</v>
      </c>
      <c r="AT137" s="211">
        <v>133</v>
      </c>
      <c r="AU137" s="9" t="s">
        <v>194</v>
      </c>
      <c r="AV137" s="9">
        <v>9</v>
      </c>
      <c r="AW137" s="8" t="s">
        <v>47</v>
      </c>
      <c r="AX137" s="9" t="s">
        <v>378</v>
      </c>
      <c r="AY137" s="10" t="s">
        <v>1766</v>
      </c>
      <c r="AZ137" s="343">
        <v>0</v>
      </c>
      <c r="BA137" s="345">
        <v>7000000</v>
      </c>
      <c r="BC137" s="9">
        <v>16</v>
      </c>
      <c r="BD137" s="9" t="s">
        <v>58</v>
      </c>
      <c r="BE137" s="9">
        <v>2</v>
      </c>
      <c r="BF137" s="8" t="s">
        <v>49</v>
      </c>
      <c r="BG137" s="10" t="s">
        <v>355</v>
      </c>
      <c r="BH137" s="10" t="s">
        <v>2480</v>
      </c>
      <c r="BI137" s="343">
        <v>0</v>
      </c>
      <c r="BJ137" s="345">
        <v>0.39999999850988388</v>
      </c>
      <c r="BL137" s="211">
        <v>133</v>
      </c>
      <c r="BM137" s="9" t="s">
        <v>239</v>
      </c>
      <c r="BN137" s="9">
        <v>3</v>
      </c>
      <c r="BO137" s="8" t="s">
        <v>40</v>
      </c>
      <c r="BP137" s="9" t="s">
        <v>354</v>
      </c>
      <c r="BQ137" s="9" t="s">
        <v>399</v>
      </c>
      <c r="BR137" s="210">
        <v>0</v>
      </c>
      <c r="BS137" s="115">
        <v>0.17</v>
      </c>
      <c r="BU137" s="211">
        <v>133</v>
      </c>
      <c r="BV137" s="9" t="s">
        <v>244</v>
      </c>
      <c r="BW137" s="9">
        <v>20</v>
      </c>
      <c r="BX137" s="8" t="s">
        <v>40</v>
      </c>
      <c r="BY137" s="9" t="s">
        <v>144</v>
      </c>
      <c r="BZ137" s="9" t="s">
        <v>599</v>
      </c>
      <c r="CA137" s="343">
        <v>0</v>
      </c>
      <c r="CB137" s="345">
        <v>14850000</v>
      </c>
      <c r="CD137" s="211">
        <v>133</v>
      </c>
      <c r="CE137" s="9" t="s">
        <v>140</v>
      </c>
      <c r="CF137" s="9">
        <v>28</v>
      </c>
      <c r="CG137" s="8" t="s">
        <v>40</v>
      </c>
      <c r="CH137" s="9" t="s">
        <v>355</v>
      </c>
      <c r="CI137" s="9" t="s">
        <v>1635</v>
      </c>
      <c r="CJ137" s="343">
        <v>0</v>
      </c>
      <c r="CK137" s="345">
        <v>31438990</v>
      </c>
      <c r="CM137" s="211">
        <v>4</v>
      </c>
      <c r="CN137" s="211" t="s">
        <v>244</v>
      </c>
      <c r="CO137" s="211">
        <v>24</v>
      </c>
      <c r="CP137" s="8" t="s">
        <v>212</v>
      </c>
      <c r="CQ137" s="10" t="s">
        <v>62</v>
      </c>
      <c r="CR137" s="10" t="s">
        <v>267</v>
      </c>
      <c r="CS137" s="210">
        <v>0</v>
      </c>
      <c r="CT137" s="115">
        <v>27900000</v>
      </c>
    </row>
    <row r="138" spans="1:98" s="40" customFormat="1" ht="12" customHeight="1" thickBot="1">
      <c r="A138" s="165"/>
      <c r="B138" s="163"/>
      <c r="C138" s="163"/>
      <c r="D138" s="156"/>
      <c r="E138" s="163"/>
      <c r="F138" s="163"/>
      <c r="G138" s="583"/>
      <c r="H138" s="788"/>
      <c r="J138" s="804">
        <v>1</v>
      </c>
      <c r="K138" s="42" t="s">
        <v>238</v>
      </c>
      <c r="L138" s="42">
        <v>30</v>
      </c>
      <c r="M138" s="123" t="s">
        <v>20</v>
      </c>
      <c r="N138" s="113" t="s">
        <v>346</v>
      </c>
      <c r="O138" s="113" t="s">
        <v>1717</v>
      </c>
      <c r="P138" s="805">
        <v>0</v>
      </c>
      <c r="Q138" s="811">
        <v>0.6151999905705452</v>
      </c>
      <c r="S138" s="165"/>
      <c r="T138" s="206"/>
      <c r="U138" s="206"/>
      <c r="V138" s="206"/>
      <c r="W138" s="206"/>
      <c r="X138" s="206"/>
      <c r="Y138" s="288">
        <f>SUM(Y125:Y137)</f>
        <v>0</v>
      </c>
      <c r="Z138" s="289">
        <f>SUM(Z125:Z137)</f>
        <v>-220194.84840001166</v>
      </c>
      <c r="AB138" s="211">
        <v>134</v>
      </c>
      <c r="AC138" s="211" t="s">
        <v>243</v>
      </c>
      <c r="AD138" s="211">
        <v>2</v>
      </c>
      <c r="AE138" s="8" t="s">
        <v>218</v>
      </c>
      <c r="AF138" s="10" t="s">
        <v>118</v>
      </c>
      <c r="AG138" s="9" t="s">
        <v>292</v>
      </c>
      <c r="AH138" s="210">
        <v>0</v>
      </c>
      <c r="AI138" s="115">
        <v>8223100</v>
      </c>
      <c r="AK138" s="9">
        <v>2</v>
      </c>
      <c r="AL138" s="9" t="s">
        <v>140</v>
      </c>
      <c r="AM138" s="9">
        <v>30</v>
      </c>
      <c r="AN138" s="8" t="s">
        <v>20</v>
      </c>
      <c r="AO138" s="10" t="s">
        <v>346</v>
      </c>
      <c r="AP138" s="10" t="s">
        <v>1716</v>
      </c>
      <c r="AQ138" s="346">
        <v>0</v>
      </c>
      <c r="AR138" s="347">
        <v>0.92639999836683273</v>
      </c>
      <c r="AT138" s="211">
        <v>134</v>
      </c>
      <c r="AU138" s="9" t="s">
        <v>239</v>
      </c>
      <c r="AV138" s="9">
        <v>1</v>
      </c>
      <c r="AW138" s="8" t="s">
        <v>47</v>
      </c>
      <c r="AX138" s="9" t="s">
        <v>378</v>
      </c>
      <c r="AY138" s="10" t="s">
        <v>2086</v>
      </c>
      <c r="AZ138" s="343">
        <v>0</v>
      </c>
      <c r="BA138" s="345">
        <v>107000000</v>
      </c>
      <c r="BC138" s="9">
        <v>17</v>
      </c>
      <c r="BD138" s="53" t="s">
        <v>241</v>
      </c>
      <c r="BE138" s="9">
        <v>2</v>
      </c>
      <c r="BF138" s="8" t="s">
        <v>49</v>
      </c>
      <c r="BG138" s="10" t="s">
        <v>355</v>
      </c>
      <c r="BH138" s="10" t="s">
        <v>2623</v>
      </c>
      <c r="BI138" s="210">
        <v>0</v>
      </c>
      <c r="BJ138" s="115">
        <v>0.39999999850988388</v>
      </c>
      <c r="BL138" s="211">
        <v>134</v>
      </c>
      <c r="BM138" s="9" t="s">
        <v>239</v>
      </c>
      <c r="BN138" s="9">
        <v>3</v>
      </c>
      <c r="BO138" s="8" t="s">
        <v>40</v>
      </c>
      <c r="BP138" s="9" t="s">
        <v>355</v>
      </c>
      <c r="BQ138" s="9" t="s">
        <v>400</v>
      </c>
      <c r="BR138" s="210">
        <v>0</v>
      </c>
      <c r="BS138" s="115">
        <v>0.42</v>
      </c>
      <c r="BU138" s="211">
        <v>134</v>
      </c>
      <c r="BV138" s="9" t="s">
        <v>244</v>
      </c>
      <c r="BW138" s="9">
        <v>20</v>
      </c>
      <c r="BX138" s="8" t="s">
        <v>40</v>
      </c>
      <c r="BY138" s="9" t="s">
        <v>118</v>
      </c>
      <c r="BZ138" s="9" t="s">
        <v>600</v>
      </c>
      <c r="CA138" s="343">
        <v>0</v>
      </c>
      <c r="CB138" s="345">
        <v>1821800</v>
      </c>
      <c r="CD138" s="211">
        <v>134</v>
      </c>
      <c r="CE138" s="9" t="s">
        <v>140</v>
      </c>
      <c r="CF138" s="9">
        <v>28</v>
      </c>
      <c r="CG138" s="8" t="s">
        <v>40</v>
      </c>
      <c r="CH138" s="9" t="s">
        <v>355</v>
      </c>
      <c r="CI138" s="9" t="s">
        <v>1636</v>
      </c>
      <c r="CJ138" s="343">
        <v>0</v>
      </c>
      <c r="CK138" s="345">
        <v>31438990</v>
      </c>
      <c r="CM138" s="211">
        <v>5</v>
      </c>
      <c r="CN138" s="9" t="s">
        <v>239</v>
      </c>
      <c r="CO138" s="9">
        <v>7</v>
      </c>
      <c r="CP138" s="8" t="s">
        <v>212</v>
      </c>
      <c r="CQ138" s="10" t="s">
        <v>62</v>
      </c>
      <c r="CR138" s="9" t="s">
        <v>392</v>
      </c>
      <c r="CS138" s="210">
        <v>0</v>
      </c>
      <c r="CT138" s="115">
        <f>34200000-32400000</f>
        <v>1800000</v>
      </c>
    </row>
    <row r="139" spans="1:98" s="40" customFormat="1" ht="12" customHeight="1" thickBot="1">
      <c r="A139" s="165"/>
      <c r="B139" s="163"/>
      <c r="C139" s="163"/>
      <c r="D139" s="156"/>
      <c r="E139" s="163"/>
      <c r="F139" s="163"/>
      <c r="G139" s="583"/>
      <c r="H139" s="788"/>
      <c r="J139" s="806">
        <v>2</v>
      </c>
      <c r="K139" s="9" t="s">
        <v>140</v>
      </c>
      <c r="L139" s="9">
        <v>30</v>
      </c>
      <c r="M139" s="8" t="s">
        <v>20</v>
      </c>
      <c r="N139" s="10" t="s">
        <v>346</v>
      </c>
      <c r="O139" s="10" t="s">
        <v>1716</v>
      </c>
      <c r="P139" s="364">
        <v>0</v>
      </c>
      <c r="Q139" s="347">
        <v>0.92639999836683273</v>
      </c>
      <c r="S139" s="165"/>
      <c r="T139" s="163"/>
      <c r="U139" s="163"/>
      <c r="V139" s="156"/>
      <c r="W139" s="163"/>
      <c r="X139" s="163"/>
      <c r="Y139" s="288">
        <f>SUM(Y122,Y138)</f>
        <v>12049</v>
      </c>
      <c r="Z139" s="289">
        <f>Z122+Z138</f>
        <v>6255552325.7511997</v>
      </c>
      <c r="AB139" s="211">
        <v>135</v>
      </c>
      <c r="AC139" s="9" t="s">
        <v>140</v>
      </c>
      <c r="AD139" s="9">
        <v>9</v>
      </c>
      <c r="AE139" s="8" t="s">
        <v>219</v>
      </c>
      <c r="AF139" s="9" t="s">
        <v>63</v>
      </c>
      <c r="AG139" s="9" t="s">
        <v>293</v>
      </c>
      <c r="AH139" s="210">
        <v>0</v>
      </c>
      <c r="AI139" s="115">
        <v>5000000</v>
      </c>
      <c r="AK139" s="9">
        <v>3</v>
      </c>
      <c r="AL139" s="9" t="s">
        <v>194</v>
      </c>
      <c r="AM139" s="9">
        <v>30</v>
      </c>
      <c r="AN139" s="8" t="s">
        <v>20</v>
      </c>
      <c r="AO139" s="10" t="s">
        <v>346</v>
      </c>
      <c r="AP139" s="10" t="s">
        <v>2024</v>
      </c>
      <c r="AQ139" s="343">
        <v>0</v>
      </c>
      <c r="AR139" s="345">
        <v>1.6393600031733513</v>
      </c>
      <c r="AT139" s="211">
        <v>135</v>
      </c>
      <c r="AU139" s="9" t="s">
        <v>240</v>
      </c>
      <c r="AV139" s="9">
        <v>3</v>
      </c>
      <c r="AW139" s="8" t="s">
        <v>47</v>
      </c>
      <c r="AX139" s="9" t="s">
        <v>378</v>
      </c>
      <c r="AY139" s="10" t="s">
        <v>2229</v>
      </c>
      <c r="AZ139" s="343">
        <v>0</v>
      </c>
      <c r="BA139" s="345">
        <v>107000000</v>
      </c>
      <c r="BC139" s="9">
        <v>18</v>
      </c>
      <c r="BD139" s="53" t="s">
        <v>239</v>
      </c>
      <c r="BE139" s="9">
        <v>1</v>
      </c>
      <c r="BF139" s="8" t="s">
        <v>28</v>
      </c>
      <c r="BG139" s="10" t="s">
        <v>355</v>
      </c>
      <c r="BH139" s="10" t="s">
        <v>2100</v>
      </c>
      <c r="BI139" s="362">
        <v>0</v>
      </c>
      <c r="BJ139" s="344">
        <v>0.48000000044703484</v>
      </c>
      <c r="BL139" s="211">
        <v>135</v>
      </c>
      <c r="BM139" s="9" t="s">
        <v>240</v>
      </c>
      <c r="BN139" s="9">
        <v>1</v>
      </c>
      <c r="BO139" s="8" t="s">
        <v>40</v>
      </c>
      <c r="BP139" s="9" t="s">
        <v>354</v>
      </c>
      <c r="BQ139" s="9" t="s">
        <v>407</v>
      </c>
      <c r="BR139" s="210">
        <v>0</v>
      </c>
      <c r="BS139" s="115">
        <v>-107.28</v>
      </c>
      <c r="BU139" s="211">
        <v>135</v>
      </c>
      <c r="BV139" s="9" t="s">
        <v>244</v>
      </c>
      <c r="BW139" s="9">
        <v>30</v>
      </c>
      <c r="BX139" s="8" t="s">
        <v>159</v>
      </c>
      <c r="BY139" s="9" t="s">
        <v>364</v>
      </c>
      <c r="BZ139" s="9" t="s">
        <v>610</v>
      </c>
      <c r="CA139" s="343">
        <v>0</v>
      </c>
      <c r="CB139" s="345">
        <v>550000</v>
      </c>
      <c r="CD139" s="211">
        <v>135</v>
      </c>
      <c r="CE139" s="9" t="s">
        <v>140</v>
      </c>
      <c r="CF139" s="9">
        <v>28</v>
      </c>
      <c r="CG139" s="8" t="s">
        <v>40</v>
      </c>
      <c r="CH139" s="9" t="s">
        <v>448</v>
      </c>
      <c r="CI139" s="9" t="s">
        <v>1637</v>
      </c>
      <c r="CJ139" s="343">
        <v>0</v>
      </c>
      <c r="CK139" s="345">
        <v>38680840</v>
      </c>
      <c r="CM139" s="1855" t="s">
        <v>68</v>
      </c>
      <c r="CN139" s="1855"/>
      <c r="CO139" s="1855"/>
      <c r="CP139" s="1855"/>
      <c r="CQ139" s="1855"/>
      <c r="CR139" s="1855"/>
      <c r="CS139" s="546">
        <f>SUM(CS134:CS138)</f>
        <v>0</v>
      </c>
      <c r="CT139" s="547">
        <f>SUM(CT134:CT138)</f>
        <v>42900000</v>
      </c>
    </row>
    <row r="140" spans="1:98" s="40" customFormat="1" ht="12" customHeight="1">
      <c r="A140" s="165"/>
      <c r="B140" s="163"/>
      <c r="C140" s="163"/>
      <c r="D140" s="156"/>
      <c r="E140" s="163"/>
      <c r="F140" s="163"/>
      <c r="G140" s="583"/>
      <c r="H140" s="788"/>
      <c r="J140" s="806">
        <v>3</v>
      </c>
      <c r="K140" s="9" t="s">
        <v>194</v>
      </c>
      <c r="L140" s="9">
        <v>30</v>
      </c>
      <c r="M140" s="8" t="s">
        <v>20</v>
      </c>
      <c r="N140" s="10" t="s">
        <v>346</v>
      </c>
      <c r="O140" s="10" t="s">
        <v>2024</v>
      </c>
      <c r="P140" s="343">
        <v>0</v>
      </c>
      <c r="Q140" s="345">
        <v>1.6393600031733513</v>
      </c>
      <c r="AB140" s="211">
        <v>136</v>
      </c>
      <c r="AC140" s="9" t="s">
        <v>240</v>
      </c>
      <c r="AD140" s="9">
        <v>5</v>
      </c>
      <c r="AE140" s="8" t="s">
        <v>98</v>
      </c>
      <c r="AF140" s="9" t="s">
        <v>62</v>
      </c>
      <c r="AG140" s="10" t="s">
        <v>2361</v>
      </c>
      <c r="AH140" s="343">
        <v>0</v>
      </c>
      <c r="AI140" s="376">
        <v>189397445.59999999</v>
      </c>
      <c r="AK140" s="9">
        <v>4</v>
      </c>
      <c r="AL140" s="9" t="s">
        <v>195</v>
      </c>
      <c r="AM140" s="9">
        <v>28</v>
      </c>
      <c r="AN140" s="8" t="s">
        <v>20</v>
      </c>
      <c r="AO140" s="10" t="s">
        <v>346</v>
      </c>
      <c r="AP140" s="10" t="s">
        <v>2175</v>
      </c>
      <c r="AQ140" s="343">
        <v>0</v>
      </c>
      <c r="AR140" s="345">
        <v>1.1206399947404861</v>
      </c>
      <c r="AT140" s="211">
        <v>136</v>
      </c>
      <c r="AU140" s="9" t="s">
        <v>58</v>
      </c>
      <c r="AV140" s="9">
        <v>2</v>
      </c>
      <c r="AW140" s="8" t="s">
        <v>47</v>
      </c>
      <c r="AX140" s="9" t="s">
        <v>378</v>
      </c>
      <c r="AY140" s="10" t="s">
        <v>2441</v>
      </c>
      <c r="AZ140" s="343">
        <v>0</v>
      </c>
      <c r="BA140" s="345">
        <v>107000000</v>
      </c>
      <c r="BC140" s="9">
        <v>19</v>
      </c>
      <c r="BD140" s="9" t="s">
        <v>240</v>
      </c>
      <c r="BE140" s="9">
        <v>4</v>
      </c>
      <c r="BF140" s="8" t="s">
        <v>95</v>
      </c>
      <c r="BG140" s="10" t="s">
        <v>357</v>
      </c>
      <c r="BH140" s="10" t="s">
        <v>2304</v>
      </c>
      <c r="BI140" s="342">
        <v>0</v>
      </c>
      <c r="BJ140" s="344">
        <v>-0.19999999925494194</v>
      </c>
      <c r="BL140" s="211">
        <v>136</v>
      </c>
      <c r="BM140" s="9" t="s">
        <v>240</v>
      </c>
      <c r="BN140" s="9">
        <v>11</v>
      </c>
      <c r="BO140" s="8" t="s">
        <v>40</v>
      </c>
      <c r="BP140" s="9" t="s">
        <v>355</v>
      </c>
      <c r="BQ140" s="9" t="s">
        <v>409</v>
      </c>
      <c r="BR140" s="343">
        <v>0</v>
      </c>
      <c r="BS140" s="345">
        <v>0.59680000320076942</v>
      </c>
      <c r="BU140" s="211">
        <v>136</v>
      </c>
      <c r="BV140" s="9" t="s">
        <v>244</v>
      </c>
      <c r="BW140" s="9">
        <v>30</v>
      </c>
      <c r="BX140" s="8" t="s">
        <v>159</v>
      </c>
      <c r="BY140" s="9" t="s">
        <v>355</v>
      </c>
      <c r="BZ140" s="9" t="s">
        <v>611</v>
      </c>
      <c r="CA140" s="343">
        <v>0</v>
      </c>
      <c r="CB140" s="345">
        <v>14630000</v>
      </c>
      <c r="CD140" s="211">
        <v>136</v>
      </c>
      <c r="CE140" s="9" t="s">
        <v>140</v>
      </c>
      <c r="CF140" s="9">
        <v>28</v>
      </c>
      <c r="CG140" s="8" t="s">
        <v>40</v>
      </c>
      <c r="CH140" s="9" t="s">
        <v>355</v>
      </c>
      <c r="CI140" s="9" t="s">
        <v>1638</v>
      </c>
      <c r="CJ140" s="343">
        <v>0</v>
      </c>
      <c r="CK140" s="345">
        <v>31438990</v>
      </c>
      <c r="CM140" s="211">
        <v>1</v>
      </c>
      <c r="CN140" s="211" t="s">
        <v>243</v>
      </c>
      <c r="CO140" s="211">
        <v>14</v>
      </c>
      <c r="CP140" s="8" t="s">
        <v>213</v>
      </c>
      <c r="CQ140" s="10" t="s">
        <v>355</v>
      </c>
      <c r="CR140" s="10" t="s">
        <v>268</v>
      </c>
      <c r="CS140" s="210">
        <v>0</v>
      </c>
      <c r="CT140" s="115">
        <v>20350000</v>
      </c>
    </row>
    <row r="141" spans="1:98" s="40" customFormat="1" ht="12" customHeight="1" thickBot="1">
      <c r="A141" s="165"/>
      <c r="B141" s="163"/>
      <c r="C141" s="163"/>
      <c r="D141" s="156"/>
      <c r="E141" s="163"/>
      <c r="F141" s="163"/>
      <c r="G141" s="583"/>
      <c r="H141" s="788"/>
      <c r="J141" s="806">
        <v>4</v>
      </c>
      <c r="K141" s="9" t="s">
        <v>194</v>
      </c>
      <c r="L141" s="9">
        <v>18</v>
      </c>
      <c r="M141" s="8" t="s">
        <v>22</v>
      </c>
      <c r="N141" s="10" t="s">
        <v>354</v>
      </c>
      <c r="O141" s="10" t="s">
        <v>1776</v>
      </c>
      <c r="P141" s="364">
        <v>0</v>
      </c>
      <c r="Q141" s="347">
        <v>0.19999999925494194</v>
      </c>
      <c r="AB141" s="536">
        <v>137</v>
      </c>
      <c r="AC141" s="482" t="s">
        <v>240</v>
      </c>
      <c r="AD141" s="482">
        <v>5</v>
      </c>
      <c r="AE141" s="483" t="s">
        <v>98</v>
      </c>
      <c r="AF141" s="482" t="s">
        <v>62</v>
      </c>
      <c r="AG141" s="484" t="s">
        <v>2362</v>
      </c>
      <c r="AH141" s="814">
        <v>0</v>
      </c>
      <c r="AI141" s="810">
        <v>260312511.80000001</v>
      </c>
      <c r="AK141" s="9">
        <v>5</v>
      </c>
      <c r="AL141" s="9" t="s">
        <v>239</v>
      </c>
      <c r="AM141" s="9">
        <v>30</v>
      </c>
      <c r="AN141" s="8" t="s">
        <v>20</v>
      </c>
      <c r="AO141" s="10" t="s">
        <v>354</v>
      </c>
      <c r="AP141" s="10" t="s">
        <v>2232</v>
      </c>
      <c r="AQ141" s="343">
        <v>0</v>
      </c>
      <c r="AR141" s="345">
        <v>1.8068800047039986</v>
      </c>
      <c r="AT141" s="211">
        <v>137</v>
      </c>
      <c r="AU141" s="211" t="s">
        <v>243</v>
      </c>
      <c r="AV141" s="211">
        <v>2</v>
      </c>
      <c r="AW141" s="8" t="s">
        <v>218</v>
      </c>
      <c r="AX141" s="10" t="s">
        <v>118</v>
      </c>
      <c r="AY141" s="9" t="s">
        <v>292</v>
      </c>
      <c r="AZ141" s="210">
        <v>0</v>
      </c>
      <c r="BA141" s="115">
        <v>8223100</v>
      </c>
      <c r="BC141" s="9">
        <v>20</v>
      </c>
      <c r="BD141" s="9" t="s">
        <v>58</v>
      </c>
      <c r="BE141" s="9">
        <v>4</v>
      </c>
      <c r="BF141" s="8" t="s">
        <v>95</v>
      </c>
      <c r="BG141" s="10" t="s">
        <v>357</v>
      </c>
      <c r="BH141" s="10" t="s">
        <v>2501</v>
      </c>
      <c r="BI141" s="343">
        <v>0</v>
      </c>
      <c r="BJ141" s="345">
        <v>0.59640000015497208</v>
      </c>
      <c r="BL141" s="211">
        <v>137</v>
      </c>
      <c r="BM141" s="9" t="s">
        <v>240</v>
      </c>
      <c r="BN141" s="9">
        <v>19</v>
      </c>
      <c r="BO141" s="8" t="s">
        <v>40</v>
      </c>
      <c r="BP141" s="9" t="s">
        <v>355</v>
      </c>
      <c r="BQ141" s="9" t="s">
        <v>416</v>
      </c>
      <c r="BR141" s="343">
        <v>0</v>
      </c>
      <c r="BS141" s="345">
        <v>0.14200000092387199</v>
      </c>
      <c r="BU141" s="211">
        <v>137</v>
      </c>
      <c r="BV141" s="9" t="s">
        <v>244</v>
      </c>
      <c r="BW141" s="9">
        <v>30</v>
      </c>
      <c r="BX141" s="8" t="s">
        <v>159</v>
      </c>
      <c r="BY141" s="9" t="s">
        <v>357</v>
      </c>
      <c r="BZ141" s="9" t="s">
        <v>612</v>
      </c>
      <c r="CA141" s="343">
        <v>0</v>
      </c>
      <c r="CB141" s="345">
        <v>1100000</v>
      </c>
      <c r="CD141" s="211">
        <v>137</v>
      </c>
      <c r="CE141" s="9" t="s">
        <v>140</v>
      </c>
      <c r="CF141" s="9">
        <v>28</v>
      </c>
      <c r="CG141" s="8" t="s">
        <v>40</v>
      </c>
      <c r="CH141" s="9" t="s">
        <v>364</v>
      </c>
      <c r="CI141" s="9" t="s">
        <v>1639</v>
      </c>
      <c r="CJ141" s="343">
        <v>0</v>
      </c>
      <c r="CK141" s="345">
        <v>10450000</v>
      </c>
      <c r="CM141" s="211">
        <v>2</v>
      </c>
      <c r="CN141" s="211" t="s">
        <v>244</v>
      </c>
      <c r="CO141" s="211">
        <v>4</v>
      </c>
      <c r="CP141" s="8" t="s">
        <v>213</v>
      </c>
      <c r="CQ141" s="10" t="s">
        <v>355</v>
      </c>
      <c r="CR141" s="10" t="s">
        <v>269</v>
      </c>
      <c r="CS141" s="210">
        <v>0</v>
      </c>
      <c r="CT141" s="115">
        <v>20350000</v>
      </c>
    </row>
    <row r="142" spans="1:98" s="40" customFormat="1" ht="12" customHeight="1" thickBot="1">
      <c r="A142" s="165"/>
      <c r="B142" s="163"/>
      <c r="C142" s="163"/>
      <c r="D142" s="156"/>
      <c r="E142" s="163"/>
      <c r="F142" s="163"/>
      <c r="G142" s="583"/>
      <c r="H142" s="788"/>
      <c r="J142" s="806">
        <v>5</v>
      </c>
      <c r="K142" s="9" t="s">
        <v>140</v>
      </c>
      <c r="L142" s="9">
        <v>15</v>
      </c>
      <c r="M142" s="8" t="s">
        <v>1625</v>
      </c>
      <c r="N142" s="9" t="s">
        <v>144</v>
      </c>
      <c r="O142" s="9" t="s">
        <v>1626</v>
      </c>
      <c r="P142" s="364">
        <v>0</v>
      </c>
      <c r="Q142" s="347">
        <v>-200</v>
      </c>
      <c r="AC142" s="206"/>
      <c r="AD142" s="206"/>
      <c r="AE142" s="206"/>
      <c r="AF142" s="206"/>
      <c r="AG142" s="206"/>
      <c r="AH142" s="288">
        <f>SUM(AH5:AH141)</f>
        <v>12049</v>
      </c>
      <c r="AI142" s="289">
        <f>SUM(AI5:AI141)</f>
        <v>8081083217.901803</v>
      </c>
      <c r="AK142" s="9">
        <v>6</v>
      </c>
      <c r="AL142" s="9" t="s">
        <v>194</v>
      </c>
      <c r="AM142" s="9">
        <v>18</v>
      </c>
      <c r="AN142" s="8" t="s">
        <v>22</v>
      </c>
      <c r="AO142" s="10" t="s">
        <v>354</v>
      </c>
      <c r="AP142" s="10" t="s">
        <v>1776</v>
      </c>
      <c r="AQ142" s="346">
        <v>0</v>
      </c>
      <c r="AR142" s="347">
        <v>0.19999999925494194</v>
      </c>
      <c r="AT142" s="536">
        <v>138</v>
      </c>
      <c r="AU142" s="482" t="s">
        <v>140</v>
      </c>
      <c r="AV142" s="482">
        <v>9</v>
      </c>
      <c r="AW142" s="483" t="s">
        <v>219</v>
      </c>
      <c r="AX142" s="482" t="s">
        <v>63</v>
      </c>
      <c r="AY142" s="482" t="s">
        <v>293</v>
      </c>
      <c r="AZ142" s="803">
        <v>0</v>
      </c>
      <c r="BA142" s="815">
        <v>5000000</v>
      </c>
      <c r="BC142" s="9">
        <v>21</v>
      </c>
      <c r="BD142" s="9" t="s">
        <v>240</v>
      </c>
      <c r="BE142" s="9">
        <v>6</v>
      </c>
      <c r="BF142" s="8" t="s">
        <v>96</v>
      </c>
      <c r="BG142" s="10" t="s">
        <v>357</v>
      </c>
      <c r="BH142" s="10" t="s">
        <v>2162</v>
      </c>
      <c r="BI142" s="342">
        <v>0</v>
      </c>
      <c r="BJ142" s="344">
        <v>0.30760000087320805</v>
      </c>
      <c r="BL142" s="211">
        <v>138</v>
      </c>
      <c r="BM142" s="9" t="s">
        <v>240</v>
      </c>
      <c r="BN142" s="9">
        <v>19</v>
      </c>
      <c r="BO142" s="8" t="s">
        <v>40</v>
      </c>
      <c r="BP142" s="9" t="s">
        <v>354</v>
      </c>
      <c r="BQ142" s="9" t="s">
        <v>417</v>
      </c>
      <c r="BR142" s="343">
        <v>0</v>
      </c>
      <c r="BS142" s="345">
        <v>0.10199999809265137</v>
      </c>
      <c r="BU142" s="211">
        <v>138</v>
      </c>
      <c r="BV142" s="9" t="s">
        <v>244</v>
      </c>
      <c r="BW142" s="9">
        <v>5</v>
      </c>
      <c r="BX142" s="8" t="s">
        <v>164</v>
      </c>
      <c r="BY142" s="9" t="s">
        <v>364</v>
      </c>
      <c r="BZ142" s="9" t="s">
        <v>580</v>
      </c>
      <c r="CA142" s="210">
        <v>0</v>
      </c>
      <c r="CB142" s="361">
        <v>6600000</v>
      </c>
      <c r="CD142" s="211">
        <v>138</v>
      </c>
      <c r="CE142" s="9" t="s">
        <v>140</v>
      </c>
      <c r="CF142" s="9">
        <v>29</v>
      </c>
      <c r="CG142" s="8" t="s">
        <v>40</v>
      </c>
      <c r="CH142" s="9" t="s">
        <v>1652</v>
      </c>
      <c r="CI142" s="9" t="s">
        <v>1653</v>
      </c>
      <c r="CJ142" s="343">
        <v>0</v>
      </c>
      <c r="CK142" s="345">
        <v>12100000</v>
      </c>
      <c r="CM142" s="211">
        <v>3</v>
      </c>
      <c r="CN142" s="211" t="s">
        <v>245</v>
      </c>
      <c r="CO142" s="211">
        <v>21</v>
      </c>
      <c r="CP142" s="8" t="s">
        <v>213</v>
      </c>
      <c r="CQ142" s="10" t="s">
        <v>355</v>
      </c>
      <c r="CR142" s="10" t="s">
        <v>270</v>
      </c>
      <c r="CS142" s="210">
        <v>0</v>
      </c>
      <c r="CT142" s="115">
        <v>20350000</v>
      </c>
    </row>
    <row r="143" spans="1:98" s="40" customFormat="1" ht="12" customHeight="1" thickBot="1">
      <c r="A143" s="165"/>
      <c r="B143" s="163"/>
      <c r="C143" s="163"/>
      <c r="D143" s="156"/>
      <c r="E143" s="163"/>
      <c r="F143" s="163"/>
      <c r="G143" s="583"/>
      <c r="H143" s="788"/>
      <c r="J143" s="806">
        <v>6</v>
      </c>
      <c r="K143" s="9" t="s">
        <v>140</v>
      </c>
      <c r="L143" s="9">
        <v>1</v>
      </c>
      <c r="M143" s="8" t="s">
        <v>49</v>
      </c>
      <c r="N143" s="9" t="s">
        <v>355</v>
      </c>
      <c r="O143" s="10" t="s">
        <v>1577</v>
      </c>
      <c r="P143" s="364">
        <v>0</v>
      </c>
      <c r="Q143" s="347">
        <v>-0.19999999925494194</v>
      </c>
      <c r="AB143" s="114"/>
      <c r="AK143" s="9">
        <v>7</v>
      </c>
      <c r="AL143" s="9" t="s">
        <v>195</v>
      </c>
      <c r="AM143" s="9">
        <v>16</v>
      </c>
      <c r="AN143" s="8" t="s">
        <v>2070</v>
      </c>
      <c r="AO143" s="10" t="s">
        <v>118</v>
      </c>
      <c r="AP143" s="10" t="s">
        <v>2072</v>
      </c>
      <c r="AQ143" s="342">
        <v>0</v>
      </c>
      <c r="AR143" s="361">
        <v>0.5</v>
      </c>
      <c r="AT143" s="165"/>
      <c r="AU143" s="206"/>
      <c r="AV143" s="206"/>
      <c r="AW143" s="206"/>
      <c r="AX143" s="206"/>
      <c r="AY143" s="206"/>
      <c r="AZ143" s="288">
        <f>SUM(AZ5:AZ142)</f>
        <v>12049</v>
      </c>
      <c r="BA143" s="289">
        <f>SUM(BA5:BA142)</f>
        <v>5803196158.1619987</v>
      </c>
      <c r="BC143" s="9">
        <v>22</v>
      </c>
      <c r="BD143" s="9" t="s">
        <v>244</v>
      </c>
      <c r="BE143" s="9">
        <v>1</v>
      </c>
      <c r="BF143" s="8" t="s">
        <v>131</v>
      </c>
      <c r="BG143" s="9" t="s">
        <v>147</v>
      </c>
      <c r="BH143" s="9" t="s">
        <v>573</v>
      </c>
      <c r="BI143" s="342">
        <v>0</v>
      </c>
      <c r="BJ143" s="344">
        <v>-718820390</v>
      </c>
      <c r="BL143" s="211">
        <v>139</v>
      </c>
      <c r="BM143" s="9" t="s">
        <v>240</v>
      </c>
      <c r="BN143" s="9">
        <v>19</v>
      </c>
      <c r="BO143" s="8" t="s">
        <v>40</v>
      </c>
      <c r="BP143" s="9" t="s">
        <v>374</v>
      </c>
      <c r="BQ143" s="9" t="s">
        <v>418</v>
      </c>
      <c r="BR143" s="343">
        <v>0</v>
      </c>
      <c r="BS143" s="345">
        <v>0.1419999971985817</v>
      </c>
      <c r="BU143" s="211">
        <v>139</v>
      </c>
      <c r="BV143" s="9" t="s">
        <v>244</v>
      </c>
      <c r="BW143" s="9">
        <v>5</v>
      </c>
      <c r="BX143" s="8" t="s">
        <v>164</v>
      </c>
      <c r="BY143" s="9" t="s">
        <v>376</v>
      </c>
      <c r="BZ143" s="9" t="s">
        <v>581</v>
      </c>
      <c r="CA143" s="210">
        <v>0</v>
      </c>
      <c r="CB143" s="361">
        <v>22000000</v>
      </c>
      <c r="CD143" s="211">
        <v>139</v>
      </c>
      <c r="CE143" s="9" t="s">
        <v>140</v>
      </c>
      <c r="CF143" s="9">
        <v>1</v>
      </c>
      <c r="CG143" s="8" t="s">
        <v>128</v>
      </c>
      <c r="CH143" s="9" t="s">
        <v>376</v>
      </c>
      <c r="CI143" s="9" t="s">
        <v>1553</v>
      </c>
      <c r="CJ143" s="343">
        <v>0</v>
      </c>
      <c r="CK143" s="345">
        <v>11000000</v>
      </c>
      <c r="CM143" s="211">
        <v>4</v>
      </c>
      <c r="CN143" s="211" t="s">
        <v>238</v>
      </c>
      <c r="CO143" s="211">
        <v>4</v>
      </c>
      <c r="CP143" s="8" t="s">
        <v>213</v>
      </c>
      <c r="CQ143" s="10" t="s">
        <v>355</v>
      </c>
      <c r="CR143" s="10" t="s">
        <v>271</v>
      </c>
      <c r="CS143" s="210">
        <v>0</v>
      </c>
      <c r="CT143" s="115">
        <v>20350000</v>
      </c>
    </row>
    <row r="144" spans="1:98" s="40" customFormat="1" ht="12" customHeight="1">
      <c r="A144" s="165"/>
      <c r="B144" s="163"/>
      <c r="C144" s="163"/>
      <c r="D144" s="789"/>
      <c r="E144" s="163"/>
      <c r="F144" s="163"/>
      <c r="G144" s="583"/>
      <c r="H144" s="788"/>
      <c r="J144" s="806">
        <v>7</v>
      </c>
      <c r="K144" s="9" t="s">
        <v>238</v>
      </c>
      <c r="L144" s="9">
        <v>15</v>
      </c>
      <c r="M144" s="8" t="s">
        <v>40</v>
      </c>
      <c r="N144" s="9" t="s">
        <v>118</v>
      </c>
      <c r="O144" s="9" t="s">
        <v>1390</v>
      </c>
      <c r="P144" s="364">
        <v>0</v>
      </c>
      <c r="Q144" s="347">
        <v>-220000</v>
      </c>
      <c r="AB144" s="114"/>
      <c r="AC144" s="114"/>
      <c r="AD144" s="114"/>
      <c r="AE144" s="114"/>
      <c r="AF144" s="114"/>
      <c r="AG144" s="114"/>
      <c r="AH144" s="114"/>
      <c r="AI144" s="114"/>
      <c r="AK144" s="9">
        <v>8</v>
      </c>
      <c r="AL144" s="9" t="s">
        <v>58</v>
      </c>
      <c r="AM144" s="9">
        <v>8</v>
      </c>
      <c r="AN144" s="8" t="s">
        <v>2070</v>
      </c>
      <c r="AO144" s="10" t="s">
        <v>118</v>
      </c>
      <c r="AP144" s="10" t="s">
        <v>2520</v>
      </c>
      <c r="AQ144" s="343">
        <v>0</v>
      </c>
      <c r="AR144" s="345">
        <v>0.5</v>
      </c>
      <c r="BC144" s="9">
        <v>23</v>
      </c>
      <c r="BD144" s="9" t="s">
        <v>238</v>
      </c>
      <c r="BE144" s="9">
        <v>15</v>
      </c>
      <c r="BF144" s="8" t="s">
        <v>40</v>
      </c>
      <c r="BG144" s="9" t="s">
        <v>118</v>
      </c>
      <c r="BH144" s="9" t="s">
        <v>1390</v>
      </c>
      <c r="BI144" s="346">
        <v>0</v>
      </c>
      <c r="BJ144" s="347">
        <v>-220000</v>
      </c>
      <c r="BL144" s="211">
        <v>140</v>
      </c>
      <c r="BM144" s="9" t="s">
        <v>240</v>
      </c>
      <c r="BN144" s="9">
        <v>19</v>
      </c>
      <c r="BO144" s="8" t="s">
        <v>40</v>
      </c>
      <c r="BP144" s="9" t="s">
        <v>355</v>
      </c>
      <c r="BQ144" s="9" t="s">
        <v>419</v>
      </c>
      <c r="BR144" s="343">
        <v>0</v>
      </c>
      <c r="BS144" s="345">
        <v>0.14200000092387199</v>
      </c>
      <c r="BU144" s="211">
        <v>140</v>
      </c>
      <c r="BV144" s="9" t="s">
        <v>241</v>
      </c>
      <c r="BW144" s="9">
        <v>6</v>
      </c>
      <c r="BX144" s="11" t="s">
        <v>45</v>
      </c>
      <c r="BY144" s="9" t="s">
        <v>118</v>
      </c>
      <c r="BZ144" s="9" t="s">
        <v>469</v>
      </c>
      <c r="CA144" s="343">
        <v>0</v>
      </c>
      <c r="CB144" s="345">
        <v>5371000</v>
      </c>
      <c r="CD144" s="211">
        <v>140</v>
      </c>
      <c r="CE144" s="9" t="s">
        <v>238</v>
      </c>
      <c r="CF144" s="9">
        <v>4</v>
      </c>
      <c r="CG144" s="11" t="s">
        <v>45</v>
      </c>
      <c r="CH144" s="9" t="s">
        <v>354</v>
      </c>
      <c r="CI144" s="9" t="s">
        <v>649</v>
      </c>
      <c r="CJ144" s="343">
        <v>0</v>
      </c>
      <c r="CK144" s="345">
        <v>13200000</v>
      </c>
      <c r="CM144" s="211">
        <v>5</v>
      </c>
      <c r="CN144" s="211" t="s">
        <v>140</v>
      </c>
      <c r="CO144" s="211">
        <v>3</v>
      </c>
      <c r="CP144" s="8" t="s">
        <v>213</v>
      </c>
      <c r="CQ144" s="10" t="s">
        <v>355</v>
      </c>
      <c r="CR144" s="10" t="s">
        <v>272</v>
      </c>
      <c r="CS144" s="210">
        <v>0</v>
      </c>
      <c r="CT144" s="115">
        <v>20350000</v>
      </c>
    </row>
    <row r="145" spans="1:98" s="40" customFormat="1" ht="12" customHeight="1">
      <c r="A145" s="165"/>
      <c r="B145" s="163"/>
      <c r="C145" s="163"/>
      <c r="D145" s="789"/>
      <c r="E145" s="163"/>
      <c r="F145" s="163"/>
      <c r="G145" s="583"/>
      <c r="H145" s="788"/>
      <c r="J145" s="806">
        <v>8</v>
      </c>
      <c r="K145" s="9" t="s">
        <v>140</v>
      </c>
      <c r="L145" s="9">
        <v>1</v>
      </c>
      <c r="M145" s="8" t="s">
        <v>133</v>
      </c>
      <c r="N145" s="9" t="s">
        <v>364</v>
      </c>
      <c r="O145" s="9" t="s">
        <v>1547</v>
      </c>
      <c r="P145" s="364">
        <v>0</v>
      </c>
      <c r="Q145" s="347">
        <v>0.39000000059604645</v>
      </c>
      <c r="AB145" s="809" t="s">
        <v>1674</v>
      </c>
      <c r="AC145" s="163"/>
      <c r="AD145" s="163"/>
      <c r="AE145" s="156"/>
      <c r="AF145" s="163"/>
      <c r="AG145" s="163"/>
      <c r="AH145" s="583"/>
      <c r="AI145" s="788"/>
      <c r="AK145" s="9">
        <v>9</v>
      </c>
      <c r="AL145" s="9" t="s">
        <v>140</v>
      </c>
      <c r="AM145" s="9">
        <v>15</v>
      </c>
      <c r="AN145" s="8" t="s">
        <v>1625</v>
      </c>
      <c r="AO145" s="9" t="s">
        <v>144</v>
      </c>
      <c r="AP145" s="9" t="s">
        <v>1626</v>
      </c>
      <c r="AQ145" s="346">
        <v>0</v>
      </c>
      <c r="AR145" s="347">
        <v>-200</v>
      </c>
      <c r="AT145" s="809" t="s">
        <v>1674</v>
      </c>
      <c r="AU145" s="163"/>
      <c r="AV145" s="163"/>
      <c r="AW145" s="156"/>
      <c r="AX145" s="163"/>
      <c r="AY145" s="163"/>
      <c r="AZ145" s="583"/>
      <c r="BA145" s="788"/>
      <c r="BC145" s="9">
        <v>24</v>
      </c>
      <c r="BD145" s="9" t="s">
        <v>240</v>
      </c>
      <c r="BE145" s="9">
        <v>10</v>
      </c>
      <c r="BF145" s="8" t="s">
        <v>40</v>
      </c>
      <c r="BG145" s="10" t="s">
        <v>118</v>
      </c>
      <c r="BH145" s="10" t="s">
        <v>2349</v>
      </c>
      <c r="BI145" s="362">
        <v>0</v>
      </c>
      <c r="BJ145" s="344">
        <v>36</v>
      </c>
      <c r="BL145" s="211">
        <v>141</v>
      </c>
      <c r="BM145" s="9" t="s">
        <v>240</v>
      </c>
      <c r="BN145" s="9">
        <v>20</v>
      </c>
      <c r="BO145" s="8" t="s">
        <v>40</v>
      </c>
      <c r="BP145" s="9" t="s">
        <v>355</v>
      </c>
      <c r="BQ145" s="9" t="s">
        <v>420</v>
      </c>
      <c r="BR145" s="343">
        <v>0</v>
      </c>
      <c r="BS145" s="345">
        <v>7.9199999570846558E-2</v>
      </c>
      <c r="BU145" s="211">
        <v>141</v>
      </c>
      <c r="BV145" s="9" t="s">
        <v>243</v>
      </c>
      <c r="BW145" s="9">
        <v>2</v>
      </c>
      <c r="BX145" s="11" t="s">
        <v>45</v>
      </c>
      <c r="BY145" s="9" t="s">
        <v>354</v>
      </c>
      <c r="BZ145" s="9" t="s">
        <v>526</v>
      </c>
      <c r="CA145" s="343">
        <v>0</v>
      </c>
      <c r="CB145" s="345">
        <v>13200000</v>
      </c>
      <c r="CD145" s="211">
        <v>141</v>
      </c>
      <c r="CE145" s="9" t="s">
        <v>140</v>
      </c>
      <c r="CF145" s="9">
        <v>1</v>
      </c>
      <c r="CG145" s="11" t="s">
        <v>45</v>
      </c>
      <c r="CH145" s="9" t="s">
        <v>354</v>
      </c>
      <c r="CI145" s="9" t="s">
        <v>1545</v>
      </c>
      <c r="CJ145" s="343">
        <v>0</v>
      </c>
      <c r="CK145" s="345">
        <v>13200000</v>
      </c>
      <c r="CM145" s="1855" t="s">
        <v>68</v>
      </c>
      <c r="CN145" s="1855"/>
      <c r="CO145" s="1855"/>
      <c r="CP145" s="1855"/>
      <c r="CQ145" s="1855"/>
      <c r="CR145" s="1855"/>
      <c r="CS145" s="546">
        <f>SUM(CS140:CS144)</f>
        <v>0</v>
      </c>
      <c r="CT145" s="547">
        <f>SUM(CT140:CT144)</f>
        <v>101750000</v>
      </c>
    </row>
    <row r="146" spans="1:98" s="114" customFormat="1" ht="12" customHeight="1">
      <c r="A146" s="165"/>
      <c r="B146" s="790"/>
      <c r="C146" s="790"/>
      <c r="D146" s="790"/>
      <c r="E146" s="790"/>
      <c r="F146" s="790"/>
      <c r="G146" s="790"/>
      <c r="H146" s="790"/>
      <c r="J146" s="806">
        <v>9</v>
      </c>
      <c r="K146" s="9" t="s">
        <v>238</v>
      </c>
      <c r="L146" s="9">
        <v>24</v>
      </c>
      <c r="M146" s="8" t="s">
        <v>98</v>
      </c>
      <c r="N146" s="10" t="s">
        <v>62</v>
      </c>
      <c r="O146" s="9" t="s">
        <v>1608</v>
      </c>
      <c r="P146" s="364">
        <v>0</v>
      </c>
      <c r="Q146" s="347">
        <v>-1.9999995827674866E-2</v>
      </c>
      <c r="AB146" s="911">
        <v>1</v>
      </c>
      <c r="AC146" s="42" t="s">
        <v>238</v>
      </c>
      <c r="AD146" s="42">
        <v>30</v>
      </c>
      <c r="AE146" s="123" t="s">
        <v>20</v>
      </c>
      <c r="AF146" s="113" t="s">
        <v>346</v>
      </c>
      <c r="AG146" s="113" t="s">
        <v>1717</v>
      </c>
      <c r="AH146" s="805">
        <v>0</v>
      </c>
      <c r="AI146" s="811">
        <v>0.6151999905705452</v>
      </c>
      <c r="AK146" s="9">
        <v>10</v>
      </c>
      <c r="AL146" s="9" t="s">
        <v>140</v>
      </c>
      <c r="AM146" s="9">
        <v>1</v>
      </c>
      <c r="AN146" s="8" t="s">
        <v>49</v>
      </c>
      <c r="AO146" s="9" t="s">
        <v>355</v>
      </c>
      <c r="AP146" s="10" t="s">
        <v>1577</v>
      </c>
      <c r="AQ146" s="346">
        <v>0</v>
      </c>
      <c r="AR146" s="347">
        <v>-0.19999999925494194</v>
      </c>
      <c r="AT146" s="42">
        <v>1</v>
      </c>
      <c r="AU146" s="42" t="s">
        <v>238</v>
      </c>
      <c r="AV146" s="42">
        <v>30</v>
      </c>
      <c r="AW146" s="123" t="s">
        <v>20</v>
      </c>
      <c r="AX146" s="113" t="s">
        <v>346</v>
      </c>
      <c r="AY146" s="113" t="s">
        <v>1717</v>
      </c>
      <c r="AZ146" s="1008">
        <v>0</v>
      </c>
      <c r="BA146" s="811">
        <v>0.6151999905705452</v>
      </c>
      <c r="BC146" s="9">
        <v>25</v>
      </c>
      <c r="BD146" s="53" t="s">
        <v>241</v>
      </c>
      <c r="BE146" s="9">
        <v>13</v>
      </c>
      <c r="BF146" s="8" t="s">
        <v>40</v>
      </c>
      <c r="BG146" s="10" t="s">
        <v>355</v>
      </c>
      <c r="BH146" s="10" t="s">
        <v>2742</v>
      </c>
      <c r="BI146" s="362">
        <v>0</v>
      </c>
      <c r="BJ146" s="344">
        <v>7.9999998211860657E-2</v>
      </c>
      <c r="BL146" s="211">
        <v>142</v>
      </c>
      <c r="BM146" s="9" t="s">
        <v>58</v>
      </c>
      <c r="BN146" s="9">
        <v>30</v>
      </c>
      <c r="BO146" s="8" t="s">
        <v>40</v>
      </c>
      <c r="BP146" s="9" t="s">
        <v>355</v>
      </c>
      <c r="BQ146" s="9" t="s">
        <v>447</v>
      </c>
      <c r="BR146" s="210">
        <v>0</v>
      </c>
      <c r="BS146" s="341">
        <v>0.84160000085830688</v>
      </c>
      <c r="BU146" s="211">
        <v>142</v>
      </c>
      <c r="BV146" s="9" t="s">
        <v>244</v>
      </c>
      <c r="BW146" s="9">
        <v>7</v>
      </c>
      <c r="BX146" s="11" t="s">
        <v>45</v>
      </c>
      <c r="BY146" s="9" t="s">
        <v>354</v>
      </c>
      <c r="BZ146" s="9" t="s">
        <v>584</v>
      </c>
      <c r="CA146" s="343">
        <v>0</v>
      </c>
      <c r="CB146" s="189">
        <v>13200000</v>
      </c>
      <c r="CD146" s="211">
        <v>142</v>
      </c>
      <c r="CE146" s="211" t="s">
        <v>241</v>
      </c>
      <c r="CF146" s="211">
        <v>1</v>
      </c>
      <c r="CG146" s="8" t="s">
        <v>208</v>
      </c>
      <c r="CH146" s="9" t="s">
        <v>118</v>
      </c>
      <c r="CI146" s="10" t="s">
        <v>258</v>
      </c>
      <c r="CJ146" s="210">
        <v>0</v>
      </c>
      <c r="CK146" s="115">
        <v>1400000</v>
      </c>
      <c r="CM146" s="211">
        <v>1</v>
      </c>
      <c r="CN146" s="9" t="s">
        <v>140</v>
      </c>
      <c r="CO146" s="9">
        <v>15</v>
      </c>
      <c r="CP146" s="8" t="s">
        <v>1623</v>
      </c>
      <c r="CQ146" s="10" t="s">
        <v>144</v>
      </c>
      <c r="CR146" s="9" t="s">
        <v>1624</v>
      </c>
      <c r="CS146" s="346">
        <v>0</v>
      </c>
      <c r="CT146" s="347">
        <v>66000000</v>
      </c>
    </row>
    <row r="147" spans="1:98" s="114" customFormat="1" ht="12" customHeight="1" thickBot="1">
      <c r="A147" s="165"/>
      <c r="B147" s="163"/>
      <c r="C147" s="163"/>
      <c r="D147" s="156"/>
      <c r="E147" s="163"/>
      <c r="F147" s="163"/>
      <c r="G147" s="365"/>
      <c r="H147" s="366"/>
      <c r="J147" s="807">
        <v>10</v>
      </c>
      <c r="K147" s="482" t="s">
        <v>140</v>
      </c>
      <c r="L147" s="482">
        <v>21</v>
      </c>
      <c r="M147" s="483" t="s">
        <v>98</v>
      </c>
      <c r="N147" s="484" t="s">
        <v>62</v>
      </c>
      <c r="O147" s="482" t="s">
        <v>1640</v>
      </c>
      <c r="P147" s="814">
        <v>0</v>
      </c>
      <c r="Q147" s="816">
        <v>0.37999999523162842</v>
      </c>
      <c r="AB147" s="912">
        <v>2</v>
      </c>
      <c r="AC147" s="9" t="s">
        <v>140</v>
      </c>
      <c r="AD147" s="9">
        <v>30</v>
      </c>
      <c r="AE147" s="8" t="s">
        <v>20</v>
      </c>
      <c r="AF147" s="10" t="s">
        <v>346</v>
      </c>
      <c r="AG147" s="10" t="s">
        <v>1716</v>
      </c>
      <c r="AH147" s="364">
        <v>0</v>
      </c>
      <c r="AI147" s="347">
        <v>0.92639999836683273</v>
      </c>
      <c r="AK147" s="9">
        <v>11</v>
      </c>
      <c r="AL147" s="9" t="s">
        <v>195</v>
      </c>
      <c r="AM147" s="9">
        <v>1</v>
      </c>
      <c r="AN147" s="8" t="s">
        <v>49</v>
      </c>
      <c r="AO147" s="10" t="s">
        <v>355</v>
      </c>
      <c r="AP147" s="10" t="s">
        <v>1978</v>
      </c>
      <c r="AQ147" s="343">
        <v>0</v>
      </c>
      <c r="AR147" s="345">
        <v>-0.39999999850988388</v>
      </c>
      <c r="AT147" s="9">
        <v>2</v>
      </c>
      <c r="AU147" s="9" t="s">
        <v>140</v>
      </c>
      <c r="AV147" s="9">
        <v>30</v>
      </c>
      <c r="AW147" s="8" t="s">
        <v>20</v>
      </c>
      <c r="AX147" s="10" t="s">
        <v>346</v>
      </c>
      <c r="AY147" s="10" t="s">
        <v>1716</v>
      </c>
      <c r="AZ147" s="346">
        <v>0</v>
      </c>
      <c r="BA147" s="347">
        <v>0.92639999836683273</v>
      </c>
      <c r="BC147" s="9">
        <v>26</v>
      </c>
      <c r="BD147" s="53" t="s">
        <v>241</v>
      </c>
      <c r="BE147" s="9">
        <v>13</v>
      </c>
      <c r="BF147" s="8" t="s">
        <v>40</v>
      </c>
      <c r="BG147" s="10" t="s">
        <v>355</v>
      </c>
      <c r="BH147" s="10" t="s">
        <v>2744</v>
      </c>
      <c r="BI147" s="362">
        <v>0</v>
      </c>
      <c r="BJ147" s="344">
        <v>0.35999999940395355</v>
      </c>
      <c r="BL147" s="211">
        <v>143</v>
      </c>
      <c r="BM147" s="9" t="s">
        <v>241</v>
      </c>
      <c r="BN147" s="9">
        <v>16</v>
      </c>
      <c r="BO147" s="8" t="s">
        <v>40</v>
      </c>
      <c r="BP147" s="9" t="s">
        <v>354</v>
      </c>
      <c r="BQ147" s="9" t="s">
        <v>482</v>
      </c>
      <c r="BR147" s="210">
        <v>0</v>
      </c>
      <c r="BS147" s="341">
        <v>0.36600000038743019</v>
      </c>
      <c r="BU147" s="211">
        <v>143</v>
      </c>
      <c r="BV147" s="211" t="s">
        <v>241</v>
      </c>
      <c r="BW147" s="211">
        <v>1</v>
      </c>
      <c r="BX147" s="8" t="s">
        <v>208</v>
      </c>
      <c r="BY147" s="9" t="s">
        <v>118</v>
      </c>
      <c r="BZ147" s="10" t="s">
        <v>258</v>
      </c>
      <c r="CA147" s="210">
        <v>0</v>
      </c>
      <c r="CB147" s="115">
        <v>1400000</v>
      </c>
      <c r="CD147" s="211">
        <v>143</v>
      </c>
      <c r="CE147" s="9" t="s">
        <v>140</v>
      </c>
      <c r="CF147" s="9">
        <v>1</v>
      </c>
      <c r="CG147" s="8" t="s">
        <v>133</v>
      </c>
      <c r="CH147" s="9" t="s">
        <v>364</v>
      </c>
      <c r="CI147" s="9" t="s">
        <v>1547</v>
      </c>
      <c r="CJ147" s="210">
        <v>0</v>
      </c>
      <c r="CK147" s="115">
        <v>33000000</v>
      </c>
      <c r="CM147" s="1855" t="s">
        <v>68</v>
      </c>
      <c r="CN147" s="1855"/>
      <c r="CO147" s="1855"/>
      <c r="CP147" s="1855"/>
      <c r="CQ147" s="1855"/>
      <c r="CR147" s="1855"/>
      <c r="CS147" s="546">
        <f>SUM(CS146)</f>
        <v>0</v>
      </c>
      <c r="CT147" s="547">
        <f>SUM(CT146)</f>
        <v>66000000</v>
      </c>
    </row>
    <row r="148" spans="1:98" s="114" customFormat="1" ht="12" customHeight="1" thickBot="1">
      <c r="A148" s="165"/>
      <c r="B148" s="790"/>
      <c r="C148" s="790"/>
      <c r="D148" s="790"/>
      <c r="E148" s="790"/>
      <c r="F148" s="790"/>
      <c r="G148" s="790"/>
      <c r="H148" s="790"/>
      <c r="J148" s="165"/>
      <c r="K148" s="206"/>
      <c r="L148" s="206"/>
      <c r="M148" s="206"/>
      <c r="N148" s="206"/>
      <c r="O148" s="206"/>
      <c r="P148" s="288">
        <f>SUM(P138:P147)</f>
        <v>0</v>
      </c>
      <c r="Q148" s="289">
        <f>SUM(Q138:Q147)</f>
        <v>-220196.06904000789</v>
      </c>
      <c r="AB148" s="912">
        <v>3</v>
      </c>
      <c r="AC148" s="9" t="s">
        <v>194</v>
      </c>
      <c r="AD148" s="9">
        <v>30</v>
      </c>
      <c r="AE148" s="8" t="s">
        <v>20</v>
      </c>
      <c r="AF148" s="10" t="s">
        <v>346</v>
      </c>
      <c r="AG148" s="10" t="s">
        <v>2024</v>
      </c>
      <c r="AH148" s="343">
        <v>0</v>
      </c>
      <c r="AI148" s="345">
        <v>1.6393600031733513</v>
      </c>
      <c r="AK148" s="9">
        <v>12</v>
      </c>
      <c r="AL148" s="9" t="s">
        <v>239</v>
      </c>
      <c r="AM148" s="9">
        <v>1</v>
      </c>
      <c r="AN148" s="8" t="s">
        <v>49</v>
      </c>
      <c r="AO148" s="10" t="s">
        <v>355</v>
      </c>
      <c r="AP148" s="10" t="s">
        <v>2145</v>
      </c>
      <c r="AQ148" s="343">
        <v>0</v>
      </c>
      <c r="AR148" s="345">
        <v>0.39999999850988388</v>
      </c>
      <c r="AT148" s="9">
        <v>3</v>
      </c>
      <c r="AU148" s="9" t="s">
        <v>194</v>
      </c>
      <c r="AV148" s="9">
        <v>30</v>
      </c>
      <c r="AW148" s="8" t="s">
        <v>20</v>
      </c>
      <c r="AX148" s="10" t="s">
        <v>346</v>
      </c>
      <c r="AY148" s="10" t="s">
        <v>2024</v>
      </c>
      <c r="AZ148" s="343">
        <v>0</v>
      </c>
      <c r="BA148" s="345">
        <v>1.6393600031733513</v>
      </c>
      <c r="BC148" s="9">
        <v>27</v>
      </c>
      <c r="BD148" s="53" t="s">
        <v>241</v>
      </c>
      <c r="BE148" s="9">
        <v>13</v>
      </c>
      <c r="BF148" s="8" t="s">
        <v>40</v>
      </c>
      <c r="BG148" s="10" t="s">
        <v>355</v>
      </c>
      <c r="BH148" s="10" t="s">
        <v>2746</v>
      </c>
      <c r="BI148" s="362">
        <v>0</v>
      </c>
      <c r="BJ148" s="344">
        <v>0.35999999940395355</v>
      </c>
      <c r="BL148" s="211">
        <v>144</v>
      </c>
      <c r="BM148" s="9" t="s">
        <v>242</v>
      </c>
      <c r="BN148" s="9">
        <v>15</v>
      </c>
      <c r="BO148" s="8" t="s">
        <v>40</v>
      </c>
      <c r="BP148" s="9" t="s">
        <v>354</v>
      </c>
      <c r="BQ148" s="9" t="s">
        <v>495</v>
      </c>
      <c r="BR148" s="210">
        <v>0</v>
      </c>
      <c r="BS148" s="341">
        <v>0.02</v>
      </c>
      <c r="BU148" s="211">
        <v>144</v>
      </c>
      <c r="BV148" s="9" t="s">
        <v>244</v>
      </c>
      <c r="BW148" s="9">
        <v>7</v>
      </c>
      <c r="BX148" s="8" t="s">
        <v>133</v>
      </c>
      <c r="BY148" s="9" t="s">
        <v>364</v>
      </c>
      <c r="BZ148" s="9" t="s">
        <v>585</v>
      </c>
      <c r="CA148" s="210">
        <v>0</v>
      </c>
      <c r="CB148" s="115">
        <v>33000000</v>
      </c>
      <c r="CD148" s="211">
        <v>144</v>
      </c>
      <c r="CE148" s="211" t="s">
        <v>243</v>
      </c>
      <c r="CF148" s="211">
        <v>28</v>
      </c>
      <c r="CG148" s="8" t="s">
        <v>209</v>
      </c>
      <c r="CH148" s="9" t="s">
        <v>63</v>
      </c>
      <c r="CI148" s="10" t="s">
        <v>259</v>
      </c>
      <c r="CJ148" s="210">
        <v>0</v>
      </c>
      <c r="CK148" s="115">
        <v>35000000</v>
      </c>
      <c r="CM148" s="211">
        <v>1</v>
      </c>
      <c r="CN148" s="9" t="s">
        <v>238</v>
      </c>
      <c r="CO148" s="9">
        <v>4</v>
      </c>
      <c r="CP148" s="8" t="s">
        <v>445</v>
      </c>
      <c r="CQ148" s="10" t="s">
        <v>357</v>
      </c>
      <c r="CR148" s="9" t="s">
        <v>647</v>
      </c>
      <c r="CS148" s="346">
        <v>0</v>
      </c>
      <c r="CT148" s="347">
        <v>11000000</v>
      </c>
    </row>
    <row r="149" spans="1:98" s="40" customFormat="1" ht="12" customHeight="1" thickBot="1">
      <c r="A149" s="165"/>
      <c r="B149" s="104"/>
      <c r="C149" s="104"/>
      <c r="D149" s="104"/>
      <c r="E149" s="104"/>
      <c r="F149" s="104"/>
      <c r="G149" s="104"/>
      <c r="H149" s="104"/>
      <c r="J149" s="165"/>
      <c r="K149" s="163"/>
      <c r="L149" s="163"/>
      <c r="M149" s="156"/>
      <c r="N149" s="163"/>
      <c r="O149" s="163"/>
      <c r="P149" s="288">
        <f>SUM(P134,P148)</f>
        <v>12049</v>
      </c>
      <c r="Q149" s="289">
        <f>Q134+Q148</f>
        <v>6328462189.4797592</v>
      </c>
      <c r="AB149" s="912">
        <v>4</v>
      </c>
      <c r="AC149" s="9" t="s">
        <v>195</v>
      </c>
      <c r="AD149" s="9">
        <v>28</v>
      </c>
      <c r="AE149" s="8" t="s">
        <v>20</v>
      </c>
      <c r="AF149" s="10" t="s">
        <v>346</v>
      </c>
      <c r="AG149" s="10" t="s">
        <v>2175</v>
      </c>
      <c r="AH149" s="343">
        <v>0</v>
      </c>
      <c r="AI149" s="345">
        <v>1.1206399947404861</v>
      </c>
      <c r="AK149" s="9">
        <v>13</v>
      </c>
      <c r="AL149" s="9" t="s">
        <v>240</v>
      </c>
      <c r="AM149" s="9">
        <v>3</v>
      </c>
      <c r="AN149" s="8" t="s">
        <v>49</v>
      </c>
      <c r="AO149" s="10" t="s">
        <v>355</v>
      </c>
      <c r="AP149" s="10" t="s">
        <v>2244</v>
      </c>
      <c r="AQ149" s="342">
        <v>0</v>
      </c>
      <c r="AR149" s="344">
        <v>-0.39999999850988388</v>
      </c>
      <c r="AT149" s="9">
        <v>4</v>
      </c>
      <c r="AU149" s="9" t="s">
        <v>195</v>
      </c>
      <c r="AV149" s="9">
        <v>28</v>
      </c>
      <c r="AW149" s="8" t="s">
        <v>20</v>
      </c>
      <c r="AX149" s="10" t="s">
        <v>346</v>
      </c>
      <c r="AY149" s="10" t="s">
        <v>2175</v>
      </c>
      <c r="AZ149" s="343">
        <v>0</v>
      </c>
      <c r="BA149" s="345">
        <v>1.1206399947404861</v>
      </c>
      <c r="BC149" s="9">
        <v>28</v>
      </c>
      <c r="BD149" s="53" t="s">
        <v>242</v>
      </c>
      <c r="BE149" s="9">
        <v>3</v>
      </c>
      <c r="BF149" s="8" t="s">
        <v>128</v>
      </c>
      <c r="BG149" s="10" t="s">
        <v>376</v>
      </c>
      <c r="BH149" s="10" t="s">
        <v>2788</v>
      </c>
      <c r="BI149" s="362">
        <v>0</v>
      </c>
      <c r="BJ149" s="344">
        <v>10000</v>
      </c>
      <c r="BL149" s="211">
        <v>145</v>
      </c>
      <c r="BM149" s="9" t="s">
        <v>242</v>
      </c>
      <c r="BN149" s="9">
        <v>29</v>
      </c>
      <c r="BO149" s="8" t="s">
        <v>40</v>
      </c>
      <c r="BP149" s="9" t="s">
        <v>354</v>
      </c>
      <c r="BQ149" s="9" t="s">
        <v>512</v>
      </c>
      <c r="BR149" s="343">
        <v>0</v>
      </c>
      <c r="BS149" s="345">
        <v>0.92440000176429749</v>
      </c>
      <c r="BU149" s="211">
        <v>145</v>
      </c>
      <c r="BV149" s="211" t="s">
        <v>243</v>
      </c>
      <c r="BW149" s="211">
        <v>28</v>
      </c>
      <c r="BX149" s="8" t="s">
        <v>209</v>
      </c>
      <c r="BY149" s="9" t="s">
        <v>63</v>
      </c>
      <c r="BZ149" s="10" t="s">
        <v>259</v>
      </c>
      <c r="CA149" s="210">
        <v>0</v>
      </c>
      <c r="CB149" s="115">
        <v>35000000</v>
      </c>
      <c r="CD149" s="211">
        <v>145</v>
      </c>
      <c r="CE149" s="211" t="s">
        <v>238</v>
      </c>
      <c r="CF149" s="211">
        <v>20</v>
      </c>
      <c r="CG149" s="8" t="s">
        <v>209</v>
      </c>
      <c r="CH149" s="9" t="s">
        <v>63</v>
      </c>
      <c r="CI149" s="10" t="s">
        <v>260</v>
      </c>
      <c r="CJ149" s="210">
        <v>0</v>
      </c>
      <c r="CK149" s="115">
        <v>40500000</v>
      </c>
      <c r="CM149" s="211">
        <v>2</v>
      </c>
      <c r="CN149" s="9" t="s">
        <v>140</v>
      </c>
      <c r="CO149" s="9">
        <v>1</v>
      </c>
      <c r="CP149" s="8" t="s">
        <v>445</v>
      </c>
      <c r="CQ149" s="10" t="s">
        <v>357</v>
      </c>
      <c r="CR149" s="9" t="s">
        <v>1558</v>
      </c>
      <c r="CS149" s="346">
        <v>0</v>
      </c>
      <c r="CT149" s="347">
        <v>11000000</v>
      </c>
    </row>
    <row r="150" spans="1:98" s="40" customFormat="1" ht="12" customHeight="1">
      <c r="A150" s="165"/>
      <c r="B150" s="104"/>
      <c r="C150" s="104"/>
      <c r="D150" s="104"/>
      <c r="E150" s="104"/>
      <c r="F150" s="104"/>
      <c r="G150" s="104"/>
      <c r="H150" s="104"/>
      <c r="AB150" s="912">
        <v>5</v>
      </c>
      <c r="AC150" s="9" t="s">
        <v>194</v>
      </c>
      <c r="AD150" s="9">
        <v>18</v>
      </c>
      <c r="AE150" s="8" t="s">
        <v>22</v>
      </c>
      <c r="AF150" s="10" t="s">
        <v>354</v>
      </c>
      <c r="AG150" s="10" t="s">
        <v>1776</v>
      </c>
      <c r="AH150" s="364">
        <v>0</v>
      </c>
      <c r="AI150" s="347">
        <v>0.19999999925494194</v>
      </c>
      <c r="AK150" s="9">
        <v>14</v>
      </c>
      <c r="AL150" s="9" t="s">
        <v>240</v>
      </c>
      <c r="AM150" s="9">
        <v>4</v>
      </c>
      <c r="AN150" s="8" t="s">
        <v>95</v>
      </c>
      <c r="AO150" s="10" t="s">
        <v>357</v>
      </c>
      <c r="AP150" s="10" t="s">
        <v>2304</v>
      </c>
      <c r="AQ150" s="342">
        <v>0</v>
      </c>
      <c r="AR150" s="344">
        <v>-0.19999999925494194</v>
      </c>
      <c r="AT150" s="9">
        <v>5</v>
      </c>
      <c r="AU150" s="9" t="s">
        <v>239</v>
      </c>
      <c r="AV150" s="9">
        <v>30</v>
      </c>
      <c r="AW150" s="8" t="s">
        <v>20</v>
      </c>
      <c r="AX150" s="10" t="s">
        <v>354</v>
      </c>
      <c r="AY150" s="10" t="s">
        <v>2232</v>
      </c>
      <c r="AZ150" s="343">
        <v>0</v>
      </c>
      <c r="BA150" s="345">
        <v>1.8068800047039986</v>
      </c>
      <c r="BC150" s="9">
        <v>29</v>
      </c>
      <c r="BD150" s="9" t="s">
        <v>140</v>
      </c>
      <c r="BE150" s="9">
        <v>1</v>
      </c>
      <c r="BF150" s="8" t="s">
        <v>133</v>
      </c>
      <c r="BG150" s="9" t="s">
        <v>364</v>
      </c>
      <c r="BH150" s="9" t="s">
        <v>1547</v>
      </c>
      <c r="BI150" s="346">
        <v>0</v>
      </c>
      <c r="BJ150" s="347">
        <v>0.39000000059604645</v>
      </c>
      <c r="BL150" s="211">
        <v>146</v>
      </c>
      <c r="BM150" s="9" t="s">
        <v>243</v>
      </c>
      <c r="BN150" s="9">
        <v>12</v>
      </c>
      <c r="BO150" s="8" t="s">
        <v>40</v>
      </c>
      <c r="BP150" s="9" t="s">
        <v>144</v>
      </c>
      <c r="BQ150" s="9" t="s">
        <v>543</v>
      </c>
      <c r="BR150" s="210">
        <v>0</v>
      </c>
      <c r="BS150" s="345">
        <v>15070000</v>
      </c>
      <c r="BU150" s="211">
        <v>146</v>
      </c>
      <c r="BV150" s="211" t="s">
        <v>238</v>
      </c>
      <c r="BW150" s="211">
        <v>20</v>
      </c>
      <c r="BX150" s="8" t="s">
        <v>209</v>
      </c>
      <c r="BY150" s="9" t="s">
        <v>63</v>
      </c>
      <c r="BZ150" s="10" t="s">
        <v>260</v>
      </c>
      <c r="CA150" s="210">
        <v>0</v>
      </c>
      <c r="CB150" s="115">
        <v>40500000</v>
      </c>
      <c r="CD150" s="211">
        <v>146</v>
      </c>
      <c r="CE150" s="211" t="s">
        <v>194</v>
      </c>
      <c r="CF150" s="211">
        <v>7</v>
      </c>
      <c r="CG150" s="8" t="s">
        <v>210</v>
      </c>
      <c r="CH150" s="9" t="s">
        <v>262</v>
      </c>
      <c r="CI150" s="9" t="s">
        <v>261</v>
      </c>
      <c r="CJ150" s="210">
        <v>0</v>
      </c>
      <c r="CK150" s="115">
        <v>8800000</v>
      </c>
      <c r="CM150" s="1855" t="s">
        <v>68</v>
      </c>
      <c r="CN150" s="1855"/>
      <c r="CO150" s="1855"/>
      <c r="CP150" s="1855"/>
      <c r="CQ150" s="1855"/>
      <c r="CR150" s="1855"/>
      <c r="CS150" s="546">
        <f>SUM(CS148:CS149)</f>
        <v>0</v>
      </c>
      <c r="CT150" s="547">
        <f>SUM(CT148:CT149)</f>
        <v>22000000</v>
      </c>
    </row>
    <row r="151" spans="1:98" s="40" customFormat="1" ht="12" customHeight="1">
      <c r="A151" s="165"/>
      <c r="B151" s="163"/>
      <c r="C151" s="163"/>
      <c r="D151" s="156"/>
      <c r="E151" s="375"/>
      <c r="F151" s="375"/>
      <c r="G151" s="365"/>
      <c r="H151" s="366"/>
      <c r="AB151" s="912">
        <v>6</v>
      </c>
      <c r="AC151" s="9" t="s">
        <v>195</v>
      </c>
      <c r="AD151" s="9">
        <v>16</v>
      </c>
      <c r="AE151" s="8" t="s">
        <v>2070</v>
      </c>
      <c r="AF151" s="10" t="s">
        <v>118</v>
      </c>
      <c r="AG151" s="10" t="s">
        <v>2072</v>
      </c>
      <c r="AH151" s="342">
        <v>0</v>
      </c>
      <c r="AI151" s="361">
        <v>0.5</v>
      </c>
      <c r="AK151" s="9">
        <v>15</v>
      </c>
      <c r="AL151" s="9" t="s">
        <v>240</v>
      </c>
      <c r="AM151" s="9">
        <v>6</v>
      </c>
      <c r="AN151" s="8" t="s">
        <v>96</v>
      </c>
      <c r="AO151" s="10" t="s">
        <v>357</v>
      </c>
      <c r="AP151" s="10" t="s">
        <v>2162</v>
      </c>
      <c r="AQ151" s="342">
        <v>0</v>
      </c>
      <c r="AR151" s="344">
        <v>0.30760000087320805</v>
      </c>
      <c r="AT151" s="9">
        <v>6</v>
      </c>
      <c r="AU151" s="300" t="s">
        <v>240</v>
      </c>
      <c r="AV151" s="9">
        <v>28</v>
      </c>
      <c r="AW151" s="8" t="s">
        <v>20</v>
      </c>
      <c r="AX151" s="10" t="s">
        <v>346</v>
      </c>
      <c r="AY151" s="10" t="s">
        <v>2411</v>
      </c>
      <c r="AZ151" s="343">
        <v>0</v>
      </c>
      <c r="BA151" s="345">
        <v>1.6833600103855133</v>
      </c>
      <c r="BC151" s="9">
        <v>30</v>
      </c>
      <c r="BD151" s="9" t="s">
        <v>140</v>
      </c>
      <c r="BE151" s="9">
        <v>1</v>
      </c>
      <c r="BF151" s="8" t="s">
        <v>430</v>
      </c>
      <c r="BG151" s="10" t="s">
        <v>354</v>
      </c>
      <c r="BH151" s="10" t="s">
        <v>1550</v>
      </c>
      <c r="BI151" s="343">
        <v>0</v>
      </c>
      <c r="BJ151" s="345">
        <v>-7738700</v>
      </c>
      <c r="BL151" s="211">
        <v>147</v>
      </c>
      <c r="BM151" s="9" t="s">
        <v>243</v>
      </c>
      <c r="BN151" s="9">
        <v>12</v>
      </c>
      <c r="BO151" s="8" t="s">
        <v>40</v>
      </c>
      <c r="BP151" s="9" t="s">
        <v>118</v>
      </c>
      <c r="BQ151" s="9" t="s">
        <v>544</v>
      </c>
      <c r="BR151" s="343">
        <v>0</v>
      </c>
      <c r="BS151" s="345">
        <v>4954822</v>
      </c>
      <c r="BU151" s="211">
        <v>147</v>
      </c>
      <c r="BV151" s="211" t="s">
        <v>194</v>
      </c>
      <c r="BW151" s="211">
        <v>7</v>
      </c>
      <c r="BX151" s="8" t="s">
        <v>210</v>
      </c>
      <c r="BY151" s="9" t="s">
        <v>262</v>
      </c>
      <c r="BZ151" s="9" t="s">
        <v>261</v>
      </c>
      <c r="CA151" s="210">
        <v>0</v>
      </c>
      <c r="CB151" s="115">
        <v>8800000</v>
      </c>
      <c r="CD151" s="211">
        <v>147</v>
      </c>
      <c r="CE151" s="9" t="s">
        <v>240</v>
      </c>
      <c r="CF151" s="9">
        <v>1</v>
      </c>
      <c r="CG151" s="8" t="s">
        <v>427</v>
      </c>
      <c r="CH151" s="10" t="s">
        <v>144</v>
      </c>
      <c r="CI151" s="10" t="s">
        <v>428</v>
      </c>
      <c r="CJ151" s="210">
        <v>0</v>
      </c>
      <c r="CK151" s="115">
        <v>5009.3609500005841</v>
      </c>
      <c r="CM151" s="211">
        <v>1</v>
      </c>
      <c r="CN151" s="211" t="s">
        <v>242</v>
      </c>
      <c r="CO151" s="211">
        <v>29</v>
      </c>
      <c r="CP151" s="8" t="s">
        <v>215</v>
      </c>
      <c r="CQ151" s="10" t="s">
        <v>118</v>
      </c>
      <c r="CR151" s="9" t="s">
        <v>273</v>
      </c>
      <c r="CS151" s="210">
        <v>99</v>
      </c>
      <c r="CT151" s="115">
        <v>0</v>
      </c>
    </row>
    <row r="152" spans="1:98" s="40" customFormat="1" ht="12" customHeight="1">
      <c r="A152" s="165"/>
      <c r="B152" s="163"/>
      <c r="C152" s="163"/>
      <c r="D152" s="156"/>
      <c r="E152" s="375"/>
      <c r="F152" s="791"/>
      <c r="G152" s="583"/>
      <c r="H152" s="788"/>
      <c r="AB152" s="912">
        <v>7</v>
      </c>
      <c r="AC152" s="9" t="s">
        <v>140</v>
      </c>
      <c r="AD152" s="9">
        <v>15</v>
      </c>
      <c r="AE152" s="8" t="s">
        <v>1625</v>
      </c>
      <c r="AF152" s="9" t="s">
        <v>144</v>
      </c>
      <c r="AG152" s="9" t="s">
        <v>1626</v>
      </c>
      <c r="AH152" s="364">
        <v>0</v>
      </c>
      <c r="AI152" s="347">
        <v>-200</v>
      </c>
      <c r="AK152" s="9">
        <v>16</v>
      </c>
      <c r="AL152" s="9" t="s">
        <v>238</v>
      </c>
      <c r="AM152" s="9">
        <v>15</v>
      </c>
      <c r="AN152" s="8" t="s">
        <v>40</v>
      </c>
      <c r="AO152" s="9" t="s">
        <v>118</v>
      </c>
      <c r="AP152" s="9" t="s">
        <v>1390</v>
      </c>
      <c r="AQ152" s="346">
        <v>0</v>
      </c>
      <c r="AR152" s="347">
        <v>-220000</v>
      </c>
      <c r="AT152" s="9">
        <v>7</v>
      </c>
      <c r="AU152" s="9" t="s">
        <v>194</v>
      </c>
      <c r="AV152" s="9">
        <v>18</v>
      </c>
      <c r="AW152" s="8" t="s">
        <v>22</v>
      </c>
      <c r="AX152" s="10" t="s">
        <v>354</v>
      </c>
      <c r="AY152" s="10" t="s">
        <v>1776</v>
      </c>
      <c r="AZ152" s="346">
        <v>0</v>
      </c>
      <c r="BA152" s="347">
        <v>0.19999999925494194</v>
      </c>
      <c r="BC152" s="9">
        <v>31</v>
      </c>
      <c r="BD152" s="53" t="s">
        <v>241</v>
      </c>
      <c r="BE152" s="9">
        <v>2</v>
      </c>
      <c r="BF152" s="8" t="s">
        <v>430</v>
      </c>
      <c r="BG152" s="10" t="s">
        <v>364</v>
      </c>
      <c r="BH152" s="10" t="s">
        <v>2601</v>
      </c>
      <c r="BI152" s="364">
        <v>0</v>
      </c>
      <c r="BJ152" s="347">
        <v>-12333333.33</v>
      </c>
      <c r="BL152" s="211">
        <v>148</v>
      </c>
      <c r="BM152" s="9" t="s">
        <v>243</v>
      </c>
      <c r="BN152" s="9">
        <v>15</v>
      </c>
      <c r="BO152" s="8" t="s">
        <v>40</v>
      </c>
      <c r="BP152" s="9" t="s">
        <v>355</v>
      </c>
      <c r="BQ152" s="9" t="s">
        <v>554</v>
      </c>
      <c r="BR152" s="343">
        <v>0</v>
      </c>
      <c r="BS152" s="345">
        <v>31548612.127999999</v>
      </c>
      <c r="BU152" s="211">
        <v>148</v>
      </c>
      <c r="BV152" s="9" t="s">
        <v>240</v>
      </c>
      <c r="BW152" s="9">
        <v>1</v>
      </c>
      <c r="BX152" s="8" t="s">
        <v>427</v>
      </c>
      <c r="BY152" s="10" t="s">
        <v>144</v>
      </c>
      <c r="BZ152" s="10" t="s">
        <v>428</v>
      </c>
      <c r="CA152" s="210">
        <v>0</v>
      </c>
      <c r="CB152" s="115">
        <v>5009.3609500005841</v>
      </c>
      <c r="CD152" s="211">
        <v>148</v>
      </c>
      <c r="CE152" s="9" t="s">
        <v>241</v>
      </c>
      <c r="CF152" s="9">
        <v>1</v>
      </c>
      <c r="CG152" s="8" t="s">
        <v>427</v>
      </c>
      <c r="CH152" s="10" t="s">
        <v>147</v>
      </c>
      <c r="CI152" s="356" t="s">
        <v>508</v>
      </c>
      <c r="CJ152" s="343">
        <v>0</v>
      </c>
      <c r="CK152" s="345">
        <v>35000</v>
      </c>
      <c r="CM152" s="1855" t="s">
        <v>68</v>
      </c>
      <c r="CN152" s="1855"/>
      <c r="CO152" s="1855"/>
      <c r="CP152" s="1855"/>
      <c r="CQ152" s="1855"/>
      <c r="CR152" s="1855"/>
      <c r="CS152" s="546">
        <f>SUM(CS151)</f>
        <v>99</v>
      </c>
      <c r="CT152" s="547">
        <f>SUM(CT151)</f>
        <v>0</v>
      </c>
    </row>
    <row r="153" spans="1:98" s="40" customFormat="1" ht="12" customHeight="1">
      <c r="A153" s="165"/>
      <c r="B153" s="163"/>
      <c r="C153" s="163"/>
      <c r="D153" s="156"/>
      <c r="E153" s="375"/>
      <c r="F153" s="375"/>
      <c r="G153" s="583"/>
      <c r="H153" s="792"/>
      <c r="AB153" s="912">
        <v>8</v>
      </c>
      <c r="AC153" s="9" t="s">
        <v>140</v>
      </c>
      <c r="AD153" s="9">
        <v>1</v>
      </c>
      <c r="AE153" s="8" t="s">
        <v>49</v>
      </c>
      <c r="AF153" s="9" t="s">
        <v>355</v>
      </c>
      <c r="AG153" s="10" t="s">
        <v>1577</v>
      </c>
      <c r="AH153" s="364">
        <v>0</v>
      </c>
      <c r="AI153" s="347">
        <v>-0.19999999925494194</v>
      </c>
      <c r="AK153" s="9">
        <v>17</v>
      </c>
      <c r="AL153" s="9" t="s">
        <v>240</v>
      </c>
      <c r="AM153" s="9">
        <v>10</v>
      </c>
      <c r="AN153" s="8" t="s">
        <v>40</v>
      </c>
      <c r="AO153" s="10" t="s">
        <v>118</v>
      </c>
      <c r="AP153" s="10" t="s">
        <v>2349</v>
      </c>
      <c r="AQ153" s="343">
        <v>0</v>
      </c>
      <c r="AR153" s="345">
        <v>36</v>
      </c>
      <c r="AT153" s="9">
        <v>8</v>
      </c>
      <c r="AU153" s="9" t="s">
        <v>195</v>
      </c>
      <c r="AV153" s="9">
        <v>16</v>
      </c>
      <c r="AW153" s="8" t="s">
        <v>2070</v>
      </c>
      <c r="AX153" s="10" t="s">
        <v>118</v>
      </c>
      <c r="AY153" s="10" t="s">
        <v>2072</v>
      </c>
      <c r="AZ153" s="342">
        <v>0</v>
      </c>
      <c r="BA153" s="361">
        <v>0.5</v>
      </c>
      <c r="BC153" s="9">
        <v>32</v>
      </c>
      <c r="BD153" s="53" t="s">
        <v>241</v>
      </c>
      <c r="BE153" s="9">
        <v>2</v>
      </c>
      <c r="BF153" s="8" t="s">
        <v>445</v>
      </c>
      <c r="BG153" s="10" t="s">
        <v>357</v>
      </c>
      <c r="BH153" s="10" t="s">
        <v>2609</v>
      </c>
      <c r="BI153" s="364">
        <v>0</v>
      </c>
      <c r="BJ153" s="347">
        <v>-0.33699999935925007</v>
      </c>
      <c r="BL153" s="211">
        <v>149</v>
      </c>
      <c r="BM153" s="9" t="s">
        <v>243</v>
      </c>
      <c r="BN153" s="9">
        <v>15</v>
      </c>
      <c r="BO153" s="8" t="s">
        <v>40</v>
      </c>
      <c r="BP153" s="9" t="s">
        <v>354</v>
      </c>
      <c r="BQ153" s="9" t="s">
        <v>555</v>
      </c>
      <c r="BR153" s="343">
        <v>0</v>
      </c>
      <c r="BS153" s="345">
        <v>30838849.744999997</v>
      </c>
      <c r="BU153" s="211">
        <v>149</v>
      </c>
      <c r="BV153" s="9" t="s">
        <v>241</v>
      </c>
      <c r="BW153" s="9">
        <v>1</v>
      </c>
      <c r="BX153" s="8" t="s">
        <v>427</v>
      </c>
      <c r="BY153" s="10" t="s">
        <v>147</v>
      </c>
      <c r="BZ153" s="356" t="s">
        <v>508</v>
      </c>
      <c r="CA153" s="343">
        <v>0</v>
      </c>
      <c r="CB153" s="345">
        <v>35000</v>
      </c>
      <c r="CD153" s="211">
        <v>149</v>
      </c>
      <c r="CE153" s="9" t="s">
        <v>242</v>
      </c>
      <c r="CF153" s="9">
        <v>1</v>
      </c>
      <c r="CG153" s="8" t="s">
        <v>427</v>
      </c>
      <c r="CH153" s="10" t="s">
        <v>144</v>
      </c>
      <c r="CI153" s="10" t="s">
        <v>553</v>
      </c>
      <c r="CJ153" s="343">
        <v>0</v>
      </c>
      <c r="CK153" s="344">
        <v>365090.90729999915</v>
      </c>
      <c r="CM153" s="211">
        <v>1</v>
      </c>
      <c r="CN153" s="9" t="s">
        <v>140</v>
      </c>
      <c r="CO153" s="9">
        <v>1</v>
      </c>
      <c r="CP153" s="8" t="s">
        <v>412</v>
      </c>
      <c r="CQ153" s="9" t="s">
        <v>354</v>
      </c>
      <c r="CR153" s="9" t="s">
        <v>1559</v>
      </c>
      <c r="CS153" s="346">
        <v>0</v>
      </c>
      <c r="CT153" s="347">
        <v>24200000</v>
      </c>
    </row>
    <row r="154" spans="1:98" s="114" customFormat="1" ht="12" customHeight="1">
      <c r="A154" s="165"/>
      <c r="B154" s="790"/>
      <c r="C154" s="790"/>
      <c r="D154" s="790"/>
      <c r="E154" s="790"/>
      <c r="F154" s="790"/>
      <c r="G154" s="790"/>
      <c r="H154" s="790"/>
      <c r="AB154" s="912">
        <v>9</v>
      </c>
      <c r="AC154" s="9" t="s">
        <v>195</v>
      </c>
      <c r="AD154" s="9">
        <v>1</v>
      </c>
      <c r="AE154" s="8" t="s">
        <v>49</v>
      </c>
      <c r="AF154" s="10" t="s">
        <v>355</v>
      </c>
      <c r="AG154" s="10" t="s">
        <v>1978</v>
      </c>
      <c r="AH154" s="343">
        <v>0</v>
      </c>
      <c r="AI154" s="345">
        <v>-0.39999999850988388</v>
      </c>
      <c r="AK154" s="9">
        <v>18</v>
      </c>
      <c r="AL154" s="9" t="s">
        <v>140</v>
      </c>
      <c r="AM154" s="9">
        <v>1</v>
      </c>
      <c r="AN154" s="8" t="s">
        <v>133</v>
      </c>
      <c r="AO154" s="9" t="s">
        <v>364</v>
      </c>
      <c r="AP154" s="9" t="s">
        <v>1547</v>
      </c>
      <c r="AQ154" s="346">
        <v>0</v>
      </c>
      <c r="AR154" s="347">
        <v>0.39000000059604645</v>
      </c>
      <c r="AT154" s="9">
        <v>9</v>
      </c>
      <c r="AU154" s="9" t="s">
        <v>58</v>
      </c>
      <c r="AV154" s="9">
        <v>8</v>
      </c>
      <c r="AW154" s="8" t="s">
        <v>2070</v>
      </c>
      <c r="AX154" s="10" t="s">
        <v>118</v>
      </c>
      <c r="AY154" s="10" t="s">
        <v>2520</v>
      </c>
      <c r="AZ154" s="343">
        <v>0</v>
      </c>
      <c r="BA154" s="345">
        <v>0.5</v>
      </c>
      <c r="BC154" s="9">
        <v>33</v>
      </c>
      <c r="BD154" s="9" t="s">
        <v>238</v>
      </c>
      <c r="BE154" s="9">
        <v>24</v>
      </c>
      <c r="BF154" s="8" t="s">
        <v>98</v>
      </c>
      <c r="BG154" s="10" t="s">
        <v>62</v>
      </c>
      <c r="BH154" s="9" t="s">
        <v>1608</v>
      </c>
      <c r="BI154" s="346">
        <v>0</v>
      </c>
      <c r="BJ154" s="347">
        <v>-1.9999995827674866E-2</v>
      </c>
      <c r="BL154" s="211">
        <v>150</v>
      </c>
      <c r="BM154" s="9" t="s">
        <v>243</v>
      </c>
      <c r="BN154" s="9">
        <v>15</v>
      </c>
      <c r="BO154" s="8" t="s">
        <v>40</v>
      </c>
      <c r="BP154" s="9" t="s">
        <v>354</v>
      </c>
      <c r="BQ154" s="9" t="s">
        <v>556</v>
      </c>
      <c r="BR154" s="343">
        <v>0</v>
      </c>
      <c r="BS154" s="345">
        <v>30837654.144000001</v>
      </c>
      <c r="BU154" s="211">
        <v>150</v>
      </c>
      <c r="BV154" s="9" t="s">
        <v>242</v>
      </c>
      <c r="BW154" s="9">
        <v>1</v>
      </c>
      <c r="BX154" s="8" t="s">
        <v>427</v>
      </c>
      <c r="BY154" s="10" t="s">
        <v>144</v>
      </c>
      <c r="BZ154" s="10" t="s">
        <v>553</v>
      </c>
      <c r="CA154" s="343">
        <v>0</v>
      </c>
      <c r="CB154" s="344">
        <v>365090.90729999915</v>
      </c>
      <c r="CD154" s="211">
        <v>150</v>
      </c>
      <c r="CE154" s="9" t="s">
        <v>195</v>
      </c>
      <c r="CF154" s="9">
        <v>12</v>
      </c>
      <c r="CG154" s="8" t="s">
        <v>111</v>
      </c>
      <c r="CH154" s="10" t="s">
        <v>147</v>
      </c>
      <c r="CI154" s="10" t="s">
        <v>160</v>
      </c>
      <c r="CJ154" s="210">
        <v>0</v>
      </c>
      <c r="CK154" s="115">
        <v>84480000</v>
      </c>
      <c r="CM154" s="1855" t="s">
        <v>68</v>
      </c>
      <c r="CN154" s="1855"/>
      <c r="CO154" s="1855"/>
      <c r="CP154" s="1855"/>
      <c r="CQ154" s="1855"/>
      <c r="CR154" s="1855"/>
      <c r="CS154" s="546">
        <f>SUM(CS153)</f>
        <v>0</v>
      </c>
      <c r="CT154" s="547">
        <f>SUM(CT153)</f>
        <v>24200000</v>
      </c>
    </row>
    <row r="155" spans="1:98" s="40" customFormat="1" ht="12" customHeight="1">
      <c r="A155" s="165"/>
      <c r="B155" s="104"/>
      <c r="C155" s="104"/>
      <c r="D155" s="104"/>
      <c r="E155" s="104"/>
      <c r="F155" s="104"/>
      <c r="G155" s="104"/>
      <c r="H155" s="104"/>
      <c r="AB155" s="912">
        <v>10</v>
      </c>
      <c r="AC155" s="9" t="s">
        <v>239</v>
      </c>
      <c r="AD155" s="9">
        <v>1</v>
      </c>
      <c r="AE155" s="8" t="s">
        <v>49</v>
      </c>
      <c r="AF155" s="10" t="s">
        <v>355</v>
      </c>
      <c r="AG155" s="10" t="s">
        <v>2145</v>
      </c>
      <c r="AH155" s="343">
        <v>0</v>
      </c>
      <c r="AI155" s="345">
        <v>0.39999999850988388</v>
      </c>
      <c r="AK155" s="9">
        <v>19</v>
      </c>
      <c r="AL155" s="9" t="s">
        <v>238</v>
      </c>
      <c r="AM155" s="9">
        <v>24</v>
      </c>
      <c r="AN155" s="8" t="s">
        <v>98</v>
      </c>
      <c r="AO155" s="10" t="s">
        <v>62</v>
      </c>
      <c r="AP155" s="9" t="s">
        <v>1608</v>
      </c>
      <c r="AQ155" s="346">
        <v>0</v>
      </c>
      <c r="AR155" s="347">
        <v>-1.9999995827674866E-2</v>
      </c>
      <c r="AT155" s="9">
        <v>10</v>
      </c>
      <c r="AU155" s="9" t="s">
        <v>140</v>
      </c>
      <c r="AV155" s="9">
        <v>15</v>
      </c>
      <c r="AW155" s="8" t="s">
        <v>1625</v>
      </c>
      <c r="AX155" s="9" t="s">
        <v>144</v>
      </c>
      <c r="AY155" s="9" t="s">
        <v>1626</v>
      </c>
      <c r="AZ155" s="346">
        <v>0</v>
      </c>
      <c r="BA155" s="347">
        <v>-200</v>
      </c>
      <c r="BC155" s="9">
        <v>34</v>
      </c>
      <c r="BD155" s="9" t="s">
        <v>140</v>
      </c>
      <c r="BE155" s="9">
        <v>21</v>
      </c>
      <c r="BF155" s="8" t="s">
        <v>98</v>
      </c>
      <c r="BG155" s="10" t="s">
        <v>62</v>
      </c>
      <c r="BH155" s="9" t="s">
        <v>1640</v>
      </c>
      <c r="BI155" s="343">
        <v>0</v>
      </c>
      <c r="BJ155" s="345">
        <v>0.37999999523162842</v>
      </c>
      <c r="BL155" s="211">
        <v>151</v>
      </c>
      <c r="BM155" s="9" t="s">
        <v>243</v>
      </c>
      <c r="BN155" s="9">
        <v>15</v>
      </c>
      <c r="BO155" s="8" t="s">
        <v>40</v>
      </c>
      <c r="BP155" s="9" t="s">
        <v>355</v>
      </c>
      <c r="BQ155" s="9" t="s">
        <v>557</v>
      </c>
      <c r="BR155" s="343">
        <v>0</v>
      </c>
      <c r="BS155" s="345">
        <v>31548612.127999999</v>
      </c>
      <c r="BU155" s="211">
        <v>151</v>
      </c>
      <c r="BV155" s="9" t="s">
        <v>195</v>
      </c>
      <c r="BW155" s="9">
        <v>12</v>
      </c>
      <c r="BX155" s="8" t="s">
        <v>111</v>
      </c>
      <c r="BY155" s="10" t="s">
        <v>147</v>
      </c>
      <c r="BZ155" s="10" t="s">
        <v>160</v>
      </c>
      <c r="CA155" s="210">
        <v>0</v>
      </c>
      <c r="CB155" s="115">
        <v>84480000</v>
      </c>
      <c r="CD155" s="211">
        <v>151</v>
      </c>
      <c r="CE155" s="9" t="s">
        <v>140</v>
      </c>
      <c r="CF155" s="9">
        <v>1</v>
      </c>
      <c r="CG155" s="8" t="s">
        <v>430</v>
      </c>
      <c r="CH155" s="10" t="s">
        <v>354</v>
      </c>
      <c r="CI155" s="10" t="s">
        <v>1550</v>
      </c>
      <c r="CJ155" s="343">
        <v>0</v>
      </c>
      <c r="CK155" s="345">
        <v>-7738700</v>
      </c>
      <c r="CM155" s="211">
        <v>1</v>
      </c>
      <c r="CN155" s="211" t="s">
        <v>140</v>
      </c>
      <c r="CO155" s="211">
        <v>1</v>
      </c>
      <c r="CP155" s="8" t="s">
        <v>216</v>
      </c>
      <c r="CQ155" s="9" t="s">
        <v>354</v>
      </c>
      <c r="CR155" s="9" t="s">
        <v>275</v>
      </c>
      <c r="CS155" s="210">
        <v>620</v>
      </c>
      <c r="CT155" s="115">
        <v>0</v>
      </c>
    </row>
    <row r="156" spans="1:98" ht="13.5" thickBot="1">
      <c r="A156" s="165"/>
      <c r="B156" s="163"/>
      <c r="C156" s="163"/>
      <c r="D156" s="156"/>
      <c r="E156" s="375"/>
      <c r="F156" s="375"/>
      <c r="G156" s="793"/>
      <c r="H156" s="792"/>
      <c r="J156" s="165"/>
      <c r="K156" s="163"/>
      <c r="L156" s="163"/>
      <c r="M156" s="156"/>
      <c r="N156" s="375"/>
      <c r="O156" s="375"/>
      <c r="P156" s="793"/>
      <c r="Q156" s="792"/>
      <c r="AB156" s="912">
        <v>11</v>
      </c>
      <c r="AC156" s="9" t="s">
        <v>238</v>
      </c>
      <c r="AD156" s="9">
        <v>15</v>
      </c>
      <c r="AE156" s="8" t="s">
        <v>40</v>
      </c>
      <c r="AF156" s="9" t="s">
        <v>118</v>
      </c>
      <c r="AG156" s="9" t="s">
        <v>1390</v>
      </c>
      <c r="AH156" s="364">
        <v>0</v>
      </c>
      <c r="AI156" s="347">
        <v>-220000</v>
      </c>
      <c r="AK156" s="482">
        <v>20</v>
      </c>
      <c r="AL156" s="482" t="s">
        <v>140</v>
      </c>
      <c r="AM156" s="482">
        <v>21</v>
      </c>
      <c r="AN156" s="483" t="s">
        <v>98</v>
      </c>
      <c r="AO156" s="484" t="s">
        <v>62</v>
      </c>
      <c r="AP156" s="482" t="s">
        <v>1640</v>
      </c>
      <c r="AQ156" s="814">
        <v>0</v>
      </c>
      <c r="AR156" s="816">
        <v>0.37999999523162842</v>
      </c>
      <c r="AT156" s="9">
        <v>11</v>
      </c>
      <c r="AU156" s="9" t="s">
        <v>140</v>
      </c>
      <c r="AV156" s="9">
        <v>1</v>
      </c>
      <c r="AW156" s="8" t="s">
        <v>49</v>
      </c>
      <c r="AX156" s="9" t="s">
        <v>355</v>
      </c>
      <c r="AY156" s="10" t="s">
        <v>1577</v>
      </c>
      <c r="AZ156" s="346">
        <v>0</v>
      </c>
      <c r="BA156" s="347">
        <v>-0.19999999925494194</v>
      </c>
      <c r="BC156" s="9">
        <v>35</v>
      </c>
      <c r="BD156" s="9" t="s">
        <v>240</v>
      </c>
      <c r="BE156" s="9">
        <v>5</v>
      </c>
      <c r="BF156" s="8" t="s">
        <v>98</v>
      </c>
      <c r="BG156" s="9" t="s">
        <v>62</v>
      </c>
      <c r="BH156" s="10" t="s">
        <v>2361</v>
      </c>
      <c r="BI156" s="343">
        <v>0</v>
      </c>
      <c r="BJ156" s="344">
        <v>-0.2800000011920929</v>
      </c>
      <c r="BL156" s="211">
        <v>152</v>
      </c>
      <c r="BM156" s="9" t="s">
        <v>242</v>
      </c>
      <c r="BN156" s="9">
        <v>29</v>
      </c>
      <c r="BO156" s="8" t="s">
        <v>159</v>
      </c>
      <c r="BP156" s="9" t="s">
        <v>364</v>
      </c>
      <c r="BQ156" s="9" t="s">
        <v>513</v>
      </c>
      <c r="BR156" s="210">
        <v>0</v>
      </c>
      <c r="BS156" s="376">
        <v>550000</v>
      </c>
      <c r="BU156" s="211">
        <v>152</v>
      </c>
      <c r="BV156" s="9" t="s">
        <v>58</v>
      </c>
      <c r="BW156" s="9">
        <v>11</v>
      </c>
      <c r="BX156" s="8" t="s">
        <v>430</v>
      </c>
      <c r="BY156" s="10" t="s">
        <v>147</v>
      </c>
      <c r="BZ156" s="10" t="s">
        <v>431</v>
      </c>
      <c r="CA156" s="343">
        <v>0</v>
      </c>
      <c r="CB156" s="345">
        <v>4542000</v>
      </c>
      <c r="CD156" s="211">
        <v>152</v>
      </c>
      <c r="CE156" s="9" t="s">
        <v>244</v>
      </c>
      <c r="CF156" s="9">
        <v>1</v>
      </c>
      <c r="CG156" s="8" t="s">
        <v>1621</v>
      </c>
      <c r="CH156" s="10" t="s">
        <v>147</v>
      </c>
      <c r="CI156" s="10" t="s">
        <v>1651</v>
      </c>
      <c r="CJ156" s="342">
        <v>0</v>
      </c>
      <c r="CK156" s="344">
        <v>19287000</v>
      </c>
      <c r="CM156" s="211">
        <v>2</v>
      </c>
      <c r="CN156" s="211" t="s">
        <v>194</v>
      </c>
      <c r="CO156" s="211">
        <v>10</v>
      </c>
      <c r="CP156" s="8" t="s">
        <v>216</v>
      </c>
      <c r="CQ156" s="9" t="s">
        <v>354</v>
      </c>
      <c r="CR156" s="9" t="s">
        <v>276</v>
      </c>
      <c r="CS156" s="210">
        <v>1650</v>
      </c>
      <c r="CT156" s="115">
        <v>0</v>
      </c>
    </row>
    <row r="157" spans="1:98" ht="12" customHeight="1" thickBot="1">
      <c r="A157" s="165"/>
      <c r="B157" s="163"/>
      <c r="C157" s="163"/>
      <c r="D157" s="156"/>
      <c r="E157" s="375"/>
      <c r="F157" s="375"/>
      <c r="G157" s="793"/>
      <c r="H157" s="792"/>
      <c r="J157" s="165"/>
      <c r="K157" s="163"/>
      <c r="L157" s="163"/>
      <c r="M157" s="156"/>
      <c r="N157" s="375"/>
      <c r="O157" s="375"/>
      <c r="P157" s="793"/>
      <c r="Q157" s="792"/>
      <c r="AB157" s="912">
        <v>12</v>
      </c>
      <c r="AC157" s="9" t="s">
        <v>240</v>
      </c>
      <c r="AD157" s="9">
        <v>10</v>
      </c>
      <c r="AE157" s="8" t="s">
        <v>40</v>
      </c>
      <c r="AF157" s="10" t="s">
        <v>118</v>
      </c>
      <c r="AG157" s="10" t="s">
        <v>2349</v>
      </c>
      <c r="AH157" s="343">
        <v>0</v>
      </c>
      <c r="AI157" s="345">
        <v>36</v>
      </c>
      <c r="AK157" s="165"/>
      <c r="AL157" s="206"/>
      <c r="AM157" s="206"/>
      <c r="AN157" s="206"/>
      <c r="AO157" s="206"/>
      <c r="AP157" s="206"/>
      <c r="AQ157" s="288">
        <f>SUM(AQ137:AQ156)</f>
        <v>0</v>
      </c>
      <c r="AR157" s="289">
        <f>SUM(AR137:AR156)</f>
        <v>-220156.43392000534</v>
      </c>
      <c r="AT157" s="9">
        <v>12</v>
      </c>
      <c r="AU157" s="9" t="s">
        <v>195</v>
      </c>
      <c r="AV157" s="9">
        <v>1</v>
      </c>
      <c r="AW157" s="8" t="s">
        <v>49</v>
      </c>
      <c r="AX157" s="10" t="s">
        <v>355</v>
      </c>
      <c r="AY157" s="10" t="s">
        <v>1978</v>
      </c>
      <c r="AZ157" s="343">
        <v>0</v>
      </c>
      <c r="BA157" s="345">
        <v>-0.39999999850988388</v>
      </c>
      <c r="BC157" s="482">
        <v>36</v>
      </c>
      <c r="BD157" s="482" t="s">
        <v>240</v>
      </c>
      <c r="BE157" s="482">
        <v>5</v>
      </c>
      <c r="BF157" s="483" t="s">
        <v>98</v>
      </c>
      <c r="BG157" s="482" t="s">
        <v>62</v>
      </c>
      <c r="BH157" s="484" t="s">
        <v>2362</v>
      </c>
      <c r="BI157" s="814">
        <v>0</v>
      </c>
      <c r="BJ157" s="1099">
        <v>0.6600000262260437</v>
      </c>
      <c r="BL157" s="211">
        <v>153</v>
      </c>
      <c r="BM157" s="9" t="s">
        <v>242</v>
      </c>
      <c r="BN157" s="9">
        <v>29</v>
      </c>
      <c r="BO157" s="8" t="s">
        <v>159</v>
      </c>
      <c r="BP157" s="9" t="s">
        <v>355</v>
      </c>
      <c r="BQ157" s="9" t="s">
        <v>514</v>
      </c>
      <c r="BR157" s="210">
        <v>0</v>
      </c>
      <c r="BS157" s="376">
        <v>14630000</v>
      </c>
      <c r="BU157" s="211">
        <v>153</v>
      </c>
      <c r="BV157" s="9" t="s">
        <v>58</v>
      </c>
      <c r="BW157" s="9">
        <v>11</v>
      </c>
      <c r="BX157" s="8" t="s">
        <v>430</v>
      </c>
      <c r="BY157" s="10" t="s">
        <v>433</v>
      </c>
      <c r="BZ157" s="10" t="s">
        <v>432</v>
      </c>
      <c r="CA157" s="343">
        <v>0</v>
      </c>
      <c r="CB157" s="345">
        <v>-577500</v>
      </c>
      <c r="CD157" s="211">
        <v>153</v>
      </c>
      <c r="CE157" s="9" t="s">
        <v>140</v>
      </c>
      <c r="CF157" s="9">
        <v>1</v>
      </c>
      <c r="CG157" s="8" t="s">
        <v>1621</v>
      </c>
      <c r="CH157" s="10" t="s">
        <v>147</v>
      </c>
      <c r="CI157" s="10" t="s">
        <v>1622</v>
      </c>
      <c r="CJ157" s="342">
        <v>0</v>
      </c>
      <c r="CK157" s="344">
        <v>970.5</v>
      </c>
      <c r="CM157" s="211">
        <v>3</v>
      </c>
      <c r="CN157" s="211" t="s">
        <v>195</v>
      </c>
      <c r="CO157" s="211">
        <v>2</v>
      </c>
      <c r="CP157" s="8" t="s">
        <v>216</v>
      </c>
      <c r="CQ157" s="9" t="s">
        <v>354</v>
      </c>
      <c r="CR157" s="9" t="s">
        <v>277</v>
      </c>
      <c r="CS157" s="210">
        <v>1650</v>
      </c>
      <c r="CT157" s="115">
        <v>0</v>
      </c>
    </row>
    <row r="158" spans="1:98" ht="12" customHeight="1" thickBot="1">
      <c r="A158" s="165"/>
      <c r="B158" s="163"/>
      <c r="C158" s="163"/>
      <c r="D158" s="156"/>
      <c r="E158" s="375"/>
      <c r="F158" s="794"/>
      <c r="G158" s="793"/>
      <c r="H158" s="792"/>
      <c r="J158" s="165"/>
      <c r="K158" s="163"/>
      <c r="L158" s="163"/>
      <c r="M158" s="156"/>
      <c r="N158" s="375"/>
      <c r="O158" s="794"/>
      <c r="P158" s="793"/>
      <c r="Q158" s="792"/>
      <c r="AB158" s="912">
        <v>13</v>
      </c>
      <c r="AC158" s="9" t="s">
        <v>140</v>
      </c>
      <c r="AD158" s="9">
        <v>1</v>
      </c>
      <c r="AE158" s="8" t="s">
        <v>133</v>
      </c>
      <c r="AF158" s="9" t="s">
        <v>364</v>
      </c>
      <c r="AG158" s="9" t="s">
        <v>1547</v>
      </c>
      <c r="AH158" s="364">
        <v>0</v>
      </c>
      <c r="AI158" s="347">
        <v>0.39000000059604645</v>
      </c>
      <c r="AK158" s="165"/>
      <c r="AL158" s="163"/>
      <c r="AM158" s="163"/>
      <c r="AN158" s="156"/>
      <c r="AO158" s="163"/>
      <c r="AP158" s="163"/>
      <c r="AQ158" s="288">
        <f>SUM(AQ134,AQ157)</f>
        <v>12049</v>
      </c>
      <c r="AR158" s="289">
        <f>AR134+AR157</f>
        <v>7017323591.5092831</v>
      </c>
      <c r="AT158" s="9">
        <v>13</v>
      </c>
      <c r="AU158" s="9" t="s">
        <v>239</v>
      </c>
      <c r="AV158" s="9">
        <v>1</v>
      </c>
      <c r="AW158" s="8" t="s">
        <v>49</v>
      </c>
      <c r="AX158" s="10" t="s">
        <v>355</v>
      </c>
      <c r="AY158" s="10" t="s">
        <v>2145</v>
      </c>
      <c r="AZ158" s="343">
        <v>0</v>
      </c>
      <c r="BA158" s="345">
        <v>0.39999999850988388</v>
      </c>
      <c r="BC158" s="165"/>
      <c r="BD158" s="163"/>
      <c r="BE158" s="163"/>
      <c r="BF158" s="156"/>
      <c r="BG158" s="163"/>
      <c r="BH158" s="163"/>
      <c r="BI158" s="288">
        <f>SUM(BI122:BI157)</f>
        <v>0</v>
      </c>
      <c r="BJ158" s="289">
        <f>SUM(BJ122:BJ157)</f>
        <v>-739102575.7611599</v>
      </c>
      <c r="BL158" s="211">
        <v>154</v>
      </c>
      <c r="BM158" s="9" t="s">
        <v>242</v>
      </c>
      <c r="BN158" s="9">
        <v>29</v>
      </c>
      <c r="BO158" s="8" t="s">
        <v>159</v>
      </c>
      <c r="BP158" s="9" t="s">
        <v>357</v>
      </c>
      <c r="BQ158" s="9" t="s">
        <v>515</v>
      </c>
      <c r="BR158" s="210">
        <v>0</v>
      </c>
      <c r="BS158" s="376">
        <v>1100000</v>
      </c>
      <c r="BU158" s="211">
        <v>154</v>
      </c>
      <c r="BV158" s="9" t="s">
        <v>241</v>
      </c>
      <c r="BW158" s="9">
        <v>1</v>
      </c>
      <c r="BX158" s="8" t="s">
        <v>430</v>
      </c>
      <c r="BY158" s="10" t="s">
        <v>354</v>
      </c>
      <c r="BZ158" s="10" t="s">
        <v>468</v>
      </c>
      <c r="CA158" s="343">
        <v>0</v>
      </c>
      <c r="CB158" s="345">
        <v>1850000</v>
      </c>
      <c r="CD158" s="211">
        <v>154</v>
      </c>
      <c r="CE158" s="9" t="s">
        <v>245</v>
      </c>
      <c r="CF158" s="9">
        <v>1</v>
      </c>
      <c r="CG158" s="8" t="s">
        <v>762</v>
      </c>
      <c r="CH158" s="10" t="s">
        <v>147</v>
      </c>
      <c r="CI158" s="435" t="s">
        <v>763</v>
      </c>
      <c r="CJ158" s="342">
        <v>0</v>
      </c>
      <c r="CK158" s="344">
        <v>2233500</v>
      </c>
      <c r="CM158" s="211">
        <v>4</v>
      </c>
      <c r="CN158" s="211" t="s">
        <v>240</v>
      </c>
      <c r="CO158" s="211">
        <v>3</v>
      </c>
      <c r="CP158" s="8" t="s">
        <v>216</v>
      </c>
      <c r="CQ158" s="9" t="s">
        <v>354</v>
      </c>
      <c r="CR158" s="9" t="s">
        <v>278</v>
      </c>
      <c r="CS158" s="210">
        <v>1650</v>
      </c>
      <c r="CT158" s="115">
        <v>0</v>
      </c>
    </row>
    <row r="159" spans="1:98" ht="12" customHeight="1" thickBot="1">
      <c r="A159" s="165"/>
      <c r="B159" s="163"/>
      <c r="C159" s="163"/>
      <c r="D159" s="156"/>
      <c r="E159" s="375"/>
      <c r="F159" s="794"/>
      <c r="G159" s="793"/>
      <c r="H159" s="792"/>
      <c r="J159" s="165"/>
      <c r="K159" s="163"/>
      <c r="L159" s="163"/>
      <c r="M159" s="156"/>
      <c r="N159" s="375"/>
      <c r="O159" s="794"/>
      <c r="P159" s="793"/>
      <c r="Q159" s="792"/>
      <c r="AB159" s="912">
        <v>14</v>
      </c>
      <c r="AC159" s="9" t="s">
        <v>238</v>
      </c>
      <c r="AD159" s="9">
        <v>24</v>
      </c>
      <c r="AE159" s="8" t="s">
        <v>98</v>
      </c>
      <c r="AF159" s="10" t="s">
        <v>62</v>
      </c>
      <c r="AG159" s="9" t="s">
        <v>1608</v>
      </c>
      <c r="AH159" s="364">
        <v>0</v>
      </c>
      <c r="AI159" s="347">
        <v>-1.9999995827674866E-2</v>
      </c>
      <c r="AT159" s="9">
        <v>14</v>
      </c>
      <c r="AU159" s="9" t="s">
        <v>240</v>
      </c>
      <c r="AV159" s="9">
        <v>3</v>
      </c>
      <c r="AW159" s="8" t="s">
        <v>49</v>
      </c>
      <c r="AX159" s="10" t="s">
        <v>355</v>
      </c>
      <c r="AY159" s="10" t="s">
        <v>2244</v>
      </c>
      <c r="AZ159" s="342">
        <v>0</v>
      </c>
      <c r="BA159" s="344">
        <v>-0.39999999850988388</v>
      </c>
      <c r="BI159" s="288">
        <f>SUM(BI119,BI158)</f>
        <v>12049</v>
      </c>
      <c r="BJ159" s="289">
        <f>BJ119+BJ158</f>
        <v>3951529015.4008408</v>
      </c>
      <c r="BL159" s="211">
        <v>155</v>
      </c>
      <c r="BM159" s="9" t="s">
        <v>243</v>
      </c>
      <c r="BN159" s="9">
        <v>29</v>
      </c>
      <c r="BO159" s="8" t="s">
        <v>159</v>
      </c>
      <c r="BP159" s="9" t="s">
        <v>364</v>
      </c>
      <c r="BQ159" s="9" t="s">
        <v>568</v>
      </c>
      <c r="BR159" s="362">
        <v>0</v>
      </c>
      <c r="BS159" s="363">
        <v>550000</v>
      </c>
      <c r="BU159" s="211">
        <v>155</v>
      </c>
      <c r="BV159" s="9" t="s">
        <v>242</v>
      </c>
      <c r="BW159" s="9">
        <v>11</v>
      </c>
      <c r="BX159" s="8" t="s">
        <v>430</v>
      </c>
      <c r="BY159" s="10" t="s">
        <v>354</v>
      </c>
      <c r="BZ159" s="10" t="s">
        <v>492</v>
      </c>
      <c r="CA159" s="343">
        <v>0</v>
      </c>
      <c r="CB159" s="344">
        <v>1850000</v>
      </c>
      <c r="CD159" s="211">
        <v>155</v>
      </c>
      <c r="CE159" s="9" t="s">
        <v>245</v>
      </c>
      <c r="CF159" s="9">
        <v>1</v>
      </c>
      <c r="CG159" s="8" t="s">
        <v>760</v>
      </c>
      <c r="CH159" s="10" t="s">
        <v>147</v>
      </c>
      <c r="CI159" s="435" t="s">
        <v>761</v>
      </c>
      <c r="CJ159" s="342">
        <v>0</v>
      </c>
      <c r="CK159" s="344">
        <v>50000</v>
      </c>
      <c r="CM159" s="1855" t="s">
        <v>68</v>
      </c>
      <c r="CN159" s="1855"/>
      <c r="CO159" s="1855"/>
      <c r="CP159" s="1855"/>
      <c r="CQ159" s="1855"/>
      <c r="CR159" s="1855"/>
      <c r="CS159" s="546">
        <f>SUM(CS155:CS158)</f>
        <v>5570</v>
      </c>
      <c r="CT159" s="547">
        <f>SUM(CT155:CT158)</f>
        <v>0</v>
      </c>
    </row>
    <row r="160" spans="1:98" ht="12" customHeight="1" thickBot="1">
      <c r="A160" s="165"/>
      <c r="B160" s="163"/>
      <c r="C160" s="163"/>
      <c r="D160" s="156"/>
      <c r="E160" s="375"/>
      <c r="F160" s="375"/>
      <c r="G160" s="583"/>
      <c r="H160" s="788"/>
      <c r="J160" s="165"/>
      <c r="K160" s="163"/>
      <c r="L160" s="163"/>
      <c r="M160" s="156"/>
      <c r="N160" s="375"/>
      <c r="O160" s="375"/>
      <c r="P160" s="583"/>
      <c r="Q160" s="788"/>
      <c r="S160" s="165"/>
      <c r="T160" s="163"/>
      <c r="U160" s="163"/>
      <c r="V160" s="156"/>
      <c r="W160" s="375"/>
      <c r="X160" s="375"/>
      <c r="Y160" s="583"/>
      <c r="Z160" s="788"/>
      <c r="AB160" s="913">
        <v>15</v>
      </c>
      <c r="AC160" s="482" t="s">
        <v>140</v>
      </c>
      <c r="AD160" s="482">
        <v>21</v>
      </c>
      <c r="AE160" s="483" t="s">
        <v>98</v>
      </c>
      <c r="AF160" s="484" t="s">
        <v>62</v>
      </c>
      <c r="AG160" s="482" t="s">
        <v>1640</v>
      </c>
      <c r="AH160" s="814">
        <v>0</v>
      </c>
      <c r="AI160" s="816">
        <v>0.37999999523162842</v>
      </c>
      <c r="AT160" s="9">
        <v>15</v>
      </c>
      <c r="AU160" s="9" t="s">
        <v>58</v>
      </c>
      <c r="AV160" s="9">
        <v>2</v>
      </c>
      <c r="AW160" s="8" t="s">
        <v>49</v>
      </c>
      <c r="AX160" s="10" t="s">
        <v>355</v>
      </c>
      <c r="AY160" s="10" t="s">
        <v>2480</v>
      </c>
      <c r="AZ160" s="343">
        <v>0</v>
      </c>
      <c r="BA160" s="345">
        <v>0.39999999850988388</v>
      </c>
      <c r="BL160" s="211">
        <v>156</v>
      </c>
      <c r="BM160" s="9" t="s">
        <v>243</v>
      </c>
      <c r="BN160" s="9">
        <v>29</v>
      </c>
      <c r="BO160" s="8" t="s">
        <v>159</v>
      </c>
      <c r="BP160" s="9" t="s">
        <v>355</v>
      </c>
      <c r="BQ160" s="9" t="s">
        <v>569</v>
      </c>
      <c r="BR160" s="362">
        <v>0</v>
      </c>
      <c r="BS160" s="363">
        <v>14630000</v>
      </c>
      <c r="BU160" s="211">
        <v>156</v>
      </c>
      <c r="BV160" s="9" t="s">
        <v>243</v>
      </c>
      <c r="BW160" s="9">
        <v>2</v>
      </c>
      <c r="BX160" s="8" t="s">
        <v>430</v>
      </c>
      <c r="BY160" s="10" t="s">
        <v>354</v>
      </c>
      <c r="BZ160" s="10" t="s">
        <v>527</v>
      </c>
      <c r="CA160" s="342">
        <v>0</v>
      </c>
      <c r="CB160" s="344">
        <v>20350000</v>
      </c>
      <c r="CD160" s="211">
        <v>156</v>
      </c>
      <c r="CE160" s="9" t="s">
        <v>239</v>
      </c>
      <c r="CF160" s="9">
        <v>21</v>
      </c>
      <c r="CG160" s="8" t="s">
        <v>396</v>
      </c>
      <c r="CH160" s="10" t="s">
        <v>354</v>
      </c>
      <c r="CI160" s="10" t="s">
        <v>397</v>
      </c>
      <c r="CJ160" s="343">
        <v>0</v>
      </c>
      <c r="CK160" s="345">
        <v>215454.54279999435</v>
      </c>
      <c r="CM160" s="211">
        <v>1</v>
      </c>
      <c r="CN160" s="211" t="s">
        <v>194</v>
      </c>
      <c r="CO160" s="211">
        <v>18</v>
      </c>
      <c r="CP160" s="8" t="s">
        <v>217</v>
      </c>
      <c r="CQ160" s="9" t="s">
        <v>144</v>
      </c>
      <c r="CR160" s="9" t="s">
        <v>279</v>
      </c>
      <c r="CS160" s="210">
        <v>0</v>
      </c>
      <c r="CT160" s="115">
        <v>9353850</v>
      </c>
    </row>
    <row r="161" spans="1:98" ht="12" customHeight="1" thickBot="1">
      <c r="A161" s="165"/>
      <c r="B161" s="163"/>
      <c r="C161" s="163"/>
      <c r="D161" s="156"/>
      <c r="E161" s="375"/>
      <c r="F161" s="375"/>
      <c r="G161" s="583"/>
      <c r="H161" s="788"/>
      <c r="J161" s="165"/>
      <c r="K161" s="163"/>
      <c r="L161" s="163"/>
      <c r="M161" s="156"/>
      <c r="N161" s="375"/>
      <c r="O161" s="375"/>
      <c r="P161" s="583"/>
      <c r="Q161" s="788"/>
      <c r="S161" s="165"/>
      <c r="T161" s="163"/>
      <c r="U161" s="163"/>
      <c r="V161" s="156"/>
      <c r="W161" s="375"/>
      <c r="X161" s="375"/>
      <c r="Y161" s="583"/>
      <c r="Z161" s="788"/>
      <c r="AB161" s="165"/>
      <c r="AC161" s="206"/>
      <c r="AD161" s="206"/>
      <c r="AE161" s="206"/>
      <c r="AF161" s="206"/>
      <c r="AG161" s="206"/>
      <c r="AH161" s="288">
        <f>SUM(AH146:AH160)</f>
        <v>0</v>
      </c>
      <c r="AI161" s="289">
        <f>SUM(AI146:AI160)</f>
        <v>-220158.44840001315</v>
      </c>
      <c r="AT161" s="9">
        <v>16</v>
      </c>
      <c r="AU161" s="9" t="s">
        <v>240</v>
      </c>
      <c r="AV161" s="9">
        <v>4</v>
      </c>
      <c r="AW161" s="8" t="s">
        <v>95</v>
      </c>
      <c r="AX161" s="10" t="s">
        <v>357</v>
      </c>
      <c r="AY161" s="10" t="s">
        <v>2304</v>
      </c>
      <c r="AZ161" s="342">
        <v>0</v>
      </c>
      <c r="BA161" s="344">
        <v>-0.19999999925494194</v>
      </c>
      <c r="BL161" s="211">
        <v>157</v>
      </c>
      <c r="BM161" s="9" t="s">
        <v>243</v>
      </c>
      <c r="BN161" s="9">
        <v>29</v>
      </c>
      <c r="BO161" s="8" t="s">
        <v>159</v>
      </c>
      <c r="BP161" s="9" t="s">
        <v>357</v>
      </c>
      <c r="BQ161" s="9" t="s">
        <v>570</v>
      </c>
      <c r="BR161" s="362">
        <v>0</v>
      </c>
      <c r="BS161" s="363">
        <v>1100000</v>
      </c>
      <c r="BU161" s="211">
        <v>157</v>
      </c>
      <c r="BV161" s="9" t="s">
        <v>244</v>
      </c>
      <c r="BW161" s="9">
        <v>5</v>
      </c>
      <c r="BX161" s="8" t="s">
        <v>430</v>
      </c>
      <c r="BY161" s="10" t="s">
        <v>354</v>
      </c>
      <c r="BZ161" s="10" t="s">
        <v>582</v>
      </c>
      <c r="CA161" s="342">
        <v>0</v>
      </c>
      <c r="CB161" s="344">
        <v>20350000</v>
      </c>
      <c r="CD161" s="211">
        <v>157</v>
      </c>
      <c r="CE161" s="9" t="s">
        <v>58</v>
      </c>
      <c r="CF161" s="9">
        <v>11</v>
      </c>
      <c r="CG161" s="8" t="s">
        <v>396</v>
      </c>
      <c r="CH161" s="10" t="s">
        <v>354</v>
      </c>
      <c r="CI161" s="10" t="s">
        <v>434</v>
      </c>
      <c r="CJ161" s="343">
        <v>0</v>
      </c>
      <c r="CK161" s="345">
        <v>215454.54279999435</v>
      </c>
      <c r="CM161" s="211">
        <v>2</v>
      </c>
      <c r="CN161" s="211" t="s">
        <v>194</v>
      </c>
      <c r="CO161" s="211">
        <v>8</v>
      </c>
      <c r="CP161" s="8" t="s">
        <v>217</v>
      </c>
      <c r="CQ161" s="9" t="s">
        <v>118</v>
      </c>
      <c r="CR161" s="9" t="s">
        <v>280</v>
      </c>
      <c r="CS161" s="210">
        <v>0</v>
      </c>
      <c r="CT161" s="115">
        <v>3750000</v>
      </c>
    </row>
    <row r="162" spans="1:98" ht="12" customHeight="1" thickBot="1">
      <c r="A162" s="165"/>
      <c r="B162" s="163"/>
      <c r="C162" s="163"/>
      <c r="D162" s="156"/>
      <c r="E162" s="375"/>
      <c r="F162" s="375"/>
      <c r="G162" s="793"/>
      <c r="H162" s="792"/>
      <c r="J162" s="165"/>
      <c r="K162" s="163"/>
      <c r="L162" s="163"/>
      <c r="M162" s="156"/>
      <c r="N162" s="375"/>
      <c r="O162" s="375"/>
      <c r="P162" s="793"/>
      <c r="Q162" s="792"/>
      <c r="S162" s="165"/>
      <c r="T162" s="163"/>
      <c r="U162" s="163"/>
      <c r="V162" s="156"/>
      <c r="W162" s="375"/>
      <c r="X162" s="375"/>
      <c r="Y162" s="793"/>
      <c r="Z162" s="792"/>
      <c r="AB162" s="165"/>
      <c r="AC162" s="163"/>
      <c r="AD162" s="163"/>
      <c r="AE162" s="156"/>
      <c r="AF162" s="163"/>
      <c r="AG162" s="163"/>
      <c r="AH162" s="288">
        <f>SUM(AH142,AH161)</f>
        <v>12049</v>
      </c>
      <c r="AI162" s="289">
        <f>AI142+AI161</f>
        <v>8080863059.4534035</v>
      </c>
      <c r="AT162" s="9">
        <v>17</v>
      </c>
      <c r="AU162" s="9" t="s">
        <v>58</v>
      </c>
      <c r="AV162" s="9">
        <v>4</v>
      </c>
      <c r="AW162" s="8" t="s">
        <v>95</v>
      </c>
      <c r="AX162" s="10" t="s">
        <v>357</v>
      </c>
      <c r="AY162" s="10" t="s">
        <v>2501</v>
      </c>
      <c r="AZ162" s="343">
        <v>0</v>
      </c>
      <c r="BA162" s="345">
        <v>0.59640000015497208</v>
      </c>
      <c r="BL162" s="211">
        <v>158</v>
      </c>
      <c r="BM162" s="9" t="s">
        <v>243</v>
      </c>
      <c r="BN162" s="9">
        <v>2</v>
      </c>
      <c r="BO162" s="8" t="s">
        <v>164</v>
      </c>
      <c r="BP162" s="9" t="s">
        <v>364</v>
      </c>
      <c r="BQ162" s="9" t="s">
        <v>524</v>
      </c>
      <c r="BR162" s="210">
        <v>0</v>
      </c>
      <c r="BS162" s="361">
        <v>6600000</v>
      </c>
      <c r="BU162" s="211">
        <v>158</v>
      </c>
      <c r="BV162" s="9" t="s">
        <v>244</v>
      </c>
      <c r="BW162" s="9">
        <v>1</v>
      </c>
      <c r="BX162" s="8" t="s">
        <v>629</v>
      </c>
      <c r="BY162" s="10" t="s">
        <v>147</v>
      </c>
      <c r="BZ162" s="10" t="s">
        <v>630</v>
      </c>
      <c r="CA162" s="342">
        <v>0</v>
      </c>
      <c r="CB162" s="344">
        <v>19287000</v>
      </c>
      <c r="CD162" s="211">
        <v>158</v>
      </c>
      <c r="CE162" s="9" t="s">
        <v>238</v>
      </c>
      <c r="CF162" s="9">
        <v>1</v>
      </c>
      <c r="CG162" s="8" t="s">
        <v>396</v>
      </c>
      <c r="CH162" s="10" t="s">
        <v>354</v>
      </c>
      <c r="CI162" s="10" t="s">
        <v>1557</v>
      </c>
      <c r="CJ162" s="342">
        <v>0</v>
      </c>
      <c r="CK162" s="344">
        <v>143636.36279999465</v>
      </c>
      <c r="CM162" s="211">
        <v>3</v>
      </c>
      <c r="CN162" s="211" t="s">
        <v>194</v>
      </c>
      <c r="CO162" s="211">
        <v>14</v>
      </c>
      <c r="CP162" s="8" t="s">
        <v>217</v>
      </c>
      <c r="CQ162" s="9" t="s">
        <v>63</v>
      </c>
      <c r="CR162" s="9" t="s">
        <v>281</v>
      </c>
      <c r="CS162" s="210">
        <v>0</v>
      </c>
      <c r="CT162" s="115">
        <v>3300000</v>
      </c>
    </row>
    <row r="163" spans="1:98" ht="12" customHeight="1">
      <c r="A163" s="165"/>
      <c r="B163" s="163"/>
      <c r="C163" s="163"/>
      <c r="D163" s="156"/>
      <c r="E163" s="375"/>
      <c r="F163" s="375"/>
      <c r="G163" s="793"/>
      <c r="H163" s="792"/>
      <c r="J163" s="165"/>
      <c r="K163" s="163"/>
      <c r="L163" s="163"/>
      <c r="M163" s="156"/>
      <c r="N163" s="375"/>
      <c r="O163" s="375"/>
      <c r="P163" s="793"/>
      <c r="Q163" s="792"/>
      <c r="S163" s="165"/>
      <c r="T163" s="163"/>
      <c r="U163" s="163"/>
      <c r="V163" s="156"/>
      <c r="W163" s="375"/>
      <c r="X163" s="375"/>
      <c r="Y163" s="793"/>
      <c r="Z163" s="792"/>
      <c r="AB163" s="165"/>
      <c r="AC163" s="163"/>
      <c r="AD163" s="163"/>
      <c r="AE163" s="156"/>
      <c r="AF163" s="375"/>
      <c r="AG163" s="375"/>
      <c r="AH163" s="793"/>
      <c r="AI163" s="792"/>
      <c r="AT163" s="9">
        <v>18</v>
      </c>
      <c r="AU163" s="9" t="s">
        <v>240</v>
      </c>
      <c r="AV163" s="9">
        <v>6</v>
      </c>
      <c r="AW163" s="8" t="s">
        <v>96</v>
      </c>
      <c r="AX163" s="10" t="s">
        <v>357</v>
      </c>
      <c r="AY163" s="10" t="s">
        <v>2162</v>
      </c>
      <c r="AZ163" s="342">
        <v>0</v>
      </c>
      <c r="BA163" s="344">
        <v>0.30760000087320805</v>
      </c>
      <c r="BL163" s="211">
        <v>159</v>
      </c>
      <c r="BM163" s="9" t="s">
        <v>243</v>
      </c>
      <c r="BN163" s="9">
        <v>2</v>
      </c>
      <c r="BO163" s="8" t="s">
        <v>164</v>
      </c>
      <c r="BP163" s="9" t="s">
        <v>376</v>
      </c>
      <c r="BQ163" s="9" t="s">
        <v>525</v>
      </c>
      <c r="BR163" s="210">
        <v>0</v>
      </c>
      <c r="BS163" s="361">
        <v>22000000</v>
      </c>
      <c r="BU163" s="211">
        <v>159</v>
      </c>
      <c r="BV163" s="9" t="s">
        <v>239</v>
      </c>
      <c r="BW163" s="9">
        <v>21</v>
      </c>
      <c r="BX163" s="8" t="s">
        <v>396</v>
      </c>
      <c r="BY163" s="10" t="s">
        <v>354</v>
      </c>
      <c r="BZ163" s="10" t="s">
        <v>397</v>
      </c>
      <c r="CA163" s="343">
        <v>0</v>
      </c>
      <c r="CB163" s="345">
        <v>215454.54279999435</v>
      </c>
      <c r="CD163" s="211">
        <v>159</v>
      </c>
      <c r="CE163" s="9" t="s">
        <v>244</v>
      </c>
      <c r="CF163" s="9">
        <v>1</v>
      </c>
      <c r="CG163" s="8" t="s">
        <v>396</v>
      </c>
      <c r="CH163" s="10" t="s">
        <v>354</v>
      </c>
      <c r="CI163" s="10" t="s">
        <v>613</v>
      </c>
      <c r="CJ163" s="342">
        <v>0</v>
      </c>
      <c r="CK163" s="538">
        <f>0.18*4</f>
        <v>0.72</v>
      </c>
      <c r="CM163" s="211">
        <v>4</v>
      </c>
      <c r="CN163" s="211" t="s">
        <v>194</v>
      </c>
      <c r="CO163" s="211">
        <v>14</v>
      </c>
      <c r="CP163" s="8" t="s">
        <v>217</v>
      </c>
      <c r="CQ163" s="9" t="s">
        <v>63</v>
      </c>
      <c r="CR163" s="9" t="s">
        <v>282</v>
      </c>
      <c r="CS163" s="210">
        <v>0</v>
      </c>
      <c r="CT163" s="115">
        <v>4400000</v>
      </c>
    </row>
    <row r="164" spans="1:98" ht="12" customHeight="1">
      <c r="A164" s="165"/>
      <c r="B164" s="163"/>
      <c r="C164" s="163"/>
      <c r="D164" s="156"/>
      <c r="E164" s="375"/>
      <c r="F164" s="794"/>
      <c r="G164" s="793"/>
      <c r="H164" s="792"/>
      <c r="J164" s="165"/>
      <c r="K164" s="163"/>
      <c r="L164" s="163"/>
      <c r="M164" s="156"/>
      <c r="N164" s="375"/>
      <c r="O164" s="794"/>
      <c r="P164" s="793"/>
      <c r="Q164" s="792"/>
      <c r="S164" s="165"/>
      <c r="T164" s="163"/>
      <c r="U164" s="163"/>
      <c r="V164" s="156"/>
      <c r="W164" s="375"/>
      <c r="X164" s="794"/>
      <c r="Y164" s="793"/>
      <c r="Z164" s="792"/>
      <c r="AB164" s="165"/>
      <c r="AC164" s="163"/>
      <c r="AD164" s="163"/>
      <c r="AE164" s="156"/>
      <c r="AF164" s="375"/>
      <c r="AG164" s="794"/>
      <c r="AH164" s="793"/>
      <c r="AI164" s="792"/>
      <c r="AT164" s="9">
        <v>19</v>
      </c>
      <c r="AU164" s="9" t="s">
        <v>244</v>
      </c>
      <c r="AV164" s="9">
        <v>1</v>
      </c>
      <c r="AW164" s="8" t="s">
        <v>131</v>
      </c>
      <c r="AX164" s="9" t="s">
        <v>147</v>
      </c>
      <c r="AY164" s="9" t="s">
        <v>573</v>
      </c>
      <c r="AZ164" s="342">
        <v>0</v>
      </c>
      <c r="BA164" s="344">
        <v>-718820390</v>
      </c>
      <c r="BL164" s="211">
        <v>160</v>
      </c>
      <c r="BM164" s="211" t="s">
        <v>245</v>
      </c>
      <c r="BN164" s="211">
        <v>5</v>
      </c>
      <c r="BO164" s="8" t="s">
        <v>44</v>
      </c>
      <c r="BP164" s="9" t="s">
        <v>354</v>
      </c>
      <c r="BQ164" s="10" t="s">
        <v>257</v>
      </c>
      <c r="BR164" s="210">
        <v>0</v>
      </c>
      <c r="BS164" s="115">
        <v>24096600</v>
      </c>
      <c r="BU164" s="211">
        <v>160</v>
      </c>
      <c r="BV164" s="9" t="s">
        <v>58</v>
      </c>
      <c r="BW164" s="9">
        <v>11</v>
      </c>
      <c r="BX164" s="8" t="s">
        <v>396</v>
      </c>
      <c r="BY164" s="10" t="s">
        <v>354</v>
      </c>
      <c r="BZ164" s="10" t="s">
        <v>434</v>
      </c>
      <c r="CA164" s="343">
        <v>0</v>
      </c>
      <c r="CB164" s="345">
        <v>215454.54279999435</v>
      </c>
      <c r="CD164" s="211">
        <v>160</v>
      </c>
      <c r="CE164" s="9" t="s">
        <v>140</v>
      </c>
      <c r="CF164" s="9">
        <v>1</v>
      </c>
      <c r="CG164" s="8" t="s">
        <v>396</v>
      </c>
      <c r="CH164" s="10" t="s">
        <v>147</v>
      </c>
      <c r="CI164" s="435" t="s">
        <v>1618</v>
      </c>
      <c r="CJ164" s="342">
        <v>0</v>
      </c>
      <c r="CK164" s="344">
        <v>26416</v>
      </c>
      <c r="CM164" s="211">
        <v>5</v>
      </c>
      <c r="CN164" s="211" t="s">
        <v>194</v>
      </c>
      <c r="CO164" s="211">
        <v>18</v>
      </c>
      <c r="CP164" s="8" t="s">
        <v>217</v>
      </c>
      <c r="CQ164" s="9" t="s">
        <v>63</v>
      </c>
      <c r="CR164" s="9" t="s">
        <v>283</v>
      </c>
      <c r="CS164" s="210">
        <v>0</v>
      </c>
      <c r="CT164" s="115">
        <v>3300000</v>
      </c>
    </row>
    <row r="165" spans="1:98" ht="12" customHeight="1">
      <c r="A165" s="165"/>
      <c r="B165" s="163"/>
      <c r="C165" s="163"/>
      <c r="D165" s="789"/>
      <c r="E165" s="163"/>
      <c r="F165" s="163"/>
      <c r="G165" s="583"/>
      <c r="H165" s="788"/>
      <c r="J165" s="165"/>
      <c r="K165" s="163"/>
      <c r="L165" s="163"/>
      <c r="M165" s="789"/>
      <c r="N165" s="163"/>
      <c r="O165" s="163"/>
      <c r="P165" s="583"/>
      <c r="Q165" s="788"/>
      <c r="S165" s="165"/>
      <c r="T165" s="163"/>
      <c r="U165" s="163"/>
      <c r="V165" s="789"/>
      <c r="W165" s="163"/>
      <c r="X165" s="163"/>
      <c r="Y165" s="583"/>
      <c r="Z165" s="788"/>
      <c r="AB165" s="165"/>
      <c r="AC165" s="163"/>
      <c r="AD165" s="163"/>
      <c r="AE165" s="789"/>
      <c r="AF165" s="163"/>
      <c r="AG165" s="163"/>
      <c r="AH165" s="583"/>
      <c r="AI165" s="788"/>
      <c r="AT165" s="9">
        <v>20</v>
      </c>
      <c r="AU165" s="9" t="s">
        <v>238</v>
      </c>
      <c r="AV165" s="9">
        <v>15</v>
      </c>
      <c r="AW165" s="8" t="s">
        <v>40</v>
      </c>
      <c r="AX165" s="9" t="s">
        <v>118</v>
      </c>
      <c r="AY165" s="9" t="s">
        <v>1390</v>
      </c>
      <c r="AZ165" s="346">
        <v>0</v>
      </c>
      <c r="BA165" s="347">
        <v>-220000</v>
      </c>
      <c r="BL165" s="211">
        <v>161</v>
      </c>
      <c r="BM165" s="9" t="s">
        <v>241</v>
      </c>
      <c r="BN165" s="9">
        <v>6</v>
      </c>
      <c r="BO165" s="11" t="s">
        <v>45</v>
      </c>
      <c r="BP165" s="9" t="s">
        <v>118</v>
      </c>
      <c r="BQ165" s="9" t="s">
        <v>469</v>
      </c>
      <c r="BR165" s="343">
        <v>0</v>
      </c>
      <c r="BS165" s="345">
        <v>5371000</v>
      </c>
      <c r="BU165" s="211">
        <v>161</v>
      </c>
      <c r="BV165" s="9" t="s">
        <v>242</v>
      </c>
      <c r="BW165" s="9">
        <v>29</v>
      </c>
      <c r="BX165" s="8" t="s">
        <v>396</v>
      </c>
      <c r="BY165" s="10" t="s">
        <v>354</v>
      </c>
      <c r="BZ165" s="10" t="s">
        <v>542</v>
      </c>
      <c r="CA165" s="342">
        <v>0</v>
      </c>
      <c r="CB165" s="344">
        <v>39500000.000999995</v>
      </c>
      <c r="CD165" s="211">
        <v>161</v>
      </c>
      <c r="CE165" s="9" t="s">
        <v>140</v>
      </c>
      <c r="CF165" s="9">
        <v>1</v>
      </c>
      <c r="CG165" s="11" t="s">
        <v>108</v>
      </c>
      <c r="CH165" s="9" t="s">
        <v>354</v>
      </c>
      <c r="CI165" s="9" t="s">
        <v>1554</v>
      </c>
      <c r="CJ165" s="343">
        <v>0</v>
      </c>
      <c r="CK165" s="345">
        <v>24200000</v>
      </c>
      <c r="CM165" s="211">
        <v>6</v>
      </c>
      <c r="CN165" s="211" t="s">
        <v>195</v>
      </c>
      <c r="CO165" s="211">
        <v>15</v>
      </c>
      <c r="CP165" s="8" t="s">
        <v>217</v>
      </c>
      <c r="CQ165" s="9" t="s">
        <v>63</v>
      </c>
      <c r="CR165" s="9" t="s">
        <v>284</v>
      </c>
      <c r="CS165" s="210">
        <v>0</v>
      </c>
      <c r="CT165" s="115">
        <v>4400000</v>
      </c>
    </row>
    <row r="166" spans="1:98" ht="12" customHeight="1">
      <c r="A166" s="165"/>
      <c r="B166" s="163"/>
      <c r="C166" s="163"/>
      <c r="D166" s="789"/>
      <c r="E166" s="163"/>
      <c r="F166" s="163"/>
      <c r="G166" s="583"/>
      <c r="H166" s="792"/>
      <c r="J166" s="165"/>
      <c r="K166" s="163"/>
      <c r="L166" s="163"/>
      <c r="M166" s="789"/>
      <c r="N166" s="163"/>
      <c r="O166" s="163"/>
      <c r="P166" s="583"/>
      <c r="Q166" s="792"/>
      <c r="S166" s="165"/>
      <c r="T166" s="163"/>
      <c r="U166" s="163"/>
      <c r="V166" s="789"/>
      <c r="W166" s="163"/>
      <c r="X166" s="163"/>
      <c r="Y166" s="583"/>
      <c r="Z166" s="792"/>
      <c r="AB166" s="165"/>
      <c r="AC166" s="163"/>
      <c r="AD166" s="163"/>
      <c r="AE166" s="789"/>
      <c r="AF166" s="163"/>
      <c r="AG166" s="163"/>
      <c r="AH166" s="583"/>
      <c r="AI166" s="792"/>
      <c r="AT166" s="9">
        <v>21</v>
      </c>
      <c r="AU166" s="9" t="s">
        <v>240</v>
      </c>
      <c r="AV166" s="9">
        <v>10</v>
      </c>
      <c r="AW166" s="8" t="s">
        <v>40</v>
      </c>
      <c r="AX166" s="10" t="s">
        <v>118</v>
      </c>
      <c r="AY166" s="10" t="s">
        <v>2349</v>
      </c>
      <c r="AZ166" s="362">
        <v>0</v>
      </c>
      <c r="BA166" s="344">
        <v>36</v>
      </c>
      <c r="BL166" s="211">
        <v>162</v>
      </c>
      <c r="BM166" s="9" t="s">
        <v>242</v>
      </c>
      <c r="BN166" s="9">
        <v>19</v>
      </c>
      <c r="BO166" s="11" t="s">
        <v>45</v>
      </c>
      <c r="BP166" s="9" t="s">
        <v>354</v>
      </c>
      <c r="BQ166" s="9" t="s">
        <v>497</v>
      </c>
      <c r="BR166" s="343">
        <v>0</v>
      </c>
      <c r="BS166" s="345">
        <v>13200000</v>
      </c>
      <c r="BU166" s="211">
        <v>162</v>
      </c>
      <c r="BV166" s="9" t="s">
        <v>243</v>
      </c>
      <c r="BW166" s="9">
        <v>8</v>
      </c>
      <c r="BX166" s="8" t="s">
        <v>396</v>
      </c>
      <c r="BY166" s="10" t="s">
        <v>354</v>
      </c>
      <c r="BZ166" s="10" t="s">
        <v>552</v>
      </c>
      <c r="CA166" s="342">
        <v>0</v>
      </c>
      <c r="CB166" s="344">
        <v>39500000.000999995</v>
      </c>
      <c r="CD166" s="211">
        <v>162</v>
      </c>
      <c r="CE166" s="9" t="s">
        <v>245</v>
      </c>
      <c r="CF166" s="9">
        <v>11</v>
      </c>
      <c r="CG166" s="11" t="s">
        <v>606</v>
      </c>
      <c r="CH166" s="9" t="s">
        <v>354</v>
      </c>
      <c r="CI166" s="9" t="s">
        <v>637</v>
      </c>
      <c r="CJ166" s="343">
        <v>0</v>
      </c>
      <c r="CK166" s="344">
        <v>24200000</v>
      </c>
      <c r="CM166" s="211">
        <v>7</v>
      </c>
      <c r="CN166" s="211" t="s">
        <v>239</v>
      </c>
      <c r="CO166" s="211">
        <v>3</v>
      </c>
      <c r="CP166" s="8" t="s">
        <v>217</v>
      </c>
      <c r="CQ166" s="9" t="s">
        <v>63</v>
      </c>
      <c r="CR166" s="9" t="s">
        <v>285</v>
      </c>
      <c r="CS166" s="210">
        <v>0</v>
      </c>
      <c r="CT166" s="115">
        <v>4400000</v>
      </c>
    </row>
    <row r="167" spans="1:98" ht="12" customHeight="1">
      <c r="A167" s="165"/>
      <c r="B167" s="163"/>
      <c r="C167" s="163"/>
      <c r="D167" s="789"/>
      <c r="E167" s="163"/>
      <c r="F167" s="163"/>
      <c r="G167" s="793"/>
      <c r="H167" s="792"/>
      <c r="J167" s="165"/>
      <c r="K167" s="163"/>
      <c r="L167" s="163"/>
      <c r="M167" s="789"/>
      <c r="N167" s="163"/>
      <c r="O167" s="163"/>
      <c r="P167" s="793"/>
      <c r="Q167" s="792"/>
      <c r="S167" s="165"/>
      <c r="T167" s="163"/>
      <c r="U167" s="163"/>
      <c r="V167" s="789"/>
      <c r="W167" s="163"/>
      <c r="X167" s="163"/>
      <c r="Y167" s="793"/>
      <c r="Z167" s="792"/>
      <c r="AB167" s="165"/>
      <c r="AC167" s="163"/>
      <c r="AD167" s="163"/>
      <c r="AE167" s="789"/>
      <c r="AF167" s="163"/>
      <c r="AG167" s="163"/>
      <c r="AH167" s="793"/>
      <c r="AI167" s="792"/>
      <c r="AT167" s="9">
        <v>22</v>
      </c>
      <c r="AU167" s="9" t="s">
        <v>140</v>
      </c>
      <c r="AV167" s="9">
        <v>1</v>
      </c>
      <c r="AW167" s="8" t="s">
        <v>133</v>
      </c>
      <c r="AX167" s="9" t="s">
        <v>364</v>
      </c>
      <c r="AY167" s="9" t="s">
        <v>1547</v>
      </c>
      <c r="AZ167" s="346">
        <v>0</v>
      </c>
      <c r="BA167" s="347">
        <v>0.39000000059604645</v>
      </c>
      <c r="BL167" s="211">
        <v>163</v>
      </c>
      <c r="BM167" s="9" t="s">
        <v>243</v>
      </c>
      <c r="BN167" s="9">
        <v>2</v>
      </c>
      <c r="BO167" s="11" t="s">
        <v>45</v>
      </c>
      <c r="BP167" s="9" t="s">
        <v>354</v>
      </c>
      <c r="BQ167" s="9" t="s">
        <v>526</v>
      </c>
      <c r="BR167" s="343">
        <v>0</v>
      </c>
      <c r="BS167" s="189">
        <v>13200000</v>
      </c>
      <c r="BU167" s="211">
        <v>163</v>
      </c>
      <c r="BV167" s="9" t="s">
        <v>244</v>
      </c>
      <c r="BW167" s="9">
        <v>1</v>
      </c>
      <c r="BX167" s="8" t="s">
        <v>396</v>
      </c>
      <c r="BY167" s="10" t="s">
        <v>354</v>
      </c>
      <c r="BZ167" s="10" t="s">
        <v>613</v>
      </c>
      <c r="CA167" s="342">
        <v>0</v>
      </c>
      <c r="CB167" s="344">
        <v>39500000.000999995</v>
      </c>
      <c r="CD167" s="211">
        <v>163</v>
      </c>
      <c r="CE167" s="9" t="s">
        <v>238</v>
      </c>
      <c r="CF167" s="9">
        <v>4</v>
      </c>
      <c r="CG167" s="11" t="s">
        <v>606</v>
      </c>
      <c r="CH167" s="9" t="s">
        <v>354</v>
      </c>
      <c r="CI167" s="9" t="s">
        <v>660</v>
      </c>
      <c r="CJ167" s="342">
        <v>0</v>
      </c>
      <c r="CK167" s="344">
        <v>24200000</v>
      </c>
      <c r="CM167" s="211">
        <v>8</v>
      </c>
      <c r="CN167" s="211" t="s">
        <v>239</v>
      </c>
      <c r="CO167" s="211">
        <v>3</v>
      </c>
      <c r="CP167" s="8" t="s">
        <v>217</v>
      </c>
      <c r="CQ167" s="9" t="s">
        <v>63</v>
      </c>
      <c r="CR167" s="9" t="s">
        <v>286</v>
      </c>
      <c r="CS167" s="210">
        <v>0</v>
      </c>
      <c r="CT167" s="115">
        <v>3300000</v>
      </c>
    </row>
    <row r="168" spans="1:98" ht="12" customHeight="1">
      <c r="A168" s="165"/>
      <c r="B168" s="163"/>
      <c r="C168" s="163"/>
      <c r="D168" s="789"/>
      <c r="E168" s="163"/>
      <c r="F168" s="163"/>
      <c r="G168" s="793"/>
      <c r="H168" s="792"/>
      <c r="J168" s="165"/>
      <c r="K168" s="163"/>
      <c r="L168" s="163"/>
      <c r="M168" s="789"/>
      <c r="N168" s="163"/>
      <c r="O168" s="163"/>
      <c r="P168" s="793"/>
      <c r="Q168" s="792"/>
      <c r="S168" s="165"/>
      <c r="T168" s="163"/>
      <c r="U168" s="163"/>
      <c r="V168" s="789"/>
      <c r="W168" s="163"/>
      <c r="X168" s="163"/>
      <c r="Y168" s="793"/>
      <c r="Z168" s="792"/>
      <c r="AB168" s="165"/>
      <c r="AC168" s="163"/>
      <c r="AD168" s="163"/>
      <c r="AE168" s="789"/>
      <c r="AF168" s="163"/>
      <c r="AG168" s="163"/>
      <c r="AH168" s="793"/>
      <c r="AI168" s="792"/>
      <c r="AK168" s="165"/>
      <c r="AL168" s="163"/>
      <c r="AM168" s="163"/>
      <c r="AN168" s="789"/>
      <c r="AO168" s="163"/>
      <c r="AP168" s="163"/>
      <c r="AQ168" s="793"/>
      <c r="AR168" s="792"/>
      <c r="AT168" s="9">
        <v>23</v>
      </c>
      <c r="AU168" s="9" t="s">
        <v>238</v>
      </c>
      <c r="AV168" s="9">
        <v>24</v>
      </c>
      <c r="AW168" s="8" t="s">
        <v>98</v>
      </c>
      <c r="AX168" s="10" t="s">
        <v>62</v>
      </c>
      <c r="AY168" s="9" t="s">
        <v>1608</v>
      </c>
      <c r="AZ168" s="346">
        <v>0</v>
      </c>
      <c r="BA168" s="347">
        <v>-1.9999995827674866E-2</v>
      </c>
      <c r="BL168" s="211">
        <v>164</v>
      </c>
      <c r="BM168" s="211" t="s">
        <v>241</v>
      </c>
      <c r="BN168" s="211">
        <v>1</v>
      </c>
      <c r="BO168" s="8" t="s">
        <v>208</v>
      </c>
      <c r="BP168" s="9" t="s">
        <v>118</v>
      </c>
      <c r="BQ168" s="10" t="s">
        <v>258</v>
      </c>
      <c r="BR168" s="210">
        <v>0</v>
      </c>
      <c r="BS168" s="115">
        <v>1400000</v>
      </c>
      <c r="BU168" s="211">
        <v>164</v>
      </c>
      <c r="BV168" s="9" t="s">
        <v>244</v>
      </c>
      <c r="BW168" s="9">
        <v>8</v>
      </c>
      <c r="BX168" s="11" t="s">
        <v>108</v>
      </c>
      <c r="BY168" s="9" t="s">
        <v>354</v>
      </c>
      <c r="BZ168" s="9" t="s">
        <v>589</v>
      </c>
      <c r="CA168" s="342">
        <v>0</v>
      </c>
      <c r="CB168" s="344">
        <v>24200000</v>
      </c>
      <c r="CD168" s="211">
        <v>164</v>
      </c>
      <c r="CE168" s="9" t="s">
        <v>140</v>
      </c>
      <c r="CF168" s="9">
        <v>1</v>
      </c>
      <c r="CG168" s="11" t="s">
        <v>606</v>
      </c>
      <c r="CH168" s="9" t="s">
        <v>354</v>
      </c>
      <c r="CI168" s="9" t="s">
        <v>1555</v>
      </c>
      <c r="CJ168" s="342">
        <v>0</v>
      </c>
      <c r="CK168" s="344">
        <v>24200000</v>
      </c>
      <c r="CM168" s="211">
        <v>9</v>
      </c>
      <c r="CN168" s="211" t="s">
        <v>240</v>
      </c>
      <c r="CO168" s="211">
        <v>1</v>
      </c>
      <c r="CP168" s="8" t="s">
        <v>217</v>
      </c>
      <c r="CQ168" s="9" t="s">
        <v>63</v>
      </c>
      <c r="CR168" s="9" t="s">
        <v>287</v>
      </c>
      <c r="CS168" s="210">
        <v>0</v>
      </c>
      <c r="CT168" s="115">
        <v>4400000</v>
      </c>
    </row>
    <row r="169" spans="1:98" ht="12" customHeight="1">
      <c r="A169" s="165"/>
      <c r="B169" s="163"/>
      <c r="C169" s="163"/>
      <c r="D169" s="789"/>
      <c r="E169" s="163"/>
      <c r="F169" s="163"/>
      <c r="G169" s="793"/>
      <c r="H169" s="792"/>
      <c r="J169" s="165"/>
      <c r="K169" s="163"/>
      <c r="L169" s="163"/>
      <c r="M169" s="789"/>
      <c r="N169" s="163"/>
      <c r="O169" s="163"/>
      <c r="P169" s="793"/>
      <c r="Q169" s="792"/>
      <c r="S169" s="165"/>
      <c r="T169" s="163"/>
      <c r="U169" s="163"/>
      <c r="V169" s="789"/>
      <c r="W169" s="163"/>
      <c r="X169" s="163"/>
      <c r="Y169" s="793"/>
      <c r="Z169" s="792"/>
      <c r="AB169" s="165"/>
      <c r="AC169" s="163"/>
      <c r="AD169" s="163"/>
      <c r="AE169" s="789"/>
      <c r="AF169" s="163"/>
      <c r="AG169" s="163"/>
      <c r="AH169" s="793"/>
      <c r="AI169" s="792"/>
      <c r="AK169" s="165"/>
      <c r="AL169" s="163"/>
      <c r="AM169" s="163"/>
      <c r="AN169" s="789"/>
      <c r="AO169" s="163"/>
      <c r="AP169" s="163"/>
      <c r="AQ169" s="793"/>
      <c r="AR169" s="792"/>
      <c r="AT169" s="9">
        <v>24</v>
      </c>
      <c r="AU169" s="9" t="s">
        <v>140</v>
      </c>
      <c r="AV169" s="9">
        <v>21</v>
      </c>
      <c r="AW169" s="8" t="s">
        <v>98</v>
      </c>
      <c r="AX169" s="10" t="s">
        <v>62</v>
      </c>
      <c r="AY169" s="9" t="s">
        <v>1640</v>
      </c>
      <c r="AZ169" s="343">
        <v>0</v>
      </c>
      <c r="BA169" s="345">
        <v>0.37999999523162842</v>
      </c>
      <c r="BL169" s="211">
        <v>165</v>
      </c>
      <c r="BM169" s="9" t="s">
        <v>243</v>
      </c>
      <c r="BN169" s="9">
        <v>2</v>
      </c>
      <c r="BO169" s="8" t="s">
        <v>133</v>
      </c>
      <c r="BP169" s="9" t="s">
        <v>364</v>
      </c>
      <c r="BQ169" s="9" t="s">
        <v>520</v>
      </c>
      <c r="BR169" s="210">
        <v>0</v>
      </c>
      <c r="BS169" s="115">
        <v>33000000</v>
      </c>
      <c r="BU169" s="211">
        <v>165</v>
      </c>
      <c r="BV169" s="9" t="s">
        <v>244</v>
      </c>
      <c r="BW169" s="9">
        <v>27</v>
      </c>
      <c r="BX169" s="11" t="s">
        <v>606</v>
      </c>
      <c r="BY169" s="9" t="s">
        <v>354</v>
      </c>
      <c r="BZ169" s="9" t="s">
        <v>607</v>
      </c>
      <c r="CA169" s="342">
        <v>0</v>
      </c>
      <c r="CB169" s="344">
        <v>24200000</v>
      </c>
      <c r="CD169" s="211">
        <v>165</v>
      </c>
      <c r="CE169" s="9" t="s">
        <v>245</v>
      </c>
      <c r="CF169" s="9">
        <v>20</v>
      </c>
      <c r="CG169" s="11" t="s">
        <v>639</v>
      </c>
      <c r="CH169" s="9" t="s">
        <v>147</v>
      </c>
      <c r="CI169" s="9" t="s">
        <v>640</v>
      </c>
      <c r="CJ169" s="342">
        <v>0</v>
      </c>
      <c r="CK169" s="538">
        <v>-0.37999999523162842</v>
      </c>
      <c r="CM169" s="211">
        <v>10</v>
      </c>
      <c r="CN169" s="211" t="s">
        <v>58</v>
      </c>
      <c r="CO169" s="211">
        <v>5</v>
      </c>
      <c r="CP169" s="8" t="s">
        <v>217</v>
      </c>
      <c r="CQ169" s="9" t="s">
        <v>63</v>
      </c>
      <c r="CR169" s="9" t="s">
        <v>288</v>
      </c>
      <c r="CS169" s="210">
        <v>0</v>
      </c>
      <c r="CT169" s="115">
        <v>4400000</v>
      </c>
    </row>
    <row r="170" spans="1:98" ht="12" customHeight="1">
      <c r="A170" s="165"/>
      <c r="B170" s="163"/>
      <c r="C170" s="163"/>
      <c r="D170" s="789"/>
      <c r="E170" s="163"/>
      <c r="F170" s="163"/>
      <c r="G170" s="793"/>
      <c r="H170" s="792"/>
      <c r="J170" s="165"/>
      <c r="K170" s="163"/>
      <c r="L170" s="163"/>
      <c r="M170" s="789"/>
      <c r="N170" s="163"/>
      <c r="O170" s="163"/>
      <c r="P170" s="793"/>
      <c r="Q170" s="792"/>
      <c r="S170" s="165"/>
      <c r="T170" s="163"/>
      <c r="U170" s="163"/>
      <c r="V170" s="789"/>
      <c r="W170" s="163"/>
      <c r="X170" s="163"/>
      <c r="Y170" s="793"/>
      <c r="Z170" s="792"/>
      <c r="AB170" s="165"/>
      <c r="AC170" s="163"/>
      <c r="AD170" s="163"/>
      <c r="AE170" s="789"/>
      <c r="AF170" s="163"/>
      <c r="AG170" s="163"/>
      <c r="AH170" s="793"/>
      <c r="AI170" s="792"/>
      <c r="AK170" s="165"/>
      <c r="AL170" s="163"/>
      <c r="AM170" s="163"/>
      <c r="AN170" s="789"/>
      <c r="AO170" s="163"/>
      <c r="AP170" s="163"/>
      <c r="AQ170" s="793"/>
      <c r="AR170" s="792"/>
      <c r="AT170" s="9">
        <v>25</v>
      </c>
      <c r="AU170" s="9" t="s">
        <v>240</v>
      </c>
      <c r="AV170" s="9">
        <v>5</v>
      </c>
      <c r="AW170" s="8" t="s">
        <v>98</v>
      </c>
      <c r="AX170" s="9" t="s">
        <v>62</v>
      </c>
      <c r="AY170" s="10" t="s">
        <v>2361</v>
      </c>
      <c r="AZ170" s="343">
        <v>0</v>
      </c>
      <c r="BA170" s="363">
        <v>-0.2800000011920929</v>
      </c>
      <c r="BL170" s="211">
        <v>166</v>
      </c>
      <c r="BM170" s="211" t="s">
        <v>243</v>
      </c>
      <c r="BN170" s="211">
        <v>28</v>
      </c>
      <c r="BO170" s="8" t="s">
        <v>209</v>
      </c>
      <c r="BP170" s="9" t="s">
        <v>63</v>
      </c>
      <c r="BQ170" s="10" t="s">
        <v>259</v>
      </c>
      <c r="BR170" s="210">
        <v>0</v>
      </c>
      <c r="BS170" s="115">
        <v>35000000</v>
      </c>
      <c r="BU170" s="211">
        <v>166</v>
      </c>
      <c r="BV170" s="9" t="s">
        <v>240</v>
      </c>
      <c r="BW170" s="9">
        <v>1</v>
      </c>
      <c r="BX170" s="8" t="s">
        <v>136</v>
      </c>
      <c r="BY170" s="10" t="s">
        <v>354</v>
      </c>
      <c r="BZ170" s="9" t="s">
        <v>421</v>
      </c>
      <c r="CA170" s="342">
        <v>0</v>
      </c>
      <c r="CB170" s="344">
        <v>1.3200000002980232</v>
      </c>
      <c r="CD170" s="211">
        <v>166</v>
      </c>
      <c r="CE170" s="9" t="s">
        <v>140</v>
      </c>
      <c r="CF170" s="9">
        <v>8</v>
      </c>
      <c r="CG170" s="11" t="s">
        <v>639</v>
      </c>
      <c r="CH170" s="9" t="s">
        <v>147</v>
      </c>
      <c r="CI170" s="9" t="s">
        <v>1596</v>
      </c>
      <c r="CJ170" s="342">
        <v>0</v>
      </c>
      <c r="CK170" s="344">
        <v>9784813.5</v>
      </c>
      <c r="CM170" s="211">
        <v>11</v>
      </c>
      <c r="CN170" s="211" t="s">
        <v>241</v>
      </c>
      <c r="CO170" s="211">
        <v>2</v>
      </c>
      <c r="CP170" s="8" t="s">
        <v>217</v>
      </c>
      <c r="CQ170" s="9" t="s">
        <v>63</v>
      </c>
      <c r="CR170" s="9" t="s">
        <v>289</v>
      </c>
      <c r="CS170" s="210">
        <v>0</v>
      </c>
      <c r="CT170" s="115">
        <v>4400000</v>
      </c>
    </row>
    <row r="171" spans="1:98" ht="12" customHeight="1" thickBot="1">
      <c r="A171" s="165"/>
      <c r="B171" s="163"/>
      <c r="C171" s="163"/>
      <c r="D171" s="156"/>
      <c r="E171" s="375"/>
      <c r="F171" s="163"/>
      <c r="G171" s="793"/>
      <c r="H171" s="792"/>
      <c r="J171" s="165"/>
      <c r="K171" s="163"/>
      <c r="L171" s="163"/>
      <c r="M171" s="156"/>
      <c r="N171" s="375"/>
      <c r="O171" s="163"/>
      <c r="P171" s="793"/>
      <c r="Q171" s="792"/>
      <c r="S171" s="165"/>
      <c r="T171" s="163"/>
      <c r="U171" s="163"/>
      <c r="V171" s="156"/>
      <c r="W171" s="375"/>
      <c r="X171" s="163"/>
      <c r="Y171" s="793"/>
      <c r="Z171" s="792"/>
      <c r="AB171" s="165"/>
      <c r="AC171" s="163"/>
      <c r="AD171" s="163"/>
      <c r="AE171" s="156"/>
      <c r="AF171" s="375"/>
      <c r="AG171" s="163"/>
      <c r="AH171" s="793"/>
      <c r="AI171" s="792"/>
      <c r="AK171" s="165"/>
      <c r="AL171" s="163"/>
      <c r="AM171" s="163"/>
      <c r="AN171" s="156"/>
      <c r="AO171" s="375"/>
      <c r="AP171" s="163"/>
      <c r="AQ171" s="793"/>
      <c r="AR171" s="792"/>
      <c r="AT171" s="482">
        <v>26</v>
      </c>
      <c r="AU171" s="482" t="s">
        <v>240</v>
      </c>
      <c r="AV171" s="482">
        <v>5</v>
      </c>
      <c r="AW171" s="483" t="s">
        <v>98</v>
      </c>
      <c r="AX171" s="482" t="s">
        <v>62</v>
      </c>
      <c r="AY171" s="484" t="s">
        <v>2362</v>
      </c>
      <c r="AZ171" s="814">
        <v>0</v>
      </c>
      <c r="BA171" s="1012">
        <v>0.6600000262260437</v>
      </c>
      <c r="BL171" s="211">
        <v>167</v>
      </c>
      <c r="BM171" s="211" t="s">
        <v>238</v>
      </c>
      <c r="BN171" s="211">
        <v>20</v>
      </c>
      <c r="BO171" s="8" t="s">
        <v>209</v>
      </c>
      <c r="BP171" s="9" t="s">
        <v>63</v>
      </c>
      <c r="BQ171" s="10" t="s">
        <v>260</v>
      </c>
      <c r="BR171" s="210">
        <v>0</v>
      </c>
      <c r="BS171" s="115">
        <v>40500000</v>
      </c>
      <c r="BU171" s="211">
        <v>167</v>
      </c>
      <c r="BV171" s="9" t="s">
        <v>242</v>
      </c>
      <c r="BW171" s="9">
        <v>25</v>
      </c>
      <c r="BX171" s="8" t="s">
        <v>136</v>
      </c>
      <c r="BY171" s="10" t="s">
        <v>354</v>
      </c>
      <c r="BZ171" s="9" t="s">
        <v>498</v>
      </c>
      <c r="CA171" s="342">
        <v>0</v>
      </c>
      <c r="CB171" s="377">
        <v>29700000</v>
      </c>
      <c r="CD171" s="211">
        <v>167</v>
      </c>
      <c r="CE171" s="9" t="s">
        <v>240</v>
      </c>
      <c r="CF171" s="9">
        <v>1</v>
      </c>
      <c r="CG171" s="8" t="s">
        <v>136</v>
      </c>
      <c r="CH171" s="10" t="s">
        <v>354</v>
      </c>
      <c r="CI171" s="9" t="s">
        <v>421</v>
      </c>
      <c r="CJ171" s="342">
        <v>0</v>
      </c>
      <c r="CK171" s="538">
        <v>1.3200000002980232</v>
      </c>
      <c r="CM171" s="1855" t="s">
        <v>68</v>
      </c>
      <c r="CN171" s="1855"/>
      <c r="CO171" s="1855"/>
      <c r="CP171" s="1855"/>
      <c r="CQ171" s="1855"/>
      <c r="CR171" s="1855"/>
      <c r="CS171" s="546">
        <f>SUM(CS160:CS170)</f>
        <v>0</v>
      </c>
      <c r="CT171" s="547">
        <f>SUM(CT160:CT170)</f>
        <v>49403850</v>
      </c>
    </row>
    <row r="172" spans="1:98" ht="12" customHeight="1" thickBot="1">
      <c r="A172" s="165"/>
      <c r="B172" s="163"/>
      <c r="C172" s="163"/>
      <c r="D172" s="156"/>
      <c r="E172" s="375"/>
      <c r="F172" s="163"/>
      <c r="G172" s="793"/>
      <c r="H172" s="792"/>
      <c r="J172" s="165"/>
      <c r="K172" s="163"/>
      <c r="L172" s="163"/>
      <c r="M172" s="156"/>
      <c r="N172" s="375"/>
      <c r="O172" s="163"/>
      <c r="P172" s="793"/>
      <c r="Q172" s="792"/>
      <c r="S172" s="165"/>
      <c r="T172" s="163"/>
      <c r="U172" s="163"/>
      <c r="V172" s="156"/>
      <c r="W172" s="375"/>
      <c r="X172" s="163"/>
      <c r="Y172" s="793"/>
      <c r="Z172" s="792"/>
      <c r="AB172" s="165"/>
      <c r="AC172" s="163"/>
      <c r="AD172" s="163"/>
      <c r="AE172" s="156"/>
      <c r="AF172" s="375"/>
      <c r="AG172" s="163"/>
      <c r="AH172" s="793"/>
      <c r="AI172" s="792"/>
      <c r="AK172" s="165"/>
      <c r="AL172" s="163"/>
      <c r="AM172" s="163"/>
      <c r="AN172" s="156"/>
      <c r="AO172" s="375"/>
      <c r="AP172" s="163"/>
      <c r="AQ172" s="793"/>
      <c r="AR172" s="792"/>
      <c r="AT172" s="165"/>
      <c r="AU172" s="163"/>
      <c r="AV172" s="163"/>
      <c r="AW172" s="156"/>
      <c r="AX172" s="163"/>
      <c r="AY172" s="163"/>
      <c r="AZ172" s="288">
        <f>SUM(AZ146:AZ171)</f>
        <v>0</v>
      </c>
      <c r="BA172" s="289">
        <f>SUM(BA146:BA171)</f>
        <v>-719040543.37416005</v>
      </c>
      <c r="BL172" s="211">
        <v>168</v>
      </c>
      <c r="BM172" s="211" t="s">
        <v>194</v>
      </c>
      <c r="BN172" s="211">
        <v>7</v>
      </c>
      <c r="BO172" s="8" t="s">
        <v>210</v>
      </c>
      <c r="BP172" s="9" t="s">
        <v>262</v>
      </c>
      <c r="BQ172" s="9" t="s">
        <v>261</v>
      </c>
      <c r="BR172" s="210">
        <v>0</v>
      </c>
      <c r="BS172" s="115">
        <v>8800000</v>
      </c>
      <c r="BU172" s="211">
        <v>168</v>
      </c>
      <c r="BV172" s="9" t="s">
        <v>243</v>
      </c>
      <c r="BW172" s="9">
        <v>1</v>
      </c>
      <c r="BX172" s="8" t="s">
        <v>136</v>
      </c>
      <c r="BY172" s="10" t="s">
        <v>354</v>
      </c>
      <c r="BZ172" s="9" t="s">
        <v>558</v>
      </c>
      <c r="CA172" s="346">
        <v>0</v>
      </c>
      <c r="CB172" s="347">
        <v>37950000</v>
      </c>
      <c r="CD172" s="211">
        <v>168</v>
      </c>
      <c r="CE172" s="9" t="s">
        <v>238</v>
      </c>
      <c r="CF172" s="9">
        <v>1</v>
      </c>
      <c r="CG172" s="8" t="s">
        <v>136</v>
      </c>
      <c r="CH172" s="10" t="s">
        <v>354</v>
      </c>
      <c r="CI172" s="9" t="s">
        <v>1397</v>
      </c>
      <c r="CJ172" s="342">
        <v>0</v>
      </c>
      <c r="CK172" s="538">
        <v>-0.16000000387430191</v>
      </c>
      <c r="CM172" s="211">
        <v>1</v>
      </c>
      <c r="CN172" s="211" t="s">
        <v>140</v>
      </c>
      <c r="CO172" s="211">
        <v>1</v>
      </c>
      <c r="CP172" s="8" t="s">
        <v>47</v>
      </c>
      <c r="CQ172" s="9" t="s">
        <v>378</v>
      </c>
      <c r="CR172" s="9" t="s">
        <v>291</v>
      </c>
      <c r="CS172" s="346">
        <v>0</v>
      </c>
      <c r="CT172" s="347">
        <v>-17416700</v>
      </c>
    </row>
    <row r="173" spans="1:98" ht="12" customHeight="1" thickBot="1">
      <c r="A173" s="165"/>
      <c r="B173" s="163"/>
      <c r="C173" s="163"/>
      <c r="D173" s="156"/>
      <c r="E173" s="375"/>
      <c r="F173" s="163"/>
      <c r="G173" s="793"/>
      <c r="H173" s="792"/>
      <c r="J173" s="165"/>
      <c r="K173" s="163"/>
      <c r="L173" s="163"/>
      <c r="M173" s="156"/>
      <c r="N173" s="375"/>
      <c r="O173" s="163"/>
      <c r="P173" s="793"/>
      <c r="Q173" s="792"/>
      <c r="S173" s="165"/>
      <c r="T173" s="163"/>
      <c r="U173" s="163"/>
      <c r="V173" s="156"/>
      <c r="W173" s="375"/>
      <c r="X173" s="163"/>
      <c r="Y173" s="793"/>
      <c r="Z173" s="792"/>
      <c r="AB173" s="165"/>
      <c r="AC173" s="163"/>
      <c r="AD173" s="163"/>
      <c r="AE173" s="156"/>
      <c r="AF173" s="375"/>
      <c r="AG173" s="163"/>
      <c r="AH173" s="793"/>
      <c r="AI173" s="792"/>
      <c r="AK173" s="165"/>
      <c r="AL173" s="163"/>
      <c r="AM173" s="163"/>
      <c r="AN173" s="156"/>
      <c r="AO173" s="375"/>
      <c r="AP173" s="163"/>
      <c r="AQ173" s="793"/>
      <c r="AR173" s="792"/>
      <c r="AZ173" s="288">
        <f>SUM(AZ143,AZ172)</f>
        <v>12049</v>
      </c>
      <c r="BA173" s="289">
        <f>BA143+BA172</f>
        <v>5084155614.7878389</v>
      </c>
      <c r="BL173" s="211">
        <v>169</v>
      </c>
      <c r="BM173" s="9" t="s">
        <v>240</v>
      </c>
      <c r="BN173" s="9">
        <v>1</v>
      </c>
      <c r="BO173" s="8" t="s">
        <v>427</v>
      </c>
      <c r="BP173" s="10" t="s">
        <v>144</v>
      </c>
      <c r="BQ173" s="10" t="s">
        <v>428</v>
      </c>
      <c r="BR173" s="210">
        <v>0</v>
      </c>
      <c r="BS173" s="115">
        <v>5009.3609500005841</v>
      </c>
      <c r="BU173" s="211">
        <v>169</v>
      </c>
      <c r="BV173" s="9" t="s">
        <v>243</v>
      </c>
      <c r="BW173" s="9">
        <v>1</v>
      </c>
      <c r="BX173" s="8" t="s">
        <v>136</v>
      </c>
      <c r="BY173" s="10" t="s">
        <v>354</v>
      </c>
      <c r="BZ173" s="9" t="s">
        <v>519</v>
      </c>
      <c r="CA173" s="342">
        <v>0</v>
      </c>
      <c r="CB173" s="347">
        <v>54450000</v>
      </c>
      <c r="CD173" s="211">
        <v>169</v>
      </c>
      <c r="CE173" s="9" t="s">
        <v>140</v>
      </c>
      <c r="CF173" s="9">
        <v>1</v>
      </c>
      <c r="CG173" s="8" t="s">
        <v>136</v>
      </c>
      <c r="CH173" s="10" t="s">
        <v>354</v>
      </c>
      <c r="CI173" s="9" t="s">
        <v>1600</v>
      </c>
      <c r="CJ173" s="342">
        <v>0</v>
      </c>
      <c r="CK173" s="344">
        <v>54450000</v>
      </c>
      <c r="CM173" s="211">
        <v>2</v>
      </c>
      <c r="CN173" s="9" t="s">
        <v>194</v>
      </c>
      <c r="CO173" s="9">
        <v>6</v>
      </c>
      <c r="CP173" s="8" t="s">
        <v>47</v>
      </c>
      <c r="CQ173" s="9" t="s">
        <v>378</v>
      </c>
      <c r="CR173" s="9" t="s">
        <v>161</v>
      </c>
      <c r="CS173" s="346">
        <v>0</v>
      </c>
      <c r="CT173" s="347">
        <v>150000000</v>
      </c>
    </row>
    <row r="174" spans="1:98" ht="12" customHeight="1">
      <c r="A174" s="165"/>
      <c r="B174" s="163"/>
      <c r="C174" s="163"/>
      <c r="D174" s="156"/>
      <c r="E174" s="375"/>
      <c r="F174" s="163"/>
      <c r="G174" s="793"/>
      <c r="H174" s="792"/>
      <c r="J174" s="165"/>
      <c r="K174" s="163"/>
      <c r="L174" s="163"/>
      <c r="M174" s="156"/>
      <c r="N174" s="375"/>
      <c r="O174" s="163"/>
      <c r="P174" s="793"/>
      <c r="Q174" s="792"/>
      <c r="S174" s="165"/>
      <c r="T174" s="163"/>
      <c r="U174" s="163"/>
      <c r="V174" s="156"/>
      <c r="W174" s="375"/>
      <c r="X174" s="163"/>
      <c r="Y174" s="793"/>
      <c r="Z174" s="792"/>
      <c r="AB174" s="165"/>
      <c r="AC174" s="163"/>
      <c r="AD174" s="163"/>
      <c r="AE174" s="156"/>
      <c r="AF174" s="375"/>
      <c r="AG174" s="163"/>
      <c r="AH174" s="793"/>
      <c r="AI174" s="792"/>
      <c r="AK174" s="165"/>
      <c r="AL174" s="163"/>
      <c r="AM174" s="163"/>
      <c r="AN174" s="156"/>
      <c r="AO174" s="375"/>
      <c r="AP174" s="163"/>
      <c r="AQ174" s="793"/>
      <c r="AR174" s="792"/>
      <c r="BL174" s="211">
        <v>170</v>
      </c>
      <c r="BM174" s="9" t="s">
        <v>241</v>
      </c>
      <c r="BN174" s="9">
        <v>1</v>
      </c>
      <c r="BO174" s="8" t="s">
        <v>427</v>
      </c>
      <c r="BP174" s="10" t="s">
        <v>147</v>
      </c>
      <c r="BQ174" s="356" t="s">
        <v>508</v>
      </c>
      <c r="BR174" s="343">
        <v>0</v>
      </c>
      <c r="BS174" s="345">
        <v>35000</v>
      </c>
      <c r="BU174" s="211">
        <v>170</v>
      </c>
      <c r="BV174" s="9" t="s">
        <v>243</v>
      </c>
      <c r="BW174" s="9">
        <v>1</v>
      </c>
      <c r="BX174" s="8" t="s">
        <v>136</v>
      </c>
      <c r="BY174" s="10" t="s">
        <v>354</v>
      </c>
      <c r="BZ174" s="9" t="s">
        <v>518</v>
      </c>
      <c r="CA174" s="342">
        <v>0</v>
      </c>
      <c r="CB174" s="347">
        <v>54450000</v>
      </c>
      <c r="CD174" s="211">
        <v>170</v>
      </c>
      <c r="CE174" s="9" t="s">
        <v>140</v>
      </c>
      <c r="CF174" s="9">
        <v>5</v>
      </c>
      <c r="CG174" s="8" t="s">
        <v>136</v>
      </c>
      <c r="CH174" s="10" t="s">
        <v>354</v>
      </c>
      <c r="CI174" s="9" t="s">
        <v>1605</v>
      </c>
      <c r="CJ174" s="342">
        <v>0</v>
      </c>
      <c r="CK174" s="344">
        <v>54450000</v>
      </c>
      <c r="CM174" s="211">
        <v>3</v>
      </c>
      <c r="CN174" s="9" t="s">
        <v>195</v>
      </c>
      <c r="CO174" s="9">
        <v>1</v>
      </c>
      <c r="CP174" s="8" t="s">
        <v>47</v>
      </c>
      <c r="CQ174" s="9" t="s">
        <v>378</v>
      </c>
      <c r="CR174" s="9" t="s">
        <v>162</v>
      </c>
      <c r="CS174" s="346">
        <v>0</v>
      </c>
      <c r="CT174" s="347">
        <v>150000000</v>
      </c>
    </row>
    <row r="175" spans="1:98" ht="12" customHeight="1">
      <c r="A175" s="165"/>
      <c r="B175" s="163"/>
      <c r="C175" s="163"/>
      <c r="D175" s="156"/>
      <c r="E175" s="375"/>
      <c r="F175" s="163"/>
      <c r="G175" s="793"/>
      <c r="H175" s="792"/>
      <c r="J175" s="165"/>
      <c r="K175" s="163"/>
      <c r="L175" s="163"/>
      <c r="M175" s="156"/>
      <c r="N175" s="375"/>
      <c r="O175" s="163"/>
      <c r="P175" s="793"/>
      <c r="Q175" s="792"/>
      <c r="S175" s="165"/>
      <c r="T175" s="163"/>
      <c r="U175" s="163"/>
      <c r="V175" s="156"/>
      <c r="W175" s="375"/>
      <c r="X175" s="163"/>
      <c r="Y175" s="793"/>
      <c r="Z175" s="792"/>
      <c r="AB175" s="165"/>
      <c r="AC175" s="163"/>
      <c r="AD175" s="163"/>
      <c r="AE175" s="156"/>
      <c r="AF175" s="375"/>
      <c r="AG175" s="163"/>
      <c r="AH175" s="793"/>
      <c r="AI175" s="792"/>
      <c r="AK175" s="165"/>
      <c r="AL175" s="163"/>
      <c r="AM175" s="163"/>
      <c r="AN175" s="156"/>
      <c r="AO175" s="375"/>
      <c r="AP175" s="163"/>
      <c r="AQ175" s="793"/>
      <c r="AR175" s="792"/>
      <c r="BL175" s="211">
        <v>171</v>
      </c>
      <c r="BM175" s="9" t="s">
        <v>242</v>
      </c>
      <c r="BN175" s="9">
        <v>1</v>
      </c>
      <c r="BO175" s="8" t="s">
        <v>427</v>
      </c>
      <c r="BP175" s="10" t="s">
        <v>144</v>
      </c>
      <c r="BQ175" s="10" t="s">
        <v>553</v>
      </c>
      <c r="BR175" s="343">
        <v>0</v>
      </c>
      <c r="BS175" s="344">
        <v>365090.90729999915</v>
      </c>
      <c r="BU175" s="211">
        <v>171</v>
      </c>
      <c r="BV175" s="211" t="s">
        <v>244</v>
      </c>
      <c r="BW175" s="211">
        <v>24</v>
      </c>
      <c r="BX175" s="8" t="s">
        <v>212</v>
      </c>
      <c r="BY175" s="10" t="s">
        <v>62</v>
      </c>
      <c r="BZ175" s="10" t="s">
        <v>264</v>
      </c>
      <c r="CA175" s="210">
        <v>0</v>
      </c>
      <c r="CB175" s="115">
        <v>19800000</v>
      </c>
      <c r="CD175" s="211">
        <v>171</v>
      </c>
      <c r="CE175" s="9" t="s">
        <v>140</v>
      </c>
      <c r="CF175" s="9">
        <v>5</v>
      </c>
      <c r="CG175" s="8" t="s">
        <v>136</v>
      </c>
      <c r="CH175" s="10" t="s">
        <v>354</v>
      </c>
      <c r="CI175" s="9" t="s">
        <v>1606</v>
      </c>
      <c r="CJ175" s="342">
        <v>0</v>
      </c>
      <c r="CK175" s="344">
        <v>29700000</v>
      </c>
      <c r="CM175" s="211">
        <v>4</v>
      </c>
      <c r="CN175" s="9" t="s">
        <v>239</v>
      </c>
      <c r="CO175" s="9">
        <v>1</v>
      </c>
      <c r="CP175" s="8" t="s">
        <v>47</v>
      </c>
      <c r="CQ175" s="9" t="s">
        <v>378</v>
      </c>
      <c r="CR175" s="9" t="s">
        <v>393</v>
      </c>
      <c r="CS175" s="346">
        <v>0</v>
      </c>
      <c r="CT175" s="347">
        <v>150000000</v>
      </c>
    </row>
    <row r="176" spans="1:98" s="35" customFormat="1" ht="12" customHeight="1">
      <c r="A176" s="165"/>
      <c r="B176" s="163"/>
      <c r="C176" s="163"/>
      <c r="D176" s="156"/>
      <c r="E176" s="375"/>
      <c r="F176" s="163"/>
      <c r="G176" s="793"/>
      <c r="H176" s="792"/>
      <c r="J176" s="165"/>
      <c r="K176" s="163"/>
      <c r="L176" s="163"/>
      <c r="M176" s="156"/>
      <c r="N176" s="375"/>
      <c r="O176" s="163"/>
      <c r="P176" s="793"/>
      <c r="Q176" s="792"/>
      <c r="S176" s="165"/>
      <c r="T176" s="163"/>
      <c r="U176" s="163"/>
      <c r="V176" s="156"/>
      <c r="W176" s="375"/>
      <c r="X176" s="163"/>
      <c r="Y176" s="793"/>
      <c r="Z176" s="792"/>
      <c r="AB176" s="165"/>
      <c r="AC176" s="163"/>
      <c r="AD176" s="163"/>
      <c r="AE176" s="156"/>
      <c r="AF176" s="375"/>
      <c r="AG176" s="163"/>
      <c r="AH176" s="793"/>
      <c r="AI176" s="792"/>
      <c r="AK176" s="165"/>
      <c r="AL176" s="163"/>
      <c r="AM176" s="163"/>
      <c r="AN176" s="156"/>
      <c r="AO176" s="375"/>
      <c r="AP176" s="163"/>
      <c r="AQ176" s="793"/>
      <c r="AR176" s="792"/>
      <c r="AS176" s="474"/>
      <c r="BL176" s="211">
        <v>172</v>
      </c>
      <c r="BM176" s="9" t="s">
        <v>195</v>
      </c>
      <c r="BN176" s="9">
        <v>12</v>
      </c>
      <c r="BO176" s="8" t="s">
        <v>111</v>
      </c>
      <c r="BP176" s="10" t="s">
        <v>147</v>
      </c>
      <c r="BQ176" s="10" t="s">
        <v>160</v>
      </c>
      <c r="BR176" s="210">
        <v>0</v>
      </c>
      <c r="BS176" s="115">
        <v>84480000</v>
      </c>
      <c r="BU176" s="211">
        <v>172</v>
      </c>
      <c r="BV176" s="211" t="s">
        <v>244</v>
      </c>
      <c r="BW176" s="211">
        <v>24</v>
      </c>
      <c r="BX176" s="8" t="s">
        <v>212</v>
      </c>
      <c r="BY176" s="10" t="s">
        <v>62</v>
      </c>
      <c r="BZ176" s="10" t="s">
        <v>265</v>
      </c>
      <c r="CA176" s="210">
        <v>0</v>
      </c>
      <c r="CB176" s="115">
        <v>900000</v>
      </c>
      <c r="CD176" s="211">
        <v>172</v>
      </c>
      <c r="CE176" s="9" t="s">
        <v>140</v>
      </c>
      <c r="CF176" s="9">
        <v>6</v>
      </c>
      <c r="CG176" s="8" t="s">
        <v>136</v>
      </c>
      <c r="CH176" s="10" t="s">
        <v>354</v>
      </c>
      <c r="CI176" s="9" t="s">
        <v>1607</v>
      </c>
      <c r="CJ176" s="342">
        <v>0</v>
      </c>
      <c r="CK176" s="344">
        <v>54450000</v>
      </c>
      <c r="CM176" s="211">
        <v>5</v>
      </c>
      <c r="CN176" s="9" t="s">
        <v>240</v>
      </c>
      <c r="CO176" s="9">
        <v>1</v>
      </c>
      <c r="CP176" s="8" t="s">
        <v>47</v>
      </c>
      <c r="CQ176" s="9" t="s">
        <v>378</v>
      </c>
      <c r="CR176" s="9" t="s">
        <v>408</v>
      </c>
      <c r="CS176" s="346">
        <v>0</v>
      </c>
      <c r="CT176" s="347">
        <v>150000000</v>
      </c>
    </row>
    <row r="177" spans="1:98" s="35" customFormat="1" ht="12" customHeight="1">
      <c r="A177" s="165"/>
      <c r="B177" s="163"/>
      <c r="C177" s="163"/>
      <c r="D177" s="156"/>
      <c r="E177" s="375"/>
      <c r="F177" s="163"/>
      <c r="G177" s="367"/>
      <c r="H177" s="368"/>
      <c r="J177" s="165"/>
      <c r="K177" s="163"/>
      <c r="L177" s="163"/>
      <c r="M177" s="156"/>
      <c r="N177" s="375"/>
      <c r="O177" s="163"/>
      <c r="P177" s="367"/>
      <c r="Q177" s="368"/>
      <c r="S177" s="165"/>
      <c r="T177" s="163"/>
      <c r="U177" s="163"/>
      <c r="V177" s="156"/>
      <c r="W177" s="375"/>
      <c r="X177" s="163"/>
      <c r="Y177" s="367"/>
      <c r="Z177" s="368"/>
      <c r="AB177" s="165"/>
      <c r="AC177" s="163"/>
      <c r="AD177" s="163"/>
      <c r="AE177" s="156"/>
      <c r="AF177" s="375"/>
      <c r="AG177" s="163"/>
      <c r="AH177" s="367"/>
      <c r="AI177" s="368"/>
      <c r="AK177" s="165"/>
      <c r="AL177" s="163"/>
      <c r="AM177" s="163"/>
      <c r="AN177" s="156"/>
      <c r="AO177" s="375"/>
      <c r="AP177" s="163"/>
      <c r="AQ177" s="367"/>
      <c r="AR177" s="368"/>
      <c r="AS177" s="474"/>
      <c r="BL177" s="211">
        <v>173</v>
      </c>
      <c r="BM177" s="9" t="s">
        <v>58</v>
      </c>
      <c r="BN177" s="9">
        <v>11</v>
      </c>
      <c r="BO177" s="8" t="s">
        <v>430</v>
      </c>
      <c r="BP177" s="10" t="s">
        <v>147</v>
      </c>
      <c r="BQ177" s="10" t="s">
        <v>431</v>
      </c>
      <c r="BR177" s="343">
        <v>0</v>
      </c>
      <c r="BS177" s="345">
        <v>4542000</v>
      </c>
      <c r="BU177" s="211">
        <v>173</v>
      </c>
      <c r="BV177" s="211" t="s">
        <v>244</v>
      </c>
      <c r="BW177" s="211">
        <v>24</v>
      </c>
      <c r="BX177" s="8" t="s">
        <v>212</v>
      </c>
      <c r="BY177" s="10" t="s">
        <v>62</v>
      </c>
      <c r="BZ177" s="10" t="s">
        <v>266</v>
      </c>
      <c r="CA177" s="210">
        <v>0</v>
      </c>
      <c r="CB177" s="115">
        <v>4500000</v>
      </c>
      <c r="CD177" s="211">
        <v>173</v>
      </c>
      <c r="CE177" s="9" t="s">
        <v>238</v>
      </c>
      <c r="CF177" s="9">
        <v>15</v>
      </c>
      <c r="CG177" s="8" t="s">
        <v>644</v>
      </c>
      <c r="CH177" s="10" t="s">
        <v>1564</v>
      </c>
      <c r="CI177" s="9" t="s">
        <v>783</v>
      </c>
      <c r="CJ177" s="346">
        <v>0</v>
      </c>
      <c r="CK177" s="347">
        <v>25300000</v>
      </c>
      <c r="CM177" s="211">
        <v>6</v>
      </c>
      <c r="CN177" s="9" t="s">
        <v>241</v>
      </c>
      <c r="CO177" s="9">
        <v>1</v>
      </c>
      <c r="CP177" s="8" t="s">
        <v>47</v>
      </c>
      <c r="CQ177" s="9" t="s">
        <v>378</v>
      </c>
      <c r="CR177" s="9" t="s">
        <v>465</v>
      </c>
      <c r="CS177" s="346">
        <v>0</v>
      </c>
      <c r="CT177" s="347">
        <v>85000000</v>
      </c>
    </row>
    <row r="178" spans="1:98" s="35" customFormat="1" ht="12" customHeight="1">
      <c r="A178" s="165"/>
      <c r="B178" s="163"/>
      <c r="C178" s="163"/>
      <c r="D178" s="156"/>
      <c r="E178" s="375"/>
      <c r="F178" s="163"/>
      <c r="G178" s="793"/>
      <c r="H178" s="368"/>
      <c r="J178" s="165"/>
      <c r="K178" s="163"/>
      <c r="L178" s="163"/>
      <c r="M178" s="156"/>
      <c r="N178" s="375"/>
      <c r="O178" s="163"/>
      <c r="P178" s="793"/>
      <c r="Q178" s="368"/>
      <c r="S178" s="165"/>
      <c r="T178" s="163"/>
      <c r="U178" s="163"/>
      <c r="V178" s="156"/>
      <c r="W178" s="375"/>
      <c r="X178" s="163"/>
      <c r="Y178" s="793"/>
      <c r="Z178" s="368"/>
      <c r="AB178" s="165"/>
      <c r="AC178" s="163"/>
      <c r="AD178" s="163"/>
      <c r="AE178" s="156"/>
      <c r="AF178" s="375"/>
      <c r="AG178" s="163"/>
      <c r="AH178" s="793"/>
      <c r="AI178" s="368"/>
      <c r="AK178" s="165"/>
      <c r="AL178" s="163"/>
      <c r="AM178" s="163"/>
      <c r="AN178" s="156"/>
      <c r="AO178" s="375"/>
      <c r="AP178" s="163"/>
      <c r="AQ178" s="793"/>
      <c r="AR178" s="368"/>
      <c r="AS178" s="474"/>
      <c r="BL178" s="211">
        <v>174</v>
      </c>
      <c r="BM178" s="9" t="s">
        <v>58</v>
      </c>
      <c r="BN178" s="9">
        <v>11</v>
      </c>
      <c r="BO178" s="8" t="s">
        <v>430</v>
      </c>
      <c r="BP178" s="10" t="s">
        <v>433</v>
      </c>
      <c r="BQ178" s="10" t="s">
        <v>432</v>
      </c>
      <c r="BR178" s="343">
        <v>0</v>
      </c>
      <c r="BS178" s="345">
        <v>-577500</v>
      </c>
      <c r="BU178" s="211">
        <v>174</v>
      </c>
      <c r="BV178" s="211" t="s">
        <v>244</v>
      </c>
      <c r="BW178" s="211">
        <v>24</v>
      </c>
      <c r="BX178" s="8" t="s">
        <v>212</v>
      </c>
      <c r="BY178" s="10" t="s">
        <v>62</v>
      </c>
      <c r="BZ178" s="10" t="s">
        <v>267</v>
      </c>
      <c r="CA178" s="210">
        <v>0</v>
      </c>
      <c r="CB178" s="115">
        <v>27900000</v>
      </c>
      <c r="CD178" s="211">
        <v>174</v>
      </c>
      <c r="CE178" s="9" t="s">
        <v>140</v>
      </c>
      <c r="CF178" s="9">
        <v>1</v>
      </c>
      <c r="CG178" s="8" t="s">
        <v>644</v>
      </c>
      <c r="CH178" s="10" t="s">
        <v>1564</v>
      </c>
      <c r="CI178" s="9" t="s">
        <v>1565</v>
      </c>
      <c r="CJ178" s="342">
        <v>0</v>
      </c>
      <c r="CK178" s="347">
        <v>25300000</v>
      </c>
      <c r="CM178" s="211">
        <v>7</v>
      </c>
      <c r="CN178" s="9" t="s">
        <v>242</v>
      </c>
      <c r="CO178" s="9">
        <v>11</v>
      </c>
      <c r="CP178" s="8" t="s">
        <v>47</v>
      </c>
      <c r="CQ178" s="9" t="s">
        <v>378</v>
      </c>
      <c r="CR178" s="9" t="s">
        <v>494</v>
      </c>
      <c r="CS178" s="346">
        <v>0</v>
      </c>
      <c r="CT178" s="347">
        <v>85000000</v>
      </c>
    </row>
    <row r="179" spans="1:98" s="35" customFormat="1" ht="12" customHeight="1">
      <c r="A179" s="165"/>
      <c r="B179" s="165"/>
      <c r="C179" s="165"/>
      <c r="D179" s="156"/>
      <c r="E179" s="375"/>
      <c r="F179" s="375"/>
      <c r="G179" s="365"/>
      <c r="H179" s="366"/>
      <c r="J179" s="165"/>
      <c r="K179" s="165"/>
      <c r="L179" s="165"/>
      <c r="M179" s="156"/>
      <c r="N179" s="375"/>
      <c r="O179" s="375"/>
      <c r="P179" s="365"/>
      <c r="Q179" s="366"/>
      <c r="S179" s="165"/>
      <c r="T179" s="165"/>
      <c r="U179" s="165"/>
      <c r="V179" s="156"/>
      <c r="W179" s="375"/>
      <c r="X179" s="375"/>
      <c r="Y179" s="365"/>
      <c r="Z179" s="366"/>
      <c r="AB179" s="165"/>
      <c r="AC179" s="165"/>
      <c r="AD179" s="165"/>
      <c r="AE179" s="156"/>
      <c r="AF179" s="375"/>
      <c r="AG179" s="375"/>
      <c r="AH179" s="365"/>
      <c r="AI179" s="366"/>
      <c r="AK179" s="165"/>
      <c r="AL179" s="165"/>
      <c r="AM179" s="165"/>
      <c r="AN179" s="156"/>
      <c r="AO179" s="375"/>
      <c r="AP179" s="375"/>
      <c r="AQ179" s="365"/>
      <c r="AR179" s="366"/>
      <c r="AS179" s="474"/>
      <c r="BL179" s="211">
        <v>175</v>
      </c>
      <c r="BM179" s="9" t="s">
        <v>241</v>
      </c>
      <c r="BN179" s="9">
        <v>1</v>
      </c>
      <c r="BO179" s="8" t="s">
        <v>430</v>
      </c>
      <c r="BP179" s="10" t="s">
        <v>354</v>
      </c>
      <c r="BQ179" s="10" t="s">
        <v>468</v>
      </c>
      <c r="BR179" s="343">
        <v>0</v>
      </c>
      <c r="BS179" s="345">
        <v>1850000</v>
      </c>
      <c r="BU179" s="211">
        <v>175</v>
      </c>
      <c r="BV179" s="9" t="s">
        <v>239</v>
      </c>
      <c r="BW179" s="9">
        <v>7</v>
      </c>
      <c r="BX179" s="8" t="s">
        <v>212</v>
      </c>
      <c r="BY179" s="10" t="s">
        <v>62</v>
      </c>
      <c r="BZ179" s="9" t="s">
        <v>392</v>
      </c>
      <c r="CA179" s="210">
        <v>0</v>
      </c>
      <c r="CB179" s="115">
        <f>34200000-32400000</f>
        <v>1800000</v>
      </c>
      <c r="CD179" s="211">
        <v>175</v>
      </c>
      <c r="CE179" s="211" t="s">
        <v>244</v>
      </c>
      <c r="CF179" s="211">
        <v>24</v>
      </c>
      <c r="CG179" s="8" t="s">
        <v>212</v>
      </c>
      <c r="CH179" s="10" t="s">
        <v>62</v>
      </c>
      <c r="CI179" s="10" t="s">
        <v>264</v>
      </c>
      <c r="CJ179" s="210">
        <v>0</v>
      </c>
      <c r="CK179" s="115">
        <v>7800000</v>
      </c>
      <c r="CM179" s="211">
        <v>8</v>
      </c>
      <c r="CN179" s="9" t="s">
        <v>243</v>
      </c>
      <c r="CO179" s="9">
        <v>2</v>
      </c>
      <c r="CP179" s="8" t="s">
        <v>47</v>
      </c>
      <c r="CQ179" s="9" t="s">
        <v>378</v>
      </c>
      <c r="CR179" s="9" t="s">
        <v>529</v>
      </c>
      <c r="CS179" s="346">
        <v>0</v>
      </c>
      <c r="CT179" s="347">
        <v>85000000</v>
      </c>
    </row>
    <row r="180" spans="1:98" s="35" customFormat="1" ht="12" customHeight="1">
      <c r="A180" s="165"/>
      <c r="B180" s="165"/>
      <c r="C180" s="165"/>
      <c r="D180" s="156"/>
      <c r="E180" s="375"/>
      <c r="F180" s="375"/>
      <c r="G180" s="365"/>
      <c r="H180" s="366"/>
      <c r="J180" s="165"/>
      <c r="K180" s="165"/>
      <c r="L180" s="165"/>
      <c r="M180" s="156"/>
      <c r="N180" s="375"/>
      <c r="O180" s="375"/>
      <c r="P180" s="365"/>
      <c r="Q180" s="366"/>
      <c r="S180" s="165"/>
      <c r="T180" s="165"/>
      <c r="U180" s="165"/>
      <c r="V180" s="156"/>
      <c r="W180" s="375"/>
      <c r="X180" s="375"/>
      <c r="Y180" s="365"/>
      <c r="Z180" s="366"/>
      <c r="AB180" s="165"/>
      <c r="AC180" s="165"/>
      <c r="AD180" s="165"/>
      <c r="AE180" s="156"/>
      <c r="AF180" s="375"/>
      <c r="AG180" s="375"/>
      <c r="AH180" s="365"/>
      <c r="AI180" s="366"/>
      <c r="AK180" s="165"/>
      <c r="AL180" s="165"/>
      <c r="AM180" s="165"/>
      <c r="AN180" s="156"/>
      <c r="AO180" s="375"/>
      <c r="AP180" s="375"/>
      <c r="AQ180" s="365"/>
      <c r="AR180" s="366"/>
      <c r="AS180" s="474"/>
      <c r="BL180" s="211">
        <v>176</v>
      </c>
      <c r="BM180" s="9" t="s">
        <v>242</v>
      </c>
      <c r="BN180" s="9">
        <v>11</v>
      </c>
      <c r="BO180" s="8" t="s">
        <v>430</v>
      </c>
      <c r="BP180" s="10" t="s">
        <v>354</v>
      </c>
      <c r="BQ180" s="10" t="s">
        <v>492</v>
      </c>
      <c r="BR180" s="343">
        <v>0</v>
      </c>
      <c r="BS180" s="344">
        <v>20350000</v>
      </c>
      <c r="BU180" s="211">
        <v>176</v>
      </c>
      <c r="BV180" s="211" t="s">
        <v>243</v>
      </c>
      <c r="BW180" s="211">
        <v>14</v>
      </c>
      <c r="BX180" s="8" t="s">
        <v>213</v>
      </c>
      <c r="BY180" s="10" t="s">
        <v>355</v>
      </c>
      <c r="BZ180" s="10" t="s">
        <v>268</v>
      </c>
      <c r="CA180" s="210">
        <v>0</v>
      </c>
      <c r="CB180" s="115">
        <v>20350000</v>
      </c>
      <c r="CD180" s="211">
        <v>176</v>
      </c>
      <c r="CE180" s="211" t="s">
        <v>244</v>
      </c>
      <c r="CF180" s="211">
        <v>24</v>
      </c>
      <c r="CG180" s="8" t="s">
        <v>212</v>
      </c>
      <c r="CH180" s="10" t="s">
        <v>62</v>
      </c>
      <c r="CI180" s="10" t="s">
        <v>265</v>
      </c>
      <c r="CJ180" s="210">
        <v>0</v>
      </c>
      <c r="CK180" s="115">
        <v>900000</v>
      </c>
      <c r="CM180" s="211">
        <v>9</v>
      </c>
      <c r="CN180" s="9" t="s">
        <v>244</v>
      </c>
      <c r="CO180" s="9">
        <v>1</v>
      </c>
      <c r="CP180" s="8" t="s">
        <v>47</v>
      </c>
      <c r="CQ180" s="9" t="s">
        <v>378</v>
      </c>
      <c r="CR180" s="9" t="s">
        <v>574</v>
      </c>
      <c r="CS180" s="346">
        <v>0</v>
      </c>
      <c r="CT180" s="347">
        <v>85000000</v>
      </c>
    </row>
    <row r="181" spans="1:98" s="35" customFormat="1" ht="12" customHeight="1">
      <c r="A181" s="165"/>
      <c r="B181" s="165"/>
      <c r="C181" s="165"/>
      <c r="D181" s="156"/>
      <c r="E181" s="375"/>
      <c r="F181" s="375"/>
      <c r="G181" s="365"/>
      <c r="H181" s="366"/>
      <c r="J181" s="165"/>
      <c r="K181" s="165"/>
      <c r="L181" s="165"/>
      <c r="M181" s="156"/>
      <c r="N181" s="375"/>
      <c r="O181" s="375"/>
      <c r="P181" s="365"/>
      <c r="Q181" s="366"/>
      <c r="S181" s="165"/>
      <c r="T181" s="165"/>
      <c r="U181" s="165"/>
      <c r="V181" s="156"/>
      <c r="W181" s="375"/>
      <c r="X181" s="375"/>
      <c r="Y181" s="365"/>
      <c r="Z181" s="366"/>
      <c r="AB181" s="165"/>
      <c r="AC181" s="165"/>
      <c r="AD181" s="165"/>
      <c r="AE181" s="156"/>
      <c r="AF181" s="375"/>
      <c r="AG181" s="375"/>
      <c r="AH181" s="365"/>
      <c r="AI181" s="366"/>
      <c r="AK181" s="165"/>
      <c r="AL181" s="165"/>
      <c r="AM181" s="165"/>
      <c r="AN181" s="156"/>
      <c r="AO181" s="375"/>
      <c r="AP181" s="375"/>
      <c r="AQ181" s="365"/>
      <c r="AR181" s="366"/>
      <c r="AS181" s="474"/>
      <c r="AT181" s="165"/>
      <c r="AU181" s="165"/>
      <c r="AV181" s="165"/>
      <c r="AW181" s="156"/>
      <c r="AX181" s="375"/>
      <c r="AY181" s="375"/>
      <c r="AZ181" s="365"/>
      <c r="BA181" s="366"/>
      <c r="BL181" s="211">
        <v>177</v>
      </c>
      <c r="BM181" s="9" t="s">
        <v>243</v>
      </c>
      <c r="BN181" s="9">
        <v>2</v>
      </c>
      <c r="BO181" s="8" t="s">
        <v>430</v>
      </c>
      <c r="BP181" s="10" t="s">
        <v>354</v>
      </c>
      <c r="BQ181" s="10" t="s">
        <v>527</v>
      </c>
      <c r="BR181" s="342">
        <v>0</v>
      </c>
      <c r="BS181" s="344">
        <v>20350000</v>
      </c>
      <c r="BU181" s="211">
        <v>177</v>
      </c>
      <c r="BV181" s="211" t="s">
        <v>244</v>
      </c>
      <c r="BW181" s="211">
        <v>4</v>
      </c>
      <c r="BX181" s="8" t="s">
        <v>213</v>
      </c>
      <c r="BY181" s="10" t="s">
        <v>355</v>
      </c>
      <c r="BZ181" s="10" t="s">
        <v>269</v>
      </c>
      <c r="CA181" s="210">
        <v>0</v>
      </c>
      <c r="CB181" s="115">
        <v>20350000</v>
      </c>
      <c r="CD181" s="211">
        <v>177</v>
      </c>
      <c r="CE181" s="211" t="s">
        <v>244</v>
      </c>
      <c r="CF181" s="211">
        <v>24</v>
      </c>
      <c r="CG181" s="8" t="s">
        <v>212</v>
      </c>
      <c r="CH181" s="10" t="s">
        <v>62</v>
      </c>
      <c r="CI181" s="10" t="s">
        <v>266</v>
      </c>
      <c r="CJ181" s="210">
        <v>0</v>
      </c>
      <c r="CK181" s="115">
        <v>4500000</v>
      </c>
      <c r="CM181" s="211">
        <v>10</v>
      </c>
      <c r="CN181" s="9" t="s">
        <v>245</v>
      </c>
      <c r="CO181" s="9">
        <v>5</v>
      </c>
      <c r="CP181" s="8" t="s">
        <v>47</v>
      </c>
      <c r="CQ181" s="9" t="s">
        <v>378</v>
      </c>
      <c r="CR181" s="9" t="s">
        <v>636</v>
      </c>
      <c r="CS181" s="346">
        <v>0</v>
      </c>
      <c r="CT181" s="347">
        <v>85000000</v>
      </c>
    </row>
    <row r="182" spans="1:98" s="35" customFormat="1" ht="12" customHeight="1">
      <c r="A182" s="165"/>
      <c r="B182" s="165"/>
      <c r="C182" s="165"/>
      <c r="D182" s="156"/>
      <c r="E182" s="375"/>
      <c r="F182" s="375"/>
      <c r="G182" s="365"/>
      <c r="H182" s="366"/>
      <c r="J182" s="165"/>
      <c r="K182" s="165"/>
      <c r="L182" s="165"/>
      <c r="M182" s="156"/>
      <c r="N182" s="375"/>
      <c r="O182" s="375"/>
      <c r="P182" s="365"/>
      <c r="Q182" s="366"/>
      <c r="S182" s="165"/>
      <c r="T182" s="165"/>
      <c r="U182" s="165"/>
      <c r="V182" s="156"/>
      <c r="W182" s="375"/>
      <c r="X182" s="375"/>
      <c r="Y182" s="365"/>
      <c r="Z182" s="366"/>
      <c r="AB182" s="165"/>
      <c r="AC182" s="165"/>
      <c r="AD182" s="165"/>
      <c r="AE182" s="156"/>
      <c r="AF182" s="375"/>
      <c r="AG182" s="375"/>
      <c r="AH182" s="365"/>
      <c r="AI182" s="366"/>
      <c r="AK182" s="165"/>
      <c r="AL182" s="165"/>
      <c r="AM182" s="165"/>
      <c r="AN182" s="156"/>
      <c r="AO182" s="375"/>
      <c r="AP182" s="375"/>
      <c r="AQ182" s="365"/>
      <c r="AR182" s="366"/>
      <c r="AS182" s="474"/>
      <c r="AT182" s="165"/>
      <c r="AU182" s="165"/>
      <c r="AV182" s="165"/>
      <c r="AW182" s="156"/>
      <c r="AX182" s="375"/>
      <c r="AY182" s="375"/>
      <c r="AZ182" s="365"/>
      <c r="BA182" s="366"/>
      <c r="BL182" s="211">
        <v>178</v>
      </c>
      <c r="BM182" s="9" t="s">
        <v>239</v>
      </c>
      <c r="BN182" s="9">
        <v>21</v>
      </c>
      <c r="BO182" s="8" t="s">
        <v>396</v>
      </c>
      <c r="BP182" s="10" t="s">
        <v>354</v>
      </c>
      <c r="BQ182" s="10" t="s">
        <v>397</v>
      </c>
      <c r="BR182" s="343">
        <v>0</v>
      </c>
      <c r="BS182" s="345">
        <v>215454.54279999435</v>
      </c>
      <c r="BU182" s="211">
        <v>178</v>
      </c>
      <c r="BV182" s="211" t="s">
        <v>245</v>
      </c>
      <c r="BW182" s="211">
        <v>21</v>
      </c>
      <c r="BX182" s="8" t="s">
        <v>213</v>
      </c>
      <c r="BY182" s="10" t="s">
        <v>355</v>
      </c>
      <c r="BZ182" s="10" t="s">
        <v>270</v>
      </c>
      <c r="CA182" s="210">
        <v>0</v>
      </c>
      <c r="CB182" s="115">
        <v>20350000</v>
      </c>
      <c r="CD182" s="211">
        <v>178</v>
      </c>
      <c r="CE182" s="211" t="s">
        <v>244</v>
      </c>
      <c r="CF182" s="211">
        <v>24</v>
      </c>
      <c r="CG182" s="8" t="s">
        <v>212</v>
      </c>
      <c r="CH182" s="10" t="s">
        <v>62</v>
      </c>
      <c r="CI182" s="10" t="s">
        <v>267</v>
      </c>
      <c r="CJ182" s="210">
        <v>0</v>
      </c>
      <c r="CK182" s="115">
        <v>27900000</v>
      </c>
      <c r="CM182" s="211">
        <v>11</v>
      </c>
      <c r="CN182" s="9" t="s">
        <v>238</v>
      </c>
      <c r="CO182" s="9">
        <v>2</v>
      </c>
      <c r="CP182" s="8" t="s">
        <v>47</v>
      </c>
      <c r="CQ182" s="9" t="s">
        <v>378</v>
      </c>
      <c r="CR182" s="9" t="s">
        <v>656</v>
      </c>
      <c r="CS182" s="346">
        <v>0</v>
      </c>
      <c r="CT182" s="347">
        <v>107000000</v>
      </c>
    </row>
    <row r="183" spans="1:98" s="35" customFormat="1" ht="12" customHeight="1">
      <c r="A183" s="165"/>
      <c r="B183" s="163"/>
      <c r="C183" s="163"/>
      <c r="D183" s="156"/>
      <c r="E183" s="375"/>
      <c r="F183" s="163"/>
      <c r="G183" s="365"/>
      <c r="H183" s="366"/>
      <c r="J183" s="165"/>
      <c r="K183" s="163"/>
      <c r="L183" s="163"/>
      <c r="M183" s="156"/>
      <c r="N183" s="375"/>
      <c r="O183" s="163"/>
      <c r="P183" s="365"/>
      <c r="Q183" s="366"/>
      <c r="S183" s="165"/>
      <c r="T183" s="163"/>
      <c r="U183" s="163"/>
      <c r="V183" s="156"/>
      <c r="W183" s="375"/>
      <c r="X183" s="163"/>
      <c r="Y183" s="365"/>
      <c r="Z183" s="366"/>
      <c r="AB183" s="165"/>
      <c r="AC183" s="163"/>
      <c r="AD183" s="163"/>
      <c r="AE183" s="156"/>
      <c r="AF183" s="375"/>
      <c r="AG183" s="163"/>
      <c r="AH183" s="365"/>
      <c r="AI183" s="366"/>
      <c r="AK183" s="165"/>
      <c r="AL183" s="163"/>
      <c r="AM183" s="163"/>
      <c r="AN183" s="156"/>
      <c r="AO183" s="375"/>
      <c r="AP183" s="163"/>
      <c r="AQ183" s="365"/>
      <c r="AR183" s="366"/>
      <c r="AS183" s="474"/>
      <c r="AT183" s="165"/>
      <c r="AU183" s="163"/>
      <c r="AV183" s="163"/>
      <c r="AW183" s="156"/>
      <c r="AX183" s="375"/>
      <c r="AY183" s="163"/>
      <c r="AZ183" s="365"/>
      <c r="BA183" s="366"/>
      <c r="BL183" s="211">
        <v>179</v>
      </c>
      <c r="BM183" s="9" t="s">
        <v>58</v>
      </c>
      <c r="BN183" s="9">
        <v>11</v>
      </c>
      <c r="BO183" s="8" t="s">
        <v>396</v>
      </c>
      <c r="BP183" s="10" t="s">
        <v>354</v>
      </c>
      <c r="BQ183" s="10" t="s">
        <v>434</v>
      </c>
      <c r="BR183" s="343">
        <v>0</v>
      </c>
      <c r="BS183" s="345">
        <v>215454.54279999435</v>
      </c>
      <c r="BU183" s="211">
        <v>179</v>
      </c>
      <c r="BV183" s="211" t="s">
        <v>238</v>
      </c>
      <c r="BW183" s="211">
        <v>4</v>
      </c>
      <c r="BX183" s="8" t="s">
        <v>213</v>
      </c>
      <c r="BY183" s="10" t="s">
        <v>355</v>
      </c>
      <c r="BZ183" s="10" t="s">
        <v>271</v>
      </c>
      <c r="CA183" s="210">
        <v>0</v>
      </c>
      <c r="CB183" s="115">
        <v>20350000</v>
      </c>
      <c r="CD183" s="211">
        <v>179</v>
      </c>
      <c r="CE183" s="9" t="s">
        <v>239</v>
      </c>
      <c r="CF183" s="9">
        <v>7</v>
      </c>
      <c r="CG183" s="8" t="s">
        <v>212</v>
      </c>
      <c r="CH183" s="10" t="s">
        <v>62</v>
      </c>
      <c r="CI183" s="9" t="s">
        <v>392</v>
      </c>
      <c r="CJ183" s="210">
        <v>0</v>
      </c>
      <c r="CK183" s="115">
        <f>34200000-32400000</f>
        <v>1800000</v>
      </c>
      <c r="CM183" s="211">
        <v>12</v>
      </c>
      <c r="CN183" s="9" t="s">
        <v>140</v>
      </c>
      <c r="CO183" s="9">
        <v>1</v>
      </c>
      <c r="CP183" s="8" t="s">
        <v>47</v>
      </c>
      <c r="CQ183" s="9" t="s">
        <v>378</v>
      </c>
      <c r="CR183" s="9" t="s">
        <v>1593</v>
      </c>
      <c r="CS183" s="346">
        <v>0</v>
      </c>
      <c r="CT183" s="347">
        <v>107000000</v>
      </c>
    </row>
    <row r="184" spans="1:98" s="35" customFormat="1" ht="12" customHeight="1">
      <c r="A184" s="165"/>
      <c r="B184" s="165"/>
      <c r="C184" s="165"/>
      <c r="D184" s="165"/>
      <c r="E184" s="165"/>
      <c r="F184" s="165"/>
      <c r="G184" s="165"/>
      <c r="H184" s="165"/>
      <c r="J184" s="165"/>
      <c r="K184" s="330"/>
      <c r="L184" s="330"/>
      <c r="M184" s="330"/>
      <c r="N184" s="330"/>
      <c r="O184" s="330"/>
      <c r="P184" s="330"/>
      <c r="Q184" s="330"/>
      <c r="S184" s="165"/>
      <c r="T184" s="330"/>
      <c r="U184" s="330"/>
      <c r="V184" s="330"/>
      <c r="W184" s="330"/>
      <c r="X184" s="330"/>
      <c r="Y184" s="330"/>
      <c r="Z184" s="330"/>
      <c r="AB184" s="165"/>
      <c r="AC184" s="330"/>
      <c r="AD184" s="330"/>
      <c r="AE184" s="330"/>
      <c r="AF184" s="330"/>
      <c r="AG184" s="330"/>
      <c r="AH184" s="330"/>
      <c r="AI184" s="330"/>
      <c r="AK184" s="165"/>
      <c r="AL184" s="330"/>
      <c r="AM184" s="330"/>
      <c r="AN184" s="330"/>
      <c r="AO184" s="330"/>
      <c r="AP184" s="330"/>
      <c r="AQ184" s="330"/>
      <c r="AR184" s="330"/>
      <c r="AS184" s="474"/>
      <c r="AT184" s="165"/>
      <c r="AU184" s="330"/>
      <c r="AV184" s="330"/>
      <c r="AW184" s="330"/>
      <c r="AX184" s="330"/>
      <c r="AY184" s="330"/>
      <c r="AZ184" s="330"/>
      <c r="BA184" s="330"/>
      <c r="BL184" s="211">
        <v>180</v>
      </c>
      <c r="BM184" s="9" t="s">
        <v>242</v>
      </c>
      <c r="BN184" s="9">
        <v>29</v>
      </c>
      <c r="BO184" s="8" t="s">
        <v>396</v>
      </c>
      <c r="BP184" s="10" t="s">
        <v>354</v>
      </c>
      <c r="BQ184" s="10" t="s">
        <v>542</v>
      </c>
      <c r="BR184" s="342">
        <v>0</v>
      </c>
      <c r="BS184" s="344">
        <v>39500000.000999995</v>
      </c>
      <c r="BU184" s="211">
        <v>180</v>
      </c>
      <c r="BV184" s="211" t="s">
        <v>140</v>
      </c>
      <c r="BW184" s="211">
        <v>3</v>
      </c>
      <c r="BX184" s="8" t="s">
        <v>213</v>
      </c>
      <c r="BY184" s="10" t="s">
        <v>355</v>
      </c>
      <c r="BZ184" s="10" t="s">
        <v>272</v>
      </c>
      <c r="CA184" s="210">
        <v>0</v>
      </c>
      <c r="CB184" s="115">
        <v>20350000</v>
      </c>
      <c r="CD184" s="211">
        <v>180</v>
      </c>
      <c r="CE184" s="211" t="s">
        <v>243</v>
      </c>
      <c r="CF184" s="211">
        <v>14</v>
      </c>
      <c r="CG184" s="8" t="s">
        <v>213</v>
      </c>
      <c r="CH184" s="10" t="s">
        <v>355</v>
      </c>
      <c r="CI184" s="10" t="s">
        <v>268</v>
      </c>
      <c r="CJ184" s="210">
        <v>0</v>
      </c>
      <c r="CK184" s="115">
        <v>20350000</v>
      </c>
      <c r="CM184" s="1855" t="s">
        <v>68</v>
      </c>
      <c r="CN184" s="1855"/>
      <c r="CO184" s="1855"/>
      <c r="CP184" s="1855"/>
      <c r="CQ184" s="1855"/>
      <c r="CR184" s="1855"/>
      <c r="CS184" s="546">
        <f>SUM(CS172:CS183)</f>
        <v>0</v>
      </c>
      <c r="CT184" s="547">
        <f>SUM(CT172:CT183)</f>
        <v>1221583300</v>
      </c>
    </row>
    <row r="185" spans="1:98" s="35" customFormat="1" ht="12" customHeight="1">
      <c r="A185" s="165"/>
      <c r="B185" s="165"/>
      <c r="C185" s="165"/>
      <c r="D185" s="165"/>
      <c r="E185" s="165"/>
      <c r="F185" s="165"/>
      <c r="G185" s="165"/>
      <c r="H185" s="165"/>
      <c r="J185" s="165"/>
      <c r="K185" s="330"/>
      <c r="L185" s="330"/>
      <c r="M185" s="330"/>
      <c r="N185" s="330"/>
      <c r="O185" s="330"/>
      <c r="P185" s="330"/>
      <c r="Q185" s="330"/>
      <c r="S185" s="165"/>
      <c r="T185" s="330"/>
      <c r="U185" s="330"/>
      <c r="V185" s="330"/>
      <c r="W185" s="330"/>
      <c r="X185" s="330"/>
      <c r="Y185" s="330"/>
      <c r="Z185" s="330"/>
      <c r="AB185" s="165"/>
      <c r="AC185" s="330"/>
      <c r="AD185" s="330"/>
      <c r="AE185" s="330"/>
      <c r="AF185" s="330"/>
      <c r="AG185" s="330"/>
      <c r="AH185" s="330"/>
      <c r="AI185" s="330"/>
      <c r="AK185" s="165"/>
      <c r="AL185" s="330"/>
      <c r="AM185" s="330"/>
      <c r="AN185" s="330"/>
      <c r="AO185" s="330"/>
      <c r="AP185" s="330"/>
      <c r="AQ185" s="330"/>
      <c r="AR185" s="330"/>
      <c r="AS185" s="474"/>
      <c r="AT185" s="165"/>
      <c r="AU185" s="330"/>
      <c r="AV185" s="330"/>
      <c r="AW185" s="330"/>
      <c r="AX185" s="330"/>
      <c r="AY185" s="330"/>
      <c r="AZ185" s="330"/>
      <c r="BA185" s="330"/>
      <c r="BC185" s="165"/>
      <c r="BD185" s="330"/>
      <c r="BE185" s="330"/>
      <c r="BF185" s="330"/>
      <c r="BG185" s="330"/>
      <c r="BH185" s="330"/>
      <c r="BI185" s="330"/>
      <c r="BJ185" s="330"/>
      <c r="BL185" s="211">
        <v>181</v>
      </c>
      <c r="BM185" s="9" t="s">
        <v>243</v>
      </c>
      <c r="BN185" s="9">
        <v>8</v>
      </c>
      <c r="BO185" s="8" t="s">
        <v>396</v>
      </c>
      <c r="BP185" s="10" t="s">
        <v>354</v>
      </c>
      <c r="BQ185" s="10" t="s">
        <v>552</v>
      </c>
      <c r="BR185" s="342">
        <v>0</v>
      </c>
      <c r="BS185" s="344">
        <v>39500000.000999995</v>
      </c>
      <c r="BU185" s="211">
        <v>181</v>
      </c>
      <c r="BV185" s="9" t="s">
        <v>243</v>
      </c>
      <c r="BW185" s="9">
        <v>2</v>
      </c>
      <c r="BX185" s="8" t="s">
        <v>445</v>
      </c>
      <c r="BY185" s="10" t="s">
        <v>357</v>
      </c>
      <c r="BZ185" s="9" t="s">
        <v>528</v>
      </c>
      <c r="CA185" s="346">
        <v>0</v>
      </c>
      <c r="CB185" s="347">
        <v>11000000</v>
      </c>
      <c r="CD185" s="211">
        <v>181</v>
      </c>
      <c r="CE185" s="211" t="s">
        <v>244</v>
      </c>
      <c r="CF185" s="211">
        <v>4</v>
      </c>
      <c r="CG185" s="8" t="s">
        <v>213</v>
      </c>
      <c r="CH185" s="10" t="s">
        <v>355</v>
      </c>
      <c r="CI185" s="10" t="s">
        <v>269</v>
      </c>
      <c r="CJ185" s="210">
        <v>0</v>
      </c>
      <c r="CK185" s="115">
        <v>20350000</v>
      </c>
      <c r="CM185" s="211">
        <v>1</v>
      </c>
      <c r="CN185" s="211" t="s">
        <v>243</v>
      </c>
      <c r="CO185" s="211">
        <v>2</v>
      </c>
      <c r="CP185" s="8" t="s">
        <v>218</v>
      </c>
      <c r="CQ185" s="10" t="s">
        <v>118</v>
      </c>
      <c r="CR185" s="9" t="s">
        <v>292</v>
      </c>
      <c r="CS185" s="210">
        <v>0</v>
      </c>
      <c r="CT185" s="115">
        <v>8223100</v>
      </c>
    </row>
    <row r="186" spans="1:98" s="35" customFormat="1" ht="12" customHeight="1">
      <c r="A186" s="165"/>
      <c r="B186" s="165"/>
      <c r="C186" s="165"/>
      <c r="D186" s="165"/>
      <c r="E186" s="165"/>
      <c r="F186" s="165"/>
      <c r="G186" s="165"/>
      <c r="H186" s="165"/>
      <c r="J186" s="165"/>
      <c r="K186" s="330"/>
      <c r="L186" s="330"/>
      <c r="M186" s="330"/>
      <c r="N186" s="330"/>
      <c r="O186" s="330"/>
      <c r="P186" s="330"/>
      <c r="Q186" s="330"/>
      <c r="S186" s="165"/>
      <c r="T186" s="330"/>
      <c r="U186" s="330"/>
      <c r="V186" s="330"/>
      <c r="W186" s="330"/>
      <c r="X186" s="330"/>
      <c r="Y186" s="330"/>
      <c r="Z186" s="330"/>
      <c r="AB186" s="165"/>
      <c r="AC186" s="330"/>
      <c r="AD186" s="330"/>
      <c r="AE186" s="330"/>
      <c r="AF186" s="330"/>
      <c r="AG186" s="330"/>
      <c r="AH186" s="330"/>
      <c r="AI186" s="330"/>
      <c r="AK186" s="165"/>
      <c r="AL186" s="330"/>
      <c r="AM186" s="330"/>
      <c r="AN186" s="330"/>
      <c r="AO186" s="330"/>
      <c r="AP186" s="330"/>
      <c r="AQ186" s="330"/>
      <c r="AR186" s="330"/>
      <c r="AS186" s="474"/>
      <c r="AT186" s="165"/>
      <c r="AU186" s="330"/>
      <c r="AV186" s="330"/>
      <c r="AW186" s="330"/>
      <c r="AX186" s="330"/>
      <c r="AY186" s="330"/>
      <c r="AZ186" s="330"/>
      <c r="BA186" s="330"/>
      <c r="BC186" s="165"/>
      <c r="BD186" s="330"/>
      <c r="BE186" s="330"/>
      <c r="BF186" s="330"/>
      <c r="BG186" s="330"/>
      <c r="BH186" s="330"/>
      <c r="BI186" s="330"/>
      <c r="BJ186" s="1098" t="e">
        <f ca="1">Sum_BM!CX75-'Outs Inv'!BJ159</f>
        <v>#VALUE!</v>
      </c>
      <c r="BL186" s="211">
        <v>182</v>
      </c>
      <c r="BM186" s="9" t="s">
        <v>243</v>
      </c>
      <c r="BN186" s="9">
        <v>8</v>
      </c>
      <c r="BO186" s="11" t="s">
        <v>108</v>
      </c>
      <c r="BP186" s="9" t="s">
        <v>354</v>
      </c>
      <c r="BQ186" s="9" t="s">
        <v>534</v>
      </c>
      <c r="BR186" s="346">
        <v>0</v>
      </c>
      <c r="BS186" s="347">
        <v>24200000</v>
      </c>
      <c r="BU186" s="211">
        <v>182</v>
      </c>
      <c r="BV186" s="9" t="s">
        <v>244</v>
      </c>
      <c r="BW186" s="9">
        <v>5</v>
      </c>
      <c r="BX186" s="8" t="s">
        <v>445</v>
      </c>
      <c r="BY186" s="10" t="s">
        <v>357</v>
      </c>
      <c r="BZ186" s="9" t="s">
        <v>583</v>
      </c>
      <c r="CA186" s="346">
        <v>0</v>
      </c>
      <c r="CB186" s="347">
        <v>11000000</v>
      </c>
      <c r="CD186" s="211">
        <v>182</v>
      </c>
      <c r="CE186" s="211" t="s">
        <v>245</v>
      </c>
      <c r="CF186" s="211">
        <v>21</v>
      </c>
      <c r="CG186" s="8" t="s">
        <v>213</v>
      </c>
      <c r="CH186" s="10" t="s">
        <v>355</v>
      </c>
      <c r="CI186" s="10" t="s">
        <v>270</v>
      </c>
      <c r="CJ186" s="210">
        <v>0</v>
      </c>
      <c r="CK186" s="115">
        <v>20350000</v>
      </c>
      <c r="CM186" s="1855" t="s">
        <v>68</v>
      </c>
      <c r="CN186" s="1855"/>
      <c r="CO186" s="1855"/>
      <c r="CP186" s="1855"/>
      <c r="CQ186" s="1855"/>
      <c r="CR186" s="1855"/>
      <c r="CS186" s="546">
        <f>SUM(CS185)</f>
        <v>0</v>
      </c>
      <c r="CT186" s="547">
        <f>SUM(CT185)</f>
        <v>8223100</v>
      </c>
    </row>
    <row r="187" spans="1:98" s="35" customFormat="1" ht="12" customHeight="1">
      <c r="A187" s="165"/>
      <c r="B187" s="165"/>
      <c r="C187" s="165"/>
      <c r="D187" s="165"/>
      <c r="E187" s="165"/>
      <c r="F187" s="165"/>
      <c r="G187" s="165"/>
      <c r="H187" s="165"/>
      <c r="J187" s="165"/>
      <c r="K187" s="330"/>
      <c r="L187" s="330"/>
      <c r="M187" s="330"/>
      <c r="N187" s="330"/>
      <c r="O187" s="330"/>
      <c r="P187" s="330"/>
      <c r="Q187" s="330"/>
      <c r="S187" s="165"/>
      <c r="T187" s="330"/>
      <c r="U187" s="330"/>
      <c r="V187" s="330"/>
      <c r="W187" s="330"/>
      <c r="X187" s="330"/>
      <c r="Y187" s="330"/>
      <c r="Z187" s="330"/>
      <c r="AB187" s="165"/>
      <c r="AC187" s="330"/>
      <c r="AD187" s="330"/>
      <c r="AE187" s="330"/>
      <c r="AF187" s="330"/>
      <c r="AG187" s="330"/>
      <c r="AH187" s="330"/>
      <c r="AI187" s="330"/>
      <c r="AK187" s="165"/>
      <c r="AL187" s="330"/>
      <c r="AM187" s="330"/>
      <c r="AN187" s="330"/>
      <c r="AO187" s="330"/>
      <c r="AP187" s="330"/>
      <c r="AQ187" s="330"/>
      <c r="AR187" s="330"/>
      <c r="AS187" s="474"/>
      <c r="AT187" s="165"/>
      <c r="AU187" s="330"/>
      <c r="AV187" s="330"/>
      <c r="AW187" s="330"/>
      <c r="AX187" s="330"/>
      <c r="AY187" s="330"/>
      <c r="AZ187" s="330"/>
      <c r="BA187" s="330"/>
      <c r="BC187" s="165"/>
      <c r="BD187" s="330"/>
      <c r="BE187" s="330"/>
      <c r="BF187" s="330"/>
      <c r="BG187" s="330"/>
      <c r="BH187" s="330"/>
      <c r="BI187" s="330"/>
      <c r="BJ187" s="330"/>
      <c r="BL187" s="211">
        <v>183</v>
      </c>
      <c r="BM187" s="9" t="s">
        <v>240</v>
      </c>
      <c r="BN187" s="9">
        <v>1</v>
      </c>
      <c r="BO187" s="8" t="s">
        <v>136</v>
      </c>
      <c r="BP187" s="10" t="s">
        <v>354</v>
      </c>
      <c r="BQ187" s="9" t="s">
        <v>421</v>
      </c>
      <c r="BR187" s="342">
        <v>0</v>
      </c>
      <c r="BS187" s="344">
        <v>1.3200000002980232</v>
      </c>
      <c r="BU187" s="211">
        <v>183</v>
      </c>
      <c r="BV187" s="211" t="s">
        <v>242</v>
      </c>
      <c r="BW187" s="211">
        <v>29</v>
      </c>
      <c r="BX187" s="8" t="s">
        <v>215</v>
      </c>
      <c r="BY187" s="10" t="s">
        <v>118</v>
      </c>
      <c r="BZ187" s="9" t="s">
        <v>273</v>
      </c>
      <c r="CA187" s="210">
        <v>99</v>
      </c>
      <c r="CB187" s="115">
        <v>0</v>
      </c>
      <c r="CD187" s="211">
        <v>183</v>
      </c>
      <c r="CE187" s="211" t="s">
        <v>238</v>
      </c>
      <c r="CF187" s="211">
        <v>4</v>
      </c>
      <c r="CG187" s="8" t="s">
        <v>213</v>
      </c>
      <c r="CH187" s="10" t="s">
        <v>355</v>
      </c>
      <c r="CI187" s="10" t="s">
        <v>271</v>
      </c>
      <c r="CJ187" s="210">
        <v>0</v>
      </c>
      <c r="CK187" s="115">
        <v>20350000</v>
      </c>
      <c r="CM187" s="211">
        <v>1</v>
      </c>
      <c r="CN187" s="9" t="s">
        <v>140</v>
      </c>
      <c r="CO187" s="9">
        <v>9</v>
      </c>
      <c r="CP187" s="8" t="s">
        <v>219</v>
      </c>
      <c r="CQ187" s="9" t="s">
        <v>63</v>
      </c>
      <c r="CR187" s="9" t="s">
        <v>293</v>
      </c>
      <c r="CS187" s="210">
        <v>0</v>
      </c>
      <c r="CT187" s="115">
        <v>5000000</v>
      </c>
    </row>
    <row r="188" spans="1:98" s="35" customFormat="1" ht="12" customHeight="1">
      <c r="A188" s="165"/>
      <c r="B188" s="165"/>
      <c r="C188" s="165"/>
      <c r="D188" s="165"/>
      <c r="E188" s="165"/>
      <c r="F188" s="165"/>
      <c r="G188" s="165"/>
      <c r="H188" s="165"/>
      <c r="J188" s="165"/>
      <c r="K188" s="330"/>
      <c r="L188" s="330"/>
      <c r="M188" s="330"/>
      <c r="N188" s="330"/>
      <c r="O188" s="330"/>
      <c r="P188" s="330"/>
      <c r="Q188" s="330"/>
      <c r="S188" s="165"/>
      <c r="T188" s="330"/>
      <c r="U188" s="330"/>
      <c r="V188" s="330"/>
      <c r="W188" s="330"/>
      <c r="X188" s="330"/>
      <c r="Y188" s="330"/>
      <c r="Z188" s="330"/>
      <c r="AB188" s="165"/>
      <c r="AC188" s="330"/>
      <c r="AD188" s="330"/>
      <c r="AE188" s="330"/>
      <c r="AF188" s="330"/>
      <c r="AG188" s="330"/>
      <c r="AH188" s="330"/>
      <c r="AI188" s="330"/>
      <c r="AK188" s="165"/>
      <c r="AL188" s="330"/>
      <c r="AM188" s="330"/>
      <c r="AN188" s="330"/>
      <c r="AO188" s="330"/>
      <c r="AP188" s="330"/>
      <c r="AQ188" s="330"/>
      <c r="AR188" s="330"/>
      <c r="AS188" s="474"/>
      <c r="AT188" s="165"/>
      <c r="AU188" s="330"/>
      <c r="AV188" s="330"/>
      <c r="AW188" s="330"/>
      <c r="AX188" s="330"/>
      <c r="AY188" s="330"/>
      <c r="AZ188" s="330"/>
      <c r="BA188" s="330"/>
      <c r="BC188" s="165"/>
      <c r="BD188" s="330"/>
      <c r="BE188" s="330"/>
      <c r="BF188" s="330"/>
      <c r="BG188" s="330"/>
      <c r="BH188" s="330"/>
      <c r="BI188" s="330"/>
      <c r="BJ188" s="330"/>
      <c r="BL188" s="211">
        <v>184</v>
      </c>
      <c r="BM188" s="9" t="s">
        <v>242</v>
      </c>
      <c r="BN188" s="9">
        <v>25</v>
      </c>
      <c r="BO188" s="8" t="s">
        <v>136</v>
      </c>
      <c r="BP188" s="10" t="s">
        <v>354</v>
      </c>
      <c r="BQ188" s="9" t="s">
        <v>498</v>
      </c>
      <c r="BR188" s="342">
        <v>0</v>
      </c>
      <c r="BS188" s="377">
        <v>29700000</v>
      </c>
      <c r="BU188" s="211">
        <v>184</v>
      </c>
      <c r="BV188" s="211" t="s">
        <v>195</v>
      </c>
      <c r="BW188" s="211">
        <v>4</v>
      </c>
      <c r="BX188" s="8" t="s">
        <v>214</v>
      </c>
      <c r="BY188" s="10" t="s">
        <v>118</v>
      </c>
      <c r="BZ188" s="9" t="s">
        <v>274</v>
      </c>
      <c r="CA188" s="210">
        <v>0</v>
      </c>
      <c r="CB188" s="115">
        <v>900000</v>
      </c>
      <c r="CD188" s="211">
        <v>184</v>
      </c>
      <c r="CE188" s="211" t="s">
        <v>140</v>
      </c>
      <c r="CF188" s="211">
        <v>3</v>
      </c>
      <c r="CG188" s="8" t="s">
        <v>213</v>
      </c>
      <c r="CH188" s="10" t="s">
        <v>355</v>
      </c>
      <c r="CI188" s="10" t="s">
        <v>272</v>
      </c>
      <c r="CJ188" s="210">
        <v>0</v>
      </c>
      <c r="CK188" s="115">
        <v>20350000</v>
      </c>
      <c r="CM188" s="1855" t="s">
        <v>68</v>
      </c>
      <c r="CN188" s="1855"/>
      <c r="CO188" s="1855"/>
      <c r="CP188" s="1855"/>
      <c r="CQ188" s="1855"/>
      <c r="CR188" s="1855"/>
      <c r="CS188" s="546">
        <f>SUM(CS187)</f>
        <v>0</v>
      </c>
      <c r="CT188" s="547">
        <f>SUM(CT187)</f>
        <v>5000000</v>
      </c>
    </row>
    <row r="189" spans="1:98" s="35" customFormat="1" ht="12" customHeight="1">
      <c r="A189" s="165"/>
      <c r="B189" s="163"/>
      <c r="C189" s="163"/>
      <c r="D189" s="156"/>
      <c r="E189" s="375"/>
      <c r="F189" s="163"/>
      <c r="G189" s="367"/>
      <c r="H189" s="368"/>
      <c r="J189" s="165"/>
      <c r="K189" s="163"/>
      <c r="L189" s="163"/>
      <c r="M189" s="156"/>
      <c r="N189" s="375"/>
      <c r="O189" s="163"/>
      <c r="P189" s="367"/>
      <c r="Q189" s="368"/>
      <c r="S189" s="165"/>
      <c r="T189" s="163"/>
      <c r="U189" s="163"/>
      <c r="V189" s="156"/>
      <c r="W189" s="375"/>
      <c r="X189" s="163"/>
      <c r="Y189" s="367"/>
      <c r="Z189" s="368"/>
      <c r="AB189" s="165"/>
      <c r="AC189" s="163"/>
      <c r="AD189" s="163"/>
      <c r="AE189" s="156"/>
      <c r="AF189" s="375"/>
      <c r="AG189" s="163"/>
      <c r="AH189" s="367"/>
      <c r="AI189" s="368"/>
      <c r="AK189" s="165"/>
      <c r="AL189" s="163"/>
      <c r="AM189" s="163"/>
      <c r="AN189" s="156"/>
      <c r="AO189" s="375"/>
      <c r="AP189" s="163"/>
      <c r="AQ189" s="367"/>
      <c r="AR189" s="368"/>
      <c r="AS189" s="474"/>
      <c r="AT189" s="165"/>
      <c r="AU189" s="163"/>
      <c r="AV189" s="163"/>
      <c r="AW189" s="156"/>
      <c r="AX189" s="375"/>
      <c r="AY189" s="163"/>
      <c r="AZ189" s="367"/>
      <c r="BA189" s="368"/>
      <c r="BC189" s="165"/>
      <c r="BD189" s="163"/>
      <c r="BE189" s="163"/>
      <c r="BF189" s="156"/>
      <c r="BG189" s="375"/>
      <c r="BH189" s="163"/>
      <c r="BI189" s="367"/>
      <c r="BJ189" s="368"/>
      <c r="BL189" s="211">
        <v>185</v>
      </c>
      <c r="BM189" s="9" t="s">
        <v>243</v>
      </c>
      <c r="BN189" s="9">
        <v>1</v>
      </c>
      <c r="BO189" s="8" t="s">
        <v>136</v>
      </c>
      <c r="BP189" s="10" t="s">
        <v>354</v>
      </c>
      <c r="BQ189" s="9" t="s">
        <v>558</v>
      </c>
      <c r="BR189" s="346">
        <v>0</v>
      </c>
      <c r="BS189" s="347">
        <v>37950000</v>
      </c>
      <c r="BU189" s="211">
        <v>185</v>
      </c>
      <c r="BV189" s="9" t="s">
        <v>244</v>
      </c>
      <c r="BW189" s="9">
        <v>8</v>
      </c>
      <c r="BX189" s="8" t="s">
        <v>412</v>
      </c>
      <c r="BY189" s="9" t="s">
        <v>354</v>
      </c>
      <c r="BZ189" s="9" t="s">
        <v>590</v>
      </c>
      <c r="CA189" s="346">
        <v>0</v>
      </c>
      <c r="CB189" s="347">
        <v>24200000</v>
      </c>
      <c r="CD189" s="211">
        <v>185</v>
      </c>
      <c r="CE189" s="9" t="s">
        <v>140</v>
      </c>
      <c r="CF189" s="9">
        <v>15</v>
      </c>
      <c r="CG189" s="8" t="s">
        <v>1623</v>
      </c>
      <c r="CH189" s="10" t="s">
        <v>144</v>
      </c>
      <c r="CI189" s="9" t="s">
        <v>1624</v>
      </c>
      <c r="CJ189" s="346">
        <v>0</v>
      </c>
      <c r="CK189" s="347">
        <v>66000000</v>
      </c>
      <c r="CM189" s="211">
        <v>1</v>
      </c>
      <c r="CN189" s="9" t="s">
        <v>238</v>
      </c>
      <c r="CO189" s="9">
        <v>1</v>
      </c>
      <c r="CP189" s="8" t="s">
        <v>98</v>
      </c>
      <c r="CQ189" s="10" t="s">
        <v>62</v>
      </c>
      <c r="CR189" s="9" t="s">
        <v>657</v>
      </c>
      <c r="CS189" s="346">
        <v>0</v>
      </c>
      <c r="CT189" s="347">
        <v>37290000</v>
      </c>
    </row>
    <row r="190" spans="1:98" s="35" customFormat="1" ht="12" customHeight="1">
      <c r="A190" s="165"/>
      <c r="B190" s="163"/>
      <c r="C190" s="163"/>
      <c r="D190" s="156"/>
      <c r="E190" s="375"/>
      <c r="F190" s="163"/>
      <c r="G190" s="367"/>
      <c r="H190" s="368"/>
      <c r="J190" s="165"/>
      <c r="K190" s="163"/>
      <c r="L190" s="163"/>
      <c r="M190" s="156"/>
      <c r="N190" s="375"/>
      <c r="O190" s="163"/>
      <c r="P190" s="367"/>
      <c r="Q190" s="368"/>
      <c r="S190" s="165"/>
      <c r="T190" s="163"/>
      <c r="U190" s="163"/>
      <c r="V190" s="156"/>
      <c r="W190" s="375"/>
      <c r="X190" s="163"/>
      <c r="Y190" s="367"/>
      <c r="Z190" s="368"/>
      <c r="AB190" s="165"/>
      <c r="AC190" s="163"/>
      <c r="AD190" s="163"/>
      <c r="AE190" s="156"/>
      <c r="AF190" s="375"/>
      <c r="AG190" s="163"/>
      <c r="AH190" s="367"/>
      <c r="AI190" s="368"/>
      <c r="AK190" s="165"/>
      <c r="AL190" s="163"/>
      <c r="AM190" s="163"/>
      <c r="AN190" s="156"/>
      <c r="AO190" s="375"/>
      <c r="AP190" s="163"/>
      <c r="AQ190" s="367"/>
      <c r="AR190" s="368"/>
      <c r="AS190" s="474"/>
      <c r="AT190" s="165"/>
      <c r="AU190" s="163"/>
      <c r="AV190" s="163"/>
      <c r="AW190" s="156"/>
      <c r="AX190" s="375"/>
      <c r="AY190" s="163"/>
      <c r="AZ190" s="367"/>
      <c r="BA190" s="368"/>
      <c r="BC190" s="165"/>
      <c r="BD190" s="163"/>
      <c r="BE190" s="163"/>
      <c r="BF190" s="156"/>
      <c r="BG190" s="375"/>
      <c r="BH190" s="163"/>
      <c r="BI190" s="367"/>
      <c r="BJ190" s="368"/>
      <c r="BL190" s="211">
        <v>186</v>
      </c>
      <c r="BM190" s="9" t="s">
        <v>243</v>
      </c>
      <c r="BN190" s="9">
        <v>1</v>
      </c>
      <c r="BO190" s="8" t="s">
        <v>136</v>
      </c>
      <c r="BP190" s="10" t="s">
        <v>354</v>
      </c>
      <c r="BQ190" s="9" t="s">
        <v>519</v>
      </c>
      <c r="BR190" s="342">
        <v>0</v>
      </c>
      <c r="BS190" s="347">
        <v>54450000</v>
      </c>
      <c r="BU190" s="211">
        <v>186</v>
      </c>
      <c r="BV190" s="211" t="s">
        <v>140</v>
      </c>
      <c r="BW190" s="211">
        <v>1</v>
      </c>
      <c r="BX190" s="8" t="s">
        <v>216</v>
      </c>
      <c r="BY190" s="9" t="s">
        <v>354</v>
      </c>
      <c r="BZ190" s="9" t="s">
        <v>275</v>
      </c>
      <c r="CA190" s="210">
        <v>620</v>
      </c>
      <c r="CB190" s="115">
        <v>0</v>
      </c>
      <c r="CD190" s="211">
        <v>186</v>
      </c>
      <c r="CE190" s="9" t="s">
        <v>238</v>
      </c>
      <c r="CF190" s="9">
        <v>4</v>
      </c>
      <c r="CG190" s="8" t="s">
        <v>445</v>
      </c>
      <c r="CH190" s="10" t="s">
        <v>357</v>
      </c>
      <c r="CI190" s="9" t="s">
        <v>647</v>
      </c>
      <c r="CJ190" s="346">
        <v>0</v>
      </c>
      <c r="CK190" s="347">
        <v>11000000</v>
      </c>
      <c r="CM190" s="211">
        <v>2</v>
      </c>
      <c r="CN190" s="9" t="s">
        <v>238</v>
      </c>
      <c r="CO190" s="9">
        <v>24</v>
      </c>
      <c r="CP190" s="8" t="s">
        <v>98</v>
      </c>
      <c r="CQ190" s="10" t="s">
        <v>62</v>
      </c>
      <c r="CR190" s="9" t="s">
        <v>1608</v>
      </c>
      <c r="CS190" s="346">
        <v>0</v>
      </c>
      <c r="CT190" s="347">
        <v>90507905.400000006</v>
      </c>
    </row>
    <row r="191" spans="1:98" s="35" customFormat="1" ht="12" customHeight="1">
      <c r="A191" s="165"/>
      <c r="B191" s="163"/>
      <c r="C191" s="163"/>
      <c r="D191" s="156"/>
      <c r="E191" s="375"/>
      <c r="F191" s="163"/>
      <c r="G191" s="165"/>
      <c r="H191" s="165"/>
      <c r="J191" s="165"/>
      <c r="K191" s="163"/>
      <c r="L191" s="163"/>
      <c r="M191" s="156"/>
      <c r="N191" s="375"/>
      <c r="O191" s="163"/>
      <c r="P191" s="330"/>
      <c r="Q191" s="330"/>
      <c r="S191" s="165"/>
      <c r="T191" s="163"/>
      <c r="U191" s="163"/>
      <c r="V191" s="156"/>
      <c r="W191" s="375"/>
      <c r="X191" s="163"/>
      <c r="Y191" s="330"/>
      <c r="Z191" s="330"/>
      <c r="AB191" s="165"/>
      <c r="AC191" s="163"/>
      <c r="AD191" s="163"/>
      <c r="AE191" s="156"/>
      <c r="AF191" s="375"/>
      <c r="AG191" s="163"/>
      <c r="AH191" s="330"/>
      <c r="AI191" s="330"/>
      <c r="AK191" s="165"/>
      <c r="AL191" s="163"/>
      <c r="AM191" s="163"/>
      <c r="AN191" s="156"/>
      <c r="AO191" s="375"/>
      <c r="AP191" s="163"/>
      <c r="AQ191" s="330"/>
      <c r="AR191" s="330"/>
      <c r="AS191" s="474"/>
      <c r="AT191" s="165"/>
      <c r="AU191" s="163"/>
      <c r="AV191" s="163"/>
      <c r="AW191" s="156"/>
      <c r="AX191" s="375"/>
      <c r="AY191" s="163"/>
      <c r="AZ191" s="330"/>
      <c r="BA191" s="330"/>
      <c r="BC191" s="165"/>
      <c r="BD191" s="163"/>
      <c r="BE191" s="163"/>
      <c r="BF191" s="156"/>
      <c r="BG191" s="375"/>
      <c r="BH191" s="163"/>
      <c r="BI191" s="330"/>
      <c r="BJ191" s="330"/>
      <c r="BK191" s="383">
        <f>SUM(BJ187:BJ191)</f>
        <v>0</v>
      </c>
      <c r="BL191" s="211">
        <v>187</v>
      </c>
      <c r="BM191" s="9" t="s">
        <v>243</v>
      </c>
      <c r="BN191" s="9">
        <v>1</v>
      </c>
      <c r="BO191" s="8" t="s">
        <v>136</v>
      </c>
      <c r="BP191" s="10" t="s">
        <v>354</v>
      </c>
      <c r="BQ191" s="9" t="s">
        <v>518</v>
      </c>
      <c r="BR191" s="342">
        <v>0</v>
      </c>
      <c r="BS191" s="347">
        <v>54450000</v>
      </c>
      <c r="BU191" s="211">
        <v>187</v>
      </c>
      <c r="BV191" s="211" t="s">
        <v>194</v>
      </c>
      <c r="BW191" s="211">
        <v>10</v>
      </c>
      <c r="BX191" s="8" t="s">
        <v>216</v>
      </c>
      <c r="BY191" s="9" t="s">
        <v>354</v>
      </c>
      <c r="BZ191" s="9" t="s">
        <v>276</v>
      </c>
      <c r="CA191" s="210">
        <v>1650</v>
      </c>
      <c r="CB191" s="115">
        <v>0</v>
      </c>
      <c r="CD191" s="211">
        <v>187</v>
      </c>
      <c r="CE191" s="9" t="s">
        <v>140</v>
      </c>
      <c r="CF191" s="9">
        <v>1</v>
      </c>
      <c r="CG191" s="8" t="s">
        <v>445</v>
      </c>
      <c r="CH191" s="10" t="s">
        <v>357</v>
      </c>
      <c r="CI191" s="9" t="s">
        <v>1558</v>
      </c>
      <c r="CJ191" s="346">
        <v>0</v>
      </c>
      <c r="CK191" s="347">
        <v>11000000</v>
      </c>
      <c r="CM191" s="211">
        <v>3</v>
      </c>
      <c r="CN191" s="9" t="s">
        <v>140</v>
      </c>
      <c r="CO191" s="9">
        <v>21</v>
      </c>
      <c r="CP191" s="8" t="s">
        <v>98</v>
      </c>
      <c r="CQ191" s="10" t="s">
        <v>62</v>
      </c>
      <c r="CR191" s="9" t="s">
        <v>1640</v>
      </c>
      <c r="CS191" s="346">
        <v>0</v>
      </c>
      <c r="CT191" s="347">
        <v>263104087.40000001</v>
      </c>
    </row>
    <row r="192" spans="1:98" s="35" customFormat="1" ht="12" customHeight="1" thickBot="1">
      <c r="A192" s="165"/>
      <c r="B192" s="165"/>
      <c r="C192" s="165"/>
      <c r="D192" s="165"/>
      <c r="E192" s="165"/>
      <c r="F192" s="165"/>
      <c r="G192" s="165"/>
      <c r="H192" s="165"/>
      <c r="J192" s="165"/>
      <c r="K192" s="330"/>
      <c r="L192" s="330"/>
      <c r="M192" s="330"/>
      <c r="N192" s="330"/>
      <c r="O192" s="330"/>
      <c r="P192" s="330"/>
      <c r="Q192" s="330"/>
      <c r="S192" s="165"/>
      <c r="T192" s="330"/>
      <c r="U192" s="330"/>
      <c r="V192" s="330"/>
      <c r="W192" s="330"/>
      <c r="X192" s="330"/>
      <c r="Y192" s="330"/>
      <c r="Z192" s="330"/>
      <c r="AB192" s="165"/>
      <c r="AC192" s="330"/>
      <c r="AD192" s="330"/>
      <c r="AE192" s="330"/>
      <c r="AF192" s="330"/>
      <c r="AG192" s="330"/>
      <c r="AH192" s="330"/>
      <c r="AI192" s="330"/>
      <c r="AK192" s="165"/>
      <c r="AL192" s="330"/>
      <c r="AM192" s="330"/>
      <c r="AN192" s="330"/>
      <c r="AO192" s="330"/>
      <c r="AP192" s="330"/>
      <c r="AQ192" s="330"/>
      <c r="AR192" s="330"/>
      <c r="AS192" s="474"/>
      <c r="AT192" s="165"/>
      <c r="AU192" s="330"/>
      <c r="AV192" s="330"/>
      <c r="AW192" s="330"/>
      <c r="AX192" s="330"/>
      <c r="AY192" s="330"/>
      <c r="AZ192" s="330"/>
      <c r="BA192" s="330"/>
      <c r="BC192" s="165"/>
      <c r="BD192" s="330"/>
      <c r="BE192" s="330"/>
      <c r="BF192" s="330"/>
      <c r="BG192" s="330"/>
      <c r="BH192" s="330"/>
      <c r="BI192" s="330"/>
      <c r="BJ192" s="330"/>
      <c r="BK192" s="43">
        <v>32400000</v>
      </c>
      <c r="BL192" s="211">
        <v>188</v>
      </c>
      <c r="BM192" s="211" t="s">
        <v>244</v>
      </c>
      <c r="BN192" s="211">
        <v>24</v>
      </c>
      <c r="BO192" s="8" t="s">
        <v>212</v>
      </c>
      <c r="BP192" s="10" t="s">
        <v>62</v>
      </c>
      <c r="BQ192" s="10" t="s">
        <v>264</v>
      </c>
      <c r="BR192" s="210">
        <v>0</v>
      </c>
      <c r="BS192" s="115">
        <v>45900000</v>
      </c>
      <c r="BU192" s="211">
        <v>188</v>
      </c>
      <c r="BV192" s="211" t="s">
        <v>195</v>
      </c>
      <c r="BW192" s="211">
        <v>2</v>
      </c>
      <c r="BX192" s="8" t="s">
        <v>216</v>
      </c>
      <c r="BY192" s="9" t="s">
        <v>354</v>
      </c>
      <c r="BZ192" s="9" t="s">
        <v>277</v>
      </c>
      <c r="CA192" s="210">
        <v>1650</v>
      </c>
      <c r="CB192" s="115">
        <v>0</v>
      </c>
      <c r="CD192" s="211">
        <v>188</v>
      </c>
      <c r="CE192" s="211" t="s">
        <v>242</v>
      </c>
      <c r="CF192" s="211">
        <v>29</v>
      </c>
      <c r="CG192" s="8" t="s">
        <v>215</v>
      </c>
      <c r="CH192" s="10" t="s">
        <v>118</v>
      </c>
      <c r="CI192" s="9" t="s">
        <v>273</v>
      </c>
      <c r="CJ192" s="210">
        <v>99</v>
      </c>
      <c r="CK192" s="115">
        <v>0</v>
      </c>
      <c r="CM192" s="1855" t="s">
        <v>68</v>
      </c>
      <c r="CN192" s="1855"/>
      <c r="CO192" s="1855"/>
      <c r="CP192" s="1855"/>
      <c r="CQ192" s="1855"/>
      <c r="CR192" s="1855"/>
      <c r="CS192" s="546">
        <f>SUM(CS189:CS191)</f>
        <v>0</v>
      </c>
      <c r="CT192" s="547">
        <f>SUM(CT189:CT191)</f>
        <v>390901992.80000001</v>
      </c>
    </row>
    <row r="193" spans="1:98" s="35" customFormat="1" ht="12" customHeight="1" thickBot="1">
      <c r="A193" s="165"/>
      <c r="B193" s="165"/>
      <c r="C193" s="165"/>
      <c r="D193" s="165"/>
      <c r="E193" s="165"/>
      <c r="F193" s="165"/>
      <c r="G193" s="165"/>
      <c r="H193" s="165"/>
      <c r="J193" s="165"/>
      <c r="K193" s="330"/>
      <c r="L193" s="330"/>
      <c r="M193" s="330"/>
      <c r="N193" s="330"/>
      <c r="O193" s="330"/>
      <c r="P193" s="330"/>
      <c r="Q193" s="330"/>
      <c r="S193" s="165"/>
      <c r="T193" s="330"/>
      <c r="U193" s="330"/>
      <c r="V193" s="330"/>
      <c r="W193" s="330"/>
      <c r="X193" s="330"/>
      <c r="Y193" s="330"/>
      <c r="Z193" s="330"/>
      <c r="AB193" s="165"/>
      <c r="AC193" s="330"/>
      <c r="AD193" s="330"/>
      <c r="AE193" s="330"/>
      <c r="AF193" s="330"/>
      <c r="AG193" s="330"/>
      <c r="AH193" s="330"/>
      <c r="AI193" s="330"/>
      <c r="AK193" s="165"/>
      <c r="AL193" s="330"/>
      <c r="AM193" s="330"/>
      <c r="AN193" s="330"/>
      <c r="AO193" s="330"/>
      <c r="AP193" s="330"/>
      <c r="AQ193" s="330"/>
      <c r="AR193" s="330"/>
      <c r="AS193" s="474"/>
      <c r="AT193" s="165"/>
      <c r="AU193" s="330"/>
      <c r="AV193" s="330"/>
      <c r="AW193" s="330"/>
      <c r="AX193" s="330"/>
      <c r="AY193" s="330"/>
      <c r="AZ193" s="330"/>
      <c r="BA193" s="330"/>
      <c r="BC193" s="165"/>
      <c r="BD193" s="330"/>
      <c r="BE193" s="330"/>
      <c r="BF193" s="330"/>
      <c r="BG193" s="330"/>
      <c r="BH193" s="330"/>
      <c r="BI193" s="330"/>
      <c r="BJ193" s="330"/>
      <c r="BK193" s="384">
        <f>BK191-BK192</f>
        <v>-32400000</v>
      </c>
      <c r="BL193" s="211">
        <v>189</v>
      </c>
      <c r="BM193" s="211" t="s">
        <v>244</v>
      </c>
      <c r="BN193" s="211">
        <v>24</v>
      </c>
      <c r="BO193" s="8" t="s">
        <v>212</v>
      </c>
      <c r="BP193" s="10" t="s">
        <v>62</v>
      </c>
      <c r="BQ193" s="10" t="s">
        <v>265</v>
      </c>
      <c r="BR193" s="210">
        <v>0</v>
      </c>
      <c r="BS193" s="115">
        <v>900000</v>
      </c>
      <c r="BU193" s="211">
        <v>189</v>
      </c>
      <c r="BV193" s="211" t="s">
        <v>240</v>
      </c>
      <c r="BW193" s="211">
        <v>3</v>
      </c>
      <c r="BX193" s="8" t="s">
        <v>216</v>
      </c>
      <c r="BY193" s="9" t="s">
        <v>354</v>
      </c>
      <c r="BZ193" s="9" t="s">
        <v>278</v>
      </c>
      <c r="CA193" s="210">
        <v>1650</v>
      </c>
      <c r="CB193" s="115">
        <v>0</v>
      </c>
      <c r="CD193" s="211">
        <v>189</v>
      </c>
      <c r="CE193" s="9" t="s">
        <v>140</v>
      </c>
      <c r="CF193" s="9">
        <v>1</v>
      </c>
      <c r="CG193" s="8" t="s">
        <v>412</v>
      </c>
      <c r="CH193" s="9" t="s">
        <v>354</v>
      </c>
      <c r="CI193" s="9" t="s">
        <v>1559</v>
      </c>
      <c r="CJ193" s="346">
        <v>0</v>
      </c>
      <c r="CK193" s="347">
        <v>24200000</v>
      </c>
      <c r="CM193" s="1863" t="s">
        <v>61</v>
      </c>
      <c r="CN193" s="1864"/>
      <c r="CO193" s="1864"/>
      <c r="CP193" s="1864"/>
      <c r="CQ193" s="1864"/>
      <c r="CR193" s="1865"/>
      <c r="CS193" s="548">
        <f>SUM(CS12,CS24,CS31,CS33,CS35,CS37,CS39,CS44,CS47,CS51,CS53,CS57,CS59,CS61,CS64,CS66,CS68,CS70,CS95,CS97,CS104,CS106,CS108,CS111,CS113,CS115,CS117,CS119,CS123,CS125,CS130,CS133,CS139,CS145,CS147,CS150,CS152,CS154,CS159,CS171,CS184,CS186,CS192)</f>
        <v>12049</v>
      </c>
      <c r="CT193" s="549">
        <f>SUM(CT12,CT24,CT31,CT33,CT35,CT37,CT39,CT44,CT47,CT51,CT53,CT57,CT59,CT61,CT64,CT66,CT68,CT70,CT95,CT97,CT104,CT106,CT108,CT111,CT113,CT115,CT117,CT119,CT123,CT125,CT130,CT133,CT139,CT145,CT147,CT150,CT152,CT154,CT159,CT171,CT184,CT186,,CT188,CT192,CT101)</f>
        <v>7824150887.2220001</v>
      </c>
    </row>
    <row r="194" spans="1:98" s="35" customFormat="1" ht="12" customHeight="1">
      <c r="A194" s="165"/>
      <c r="B194" s="165"/>
      <c r="C194" s="165"/>
      <c r="D194" s="165"/>
      <c r="E194" s="165"/>
      <c r="F194" s="165"/>
      <c r="G194" s="165"/>
      <c r="H194" s="165"/>
      <c r="J194" s="165"/>
      <c r="K194" s="330"/>
      <c r="L194" s="330"/>
      <c r="M194" s="330"/>
      <c r="N194" s="330"/>
      <c r="O194" s="330"/>
      <c r="P194" s="330"/>
      <c r="Q194" s="330"/>
      <c r="S194" s="165"/>
      <c r="T194" s="330"/>
      <c r="U194" s="330"/>
      <c r="V194" s="330"/>
      <c r="W194" s="330"/>
      <c r="X194" s="330"/>
      <c r="Y194" s="330"/>
      <c r="Z194" s="330"/>
      <c r="AB194" s="165"/>
      <c r="AC194" s="330"/>
      <c r="AD194" s="330"/>
      <c r="AE194" s="330"/>
      <c r="AF194" s="330"/>
      <c r="AG194" s="330"/>
      <c r="AH194" s="330"/>
      <c r="AI194" s="330"/>
      <c r="AK194" s="165"/>
      <c r="AL194" s="330"/>
      <c r="AM194" s="330"/>
      <c r="AN194" s="330"/>
      <c r="AO194" s="330"/>
      <c r="AP194" s="330"/>
      <c r="AQ194" s="330"/>
      <c r="AR194" s="330"/>
      <c r="AS194" s="474"/>
      <c r="AT194" s="165"/>
      <c r="AU194" s="330"/>
      <c r="AV194" s="330"/>
      <c r="AW194" s="330"/>
      <c r="AX194" s="330"/>
      <c r="AY194" s="330"/>
      <c r="AZ194" s="330"/>
      <c r="BA194" s="330"/>
      <c r="BC194" s="165"/>
      <c r="BD194" s="330"/>
      <c r="BE194" s="330"/>
      <c r="BF194" s="330"/>
      <c r="BG194" s="330"/>
      <c r="BH194" s="330"/>
      <c r="BI194" s="330"/>
      <c r="BJ194" s="330"/>
      <c r="BK194" s="384">
        <f>26100000*3</f>
        <v>78300000</v>
      </c>
      <c r="BL194" s="211">
        <v>190</v>
      </c>
      <c r="BM194" s="211" t="s">
        <v>244</v>
      </c>
      <c r="BN194" s="211">
        <v>24</v>
      </c>
      <c r="BO194" s="8" t="s">
        <v>212</v>
      </c>
      <c r="BP194" s="10" t="s">
        <v>62</v>
      </c>
      <c r="BQ194" s="10" t="s">
        <v>266</v>
      </c>
      <c r="BR194" s="210">
        <v>0</v>
      </c>
      <c r="BS194" s="115">
        <v>4500000</v>
      </c>
      <c r="BU194" s="211">
        <v>190</v>
      </c>
      <c r="BV194" s="211" t="s">
        <v>194</v>
      </c>
      <c r="BW194" s="211">
        <v>18</v>
      </c>
      <c r="BX194" s="8" t="s">
        <v>217</v>
      </c>
      <c r="BY194" s="9" t="s">
        <v>144</v>
      </c>
      <c r="BZ194" s="9" t="s">
        <v>279</v>
      </c>
      <c r="CA194" s="210">
        <v>0</v>
      </c>
      <c r="CB194" s="115">
        <v>9353850</v>
      </c>
      <c r="CD194" s="211">
        <v>190</v>
      </c>
      <c r="CE194" s="211" t="s">
        <v>140</v>
      </c>
      <c r="CF194" s="211">
        <v>1</v>
      </c>
      <c r="CG194" s="8" t="s">
        <v>216</v>
      </c>
      <c r="CH194" s="9" t="s">
        <v>354</v>
      </c>
      <c r="CI194" s="9" t="s">
        <v>275</v>
      </c>
      <c r="CJ194" s="210">
        <v>620</v>
      </c>
      <c r="CK194" s="115">
        <v>0</v>
      </c>
    </row>
    <row r="195" spans="1:98" s="35" customFormat="1" ht="12" customHeight="1">
      <c r="A195" s="165"/>
      <c r="B195" s="165"/>
      <c r="C195" s="165"/>
      <c r="D195" s="165"/>
      <c r="E195" s="165"/>
      <c r="F195" s="165"/>
      <c r="G195" s="165"/>
      <c r="H195" s="165"/>
      <c r="J195" s="165"/>
      <c r="K195" s="330"/>
      <c r="L195" s="330"/>
      <c r="M195" s="330"/>
      <c r="N195" s="330"/>
      <c r="O195" s="330"/>
      <c r="P195" s="330"/>
      <c r="Q195" s="330"/>
      <c r="S195" s="165"/>
      <c r="T195" s="330"/>
      <c r="U195" s="330"/>
      <c r="V195" s="330"/>
      <c r="W195" s="330"/>
      <c r="X195" s="330"/>
      <c r="Y195" s="330"/>
      <c r="Z195" s="330"/>
      <c r="AB195" s="165"/>
      <c r="AC195" s="330"/>
      <c r="AD195" s="330"/>
      <c r="AE195" s="330"/>
      <c r="AF195" s="330"/>
      <c r="AG195" s="330"/>
      <c r="AH195" s="330"/>
      <c r="AI195" s="330"/>
      <c r="AK195" s="165"/>
      <c r="AL195" s="330"/>
      <c r="AM195" s="330"/>
      <c r="AN195" s="330"/>
      <c r="AO195" s="330"/>
      <c r="AP195" s="330"/>
      <c r="AQ195" s="330"/>
      <c r="AR195" s="330"/>
      <c r="AS195" s="474"/>
      <c r="AT195" s="165"/>
      <c r="AU195" s="330"/>
      <c r="AV195" s="330"/>
      <c r="AW195" s="330"/>
      <c r="AX195" s="330"/>
      <c r="AY195" s="330"/>
      <c r="AZ195" s="330"/>
      <c r="BA195" s="330"/>
      <c r="BC195" s="165"/>
      <c r="BD195" s="330"/>
      <c r="BE195" s="330"/>
      <c r="BF195" s="330"/>
      <c r="BG195" s="330"/>
      <c r="BH195" s="330"/>
      <c r="BI195" s="330"/>
      <c r="BJ195" s="330"/>
      <c r="BK195" s="384">
        <f>BK193-BK194</f>
        <v>-110700000</v>
      </c>
      <c r="BL195" s="211">
        <v>191</v>
      </c>
      <c r="BM195" s="211" t="s">
        <v>244</v>
      </c>
      <c r="BN195" s="211">
        <v>24</v>
      </c>
      <c r="BO195" s="8" t="s">
        <v>212</v>
      </c>
      <c r="BP195" s="10" t="s">
        <v>62</v>
      </c>
      <c r="BQ195" s="10" t="s">
        <v>267</v>
      </c>
      <c r="BR195" s="210">
        <v>0</v>
      </c>
      <c r="BS195" s="115">
        <v>27900000</v>
      </c>
      <c r="BT195" s="383"/>
      <c r="BU195" s="211">
        <v>191</v>
      </c>
      <c r="BV195" s="211" t="s">
        <v>194</v>
      </c>
      <c r="BW195" s="211">
        <v>8</v>
      </c>
      <c r="BX195" s="8" t="s">
        <v>217</v>
      </c>
      <c r="BY195" s="9" t="s">
        <v>118</v>
      </c>
      <c r="BZ195" s="9" t="s">
        <v>280</v>
      </c>
      <c r="CA195" s="210">
        <v>0</v>
      </c>
      <c r="CB195" s="115">
        <v>3750000</v>
      </c>
      <c r="CD195" s="211">
        <v>191</v>
      </c>
      <c r="CE195" s="211" t="s">
        <v>194</v>
      </c>
      <c r="CF195" s="211">
        <v>10</v>
      </c>
      <c r="CG195" s="8" t="s">
        <v>216</v>
      </c>
      <c r="CH195" s="9" t="s">
        <v>354</v>
      </c>
      <c r="CI195" s="9" t="s">
        <v>276</v>
      </c>
      <c r="CJ195" s="210">
        <v>1650</v>
      </c>
      <c r="CK195" s="115">
        <v>0</v>
      </c>
    </row>
    <row r="196" spans="1:98" s="35" customFormat="1" ht="12" customHeight="1">
      <c r="A196" s="165"/>
      <c r="B196" s="165"/>
      <c r="C196" s="165"/>
      <c r="D196" s="165"/>
      <c r="E196" s="165"/>
      <c r="F196" s="165"/>
      <c r="G196" s="165"/>
      <c r="H196" s="165"/>
      <c r="J196" s="165"/>
      <c r="K196" s="330"/>
      <c r="L196" s="330"/>
      <c r="M196" s="330"/>
      <c r="N196" s="330"/>
      <c r="O196" s="330"/>
      <c r="P196" s="330"/>
      <c r="Q196" s="330"/>
      <c r="S196" s="165"/>
      <c r="T196" s="330"/>
      <c r="U196" s="330"/>
      <c r="V196" s="330"/>
      <c r="W196" s="330"/>
      <c r="X196" s="330"/>
      <c r="Y196" s="330"/>
      <c r="Z196" s="330"/>
      <c r="AB196" s="165"/>
      <c r="AC196" s="330"/>
      <c r="AD196" s="330"/>
      <c r="AE196" s="330"/>
      <c r="AF196" s="330"/>
      <c r="AG196" s="330"/>
      <c r="AH196" s="330"/>
      <c r="AI196" s="330"/>
      <c r="AK196" s="165"/>
      <c r="AL196" s="330"/>
      <c r="AM196" s="330"/>
      <c r="AN196" s="330"/>
      <c r="AO196" s="330"/>
      <c r="AP196" s="330"/>
      <c r="AQ196" s="330"/>
      <c r="AR196" s="330"/>
      <c r="AS196" s="474"/>
      <c r="AT196" s="165"/>
      <c r="AU196" s="330"/>
      <c r="AV196" s="330"/>
      <c r="AW196" s="330"/>
      <c r="AX196" s="330"/>
      <c r="AY196" s="330"/>
      <c r="AZ196" s="330"/>
      <c r="BA196" s="330"/>
      <c r="BC196" s="165"/>
      <c r="BD196" s="330"/>
      <c r="BE196" s="330"/>
      <c r="BF196" s="330"/>
      <c r="BG196" s="330"/>
      <c r="BH196" s="330"/>
      <c r="BI196" s="330"/>
      <c r="BJ196" s="330"/>
      <c r="BL196" s="211">
        <v>192</v>
      </c>
      <c r="BM196" s="9" t="s">
        <v>239</v>
      </c>
      <c r="BN196" s="9">
        <v>7</v>
      </c>
      <c r="BO196" s="8" t="s">
        <v>212</v>
      </c>
      <c r="BP196" s="10" t="s">
        <v>62</v>
      </c>
      <c r="BQ196" s="9" t="s">
        <v>392</v>
      </c>
      <c r="BR196" s="210">
        <v>0</v>
      </c>
      <c r="BS196" s="115">
        <f>34200000-32400000</f>
        <v>1800000</v>
      </c>
      <c r="BT196" s="43"/>
      <c r="BU196" s="211">
        <v>192</v>
      </c>
      <c r="BV196" s="211" t="s">
        <v>194</v>
      </c>
      <c r="BW196" s="211">
        <v>14</v>
      </c>
      <c r="BX196" s="8" t="s">
        <v>217</v>
      </c>
      <c r="BY196" s="9" t="s">
        <v>63</v>
      </c>
      <c r="BZ196" s="9" t="s">
        <v>281</v>
      </c>
      <c r="CA196" s="210">
        <v>0</v>
      </c>
      <c r="CB196" s="115">
        <v>3300000</v>
      </c>
      <c r="CD196" s="211">
        <v>192</v>
      </c>
      <c r="CE196" s="211" t="s">
        <v>195</v>
      </c>
      <c r="CF196" s="211">
        <v>2</v>
      </c>
      <c r="CG196" s="8" t="s">
        <v>216</v>
      </c>
      <c r="CH196" s="9" t="s">
        <v>354</v>
      </c>
      <c r="CI196" s="9" t="s">
        <v>277</v>
      </c>
      <c r="CJ196" s="210">
        <v>1650</v>
      </c>
      <c r="CK196" s="115">
        <v>0</v>
      </c>
    </row>
    <row r="197" spans="1:98" s="35" customFormat="1" ht="12" customHeight="1">
      <c r="A197" s="165"/>
      <c r="B197" s="165"/>
      <c r="C197" s="165"/>
      <c r="D197" s="165"/>
      <c r="E197" s="165"/>
      <c r="F197" s="165"/>
      <c r="G197" s="165"/>
      <c r="H197" s="165"/>
      <c r="J197" s="165"/>
      <c r="K197" s="330"/>
      <c r="L197" s="330"/>
      <c r="M197" s="330"/>
      <c r="N197" s="330"/>
      <c r="O197" s="330"/>
      <c r="P197" s="330"/>
      <c r="Q197" s="330"/>
      <c r="S197" s="165"/>
      <c r="T197" s="330"/>
      <c r="U197" s="330"/>
      <c r="V197" s="330"/>
      <c r="W197" s="330"/>
      <c r="X197" s="330"/>
      <c r="Y197" s="330"/>
      <c r="Z197" s="330"/>
      <c r="AB197" s="165"/>
      <c r="AC197" s="330"/>
      <c r="AD197" s="330"/>
      <c r="AE197" s="330"/>
      <c r="AF197" s="330"/>
      <c r="AG197" s="330"/>
      <c r="AH197" s="330"/>
      <c r="AI197" s="330"/>
      <c r="AK197" s="165"/>
      <c r="AL197" s="330"/>
      <c r="AM197" s="330"/>
      <c r="AN197" s="330"/>
      <c r="AO197" s="330"/>
      <c r="AP197" s="330"/>
      <c r="AQ197" s="330"/>
      <c r="AR197" s="330"/>
      <c r="AS197" s="474"/>
      <c r="AT197" s="165"/>
      <c r="AU197" s="330"/>
      <c r="AV197" s="330"/>
      <c r="AW197" s="330"/>
      <c r="AX197" s="330"/>
      <c r="AY197" s="330"/>
      <c r="AZ197" s="330"/>
      <c r="BA197" s="330"/>
      <c r="BC197" s="165"/>
      <c r="BD197" s="330"/>
      <c r="BE197" s="330"/>
      <c r="BF197" s="330"/>
      <c r="BG197" s="330"/>
      <c r="BH197" s="330"/>
      <c r="BI197" s="330"/>
      <c r="BJ197" s="330"/>
      <c r="BL197" s="211">
        <v>193</v>
      </c>
      <c r="BM197" s="211" t="s">
        <v>243</v>
      </c>
      <c r="BN197" s="211">
        <v>14</v>
      </c>
      <c r="BO197" s="8" t="s">
        <v>213</v>
      </c>
      <c r="BP197" s="10" t="s">
        <v>355</v>
      </c>
      <c r="BQ197" s="10" t="s">
        <v>268</v>
      </c>
      <c r="BR197" s="210">
        <v>0</v>
      </c>
      <c r="BS197" s="115">
        <v>20350000</v>
      </c>
      <c r="BU197" s="211">
        <v>193</v>
      </c>
      <c r="BV197" s="211" t="s">
        <v>194</v>
      </c>
      <c r="BW197" s="211">
        <v>14</v>
      </c>
      <c r="BX197" s="8" t="s">
        <v>217</v>
      </c>
      <c r="BY197" s="9" t="s">
        <v>63</v>
      </c>
      <c r="BZ197" s="9" t="s">
        <v>282</v>
      </c>
      <c r="CA197" s="210">
        <v>0</v>
      </c>
      <c r="CB197" s="115">
        <v>4400000</v>
      </c>
      <c r="CD197" s="211">
        <v>193</v>
      </c>
      <c r="CE197" s="211" t="s">
        <v>240</v>
      </c>
      <c r="CF197" s="211">
        <v>3</v>
      </c>
      <c r="CG197" s="8" t="s">
        <v>216</v>
      </c>
      <c r="CH197" s="9" t="s">
        <v>354</v>
      </c>
      <c r="CI197" s="9" t="s">
        <v>278</v>
      </c>
      <c r="CJ197" s="210">
        <v>1650</v>
      </c>
      <c r="CK197" s="115">
        <v>0</v>
      </c>
    </row>
    <row r="198" spans="1:98" s="35" customFormat="1" ht="12" customHeight="1">
      <c r="A198" s="165"/>
      <c r="B198" s="165"/>
      <c r="C198" s="165"/>
      <c r="D198" s="165"/>
      <c r="E198" s="165"/>
      <c r="F198" s="165"/>
      <c r="G198" s="165"/>
      <c r="H198" s="165"/>
      <c r="J198" s="165"/>
      <c r="K198" s="330"/>
      <c r="L198" s="330"/>
      <c r="M198" s="330"/>
      <c r="N198" s="330"/>
      <c r="O198" s="330"/>
      <c r="P198" s="330"/>
      <c r="Q198" s="330"/>
      <c r="S198" s="165"/>
      <c r="T198" s="330"/>
      <c r="U198" s="330"/>
      <c r="V198" s="330"/>
      <c r="W198" s="330"/>
      <c r="X198" s="330"/>
      <c r="Y198" s="330"/>
      <c r="Z198" s="330"/>
      <c r="AB198" s="165"/>
      <c r="AC198" s="330"/>
      <c r="AD198" s="330"/>
      <c r="AE198" s="330"/>
      <c r="AF198" s="330"/>
      <c r="AG198" s="330"/>
      <c r="AH198" s="330"/>
      <c r="AI198" s="330"/>
      <c r="AK198" s="165"/>
      <c r="AL198" s="330"/>
      <c r="AM198" s="330"/>
      <c r="AN198" s="330"/>
      <c r="AO198" s="330"/>
      <c r="AP198" s="330"/>
      <c r="AQ198" s="330"/>
      <c r="AR198" s="330"/>
      <c r="AS198" s="474"/>
      <c r="AT198" s="165"/>
      <c r="AU198" s="330"/>
      <c r="AV198" s="330"/>
      <c r="AW198" s="330"/>
      <c r="AX198" s="330"/>
      <c r="AY198" s="330"/>
      <c r="AZ198" s="330"/>
      <c r="BA198" s="330"/>
      <c r="BC198" s="165"/>
      <c r="BD198" s="330"/>
      <c r="BE198" s="330"/>
      <c r="BF198" s="330"/>
      <c r="BG198" s="330"/>
      <c r="BH198" s="330"/>
      <c r="BI198" s="330"/>
      <c r="BJ198" s="330"/>
      <c r="BL198" s="211">
        <v>194</v>
      </c>
      <c r="BM198" s="211" t="s">
        <v>244</v>
      </c>
      <c r="BN198" s="211">
        <v>4</v>
      </c>
      <c r="BO198" s="8" t="s">
        <v>213</v>
      </c>
      <c r="BP198" s="10" t="s">
        <v>355</v>
      </c>
      <c r="BQ198" s="10" t="s">
        <v>269</v>
      </c>
      <c r="BR198" s="210">
        <v>0</v>
      </c>
      <c r="BS198" s="115">
        <v>20350000</v>
      </c>
      <c r="BU198" s="211">
        <v>194</v>
      </c>
      <c r="BV198" s="211" t="s">
        <v>194</v>
      </c>
      <c r="BW198" s="211">
        <v>18</v>
      </c>
      <c r="BX198" s="8" t="s">
        <v>217</v>
      </c>
      <c r="BY198" s="9" t="s">
        <v>63</v>
      </c>
      <c r="BZ198" s="9" t="s">
        <v>283</v>
      </c>
      <c r="CA198" s="210">
        <v>0</v>
      </c>
      <c r="CB198" s="115">
        <v>3300000</v>
      </c>
      <c r="CD198" s="211">
        <v>194</v>
      </c>
      <c r="CE198" s="211" t="s">
        <v>194</v>
      </c>
      <c r="CF198" s="211">
        <v>18</v>
      </c>
      <c r="CG198" s="8" t="s">
        <v>217</v>
      </c>
      <c r="CH198" s="9" t="s">
        <v>144</v>
      </c>
      <c r="CI198" s="9" t="s">
        <v>279</v>
      </c>
      <c r="CJ198" s="210">
        <v>0</v>
      </c>
      <c r="CK198" s="115">
        <v>9353850</v>
      </c>
    </row>
    <row r="199" spans="1:98" s="35" customFormat="1" ht="12" customHeight="1">
      <c r="A199" s="165"/>
      <c r="B199" s="165"/>
      <c r="C199" s="165"/>
      <c r="D199" s="165"/>
      <c r="E199" s="165"/>
      <c r="F199" s="165"/>
      <c r="G199" s="165"/>
      <c r="H199" s="165"/>
      <c r="J199" s="165"/>
      <c r="K199" s="330"/>
      <c r="L199" s="330"/>
      <c r="M199" s="330"/>
      <c r="N199" s="330"/>
      <c r="O199" s="330"/>
      <c r="P199" s="330"/>
      <c r="Q199" s="330"/>
      <c r="S199" s="165"/>
      <c r="T199" s="330"/>
      <c r="U199" s="330"/>
      <c r="V199" s="330"/>
      <c r="W199" s="330"/>
      <c r="X199" s="330"/>
      <c r="Y199" s="330"/>
      <c r="Z199" s="330"/>
      <c r="AB199" s="165"/>
      <c r="AC199" s="330"/>
      <c r="AD199" s="330"/>
      <c r="AE199" s="330"/>
      <c r="AF199" s="330"/>
      <c r="AG199" s="330"/>
      <c r="AH199" s="330"/>
      <c r="AI199" s="330"/>
      <c r="AK199" s="165"/>
      <c r="AL199" s="330"/>
      <c r="AM199" s="330"/>
      <c r="AN199" s="330"/>
      <c r="AO199" s="330"/>
      <c r="AP199" s="330"/>
      <c r="AQ199" s="330"/>
      <c r="AR199" s="330"/>
      <c r="AS199" s="474"/>
      <c r="AT199" s="165"/>
      <c r="AU199" s="330"/>
      <c r="AV199" s="330"/>
      <c r="AW199" s="330"/>
      <c r="AX199" s="330"/>
      <c r="AY199" s="330"/>
      <c r="AZ199" s="330"/>
      <c r="BA199" s="330"/>
      <c r="BC199" s="165"/>
      <c r="BD199" s="330"/>
      <c r="BE199" s="330"/>
      <c r="BF199" s="330"/>
      <c r="BG199" s="330"/>
      <c r="BH199" s="330"/>
      <c r="BI199" s="330"/>
      <c r="BJ199" s="330"/>
      <c r="BL199" s="211">
        <v>195</v>
      </c>
      <c r="BM199" s="211" t="s">
        <v>245</v>
      </c>
      <c r="BN199" s="211">
        <v>21</v>
      </c>
      <c r="BO199" s="8" t="s">
        <v>213</v>
      </c>
      <c r="BP199" s="10" t="s">
        <v>355</v>
      </c>
      <c r="BQ199" s="10" t="s">
        <v>270</v>
      </c>
      <c r="BR199" s="210">
        <v>0</v>
      </c>
      <c r="BS199" s="115">
        <v>20350000</v>
      </c>
      <c r="BU199" s="211">
        <v>195</v>
      </c>
      <c r="BV199" s="211" t="s">
        <v>195</v>
      </c>
      <c r="BW199" s="211">
        <v>15</v>
      </c>
      <c r="BX199" s="8" t="s">
        <v>217</v>
      </c>
      <c r="BY199" s="9" t="s">
        <v>63</v>
      </c>
      <c r="BZ199" s="9" t="s">
        <v>284</v>
      </c>
      <c r="CA199" s="210">
        <v>0</v>
      </c>
      <c r="CB199" s="115">
        <v>4400000</v>
      </c>
      <c r="CD199" s="211">
        <v>195</v>
      </c>
      <c r="CE199" s="211" t="s">
        <v>194</v>
      </c>
      <c r="CF199" s="211">
        <v>8</v>
      </c>
      <c r="CG199" s="8" t="s">
        <v>217</v>
      </c>
      <c r="CH199" s="9" t="s">
        <v>118</v>
      </c>
      <c r="CI199" s="9" t="s">
        <v>280</v>
      </c>
      <c r="CJ199" s="210">
        <v>0</v>
      </c>
      <c r="CK199" s="115">
        <v>3750000</v>
      </c>
    </row>
    <row r="200" spans="1:98" s="35" customFormat="1" ht="12" customHeight="1">
      <c r="A200" s="165"/>
      <c r="B200" s="165"/>
      <c r="C200" s="165"/>
      <c r="D200" s="165"/>
      <c r="E200" s="165"/>
      <c r="F200" s="165"/>
      <c r="G200" s="165"/>
      <c r="H200" s="165"/>
      <c r="J200" s="165"/>
      <c r="K200" s="330"/>
      <c r="L200" s="330"/>
      <c r="M200" s="330"/>
      <c r="N200" s="330"/>
      <c r="O200" s="330"/>
      <c r="P200" s="330"/>
      <c r="Q200" s="330"/>
      <c r="S200" s="165"/>
      <c r="T200" s="330"/>
      <c r="U200" s="330"/>
      <c r="V200" s="330"/>
      <c r="W200" s="330"/>
      <c r="X200" s="330"/>
      <c r="Y200" s="330"/>
      <c r="Z200" s="330"/>
      <c r="AB200" s="165"/>
      <c r="AC200" s="330"/>
      <c r="AD200" s="330"/>
      <c r="AE200" s="330"/>
      <c r="AF200" s="330"/>
      <c r="AG200" s="330"/>
      <c r="AH200" s="330"/>
      <c r="AI200" s="330"/>
      <c r="AK200" s="165"/>
      <c r="AL200" s="330"/>
      <c r="AM200" s="330"/>
      <c r="AN200" s="330"/>
      <c r="AO200" s="330"/>
      <c r="AP200" s="330"/>
      <c r="AQ200" s="330"/>
      <c r="AR200" s="330"/>
      <c r="AS200" s="474"/>
      <c r="AT200" s="165"/>
      <c r="AU200" s="330"/>
      <c r="AV200" s="330"/>
      <c r="AW200" s="330"/>
      <c r="AX200" s="330"/>
      <c r="AY200" s="330"/>
      <c r="AZ200" s="330"/>
      <c r="BA200" s="330"/>
      <c r="BC200" s="165"/>
      <c r="BD200" s="330"/>
      <c r="BE200" s="330"/>
      <c r="BF200" s="330"/>
      <c r="BG200" s="330"/>
      <c r="BH200" s="330"/>
      <c r="BI200" s="330"/>
      <c r="BJ200" s="330"/>
      <c r="BL200" s="211">
        <v>196</v>
      </c>
      <c r="BM200" s="211" t="s">
        <v>238</v>
      </c>
      <c r="BN200" s="211">
        <v>4</v>
      </c>
      <c r="BO200" s="8" t="s">
        <v>213</v>
      </c>
      <c r="BP200" s="10" t="s">
        <v>355</v>
      </c>
      <c r="BQ200" s="10" t="s">
        <v>271</v>
      </c>
      <c r="BR200" s="210">
        <v>0</v>
      </c>
      <c r="BS200" s="115">
        <v>20350000</v>
      </c>
      <c r="BU200" s="211">
        <v>196</v>
      </c>
      <c r="BV200" s="211" t="s">
        <v>239</v>
      </c>
      <c r="BW200" s="211">
        <v>3</v>
      </c>
      <c r="BX200" s="8" t="s">
        <v>217</v>
      </c>
      <c r="BY200" s="9" t="s">
        <v>63</v>
      </c>
      <c r="BZ200" s="9" t="s">
        <v>285</v>
      </c>
      <c r="CA200" s="210">
        <v>0</v>
      </c>
      <c r="CB200" s="115">
        <v>4400000</v>
      </c>
      <c r="CD200" s="211">
        <v>196</v>
      </c>
      <c r="CE200" s="211" t="s">
        <v>194</v>
      </c>
      <c r="CF200" s="211">
        <v>14</v>
      </c>
      <c r="CG200" s="8" t="s">
        <v>217</v>
      </c>
      <c r="CH200" s="9" t="s">
        <v>63</v>
      </c>
      <c r="CI200" s="9" t="s">
        <v>281</v>
      </c>
      <c r="CJ200" s="210">
        <v>0</v>
      </c>
      <c r="CK200" s="115">
        <v>3300000</v>
      </c>
    </row>
    <row r="201" spans="1:98" s="35" customFormat="1" ht="12" customHeight="1">
      <c r="A201" s="165"/>
      <c r="B201" s="165"/>
      <c r="C201" s="165"/>
      <c r="D201" s="165"/>
      <c r="E201" s="165"/>
      <c r="F201" s="165"/>
      <c r="G201" s="165"/>
      <c r="H201" s="165"/>
      <c r="J201" s="165"/>
      <c r="K201" s="330"/>
      <c r="L201" s="330"/>
      <c r="M201" s="330"/>
      <c r="N201" s="330"/>
      <c r="O201" s="330"/>
      <c r="P201" s="330"/>
      <c r="Q201" s="330"/>
      <c r="S201" s="165"/>
      <c r="T201" s="330"/>
      <c r="U201" s="330"/>
      <c r="V201" s="330"/>
      <c r="W201" s="330"/>
      <c r="X201" s="330"/>
      <c r="Y201" s="330"/>
      <c r="Z201" s="330"/>
      <c r="AB201" s="165"/>
      <c r="AC201" s="330"/>
      <c r="AD201" s="330"/>
      <c r="AE201" s="330"/>
      <c r="AF201" s="330"/>
      <c r="AG201" s="330"/>
      <c r="AH201" s="330"/>
      <c r="AI201" s="330"/>
      <c r="AK201" s="165"/>
      <c r="AL201" s="330"/>
      <c r="AM201" s="330"/>
      <c r="AN201" s="330"/>
      <c r="AO201" s="330"/>
      <c r="AP201" s="330"/>
      <c r="AQ201" s="330"/>
      <c r="AR201" s="330"/>
      <c r="AS201" s="474"/>
      <c r="AT201" s="165"/>
      <c r="AU201" s="330"/>
      <c r="AV201" s="330"/>
      <c r="AW201" s="330"/>
      <c r="AX201" s="330"/>
      <c r="AY201" s="330"/>
      <c r="AZ201" s="330"/>
      <c r="BA201" s="330"/>
      <c r="BC201" s="165"/>
      <c r="BD201" s="330"/>
      <c r="BE201" s="330"/>
      <c r="BF201" s="330"/>
      <c r="BG201" s="330"/>
      <c r="BH201" s="330"/>
      <c r="BI201" s="330"/>
      <c r="BJ201" s="330"/>
      <c r="BL201" s="211">
        <v>197</v>
      </c>
      <c r="BM201" s="211" t="s">
        <v>140</v>
      </c>
      <c r="BN201" s="211">
        <v>3</v>
      </c>
      <c r="BO201" s="8" t="s">
        <v>213</v>
      </c>
      <c r="BP201" s="10" t="s">
        <v>355</v>
      </c>
      <c r="BQ201" s="10" t="s">
        <v>272</v>
      </c>
      <c r="BR201" s="210">
        <v>0</v>
      </c>
      <c r="BS201" s="115">
        <v>20350000</v>
      </c>
      <c r="BU201" s="211">
        <v>197</v>
      </c>
      <c r="BV201" s="211" t="s">
        <v>239</v>
      </c>
      <c r="BW201" s="211">
        <v>3</v>
      </c>
      <c r="BX201" s="8" t="s">
        <v>217</v>
      </c>
      <c r="BY201" s="9" t="s">
        <v>63</v>
      </c>
      <c r="BZ201" s="9" t="s">
        <v>286</v>
      </c>
      <c r="CA201" s="210">
        <v>0</v>
      </c>
      <c r="CB201" s="115">
        <v>3300000</v>
      </c>
      <c r="CD201" s="211">
        <v>197</v>
      </c>
      <c r="CE201" s="211" t="s">
        <v>194</v>
      </c>
      <c r="CF201" s="211">
        <v>14</v>
      </c>
      <c r="CG201" s="8" t="s">
        <v>217</v>
      </c>
      <c r="CH201" s="9" t="s">
        <v>63</v>
      </c>
      <c r="CI201" s="9" t="s">
        <v>282</v>
      </c>
      <c r="CJ201" s="210">
        <v>0</v>
      </c>
      <c r="CK201" s="115">
        <v>4400000</v>
      </c>
    </row>
    <row r="202" spans="1:98" s="35" customFormat="1" ht="12" customHeight="1">
      <c r="A202" s="165"/>
      <c r="B202" s="165"/>
      <c r="C202" s="165"/>
      <c r="D202" s="165"/>
      <c r="E202" s="165"/>
      <c r="F202" s="165"/>
      <c r="G202" s="165"/>
      <c r="H202" s="165"/>
      <c r="J202" s="165"/>
      <c r="K202" s="330"/>
      <c r="L202" s="330"/>
      <c r="M202" s="330"/>
      <c r="N202" s="330"/>
      <c r="O202" s="330"/>
      <c r="P202" s="330"/>
      <c r="Q202" s="330"/>
      <c r="S202" s="165"/>
      <c r="T202" s="330"/>
      <c r="U202" s="330"/>
      <c r="V202" s="330"/>
      <c r="W202" s="330"/>
      <c r="X202" s="330"/>
      <c r="Y202" s="330"/>
      <c r="Z202" s="330"/>
      <c r="AB202" s="165"/>
      <c r="AC202" s="330"/>
      <c r="AD202" s="330"/>
      <c r="AE202" s="330"/>
      <c r="AF202" s="330"/>
      <c r="AG202" s="330"/>
      <c r="AH202" s="330"/>
      <c r="AI202" s="330"/>
      <c r="AK202" s="165"/>
      <c r="AL202" s="330"/>
      <c r="AM202" s="330"/>
      <c r="AN202" s="330"/>
      <c r="AO202" s="330"/>
      <c r="AP202" s="330"/>
      <c r="AQ202" s="330"/>
      <c r="AR202" s="330"/>
      <c r="AS202" s="474"/>
      <c r="AT202" s="165"/>
      <c r="AU202" s="330"/>
      <c r="AV202" s="330"/>
      <c r="AW202" s="330"/>
      <c r="AX202" s="330"/>
      <c r="AY202" s="330"/>
      <c r="AZ202" s="330"/>
      <c r="BA202" s="330"/>
      <c r="BC202" s="165"/>
      <c r="BD202" s="330"/>
      <c r="BE202" s="330"/>
      <c r="BF202" s="330"/>
      <c r="BG202" s="330"/>
      <c r="BH202" s="330"/>
      <c r="BI202" s="330"/>
      <c r="BJ202" s="330"/>
      <c r="BL202" s="211">
        <v>198</v>
      </c>
      <c r="BM202" s="9" t="s">
        <v>58</v>
      </c>
      <c r="BN202" s="9">
        <v>25</v>
      </c>
      <c r="BO202" s="8" t="s">
        <v>445</v>
      </c>
      <c r="BP202" s="10" t="s">
        <v>357</v>
      </c>
      <c r="BQ202" s="9" t="s">
        <v>446</v>
      </c>
      <c r="BR202" s="342">
        <v>0</v>
      </c>
      <c r="BS202" s="344">
        <v>11000000</v>
      </c>
      <c r="BU202" s="211">
        <v>198</v>
      </c>
      <c r="BV202" s="211" t="s">
        <v>240</v>
      </c>
      <c r="BW202" s="211">
        <v>1</v>
      </c>
      <c r="BX202" s="8" t="s">
        <v>217</v>
      </c>
      <c r="BY202" s="9" t="s">
        <v>63</v>
      </c>
      <c r="BZ202" s="9" t="s">
        <v>287</v>
      </c>
      <c r="CA202" s="210">
        <v>0</v>
      </c>
      <c r="CB202" s="115">
        <v>4400000</v>
      </c>
      <c r="CD202" s="211">
        <v>198</v>
      </c>
      <c r="CE202" s="211" t="s">
        <v>194</v>
      </c>
      <c r="CF202" s="211">
        <v>18</v>
      </c>
      <c r="CG202" s="8" t="s">
        <v>217</v>
      </c>
      <c r="CH202" s="9" t="s">
        <v>63</v>
      </c>
      <c r="CI202" s="9" t="s">
        <v>283</v>
      </c>
      <c r="CJ202" s="210">
        <v>0</v>
      </c>
      <c r="CK202" s="115">
        <v>3300000</v>
      </c>
    </row>
    <row r="203" spans="1:98" s="35" customFormat="1" ht="12" customHeight="1">
      <c r="A203" s="165"/>
      <c r="B203" s="165"/>
      <c r="C203" s="165"/>
      <c r="D203" s="165"/>
      <c r="E203" s="165"/>
      <c r="F203" s="165"/>
      <c r="G203" s="165"/>
      <c r="H203" s="165"/>
      <c r="J203" s="165"/>
      <c r="K203" s="330"/>
      <c r="L203" s="330"/>
      <c r="M203" s="330"/>
      <c r="N203" s="330"/>
      <c r="O203" s="330"/>
      <c r="P203" s="330"/>
      <c r="Q203" s="330"/>
      <c r="S203" s="165"/>
      <c r="T203" s="330"/>
      <c r="U203" s="330"/>
      <c r="V203" s="330"/>
      <c r="W203" s="330"/>
      <c r="X203" s="330"/>
      <c r="Y203" s="330"/>
      <c r="Z203" s="330"/>
      <c r="AB203" s="165"/>
      <c r="AC203" s="330"/>
      <c r="AD203" s="330"/>
      <c r="AE203" s="330"/>
      <c r="AF203" s="330"/>
      <c r="AG203" s="330"/>
      <c r="AH203" s="330"/>
      <c r="AI203" s="330"/>
      <c r="AK203" s="165"/>
      <c r="AL203" s="330"/>
      <c r="AM203" s="330"/>
      <c r="AN203" s="330"/>
      <c r="AO203" s="330"/>
      <c r="AP203" s="330"/>
      <c r="AQ203" s="330"/>
      <c r="AR203" s="330"/>
      <c r="AS203" s="474"/>
      <c r="AT203" s="165"/>
      <c r="AU203" s="330"/>
      <c r="AV203" s="330"/>
      <c r="AW203" s="330"/>
      <c r="AX203" s="330"/>
      <c r="AY203" s="330"/>
      <c r="AZ203" s="330"/>
      <c r="BA203" s="330"/>
      <c r="BC203" s="165"/>
      <c r="BD203" s="330"/>
      <c r="BE203" s="330"/>
      <c r="BF203" s="330"/>
      <c r="BG203" s="330"/>
      <c r="BH203" s="330"/>
      <c r="BI203" s="330"/>
      <c r="BJ203" s="330"/>
      <c r="BL203" s="211">
        <v>199</v>
      </c>
      <c r="BM203" s="9" t="s">
        <v>241</v>
      </c>
      <c r="BN203" s="9">
        <v>20</v>
      </c>
      <c r="BO203" s="8" t="s">
        <v>445</v>
      </c>
      <c r="BP203" s="10" t="s">
        <v>357</v>
      </c>
      <c r="BQ203" s="9" t="s">
        <v>481</v>
      </c>
      <c r="BR203" s="342">
        <v>0</v>
      </c>
      <c r="BS203" s="344">
        <v>11000000</v>
      </c>
      <c r="BU203" s="211">
        <v>199</v>
      </c>
      <c r="BV203" s="211" t="s">
        <v>58</v>
      </c>
      <c r="BW203" s="211">
        <v>5</v>
      </c>
      <c r="BX203" s="8" t="s">
        <v>217</v>
      </c>
      <c r="BY203" s="9" t="s">
        <v>63</v>
      </c>
      <c r="BZ203" s="9" t="s">
        <v>288</v>
      </c>
      <c r="CA203" s="210">
        <v>0</v>
      </c>
      <c r="CB203" s="115">
        <v>4400000</v>
      </c>
      <c r="CD203" s="211">
        <v>199</v>
      </c>
      <c r="CE203" s="211" t="s">
        <v>195</v>
      </c>
      <c r="CF203" s="211">
        <v>15</v>
      </c>
      <c r="CG203" s="8" t="s">
        <v>217</v>
      </c>
      <c r="CH203" s="9" t="s">
        <v>63</v>
      </c>
      <c r="CI203" s="9" t="s">
        <v>284</v>
      </c>
      <c r="CJ203" s="210">
        <v>0</v>
      </c>
      <c r="CK203" s="115">
        <v>4400000</v>
      </c>
    </row>
    <row r="204" spans="1:98" s="35" customFormat="1" ht="12" customHeight="1">
      <c r="A204" s="165"/>
      <c r="B204" s="165"/>
      <c r="C204" s="165"/>
      <c r="D204" s="165"/>
      <c r="E204" s="165"/>
      <c r="F204" s="165"/>
      <c r="G204" s="165"/>
      <c r="H204" s="165"/>
      <c r="J204" s="165"/>
      <c r="K204" s="330"/>
      <c r="L204" s="330"/>
      <c r="M204" s="330"/>
      <c r="N204" s="330"/>
      <c r="O204" s="330"/>
      <c r="P204" s="330"/>
      <c r="Q204" s="330"/>
      <c r="S204" s="165"/>
      <c r="T204" s="330"/>
      <c r="U204" s="330"/>
      <c r="V204" s="330"/>
      <c r="W204" s="330"/>
      <c r="X204" s="330"/>
      <c r="Y204" s="330"/>
      <c r="Z204" s="330"/>
      <c r="AB204" s="165"/>
      <c r="AC204" s="330"/>
      <c r="AD204" s="330"/>
      <c r="AE204" s="330"/>
      <c r="AF204" s="330"/>
      <c r="AG204" s="330"/>
      <c r="AH204" s="330"/>
      <c r="AI204" s="330"/>
      <c r="AK204" s="165"/>
      <c r="AL204" s="330"/>
      <c r="AM204" s="330"/>
      <c r="AN204" s="330"/>
      <c r="AO204" s="330"/>
      <c r="AP204" s="330"/>
      <c r="AQ204" s="330"/>
      <c r="AR204" s="330"/>
      <c r="AS204" s="474"/>
      <c r="AT204" s="165"/>
      <c r="AU204" s="330"/>
      <c r="AV204" s="330"/>
      <c r="AW204" s="330"/>
      <c r="AX204" s="330"/>
      <c r="AY204" s="330"/>
      <c r="AZ204" s="330"/>
      <c r="BA204" s="330"/>
      <c r="BC204" s="165"/>
      <c r="BD204" s="330"/>
      <c r="BE204" s="330"/>
      <c r="BF204" s="330"/>
      <c r="BG204" s="330"/>
      <c r="BH204" s="330"/>
      <c r="BI204" s="330"/>
      <c r="BJ204" s="330"/>
      <c r="BL204" s="211">
        <v>200</v>
      </c>
      <c r="BM204" s="9" t="s">
        <v>242</v>
      </c>
      <c r="BN204" s="9">
        <v>11</v>
      </c>
      <c r="BO204" s="8" t="s">
        <v>445</v>
      </c>
      <c r="BP204" s="10" t="s">
        <v>357</v>
      </c>
      <c r="BQ204" s="9" t="s">
        <v>493</v>
      </c>
      <c r="BR204" s="342">
        <v>0</v>
      </c>
      <c r="BS204" s="344">
        <v>11000000</v>
      </c>
      <c r="BU204" s="211">
        <v>200</v>
      </c>
      <c r="BV204" s="211" t="s">
        <v>241</v>
      </c>
      <c r="BW204" s="211">
        <v>2</v>
      </c>
      <c r="BX204" s="8" t="s">
        <v>217</v>
      </c>
      <c r="BY204" s="9" t="s">
        <v>63</v>
      </c>
      <c r="BZ204" s="9" t="s">
        <v>289</v>
      </c>
      <c r="CA204" s="210">
        <v>0</v>
      </c>
      <c r="CB204" s="115">
        <v>4400000</v>
      </c>
      <c r="CD204" s="211">
        <v>200</v>
      </c>
      <c r="CE204" s="211" t="s">
        <v>239</v>
      </c>
      <c r="CF204" s="211">
        <v>3</v>
      </c>
      <c r="CG204" s="8" t="s">
        <v>217</v>
      </c>
      <c r="CH204" s="9" t="s">
        <v>63</v>
      </c>
      <c r="CI204" s="9" t="s">
        <v>285</v>
      </c>
      <c r="CJ204" s="210">
        <v>0</v>
      </c>
      <c r="CK204" s="115">
        <v>4400000</v>
      </c>
    </row>
    <row r="205" spans="1:98" s="35" customFormat="1" ht="12" customHeight="1">
      <c r="A205" s="165"/>
      <c r="B205" s="165"/>
      <c r="C205" s="165"/>
      <c r="D205" s="165"/>
      <c r="E205" s="165"/>
      <c r="F205" s="165"/>
      <c r="G205" s="165"/>
      <c r="H205" s="165"/>
      <c r="J205" s="165"/>
      <c r="K205" s="330"/>
      <c r="L205" s="330"/>
      <c r="M205" s="330"/>
      <c r="N205" s="330"/>
      <c r="O205" s="330"/>
      <c r="P205" s="330"/>
      <c r="Q205" s="330"/>
      <c r="S205" s="165"/>
      <c r="T205" s="330"/>
      <c r="U205" s="330"/>
      <c r="V205" s="330"/>
      <c r="W205" s="330"/>
      <c r="X205" s="330"/>
      <c r="Y205" s="330"/>
      <c r="Z205" s="330"/>
      <c r="AB205" s="165"/>
      <c r="AC205" s="330"/>
      <c r="AD205" s="330"/>
      <c r="AE205" s="330"/>
      <c r="AF205" s="330"/>
      <c r="AG205" s="330"/>
      <c r="AH205" s="330"/>
      <c r="AI205" s="330"/>
      <c r="AK205" s="165"/>
      <c r="AL205" s="330"/>
      <c r="AM205" s="330"/>
      <c r="AN205" s="330"/>
      <c r="AO205" s="330"/>
      <c r="AP205" s="330"/>
      <c r="AQ205" s="330"/>
      <c r="AR205" s="330"/>
      <c r="AS205" s="474"/>
      <c r="AT205" s="165"/>
      <c r="AU205" s="330"/>
      <c r="AV205" s="330"/>
      <c r="AW205" s="330"/>
      <c r="AX205" s="330"/>
      <c r="AY205" s="330"/>
      <c r="AZ205" s="330"/>
      <c r="BA205" s="330"/>
      <c r="BC205" s="165"/>
      <c r="BD205" s="330"/>
      <c r="BE205" s="330"/>
      <c r="BF205" s="330"/>
      <c r="BG205" s="330"/>
      <c r="BH205" s="330"/>
      <c r="BI205" s="330"/>
      <c r="BJ205" s="330"/>
      <c r="BL205" s="211">
        <v>201</v>
      </c>
      <c r="BM205" s="9" t="s">
        <v>243</v>
      </c>
      <c r="BN205" s="9">
        <v>2</v>
      </c>
      <c r="BO205" s="8" t="s">
        <v>445</v>
      </c>
      <c r="BP205" s="10" t="s">
        <v>357</v>
      </c>
      <c r="BQ205" s="9" t="s">
        <v>528</v>
      </c>
      <c r="BR205" s="210">
        <v>0</v>
      </c>
      <c r="BS205" s="115">
        <v>11000000</v>
      </c>
      <c r="BU205" s="211">
        <v>201</v>
      </c>
      <c r="BV205" s="211" t="s">
        <v>238</v>
      </c>
      <c r="BW205" s="211">
        <v>2</v>
      </c>
      <c r="BX205" s="8" t="s">
        <v>47</v>
      </c>
      <c r="BY205" s="9" t="s">
        <v>378</v>
      </c>
      <c r="BZ205" s="9" t="s">
        <v>290</v>
      </c>
      <c r="CA205" s="346">
        <v>0</v>
      </c>
      <c r="CB205" s="347">
        <v>150000000</v>
      </c>
      <c r="CD205" s="211">
        <v>201</v>
      </c>
      <c r="CE205" s="211" t="s">
        <v>239</v>
      </c>
      <c r="CF205" s="211">
        <v>3</v>
      </c>
      <c r="CG205" s="8" t="s">
        <v>217</v>
      </c>
      <c r="CH205" s="9" t="s">
        <v>63</v>
      </c>
      <c r="CI205" s="9" t="s">
        <v>286</v>
      </c>
      <c r="CJ205" s="210">
        <v>0</v>
      </c>
      <c r="CK205" s="115">
        <v>3300000</v>
      </c>
    </row>
    <row r="206" spans="1:98" s="35" customFormat="1" ht="12" customHeight="1">
      <c r="A206" s="165"/>
      <c r="B206" s="165"/>
      <c r="C206" s="165"/>
      <c r="D206" s="165"/>
      <c r="E206" s="165"/>
      <c r="F206" s="165"/>
      <c r="G206" s="165"/>
      <c r="H206" s="165"/>
      <c r="J206" s="165"/>
      <c r="K206" s="330"/>
      <c r="L206" s="330"/>
      <c r="M206" s="330"/>
      <c r="N206" s="330"/>
      <c r="O206" s="330"/>
      <c r="P206" s="330"/>
      <c r="Q206" s="330"/>
      <c r="S206" s="165"/>
      <c r="T206" s="330"/>
      <c r="U206" s="330"/>
      <c r="V206" s="330"/>
      <c r="W206" s="330"/>
      <c r="X206" s="330"/>
      <c r="Y206" s="330"/>
      <c r="Z206" s="330"/>
      <c r="AB206" s="165"/>
      <c r="AC206" s="330"/>
      <c r="AD206" s="330"/>
      <c r="AE206" s="330"/>
      <c r="AF206" s="330"/>
      <c r="AG206" s="330"/>
      <c r="AH206" s="330"/>
      <c r="AI206" s="330"/>
      <c r="AK206" s="165"/>
      <c r="AL206" s="330"/>
      <c r="AM206" s="330"/>
      <c r="AN206" s="330"/>
      <c r="AO206" s="330"/>
      <c r="AP206" s="330"/>
      <c r="AQ206" s="330"/>
      <c r="AR206" s="330"/>
      <c r="AS206" s="474"/>
      <c r="AT206" s="165"/>
      <c r="AU206" s="330"/>
      <c r="AV206" s="330"/>
      <c r="AW206" s="330"/>
      <c r="AX206" s="330"/>
      <c r="AY206" s="330"/>
      <c r="AZ206" s="330"/>
      <c r="BA206" s="330"/>
      <c r="BC206" s="165"/>
      <c r="BD206" s="330"/>
      <c r="BE206" s="330"/>
      <c r="BF206" s="330"/>
      <c r="BG206" s="330"/>
      <c r="BH206" s="330"/>
      <c r="BI206" s="330"/>
      <c r="BJ206" s="330"/>
      <c r="BL206" s="211">
        <v>202</v>
      </c>
      <c r="BM206" s="211" t="s">
        <v>242</v>
      </c>
      <c r="BN206" s="211">
        <v>29</v>
      </c>
      <c r="BO206" s="8" t="s">
        <v>215</v>
      </c>
      <c r="BP206" s="10" t="s">
        <v>118</v>
      </c>
      <c r="BQ206" s="9" t="s">
        <v>273</v>
      </c>
      <c r="BR206" s="210">
        <v>99</v>
      </c>
      <c r="BS206" s="115">
        <v>0</v>
      </c>
      <c r="BU206" s="211">
        <v>202</v>
      </c>
      <c r="BV206" s="211" t="s">
        <v>140</v>
      </c>
      <c r="BW206" s="211">
        <v>1</v>
      </c>
      <c r="BX206" s="8" t="s">
        <v>47</v>
      </c>
      <c r="BY206" s="9" t="s">
        <v>378</v>
      </c>
      <c r="BZ206" s="9" t="s">
        <v>291</v>
      </c>
      <c r="CA206" s="346">
        <v>0</v>
      </c>
      <c r="CB206" s="347">
        <v>150000000</v>
      </c>
      <c r="CD206" s="211">
        <v>202</v>
      </c>
      <c r="CE206" s="211" t="s">
        <v>240</v>
      </c>
      <c r="CF206" s="211">
        <v>1</v>
      </c>
      <c r="CG206" s="8" t="s">
        <v>217</v>
      </c>
      <c r="CH206" s="9" t="s">
        <v>63</v>
      </c>
      <c r="CI206" s="9" t="s">
        <v>287</v>
      </c>
      <c r="CJ206" s="210">
        <v>0</v>
      </c>
      <c r="CK206" s="115">
        <v>4400000</v>
      </c>
    </row>
    <row r="207" spans="1:98" s="35" customFormat="1" ht="12" customHeight="1">
      <c r="A207" s="165"/>
      <c r="B207" s="165"/>
      <c r="C207" s="165"/>
      <c r="D207" s="165"/>
      <c r="E207" s="165"/>
      <c r="F207" s="165"/>
      <c r="G207" s="165"/>
      <c r="H207" s="165"/>
      <c r="J207" s="165"/>
      <c r="K207" s="330"/>
      <c r="L207" s="330"/>
      <c r="M207" s="330"/>
      <c r="N207" s="330"/>
      <c r="O207" s="330"/>
      <c r="P207" s="330"/>
      <c r="Q207" s="330"/>
      <c r="S207" s="165"/>
      <c r="T207" s="330"/>
      <c r="U207" s="330"/>
      <c r="V207" s="330"/>
      <c r="W207" s="330"/>
      <c r="X207" s="330"/>
      <c r="Y207" s="330"/>
      <c r="Z207" s="330"/>
      <c r="AB207" s="165"/>
      <c r="AC207" s="330"/>
      <c r="AD207" s="330"/>
      <c r="AE207" s="330"/>
      <c r="AF207" s="330"/>
      <c r="AG207" s="330"/>
      <c r="AH207" s="330"/>
      <c r="AI207" s="330"/>
      <c r="AK207" s="165"/>
      <c r="AL207" s="330"/>
      <c r="AM207" s="330"/>
      <c r="AN207" s="330"/>
      <c r="AO207" s="330"/>
      <c r="AP207" s="330"/>
      <c r="AQ207" s="330"/>
      <c r="AR207" s="330"/>
      <c r="AS207" s="474"/>
      <c r="AT207" s="165"/>
      <c r="AU207" s="330"/>
      <c r="AV207" s="330"/>
      <c r="AW207" s="330"/>
      <c r="AX207" s="330"/>
      <c r="AY207" s="330"/>
      <c r="AZ207" s="330"/>
      <c r="BA207" s="330"/>
      <c r="BC207" s="165"/>
      <c r="BD207" s="330"/>
      <c r="BE207" s="330"/>
      <c r="BF207" s="330"/>
      <c r="BG207" s="330"/>
      <c r="BH207" s="330"/>
      <c r="BI207" s="330"/>
      <c r="BJ207" s="330"/>
      <c r="BL207" s="211">
        <v>203</v>
      </c>
      <c r="BM207" s="211" t="s">
        <v>195</v>
      </c>
      <c r="BN207" s="211">
        <v>4</v>
      </c>
      <c r="BO207" s="8" t="s">
        <v>214</v>
      </c>
      <c r="BP207" s="10" t="s">
        <v>118</v>
      </c>
      <c r="BQ207" s="9" t="s">
        <v>274</v>
      </c>
      <c r="BR207" s="210">
        <v>0</v>
      </c>
      <c r="BS207" s="115">
        <v>900000</v>
      </c>
      <c r="BU207" s="211">
        <v>203</v>
      </c>
      <c r="BV207" s="9" t="s">
        <v>194</v>
      </c>
      <c r="BW207" s="9">
        <v>6</v>
      </c>
      <c r="BX207" s="8" t="s">
        <v>47</v>
      </c>
      <c r="BY207" s="9" t="s">
        <v>378</v>
      </c>
      <c r="BZ207" s="9" t="s">
        <v>161</v>
      </c>
      <c r="CA207" s="346">
        <v>0</v>
      </c>
      <c r="CB207" s="347">
        <v>150000000</v>
      </c>
      <c r="CD207" s="211">
        <v>203</v>
      </c>
      <c r="CE207" s="211" t="s">
        <v>58</v>
      </c>
      <c r="CF207" s="211">
        <v>5</v>
      </c>
      <c r="CG207" s="8" t="s">
        <v>217</v>
      </c>
      <c r="CH207" s="9" t="s">
        <v>63</v>
      </c>
      <c r="CI207" s="9" t="s">
        <v>288</v>
      </c>
      <c r="CJ207" s="210">
        <v>0</v>
      </c>
      <c r="CK207" s="115">
        <v>4400000</v>
      </c>
    </row>
    <row r="208" spans="1:98" s="35" customFormat="1" ht="12" customHeight="1">
      <c r="A208" s="165"/>
      <c r="B208" s="165"/>
      <c r="C208" s="165"/>
      <c r="D208" s="165"/>
      <c r="E208" s="165"/>
      <c r="F208" s="165"/>
      <c r="G208" s="165"/>
      <c r="H208" s="165"/>
      <c r="J208" s="165"/>
      <c r="K208" s="330"/>
      <c r="L208" s="330"/>
      <c r="M208" s="330"/>
      <c r="N208" s="330"/>
      <c r="O208" s="330"/>
      <c r="P208" s="330"/>
      <c r="Q208" s="330"/>
      <c r="S208" s="165"/>
      <c r="T208" s="330"/>
      <c r="U208" s="330"/>
      <c r="V208" s="330"/>
      <c r="W208" s="330"/>
      <c r="X208" s="330"/>
      <c r="Y208" s="330"/>
      <c r="Z208" s="330"/>
      <c r="AB208" s="165"/>
      <c r="AC208" s="330"/>
      <c r="AD208" s="330"/>
      <c r="AE208" s="330"/>
      <c r="AF208" s="330"/>
      <c r="AG208" s="330"/>
      <c r="AH208" s="330"/>
      <c r="AI208" s="330"/>
      <c r="AK208" s="165"/>
      <c r="AL208" s="330"/>
      <c r="AM208" s="330"/>
      <c r="AN208" s="330"/>
      <c r="AO208" s="330"/>
      <c r="AP208" s="330"/>
      <c r="AQ208" s="330"/>
      <c r="AR208" s="330"/>
      <c r="AS208" s="474"/>
      <c r="AT208" s="165"/>
      <c r="AU208" s="330"/>
      <c r="AV208" s="330"/>
      <c r="AW208" s="330"/>
      <c r="AX208" s="330"/>
      <c r="AY208" s="330"/>
      <c r="AZ208" s="330"/>
      <c r="BA208" s="330"/>
      <c r="BC208" s="165"/>
      <c r="BD208" s="330"/>
      <c r="BE208" s="330"/>
      <c r="BF208" s="330"/>
      <c r="BG208" s="330"/>
      <c r="BH208" s="330"/>
      <c r="BI208" s="330"/>
      <c r="BJ208" s="330"/>
      <c r="BL208" s="211">
        <v>204</v>
      </c>
      <c r="BM208" s="9" t="s">
        <v>243</v>
      </c>
      <c r="BN208" s="9">
        <v>8</v>
      </c>
      <c r="BO208" s="8" t="s">
        <v>412</v>
      </c>
      <c r="BP208" s="9" t="s">
        <v>354</v>
      </c>
      <c r="BQ208" s="9" t="s">
        <v>536</v>
      </c>
      <c r="BR208" s="346">
        <v>0</v>
      </c>
      <c r="BS208" s="347">
        <v>24200000</v>
      </c>
      <c r="BU208" s="211">
        <v>204</v>
      </c>
      <c r="BV208" s="9" t="s">
        <v>195</v>
      </c>
      <c r="BW208" s="9">
        <v>1</v>
      </c>
      <c r="BX208" s="8" t="s">
        <v>47</v>
      </c>
      <c r="BY208" s="9" t="s">
        <v>378</v>
      </c>
      <c r="BZ208" s="9" t="s">
        <v>162</v>
      </c>
      <c r="CA208" s="346">
        <v>0</v>
      </c>
      <c r="CB208" s="347">
        <v>150000000</v>
      </c>
      <c r="CD208" s="211">
        <v>204</v>
      </c>
      <c r="CE208" s="211" t="s">
        <v>241</v>
      </c>
      <c r="CF208" s="211">
        <v>2</v>
      </c>
      <c r="CG208" s="8" t="s">
        <v>217</v>
      </c>
      <c r="CH208" s="9" t="s">
        <v>63</v>
      </c>
      <c r="CI208" s="9" t="s">
        <v>289</v>
      </c>
      <c r="CJ208" s="210">
        <v>0</v>
      </c>
      <c r="CK208" s="115">
        <v>4400000</v>
      </c>
    </row>
    <row r="209" spans="1:89" s="35" customFormat="1" ht="12" customHeight="1">
      <c r="A209" s="165"/>
      <c r="B209" s="165"/>
      <c r="C209" s="165"/>
      <c r="D209" s="156"/>
      <c r="E209" s="163"/>
      <c r="F209" s="163"/>
      <c r="G209" s="367"/>
      <c r="H209" s="368"/>
      <c r="J209" s="165"/>
      <c r="K209" s="165"/>
      <c r="L209" s="165"/>
      <c r="M209" s="156"/>
      <c r="N209" s="163"/>
      <c r="O209" s="163"/>
      <c r="P209" s="367"/>
      <c r="Q209" s="368"/>
      <c r="S209" s="165"/>
      <c r="T209" s="165"/>
      <c r="U209" s="165"/>
      <c r="V209" s="156"/>
      <c r="W209" s="163"/>
      <c r="X209" s="163"/>
      <c r="Y209" s="367"/>
      <c r="Z209" s="368"/>
      <c r="AB209" s="165"/>
      <c r="AC209" s="165"/>
      <c r="AD209" s="165"/>
      <c r="AE209" s="156"/>
      <c r="AF209" s="163"/>
      <c r="AG209" s="163"/>
      <c r="AH209" s="367"/>
      <c r="AI209" s="368"/>
      <c r="AK209" s="165"/>
      <c r="AL209" s="165"/>
      <c r="AM209" s="165"/>
      <c r="AN209" s="156"/>
      <c r="AO209" s="163"/>
      <c r="AP209" s="163"/>
      <c r="AQ209" s="367"/>
      <c r="AR209" s="368"/>
      <c r="AS209" s="474"/>
      <c r="AT209" s="165"/>
      <c r="AU209" s="165"/>
      <c r="AV209" s="165"/>
      <c r="AW209" s="156"/>
      <c r="AX209" s="163"/>
      <c r="AY209" s="163"/>
      <c r="AZ209" s="367"/>
      <c r="BA209" s="368"/>
      <c r="BC209" s="165"/>
      <c r="BD209" s="165"/>
      <c r="BE209" s="165"/>
      <c r="BF209" s="156"/>
      <c r="BG209" s="163"/>
      <c r="BH209" s="163"/>
      <c r="BI209" s="367"/>
      <c r="BJ209" s="368"/>
      <c r="BL209" s="211">
        <v>205</v>
      </c>
      <c r="BM209" s="211" t="s">
        <v>140</v>
      </c>
      <c r="BN209" s="211">
        <v>1</v>
      </c>
      <c r="BO209" s="8" t="s">
        <v>216</v>
      </c>
      <c r="BP209" s="9" t="s">
        <v>354</v>
      </c>
      <c r="BQ209" s="9" t="s">
        <v>275</v>
      </c>
      <c r="BR209" s="210">
        <v>620</v>
      </c>
      <c r="BS209" s="115">
        <v>0</v>
      </c>
      <c r="BU209" s="211">
        <v>205</v>
      </c>
      <c r="BV209" s="9" t="s">
        <v>239</v>
      </c>
      <c r="BW209" s="9">
        <v>1</v>
      </c>
      <c r="BX209" s="8" t="s">
        <v>47</v>
      </c>
      <c r="BY209" s="9" t="s">
        <v>378</v>
      </c>
      <c r="BZ209" s="9" t="s">
        <v>393</v>
      </c>
      <c r="CA209" s="346">
        <v>0</v>
      </c>
      <c r="CB209" s="347">
        <v>150000000</v>
      </c>
      <c r="CD209" s="211">
        <v>205</v>
      </c>
      <c r="CE209" s="211" t="s">
        <v>140</v>
      </c>
      <c r="CF209" s="211">
        <v>1</v>
      </c>
      <c r="CG209" s="8" t="s">
        <v>47</v>
      </c>
      <c r="CH209" s="9" t="s">
        <v>378</v>
      </c>
      <c r="CI209" s="9" t="s">
        <v>291</v>
      </c>
      <c r="CJ209" s="346">
        <v>0</v>
      </c>
      <c r="CK209" s="347">
        <v>-17416700</v>
      </c>
    </row>
    <row r="210" spans="1:89" s="35" customFormat="1" ht="12" customHeight="1">
      <c r="A210" s="165"/>
      <c r="B210" s="163"/>
      <c r="C210" s="163"/>
      <c r="D210" s="156"/>
      <c r="E210" s="163"/>
      <c r="F210" s="163"/>
      <c r="G210" s="367"/>
      <c r="H210" s="368"/>
      <c r="J210" s="165"/>
      <c r="K210" s="163"/>
      <c r="L210" s="163"/>
      <c r="M210" s="156"/>
      <c r="N210" s="163"/>
      <c r="O210" s="163"/>
      <c r="P210" s="367"/>
      <c r="Q210" s="368"/>
      <c r="S210" s="165"/>
      <c r="T210" s="163"/>
      <c r="U210" s="163"/>
      <c r="V210" s="156"/>
      <c r="W210" s="163"/>
      <c r="X210" s="163"/>
      <c r="Y210" s="367"/>
      <c r="Z210" s="368"/>
      <c r="AB210" s="165"/>
      <c r="AC210" s="163"/>
      <c r="AD210" s="163"/>
      <c r="AE210" s="156"/>
      <c r="AF210" s="163"/>
      <c r="AG210" s="163"/>
      <c r="AH210" s="367"/>
      <c r="AI210" s="368"/>
      <c r="AK210" s="165"/>
      <c r="AL210" s="163"/>
      <c r="AM210" s="163"/>
      <c r="AN210" s="156"/>
      <c r="AO210" s="163"/>
      <c r="AP210" s="163"/>
      <c r="AQ210" s="367"/>
      <c r="AR210" s="368"/>
      <c r="AS210" s="474"/>
      <c r="AT210" s="165"/>
      <c r="AU210" s="163"/>
      <c r="AV210" s="163"/>
      <c r="AW210" s="156"/>
      <c r="AX210" s="163"/>
      <c r="AY210" s="163"/>
      <c r="AZ210" s="367"/>
      <c r="BA210" s="368"/>
      <c r="BC210" s="165"/>
      <c r="BD210" s="163"/>
      <c r="BE210" s="163"/>
      <c r="BF210" s="156"/>
      <c r="BG210" s="163"/>
      <c r="BH210" s="163"/>
      <c r="BI210" s="367"/>
      <c r="BJ210" s="368"/>
      <c r="BL210" s="211">
        <v>206</v>
      </c>
      <c r="BM210" s="211" t="s">
        <v>194</v>
      </c>
      <c r="BN210" s="211">
        <v>10</v>
      </c>
      <c r="BO210" s="8" t="s">
        <v>216</v>
      </c>
      <c r="BP210" s="9" t="s">
        <v>354</v>
      </c>
      <c r="BQ210" s="9" t="s">
        <v>276</v>
      </c>
      <c r="BR210" s="210">
        <v>1650</v>
      </c>
      <c r="BS210" s="115">
        <v>0</v>
      </c>
      <c r="BU210" s="211">
        <v>206</v>
      </c>
      <c r="BV210" s="9" t="s">
        <v>240</v>
      </c>
      <c r="BW210" s="9">
        <v>1</v>
      </c>
      <c r="BX210" s="8" t="s">
        <v>47</v>
      </c>
      <c r="BY210" s="9" t="s">
        <v>378</v>
      </c>
      <c r="BZ210" s="9" t="s">
        <v>408</v>
      </c>
      <c r="CA210" s="346">
        <v>0</v>
      </c>
      <c r="CB210" s="347">
        <v>150000000</v>
      </c>
      <c r="CD210" s="211">
        <v>206</v>
      </c>
      <c r="CE210" s="9" t="s">
        <v>194</v>
      </c>
      <c r="CF210" s="9">
        <v>6</v>
      </c>
      <c r="CG210" s="8" t="s">
        <v>47</v>
      </c>
      <c r="CH210" s="9" t="s">
        <v>378</v>
      </c>
      <c r="CI210" s="9" t="s">
        <v>161</v>
      </c>
      <c r="CJ210" s="346">
        <v>0</v>
      </c>
      <c r="CK210" s="347">
        <v>150000000</v>
      </c>
    </row>
    <row r="211" spans="1:89" s="35" customFormat="1" ht="12" customHeight="1">
      <c r="A211" s="165"/>
      <c r="B211" s="163"/>
      <c r="C211" s="163"/>
      <c r="D211" s="156"/>
      <c r="E211" s="163"/>
      <c r="F211" s="163"/>
      <c r="G211" s="367"/>
      <c r="H211" s="368"/>
      <c r="J211" s="165"/>
      <c r="K211" s="163"/>
      <c r="L211" s="163"/>
      <c r="M211" s="156"/>
      <c r="N211" s="163"/>
      <c r="O211" s="163"/>
      <c r="P211" s="367"/>
      <c r="Q211" s="368"/>
      <c r="S211" s="165"/>
      <c r="T211" s="163"/>
      <c r="U211" s="163"/>
      <c r="V211" s="156"/>
      <c r="W211" s="163"/>
      <c r="X211" s="163"/>
      <c r="Y211" s="367"/>
      <c r="Z211" s="368"/>
      <c r="AB211" s="165"/>
      <c r="AC211" s="163"/>
      <c r="AD211" s="163"/>
      <c r="AE211" s="156"/>
      <c r="AF211" s="163"/>
      <c r="AG211" s="163"/>
      <c r="AH211" s="367"/>
      <c r="AI211" s="368"/>
      <c r="AK211" s="165"/>
      <c r="AL211" s="163"/>
      <c r="AM211" s="163"/>
      <c r="AN211" s="156"/>
      <c r="AO211" s="163"/>
      <c r="AP211" s="163"/>
      <c r="AQ211" s="367"/>
      <c r="AR211" s="368"/>
      <c r="AS211" s="474"/>
      <c r="AT211" s="165"/>
      <c r="AU211" s="163"/>
      <c r="AV211" s="163"/>
      <c r="AW211" s="156"/>
      <c r="AX211" s="163"/>
      <c r="AY211" s="163"/>
      <c r="AZ211" s="367"/>
      <c r="BA211" s="368"/>
      <c r="BC211" s="165"/>
      <c r="BD211" s="163"/>
      <c r="BE211" s="163"/>
      <c r="BF211" s="156"/>
      <c r="BG211" s="163"/>
      <c r="BH211" s="163"/>
      <c r="BI211" s="367"/>
      <c r="BJ211" s="368"/>
      <c r="BL211" s="211">
        <v>207</v>
      </c>
      <c r="BM211" s="211" t="s">
        <v>195</v>
      </c>
      <c r="BN211" s="211">
        <v>2</v>
      </c>
      <c r="BO211" s="8" t="s">
        <v>216</v>
      </c>
      <c r="BP211" s="9" t="s">
        <v>354</v>
      </c>
      <c r="BQ211" s="9" t="s">
        <v>277</v>
      </c>
      <c r="BR211" s="210">
        <v>1650</v>
      </c>
      <c r="BS211" s="115">
        <v>0</v>
      </c>
      <c r="BU211" s="211">
        <v>207</v>
      </c>
      <c r="BV211" s="9" t="s">
        <v>241</v>
      </c>
      <c r="BW211" s="9">
        <v>1</v>
      </c>
      <c r="BX211" s="8" t="s">
        <v>47</v>
      </c>
      <c r="BY211" s="9" t="s">
        <v>378</v>
      </c>
      <c r="BZ211" s="9" t="s">
        <v>465</v>
      </c>
      <c r="CA211" s="346">
        <v>0</v>
      </c>
      <c r="CB211" s="347">
        <v>85000000</v>
      </c>
      <c r="CD211" s="211">
        <v>207</v>
      </c>
      <c r="CE211" s="9" t="s">
        <v>195</v>
      </c>
      <c r="CF211" s="9">
        <v>1</v>
      </c>
      <c r="CG211" s="8" t="s">
        <v>47</v>
      </c>
      <c r="CH211" s="9" t="s">
        <v>378</v>
      </c>
      <c r="CI211" s="9" t="s">
        <v>162</v>
      </c>
      <c r="CJ211" s="346">
        <v>0</v>
      </c>
      <c r="CK211" s="347">
        <v>150000000</v>
      </c>
    </row>
    <row r="212" spans="1:89" s="35" customFormat="1" ht="12" customHeight="1">
      <c r="A212" s="165"/>
      <c r="B212" s="163"/>
      <c r="C212" s="163"/>
      <c r="D212" s="156"/>
      <c r="E212" s="163"/>
      <c r="F212" s="163"/>
      <c r="G212" s="367"/>
      <c r="H212" s="368"/>
      <c r="J212" s="165"/>
      <c r="K212" s="163"/>
      <c r="L212" s="163"/>
      <c r="M212" s="156"/>
      <c r="N212" s="163"/>
      <c r="O212" s="163"/>
      <c r="P212" s="367"/>
      <c r="Q212" s="368"/>
      <c r="S212" s="165"/>
      <c r="T212" s="163"/>
      <c r="U212" s="163"/>
      <c r="V212" s="156"/>
      <c r="W212" s="163"/>
      <c r="X212" s="163"/>
      <c r="Y212" s="367"/>
      <c r="Z212" s="368"/>
      <c r="AB212" s="165"/>
      <c r="AC212" s="163"/>
      <c r="AD212" s="163"/>
      <c r="AE212" s="156"/>
      <c r="AF212" s="163"/>
      <c r="AG212" s="163"/>
      <c r="AH212" s="367"/>
      <c r="AI212" s="368"/>
      <c r="AK212" s="165"/>
      <c r="AL212" s="163"/>
      <c r="AM212" s="163"/>
      <c r="AN212" s="156"/>
      <c r="AO212" s="163"/>
      <c r="AP212" s="163"/>
      <c r="AQ212" s="367"/>
      <c r="AR212" s="368"/>
      <c r="AS212" s="474"/>
      <c r="AT212" s="165"/>
      <c r="AU212" s="163"/>
      <c r="AV212" s="163"/>
      <c r="AW212" s="156"/>
      <c r="AX212" s="163"/>
      <c r="AY212" s="163"/>
      <c r="AZ212" s="367"/>
      <c r="BA212" s="368"/>
      <c r="BC212" s="165"/>
      <c r="BD212" s="163"/>
      <c r="BE212" s="163"/>
      <c r="BF212" s="156"/>
      <c r="BG212" s="163"/>
      <c r="BH212" s="163"/>
      <c r="BI212" s="367"/>
      <c r="BJ212" s="368"/>
      <c r="BL212" s="211">
        <v>208</v>
      </c>
      <c r="BM212" s="211" t="s">
        <v>240</v>
      </c>
      <c r="BN212" s="211">
        <v>3</v>
      </c>
      <c r="BO212" s="8" t="s">
        <v>216</v>
      </c>
      <c r="BP212" s="9" t="s">
        <v>354</v>
      </c>
      <c r="BQ212" s="9" t="s">
        <v>278</v>
      </c>
      <c r="BR212" s="210">
        <v>1650</v>
      </c>
      <c r="BS212" s="115">
        <v>0</v>
      </c>
      <c r="BU212" s="211">
        <v>208</v>
      </c>
      <c r="BV212" s="9" t="s">
        <v>242</v>
      </c>
      <c r="BW212" s="9">
        <v>11</v>
      </c>
      <c r="BX212" s="8" t="s">
        <v>47</v>
      </c>
      <c r="BY212" s="9" t="s">
        <v>378</v>
      </c>
      <c r="BZ212" s="9" t="s">
        <v>494</v>
      </c>
      <c r="CA212" s="346">
        <v>0</v>
      </c>
      <c r="CB212" s="347">
        <v>85000000</v>
      </c>
      <c r="CD212" s="211">
        <v>208</v>
      </c>
      <c r="CE212" s="9" t="s">
        <v>239</v>
      </c>
      <c r="CF212" s="9">
        <v>1</v>
      </c>
      <c r="CG212" s="8" t="s">
        <v>47</v>
      </c>
      <c r="CH212" s="9" t="s">
        <v>378</v>
      </c>
      <c r="CI212" s="9" t="s">
        <v>393</v>
      </c>
      <c r="CJ212" s="346">
        <v>0</v>
      </c>
      <c r="CK212" s="347">
        <v>150000000</v>
      </c>
    </row>
    <row r="213" spans="1:89" s="35" customFormat="1" ht="12" customHeight="1">
      <c r="A213" s="165"/>
      <c r="B213" s="163"/>
      <c r="C213" s="163"/>
      <c r="D213" s="156"/>
      <c r="E213" s="163"/>
      <c r="F213" s="163"/>
      <c r="G213" s="367"/>
      <c r="H213" s="368"/>
      <c r="J213" s="165"/>
      <c r="K213" s="163"/>
      <c r="L213" s="163"/>
      <c r="M213" s="156"/>
      <c r="N213" s="163"/>
      <c r="O213" s="163"/>
      <c r="P213" s="367"/>
      <c r="Q213" s="368"/>
      <c r="S213" s="165"/>
      <c r="T213" s="163"/>
      <c r="U213" s="163"/>
      <c r="V213" s="156"/>
      <c r="W213" s="163"/>
      <c r="X213" s="163"/>
      <c r="Y213" s="367"/>
      <c r="Z213" s="368"/>
      <c r="AB213" s="165"/>
      <c r="AC213" s="163"/>
      <c r="AD213" s="163"/>
      <c r="AE213" s="156"/>
      <c r="AF213" s="163"/>
      <c r="AG213" s="163"/>
      <c r="AH213" s="367"/>
      <c r="AI213" s="368"/>
      <c r="AK213" s="165"/>
      <c r="AL213" s="163"/>
      <c r="AM213" s="163"/>
      <c r="AN213" s="156"/>
      <c r="AO213" s="163"/>
      <c r="AP213" s="163"/>
      <c r="AQ213" s="367"/>
      <c r="AR213" s="368"/>
      <c r="AS213" s="474"/>
      <c r="AT213" s="165"/>
      <c r="AU213" s="163"/>
      <c r="AV213" s="163"/>
      <c r="AW213" s="156"/>
      <c r="AX213" s="163"/>
      <c r="AY213" s="163"/>
      <c r="AZ213" s="367"/>
      <c r="BA213" s="368"/>
      <c r="BC213" s="165"/>
      <c r="BD213" s="163"/>
      <c r="BE213" s="163"/>
      <c r="BF213" s="156"/>
      <c r="BG213" s="163"/>
      <c r="BH213" s="163"/>
      <c r="BI213" s="367"/>
      <c r="BJ213" s="368"/>
      <c r="BL213" s="211">
        <v>209</v>
      </c>
      <c r="BM213" s="211" t="s">
        <v>194</v>
      </c>
      <c r="BN213" s="211">
        <v>18</v>
      </c>
      <c r="BO213" s="8" t="s">
        <v>217</v>
      </c>
      <c r="BP213" s="9" t="s">
        <v>144</v>
      </c>
      <c r="BQ213" s="9" t="s">
        <v>279</v>
      </c>
      <c r="BR213" s="210">
        <v>0</v>
      </c>
      <c r="BS213" s="115">
        <v>9353850</v>
      </c>
      <c r="BU213" s="211">
        <v>209</v>
      </c>
      <c r="BV213" s="9" t="s">
        <v>243</v>
      </c>
      <c r="BW213" s="9">
        <v>2</v>
      </c>
      <c r="BX213" s="8" t="s">
        <v>47</v>
      </c>
      <c r="BY213" s="9" t="s">
        <v>378</v>
      </c>
      <c r="BZ213" s="9" t="s">
        <v>529</v>
      </c>
      <c r="CA213" s="346">
        <v>0</v>
      </c>
      <c r="CB213" s="347">
        <v>85000000</v>
      </c>
      <c r="CD213" s="211">
        <v>209</v>
      </c>
      <c r="CE213" s="9" t="s">
        <v>240</v>
      </c>
      <c r="CF213" s="9">
        <v>1</v>
      </c>
      <c r="CG213" s="8" t="s">
        <v>47</v>
      </c>
      <c r="CH213" s="9" t="s">
        <v>378</v>
      </c>
      <c r="CI213" s="9" t="s">
        <v>408</v>
      </c>
      <c r="CJ213" s="346">
        <v>0</v>
      </c>
      <c r="CK213" s="347">
        <v>150000000</v>
      </c>
    </row>
    <row r="214" spans="1:89" s="35" customFormat="1" ht="12" customHeight="1">
      <c r="A214" s="165"/>
      <c r="B214" s="163"/>
      <c r="C214" s="163"/>
      <c r="D214" s="156"/>
      <c r="E214" s="163"/>
      <c r="F214" s="163"/>
      <c r="G214" s="367"/>
      <c r="H214" s="368"/>
      <c r="J214" s="165"/>
      <c r="K214" s="163"/>
      <c r="L214" s="163"/>
      <c r="M214" s="156"/>
      <c r="N214" s="163"/>
      <c r="O214" s="163"/>
      <c r="P214" s="367"/>
      <c r="Q214" s="368"/>
      <c r="S214" s="165"/>
      <c r="T214" s="163"/>
      <c r="U214" s="163"/>
      <c r="V214" s="156"/>
      <c r="W214" s="163"/>
      <c r="X214" s="163"/>
      <c r="Y214" s="367"/>
      <c r="Z214" s="368"/>
      <c r="AB214" s="165"/>
      <c r="AC214" s="163"/>
      <c r="AD214" s="163"/>
      <c r="AE214" s="156"/>
      <c r="AF214" s="163"/>
      <c r="AG214" s="163"/>
      <c r="AH214" s="367"/>
      <c r="AI214" s="368"/>
      <c r="AK214" s="165"/>
      <c r="AL214" s="163"/>
      <c r="AM214" s="163"/>
      <c r="AN214" s="156"/>
      <c r="AO214" s="163"/>
      <c r="AP214" s="163"/>
      <c r="AQ214" s="367"/>
      <c r="AR214" s="368"/>
      <c r="AS214" s="474"/>
      <c r="AT214" s="165"/>
      <c r="AU214" s="163"/>
      <c r="AV214" s="163"/>
      <c r="AW214" s="156"/>
      <c r="AX214" s="163"/>
      <c r="AY214" s="163"/>
      <c r="AZ214" s="367"/>
      <c r="BA214" s="368"/>
      <c r="BC214" s="165"/>
      <c r="BD214" s="163"/>
      <c r="BE214" s="163"/>
      <c r="BF214" s="156"/>
      <c r="BG214" s="163"/>
      <c r="BH214" s="163"/>
      <c r="BI214" s="367"/>
      <c r="BJ214" s="368"/>
      <c r="BL214" s="211">
        <v>210</v>
      </c>
      <c r="BM214" s="211" t="s">
        <v>194</v>
      </c>
      <c r="BN214" s="211">
        <v>8</v>
      </c>
      <c r="BO214" s="8" t="s">
        <v>217</v>
      </c>
      <c r="BP214" s="9" t="s">
        <v>118</v>
      </c>
      <c r="BQ214" s="9" t="s">
        <v>280</v>
      </c>
      <c r="BR214" s="210">
        <v>0</v>
      </c>
      <c r="BS214" s="115">
        <v>3750000</v>
      </c>
      <c r="BU214" s="211">
        <v>210</v>
      </c>
      <c r="BV214" s="9" t="s">
        <v>244</v>
      </c>
      <c r="BW214" s="9">
        <v>1</v>
      </c>
      <c r="BX214" s="8" t="s">
        <v>47</v>
      </c>
      <c r="BY214" s="9" t="s">
        <v>378</v>
      </c>
      <c r="BZ214" s="9" t="s">
        <v>574</v>
      </c>
      <c r="CA214" s="346">
        <v>0</v>
      </c>
      <c r="CB214" s="347">
        <v>85000000</v>
      </c>
      <c r="CD214" s="211">
        <v>210</v>
      </c>
      <c r="CE214" s="9" t="s">
        <v>241</v>
      </c>
      <c r="CF214" s="9">
        <v>1</v>
      </c>
      <c r="CG214" s="8" t="s">
        <v>47</v>
      </c>
      <c r="CH214" s="9" t="s">
        <v>378</v>
      </c>
      <c r="CI214" s="9" t="s">
        <v>465</v>
      </c>
      <c r="CJ214" s="346">
        <v>0</v>
      </c>
      <c r="CK214" s="347">
        <v>85000000</v>
      </c>
    </row>
    <row r="215" spans="1:89" s="35" customFormat="1" ht="12" customHeight="1">
      <c r="A215" s="165"/>
      <c r="B215" s="163"/>
      <c r="C215" s="163"/>
      <c r="D215" s="156"/>
      <c r="E215" s="163"/>
      <c r="F215" s="163"/>
      <c r="G215" s="367"/>
      <c r="H215" s="368"/>
      <c r="J215" s="165"/>
      <c r="K215" s="163"/>
      <c r="L215" s="163"/>
      <c r="M215" s="156"/>
      <c r="N215" s="163"/>
      <c r="O215" s="163"/>
      <c r="P215" s="367"/>
      <c r="Q215" s="368"/>
      <c r="S215" s="165"/>
      <c r="T215" s="163"/>
      <c r="U215" s="163"/>
      <c r="V215" s="156"/>
      <c r="W215" s="163"/>
      <c r="X215" s="163"/>
      <c r="Y215" s="367"/>
      <c r="Z215" s="368"/>
      <c r="AB215" s="165"/>
      <c r="AC215" s="163"/>
      <c r="AD215" s="163"/>
      <c r="AE215" s="156"/>
      <c r="AF215" s="163"/>
      <c r="AG215" s="163"/>
      <c r="AH215" s="367"/>
      <c r="AI215" s="368"/>
      <c r="AK215" s="165"/>
      <c r="AL215" s="163"/>
      <c r="AM215" s="163"/>
      <c r="AN215" s="156"/>
      <c r="AO215" s="163"/>
      <c r="AP215" s="163"/>
      <c r="AQ215" s="367"/>
      <c r="AR215" s="368"/>
      <c r="AS215" s="474"/>
      <c r="AT215" s="165"/>
      <c r="AU215" s="163"/>
      <c r="AV215" s="163"/>
      <c r="AW215" s="156"/>
      <c r="AX215" s="163"/>
      <c r="AY215" s="163"/>
      <c r="AZ215" s="367"/>
      <c r="BA215" s="368"/>
      <c r="BC215" s="165"/>
      <c r="BD215" s="163"/>
      <c r="BE215" s="163"/>
      <c r="BF215" s="156"/>
      <c r="BG215" s="163"/>
      <c r="BH215" s="163"/>
      <c r="BI215" s="367"/>
      <c r="BJ215" s="368"/>
      <c r="BL215" s="211">
        <v>211</v>
      </c>
      <c r="BM215" s="211" t="s">
        <v>194</v>
      </c>
      <c r="BN215" s="211">
        <v>14</v>
      </c>
      <c r="BO215" s="8" t="s">
        <v>217</v>
      </c>
      <c r="BP215" s="9" t="s">
        <v>63</v>
      </c>
      <c r="BQ215" s="9" t="s">
        <v>281</v>
      </c>
      <c r="BR215" s="210">
        <v>0</v>
      </c>
      <c r="BS215" s="115">
        <v>3300000</v>
      </c>
      <c r="BU215" s="211">
        <v>211</v>
      </c>
      <c r="BV215" s="211" t="s">
        <v>243</v>
      </c>
      <c r="BW215" s="211">
        <v>2</v>
      </c>
      <c r="BX215" s="8" t="s">
        <v>218</v>
      </c>
      <c r="BY215" s="10" t="s">
        <v>118</v>
      </c>
      <c r="BZ215" s="9" t="s">
        <v>292</v>
      </c>
      <c r="CA215" s="210">
        <v>0</v>
      </c>
      <c r="CB215" s="115">
        <v>8223100</v>
      </c>
      <c r="CD215" s="211">
        <v>211</v>
      </c>
      <c r="CE215" s="9" t="s">
        <v>242</v>
      </c>
      <c r="CF215" s="9">
        <v>11</v>
      </c>
      <c r="CG215" s="8" t="s">
        <v>47</v>
      </c>
      <c r="CH215" s="9" t="s">
        <v>378</v>
      </c>
      <c r="CI215" s="9" t="s">
        <v>494</v>
      </c>
      <c r="CJ215" s="346">
        <v>0</v>
      </c>
      <c r="CK215" s="347">
        <v>85000000</v>
      </c>
    </row>
    <row r="216" spans="1:89" s="35" customFormat="1" ht="12" customHeight="1">
      <c r="A216" s="165"/>
      <c r="B216" s="163"/>
      <c r="C216" s="163"/>
      <c r="D216" s="156"/>
      <c r="E216" s="163"/>
      <c r="F216" s="163"/>
      <c r="G216" s="367"/>
      <c r="H216" s="368"/>
      <c r="J216" s="165"/>
      <c r="K216" s="163"/>
      <c r="L216" s="163"/>
      <c r="M216" s="156"/>
      <c r="N216" s="163"/>
      <c r="O216" s="163"/>
      <c r="P216" s="367"/>
      <c r="Q216" s="368"/>
      <c r="S216" s="165"/>
      <c r="T216" s="163"/>
      <c r="U216" s="163"/>
      <c r="V216" s="156"/>
      <c r="W216" s="163"/>
      <c r="X216" s="163"/>
      <c r="Y216" s="367"/>
      <c r="Z216" s="368"/>
      <c r="AB216" s="165"/>
      <c r="AC216" s="163"/>
      <c r="AD216" s="163"/>
      <c r="AE216" s="156"/>
      <c r="AF216" s="163"/>
      <c r="AG216" s="163"/>
      <c r="AH216" s="367"/>
      <c r="AI216" s="368"/>
      <c r="AK216" s="165"/>
      <c r="AL216" s="163"/>
      <c r="AM216" s="163"/>
      <c r="AN216" s="156"/>
      <c r="AO216" s="163"/>
      <c r="AP216" s="163"/>
      <c r="AQ216" s="367"/>
      <c r="AR216" s="368"/>
      <c r="AS216" s="474"/>
      <c r="AT216" s="165"/>
      <c r="AU216" s="163"/>
      <c r="AV216" s="163"/>
      <c r="AW216" s="156"/>
      <c r="AX216" s="163"/>
      <c r="AY216" s="163"/>
      <c r="AZ216" s="367"/>
      <c r="BA216" s="368"/>
      <c r="BC216" s="165"/>
      <c r="BD216" s="163"/>
      <c r="BE216" s="163"/>
      <c r="BF216" s="156"/>
      <c r="BG216" s="163"/>
      <c r="BH216" s="163"/>
      <c r="BI216" s="367"/>
      <c r="BJ216" s="368"/>
      <c r="BL216" s="211">
        <v>212</v>
      </c>
      <c r="BM216" s="211" t="s">
        <v>194</v>
      </c>
      <c r="BN216" s="211">
        <v>14</v>
      </c>
      <c r="BO216" s="8" t="s">
        <v>217</v>
      </c>
      <c r="BP216" s="9" t="s">
        <v>63</v>
      </c>
      <c r="BQ216" s="9" t="s">
        <v>282</v>
      </c>
      <c r="BR216" s="210">
        <v>0</v>
      </c>
      <c r="BS216" s="115">
        <v>4400000</v>
      </c>
      <c r="BU216" s="211">
        <v>212</v>
      </c>
      <c r="BV216" s="9" t="s">
        <v>140</v>
      </c>
      <c r="BW216" s="9">
        <v>9</v>
      </c>
      <c r="BX216" s="8" t="s">
        <v>219</v>
      </c>
      <c r="BY216" s="9" t="s">
        <v>63</v>
      </c>
      <c r="BZ216" s="9" t="s">
        <v>293</v>
      </c>
      <c r="CA216" s="210">
        <v>0</v>
      </c>
      <c r="CB216" s="115">
        <v>5000000</v>
      </c>
      <c r="CD216" s="211">
        <v>212</v>
      </c>
      <c r="CE216" s="9" t="s">
        <v>243</v>
      </c>
      <c r="CF216" s="9">
        <v>2</v>
      </c>
      <c r="CG216" s="8" t="s">
        <v>47</v>
      </c>
      <c r="CH216" s="9" t="s">
        <v>378</v>
      </c>
      <c r="CI216" s="9" t="s">
        <v>529</v>
      </c>
      <c r="CJ216" s="346">
        <v>0</v>
      </c>
      <c r="CK216" s="347">
        <v>85000000</v>
      </c>
    </row>
    <row r="217" spans="1:89" s="35" customFormat="1" ht="12" customHeight="1">
      <c r="A217" s="165"/>
      <c r="B217" s="163"/>
      <c r="C217" s="163"/>
      <c r="D217" s="156"/>
      <c r="E217" s="163"/>
      <c r="F217" s="163"/>
      <c r="G217" s="367"/>
      <c r="H217" s="368"/>
      <c r="J217" s="165"/>
      <c r="K217" s="163"/>
      <c r="L217" s="163"/>
      <c r="M217" s="156"/>
      <c r="N217" s="163"/>
      <c r="O217" s="163"/>
      <c r="P217" s="367"/>
      <c r="Q217" s="368"/>
      <c r="S217" s="165"/>
      <c r="T217" s="163"/>
      <c r="U217" s="163"/>
      <c r="V217" s="156"/>
      <c r="W217" s="163"/>
      <c r="X217" s="163"/>
      <c r="Y217" s="367"/>
      <c r="Z217" s="368"/>
      <c r="AB217" s="165"/>
      <c r="AC217" s="163"/>
      <c r="AD217" s="163"/>
      <c r="AE217" s="156"/>
      <c r="AF217" s="163"/>
      <c r="AG217" s="163"/>
      <c r="AH217" s="367"/>
      <c r="AI217" s="368"/>
      <c r="AK217" s="165"/>
      <c r="AL217" s="163"/>
      <c r="AM217" s="163"/>
      <c r="AN217" s="156"/>
      <c r="AO217" s="163"/>
      <c r="AP217" s="163"/>
      <c r="AQ217" s="367"/>
      <c r="AR217" s="368"/>
      <c r="AS217" s="474"/>
      <c r="AT217" s="165"/>
      <c r="AU217" s="163"/>
      <c r="AV217" s="163"/>
      <c r="AW217" s="156"/>
      <c r="AX217" s="163"/>
      <c r="AY217" s="163"/>
      <c r="AZ217" s="367"/>
      <c r="BA217" s="368"/>
      <c r="BC217" s="165"/>
      <c r="BD217" s="163"/>
      <c r="BE217" s="163"/>
      <c r="BF217" s="156"/>
      <c r="BG217" s="163"/>
      <c r="BH217" s="163"/>
      <c r="BI217" s="367"/>
      <c r="BJ217" s="368"/>
      <c r="BL217" s="211">
        <v>213</v>
      </c>
      <c r="BM217" s="211" t="s">
        <v>194</v>
      </c>
      <c r="BN217" s="211">
        <v>18</v>
      </c>
      <c r="BO217" s="8" t="s">
        <v>217</v>
      </c>
      <c r="BP217" s="9" t="s">
        <v>63</v>
      </c>
      <c r="BQ217" s="9" t="s">
        <v>283</v>
      </c>
      <c r="BR217" s="210">
        <v>0</v>
      </c>
      <c r="BS217" s="115">
        <v>3300000</v>
      </c>
      <c r="BU217" s="211">
        <v>213</v>
      </c>
      <c r="BV217" s="9" t="s">
        <v>194</v>
      </c>
      <c r="BW217" s="9">
        <v>28</v>
      </c>
      <c r="BX217" s="8" t="s">
        <v>98</v>
      </c>
      <c r="BY217" s="10" t="s">
        <v>62</v>
      </c>
      <c r="BZ217" s="9" t="s">
        <v>163</v>
      </c>
      <c r="CA217" s="210">
        <v>0</v>
      </c>
      <c r="CB217" s="115">
        <v>0.3</v>
      </c>
      <c r="CD217" s="211">
        <v>213</v>
      </c>
      <c r="CE217" s="9" t="s">
        <v>244</v>
      </c>
      <c r="CF217" s="9">
        <v>1</v>
      </c>
      <c r="CG217" s="8" t="s">
        <v>47</v>
      </c>
      <c r="CH217" s="9" t="s">
        <v>378</v>
      </c>
      <c r="CI217" s="9" t="s">
        <v>574</v>
      </c>
      <c r="CJ217" s="346">
        <v>0</v>
      </c>
      <c r="CK217" s="347">
        <v>85000000</v>
      </c>
    </row>
    <row r="218" spans="1:89" s="35" customFormat="1" ht="12" customHeight="1">
      <c r="A218" s="165"/>
      <c r="B218" s="163"/>
      <c r="C218" s="163"/>
      <c r="D218" s="156"/>
      <c r="E218" s="163"/>
      <c r="F218" s="163"/>
      <c r="G218" s="367"/>
      <c r="H218" s="368"/>
      <c r="J218" s="165"/>
      <c r="K218" s="163"/>
      <c r="L218" s="163"/>
      <c r="M218" s="156"/>
      <c r="N218" s="163"/>
      <c r="O218" s="163"/>
      <c r="P218" s="367"/>
      <c r="Q218" s="368"/>
      <c r="S218" s="165"/>
      <c r="T218" s="163"/>
      <c r="U218" s="163"/>
      <c r="V218" s="156"/>
      <c r="W218" s="163"/>
      <c r="X218" s="163"/>
      <c r="Y218" s="367"/>
      <c r="Z218" s="368"/>
      <c r="AB218" s="165"/>
      <c r="AC218" s="163"/>
      <c r="AD218" s="163"/>
      <c r="AE218" s="156"/>
      <c r="AF218" s="163"/>
      <c r="AG218" s="163"/>
      <c r="AH218" s="367"/>
      <c r="AI218" s="368"/>
      <c r="AK218" s="165"/>
      <c r="AL218" s="163"/>
      <c r="AM218" s="163"/>
      <c r="AN218" s="156"/>
      <c r="AO218" s="163"/>
      <c r="AP218" s="163"/>
      <c r="AQ218" s="367"/>
      <c r="AR218" s="368"/>
      <c r="AS218" s="474"/>
      <c r="AT218" s="165"/>
      <c r="AU218" s="163"/>
      <c r="AV218" s="163"/>
      <c r="AW218" s="156"/>
      <c r="AX218" s="163"/>
      <c r="AY218" s="163"/>
      <c r="AZ218" s="367"/>
      <c r="BA218" s="368"/>
      <c r="BC218" s="165"/>
      <c r="BD218" s="163"/>
      <c r="BE218" s="163"/>
      <c r="BF218" s="156"/>
      <c r="BG218" s="163"/>
      <c r="BH218" s="163"/>
      <c r="BI218" s="367"/>
      <c r="BJ218" s="368"/>
      <c r="BL218" s="211">
        <v>214</v>
      </c>
      <c r="BM218" s="211" t="s">
        <v>195</v>
      </c>
      <c r="BN218" s="211">
        <v>15</v>
      </c>
      <c r="BO218" s="8" t="s">
        <v>217</v>
      </c>
      <c r="BP218" s="9" t="s">
        <v>63</v>
      </c>
      <c r="BQ218" s="9" t="s">
        <v>284</v>
      </c>
      <c r="BR218" s="210">
        <v>0</v>
      </c>
      <c r="BS218" s="115">
        <v>4400000</v>
      </c>
      <c r="BU218" s="211">
        <v>214</v>
      </c>
      <c r="BV218" s="9" t="s">
        <v>241</v>
      </c>
      <c r="BW218" s="9">
        <v>16</v>
      </c>
      <c r="BX218" s="8" t="s">
        <v>98</v>
      </c>
      <c r="BY218" s="10" t="s">
        <v>62</v>
      </c>
      <c r="BZ218" s="9" t="s">
        <v>485</v>
      </c>
      <c r="CA218" s="210">
        <v>0</v>
      </c>
      <c r="CB218" s="115">
        <v>-0.31999999284744263</v>
      </c>
      <c r="CD218" s="211">
        <v>214</v>
      </c>
      <c r="CE218" s="9" t="s">
        <v>245</v>
      </c>
      <c r="CF218" s="9">
        <v>5</v>
      </c>
      <c r="CG218" s="8" t="s">
        <v>47</v>
      </c>
      <c r="CH218" s="9" t="s">
        <v>378</v>
      </c>
      <c r="CI218" s="9" t="s">
        <v>636</v>
      </c>
      <c r="CJ218" s="346">
        <v>0</v>
      </c>
      <c r="CK218" s="347">
        <v>85000000</v>
      </c>
    </row>
    <row r="219" spans="1:89" s="35" customFormat="1" ht="12" customHeight="1">
      <c r="A219" s="165"/>
      <c r="B219" s="163"/>
      <c r="C219" s="163"/>
      <c r="D219" s="156"/>
      <c r="E219" s="163"/>
      <c r="F219" s="163"/>
      <c r="G219" s="367"/>
      <c r="H219" s="368"/>
      <c r="J219" s="165"/>
      <c r="K219" s="163"/>
      <c r="L219" s="163"/>
      <c r="M219" s="156"/>
      <c r="N219" s="163"/>
      <c r="O219" s="163"/>
      <c r="P219" s="367"/>
      <c r="Q219" s="368"/>
      <c r="S219" s="165"/>
      <c r="T219" s="163"/>
      <c r="U219" s="163"/>
      <c r="V219" s="156"/>
      <c r="W219" s="163"/>
      <c r="X219" s="163"/>
      <c r="Y219" s="367"/>
      <c r="Z219" s="368"/>
      <c r="AB219" s="165"/>
      <c r="AC219" s="163"/>
      <c r="AD219" s="163"/>
      <c r="AE219" s="156"/>
      <c r="AF219" s="163"/>
      <c r="AG219" s="163"/>
      <c r="AH219" s="367"/>
      <c r="AI219" s="368"/>
      <c r="AK219" s="165"/>
      <c r="AL219" s="163"/>
      <c r="AM219" s="163"/>
      <c r="AN219" s="156"/>
      <c r="AO219" s="163"/>
      <c r="AP219" s="163"/>
      <c r="AQ219" s="367"/>
      <c r="AR219" s="368"/>
      <c r="AS219" s="474"/>
      <c r="AT219" s="165"/>
      <c r="AU219" s="163"/>
      <c r="AV219" s="163"/>
      <c r="AW219" s="156"/>
      <c r="AX219" s="163"/>
      <c r="AY219" s="163"/>
      <c r="AZ219" s="367"/>
      <c r="BA219" s="368"/>
      <c r="BC219" s="165"/>
      <c r="BD219" s="163"/>
      <c r="BE219" s="163"/>
      <c r="BF219" s="156"/>
      <c r="BG219" s="163"/>
      <c r="BH219" s="163"/>
      <c r="BI219" s="367"/>
      <c r="BJ219" s="368"/>
      <c r="BL219" s="211">
        <v>215</v>
      </c>
      <c r="BM219" s="211" t="s">
        <v>239</v>
      </c>
      <c r="BN219" s="211">
        <v>3</v>
      </c>
      <c r="BO219" s="8" t="s">
        <v>217</v>
      </c>
      <c r="BP219" s="9" t="s">
        <v>63</v>
      </c>
      <c r="BQ219" s="9" t="s">
        <v>285</v>
      </c>
      <c r="BR219" s="210">
        <v>0</v>
      </c>
      <c r="BS219" s="115">
        <v>4400000</v>
      </c>
      <c r="BU219" s="211">
        <v>215</v>
      </c>
      <c r="BV219" s="9" t="s">
        <v>244</v>
      </c>
      <c r="BW219" s="9">
        <v>29</v>
      </c>
      <c r="BX219" s="8" t="s">
        <v>98</v>
      </c>
      <c r="BY219" s="10" t="s">
        <v>62</v>
      </c>
      <c r="BZ219" s="9" t="s">
        <v>614</v>
      </c>
      <c r="CA219" s="346">
        <v>0</v>
      </c>
      <c r="CB219" s="347">
        <v>57580529.600000001</v>
      </c>
      <c r="CD219" s="211">
        <v>215</v>
      </c>
      <c r="CE219" s="9" t="s">
        <v>238</v>
      </c>
      <c r="CF219" s="9">
        <v>2</v>
      </c>
      <c r="CG219" s="8" t="s">
        <v>47</v>
      </c>
      <c r="CH219" s="9" t="s">
        <v>378</v>
      </c>
      <c r="CI219" s="9" t="s">
        <v>656</v>
      </c>
      <c r="CJ219" s="346">
        <v>0</v>
      </c>
      <c r="CK219" s="347">
        <v>107000000</v>
      </c>
    </row>
    <row r="220" spans="1:89" s="35" customFormat="1" ht="12" customHeight="1" thickBot="1">
      <c r="A220" s="165"/>
      <c r="B220" s="163"/>
      <c r="C220" s="163"/>
      <c r="D220" s="156"/>
      <c r="E220" s="163"/>
      <c r="F220" s="163"/>
      <c r="G220" s="367"/>
      <c r="H220" s="368"/>
      <c r="J220" s="165"/>
      <c r="K220" s="163"/>
      <c r="L220" s="163"/>
      <c r="M220" s="156"/>
      <c r="N220" s="163"/>
      <c r="O220" s="163"/>
      <c r="P220" s="367"/>
      <c r="Q220" s="368"/>
      <c r="S220" s="165"/>
      <c r="T220" s="163"/>
      <c r="U220" s="163"/>
      <c r="V220" s="156"/>
      <c r="W220" s="163"/>
      <c r="X220" s="163"/>
      <c r="Y220" s="367"/>
      <c r="Z220" s="368"/>
      <c r="AB220" s="165"/>
      <c r="AC220" s="163"/>
      <c r="AD220" s="163"/>
      <c r="AE220" s="156"/>
      <c r="AF220" s="163"/>
      <c r="AG220" s="163"/>
      <c r="AH220" s="367"/>
      <c r="AI220" s="368"/>
      <c r="AK220" s="165"/>
      <c r="AL220" s="163"/>
      <c r="AM220" s="163"/>
      <c r="AN220" s="156"/>
      <c r="AO220" s="163"/>
      <c r="AP220" s="163"/>
      <c r="AQ220" s="367"/>
      <c r="AR220" s="368"/>
      <c r="AS220" s="474"/>
      <c r="AT220" s="165"/>
      <c r="AU220" s="163"/>
      <c r="AV220" s="163"/>
      <c r="AW220" s="156"/>
      <c r="AX220" s="163"/>
      <c r="AY220" s="163"/>
      <c r="AZ220" s="367"/>
      <c r="BA220" s="368"/>
      <c r="BC220" s="165"/>
      <c r="BD220" s="163"/>
      <c r="BE220" s="163"/>
      <c r="BF220" s="156"/>
      <c r="BG220" s="163"/>
      <c r="BH220" s="163"/>
      <c r="BI220" s="367"/>
      <c r="BJ220" s="368"/>
      <c r="BL220" s="211">
        <v>216</v>
      </c>
      <c r="BM220" s="211" t="s">
        <v>239</v>
      </c>
      <c r="BN220" s="211">
        <v>3</v>
      </c>
      <c r="BO220" s="8" t="s">
        <v>217</v>
      </c>
      <c r="BP220" s="9" t="s">
        <v>63</v>
      </c>
      <c r="BQ220" s="9" t="s">
        <v>286</v>
      </c>
      <c r="BR220" s="210">
        <v>0</v>
      </c>
      <c r="BS220" s="115">
        <v>3300000</v>
      </c>
      <c r="BU220" s="221">
        <v>216</v>
      </c>
      <c r="BV220" s="145" t="s">
        <v>244</v>
      </c>
      <c r="BW220" s="145">
        <v>29</v>
      </c>
      <c r="BX220" s="146" t="s">
        <v>98</v>
      </c>
      <c r="BY220" s="147" t="s">
        <v>62</v>
      </c>
      <c r="BZ220" s="145" t="s">
        <v>615</v>
      </c>
      <c r="CA220" s="348">
        <v>0</v>
      </c>
      <c r="CB220" s="349">
        <v>101520135.2</v>
      </c>
      <c r="CD220" s="211">
        <v>216</v>
      </c>
      <c r="CE220" s="9" t="s">
        <v>140</v>
      </c>
      <c r="CF220" s="9">
        <v>1</v>
      </c>
      <c r="CG220" s="8" t="s">
        <v>47</v>
      </c>
      <c r="CH220" s="9" t="s">
        <v>378</v>
      </c>
      <c r="CI220" s="9" t="s">
        <v>1593</v>
      </c>
      <c r="CJ220" s="346">
        <v>0</v>
      </c>
      <c r="CK220" s="347">
        <v>107000000</v>
      </c>
    </row>
    <row r="221" spans="1:89" s="35" customFormat="1" ht="12" customHeight="1" thickTop="1" thickBot="1">
      <c r="A221" s="165"/>
      <c r="B221" s="165"/>
      <c r="C221" s="165"/>
      <c r="D221" s="165"/>
      <c r="E221" s="165"/>
      <c r="F221" s="165"/>
      <c r="G221" s="165"/>
      <c r="H221" s="165"/>
      <c r="J221" s="165"/>
      <c r="K221" s="330"/>
      <c r="L221" s="330"/>
      <c r="M221" s="330"/>
      <c r="N221" s="330"/>
      <c r="O221" s="330"/>
      <c r="P221" s="330"/>
      <c r="Q221" s="330"/>
      <c r="S221" s="165"/>
      <c r="T221" s="330"/>
      <c r="U221" s="330"/>
      <c r="V221" s="330"/>
      <c r="W221" s="330"/>
      <c r="X221" s="330"/>
      <c r="Y221" s="330"/>
      <c r="Z221" s="330"/>
      <c r="AB221" s="165"/>
      <c r="AC221" s="330"/>
      <c r="AD221" s="330"/>
      <c r="AE221" s="330"/>
      <c r="AF221" s="330"/>
      <c r="AG221" s="330"/>
      <c r="AH221" s="330"/>
      <c r="AI221" s="330"/>
      <c r="AK221" s="165"/>
      <c r="AL221" s="330"/>
      <c r="AM221" s="330"/>
      <c r="AN221" s="330"/>
      <c r="AO221" s="330"/>
      <c r="AP221" s="330"/>
      <c r="AQ221" s="330"/>
      <c r="AR221" s="330"/>
      <c r="AS221" s="474"/>
      <c r="AT221" s="165"/>
      <c r="AU221" s="330"/>
      <c r="AV221" s="330"/>
      <c r="AW221" s="330"/>
      <c r="AX221" s="330"/>
      <c r="AY221" s="330"/>
      <c r="AZ221" s="330"/>
      <c r="BA221" s="330"/>
      <c r="BC221" s="165"/>
      <c r="BD221" s="330"/>
      <c r="BE221" s="330"/>
      <c r="BF221" s="330"/>
      <c r="BG221" s="330"/>
      <c r="BH221" s="330"/>
      <c r="BI221" s="330"/>
      <c r="BJ221" s="330"/>
      <c r="BL221" s="211">
        <v>217</v>
      </c>
      <c r="BM221" s="211" t="s">
        <v>240</v>
      </c>
      <c r="BN221" s="211">
        <v>1</v>
      </c>
      <c r="BO221" s="8" t="s">
        <v>217</v>
      </c>
      <c r="BP221" s="9" t="s">
        <v>63</v>
      </c>
      <c r="BQ221" s="9" t="s">
        <v>287</v>
      </c>
      <c r="BR221" s="210">
        <v>0</v>
      </c>
      <c r="BS221" s="115">
        <v>4400000</v>
      </c>
      <c r="BU221" s="206"/>
      <c r="BV221" s="206"/>
      <c r="BW221" s="206"/>
      <c r="BX221" s="206"/>
      <c r="BY221" s="206"/>
      <c r="BZ221" s="206"/>
      <c r="CA221" s="288">
        <f>SUM(CA5:CA220)</f>
        <v>16009</v>
      </c>
      <c r="CB221" s="289">
        <f>SUM(CB5:CB220)</f>
        <v>7858940227.8967991</v>
      </c>
      <c r="CD221" s="211">
        <v>217</v>
      </c>
      <c r="CE221" s="211" t="s">
        <v>243</v>
      </c>
      <c r="CF221" s="211">
        <v>2</v>
      </c>
      <c r="CG221" s="8" t="s">
        <v>218</v>
      </c>
      <c r="CH221" s="10" t="s">
        <v>118</v>
      </c>
      <c r="CI221" s="9" t="s">
        <v>292</v>
      </c>
      <c r="CJ221" s="210">
        <v>0</v>
      </c>
      <c r="CK221" s="115">
        <v>8223100</v>
      </c>
    </row>
    <row r="222" spans="1:89" s="35" customFormat="1" ht="12" customHeight="1">
      <c r="A222" s="165"/>
      <c r="B222" s="165"/>
      <c r="C222" s="165"/>
      <c r="D222" s="165"/>
      <c r="E222" s="165"/>
      <c r="F222" s="165"/>
      <c r="G222" s="165"/>
      <c r="H222" s="165"/>
      <c r="J222" s="165"/>
      <c r="K222" s="330"/>
      <c r="L222" s="330"/>
      <c r="M222" s="330"/>
      <c r="N222" s="330"/>
      <c r="O222" s="330"/>
      <c r="P222" s="330"/>
      <c r="Q222" s="330"/>
      <c r="S222" s="165"/>
      <c r="T222" s="330"/>
      <c r="U222" s="330"/>
      <c r="V222" s="330"/>
      <c r="W222" s="330"/>
      <c r="X222" s="330"/>
      <c r="Y222" s="330"/>
      <c r="Z222" s="330"/>
      <c r="AB222" s="165"/>
      <c r="AC222" s="330"/>
      <c r="AD222" s="330"/>
      <c r="AE222" s="330"/>
      <c r="AF222" s="330"/>
      <c r="AG222" s="330"/>
      <c r="AH222" s="330"/>
      <c r="AI222" s="330"/>
      <c r="AK222" s="165"/>
      <c r="AL222" s="330"/>
      <c r="AM222" s="330"/>
      <c r="AN222" s="330"/>
      <c r="AO222" s="330"/>
      <c r="AP222" s="330"/>
      <c r="AQ222" s="330"/>
      <c r="AR222" s="330"/>
      <c r="AS222" s="474"/>
      <c r="AT222" s="165"/>
      <c r="AU222" s="330"/>
      <c r="AV222" s="330"/>
      <c r="AW222" s="330"/>
      <c r="AX222" s="330"/>
      <c r="AY222" s="330"/>
      <c r="AZ222" s="330"/>
      <c r="BA222" s="330"/>
      <c r="BC222" s="165"/>
      <c r="BD222" s="330"/>
      <c r="BE222" s="330"/>
      <c r="BF222" s="330"/>
      <c r="BG222" s="330"/>
      <c r="BH222" s="330"/>
      <c r="BI222" s="330"/>
      <c r="BJ222" s="330"/>
      <c r="BL222" s="211">
        <v>218</v>
      </c>
      <c r="BM222" s="211" t="s">
        <v>58</v>
      </c>
      <c r="BN222" s="211">
        <v>5</v>
      </c>
      <c r="BO222" s="8" t="s">
        <v>217</v>
      </c>
      <c r="BP222" s="9" t="s">
        <v>63</v>
      </c>
      <c r="BQ222" s="9" t="s">
        <v>288</v>
      </c>
      <c r="BR222" s="210">
        <v>0</v>
      </c>
      <c r="BS222" s="115">
        <v>4400000</v>
      </c>
      <c r="CD222" s="211">
        <v>218</v>
      </c>
      <c r="CE222" s="9" t="s">
        <v>140</v>
      </c>
      <c r="CF222" s="9">
        <v>9</v>
      </c>
      <c r="CG222" s="8" t="s">
        <v>219</v>
      </c>
      <c r="CH222" s="9" t="s">
        <v>63</v>
      </c>
      <c r="CI222" s="9" t="s">
        <v>293</v>
      </c>
      <c r="CJ222" s="210">
        <v>0</v>
      </c>
      <c r="CK222" s="115">
        <v>5000000</v>
      </c>
    </row>
    <row r="223" spans="1:89" s="35" customFormat="1" ht="12" customHeight="1">
      <c r="A223" s="165"/>
      <c r="B223" s="163"/>
      <c r="C223" s="163"/>
      <c r="D223" s="156"/>
      <c r="E223" s="375"/>
      <c r="F223" s="163"/>
      <c r="G223" s="365"/>
      <c r="H223" s="366"/>
      <c r="J223" s="165"/>
      <c r="K223" s="163"/>
      <c r="L223" s="163"/>
      <c r="M223" s="156"/>
      <c r="N223" s="375"/>
      <c r="O223" s="163"/>
      <c r="P223" s="365"/>
      <c r="Q223" s="795"/>
      <c r="S223" s="165"/>
      <c r="T223" s="163"/>
      <c r="U223" s="163"/>
      <c r="V223" s="156"/>
      <c r="W223" s="375"/>
      <c r="X223" s="163"/>
      <c r="Y223" s="365"/>
      <c r="Z223" s="795"/>
      <c r="AB223" s="165"/>
      <c r="AC223" s="163"/>
      <c r="AD223" s="163"/>
      <c r="AE223" s="156"/>
      <c r="AF223" s="375"/>
      <c r="AG223" s="163"/>
      <c r="AH223" s="365"/>
      <c r="AI223" s="795"/>
      <c r="AK223" s="165"/>
      <c r="AL223" s="163"/>
      <c r="AM223" s="163"/>
      <c r="AN223" s="156"/>
      <c r="AO223" s="375"/>
      <c r="AP223" s="163"/>
      <c r="AQ223" s="365"/>
      <c r="AR223" s="795"/>
      <c r="AS223" s="474"/>
      <c r="AT223" s="165"/>
      <c r="AU223" s="163"/>
      <c r="AV223" s="163"/>
      <c r="AW223" s="156"/>
      <c r="AX223" s="375"/>
      <c r="AY223" s="163"/>
      <c r="AZ223" s="365"/>
      <c r="BA223" s="795"/>
      <c r="BC223" s="165"/>
      <c r="BD223" s="163"/>
      <c r="BE223" s="163"/>
      <c r="BF223" s="156"/>
      <c r="BG223" s="375"/>
      <c r="BH223" s="163"/>
      <c r="BI223" s="365"/>
      <c r="BJ223" s="795"/>
      <c r="BL223" s="211">
        <v>219</v>
      </c>
      <c r="BM223" s="211" t="s">
        <v>241</v>
      </c>
      <c r="BN223" s="211">
        <v>2</v>
      </c>
      <c r="BO223" s="8" t="s">
        <v>217</v>
      </c>
      <c r="BP223" s="9" t="s">
        <v>63</v>
      </c>
      <c r="BQ223" s="9" t="s">
        <v>289</v>
      </c>
      <c r="BR223" s="210">
        <v>0</v>
      </c>
      <c r="BS223" s="115">
        <v>4400000</v>
      </c>
      <c r="BU223" s="165"/>
      <c r="BV223" s="330"/>
      <c r="CD223" s="211">
        <v>219</v>
      </c>
      <c r="CE223" s="9" t="s">
        <v>194</v>
      </c>
      <c r="CF223" s="9">
        <v>28</v>
      </c>
      <c r="CG223" s="8" t="s">
        <v>98</v>
      </c>
      <c r="CH223" s="10" t="s">
        <v>62</v>
      </c>
      <c r="CI223" s="9" t="s">
        <v>163</v>
      </c>
      <c r="CJ223" s="210">
        <v>0</v>
      </c>
      <c r="CK223" s="537">
        <v>0.3</v>
      </c>
    </row>
    <row r="224" spans="1:89" s="35" customFormat="1" ht="12" customHeight="1">
      <c r="A224" s="165"/>
      <c r="B224" s="163"/>
      <c r="C224" s="163"/>
      <c r="D224" s="156"/>
      <c r="E224" s="375"/>
      <c r="F224" s="163"/>
      <c r="G224" s="365"/>
      <c r="H224" s="366"/>
      <c r="J224" s="165"/>
      <c r="K224" s="163"/>
      <c r="L224" s="163"/>
      <c r="M224" s="156"/>
      <c r="N224" s="375"/>
      <c r="O224" s="163"/>
      <c r="P224" s="365"/>
      <c r="Q224" s="795"/>
      <c r="S224" s="165"/>
      <c r="T224" s="163"/>
      <c r="U224" s="163"/>
      <c r="V224" s="156"/>
      <c r="W224" s="375"/>
      <c r="X224" s="163"/>
      <c r="Y224" s="365"/>
      <c r="Z224" s="795"/>
      <c r="AB224" s="165"/>
      <c r="AC224" s="163"/>
      <c r="AD224" s="163"/>
      <c r="AE224" s="156"/>
      <c r="AF224" s="375"/>
      <c r="AG224" s="163"/>
      <c r="AH224" s="365"/>
      <c r="AI224" s="795"/>
      <c r="AK224" s="165"/>
      <c r="AL224" s="163"/>
      <c r="AM224" s="163"/>
      <c r="AN224" s="156"/>
      <c r="AO224" s="375"/>
      <c r="AP224" s="163"/>
      <c r="AQ224" s="365"/>
      <c r="AR224" s="795"/>
      <c r="AS224" s="474"/>
      <c r="AT224" s="165"/>
      <c r="AU224" s="163"/>
      <c r="AV224" s="163"/>
      <c r="AW224" s="156"/>
      <c r="AX224" s="375"/>
      <c r="AY224" s="163"/>
      <c r="AZ224" s="365"/>
      <c r="BA224" s="795"/>
      <c r="BC224" s="165"/>
      <c r="BD224" s="163"/>
      <c r="BE224" s="163"/>
      <c r="BF224" s="156"/>
      <c r="BG224" s="375"/>
      <c r="BH224" s="163"/>
      <c r="BI224" s="365"/>
      <c r="BJ224" s="795"/>
      <c r="BL224" s="211">
        <v>220</v>
      </c>
      <c r="BM224" s="211" t="s">
        <v>238</v>
      </c>
      <c r="BN224" s="211">
        <v>2</v>
      </c>
      <c r="BO224" s="8" t="s">
        <v>47</v>
      </c>
      <c r="BP224" s="9" t="s">
        <v>378</v>
      </c>
      <c r="BQ224" s="9" t="s">
        <v>290</v>
      </c>
      <c r="BR224" s="346">
        <v>0</v>
      </c>
      <c r="BS224" s="347">
        <v>150000000</v>
      </c>
      <c r="BU224" s="165"/>
      <c r="BV224" s="330"/>
      <c r="CD224" s="211">
        <v>220</v>
      </c>
      <c r="CE224" s="9" t="s">
        <v>241</v>
      </c>
      <c r="CF224" s="9">
        <v>16</v>
      </c>
      <c r="CG224" s="8" t="s">
        <v>98</v>
      </c>
      <c r="CH224" s="10" t="s">
        <v>62</v>
      </c>
      <c r="CI224" s="9" t="s">
        <v>485</v>
      </c>
      <c r="CJ224" s="210">
        <v>0</v>
      </c>
      <c r="CK224" s="537">
        <v>-0.31999999284744263</v>
      </c>
    </row>
    <row r="225" spans="1:98" s="35" customFormat="1" ht="12" customHeight="1">
      <c r="A225" s="165"/>
      <c r="B225" s="163"/>
      <c r="C225" s="163"/>
      <c r="D225" s="156"/>
      <c r="E225" s="375"/>
      <c r="F225" s="163"/>
      <c r="G225" s="367"/>
      <c r="H225" s="368"/>
      <c r="J225" s="165"/>
      <c r="K225" s="163"/>
      <c r="L225" s="163"/>
      <c r="M225" s="156"/>
      <c r="N225" s="375"/>
      <c r="O225" s="163"/>
      <c r="P225" s="367"/>
      <c r="Q225" s="796"/>
      <c r="S225" s="165"/>
      <c r="T225" s="163"/>
      <c r="U225" s="163"/>
      <c r="V225" s="156"/>
      <c r="W225" s="375"/>
      <c r="X225" s="163"/>
      <c r="Y225" s="367"/>
      <c r="Z225" s="796"/>
      <c r="AB225" s="165"/>
      <c r="AC225" s="163"/>
      <c r="AD225" s="163"/>
      <c r="AE225" s="156"/>
      <c r="AF225" s="375"/>
      <c r="AG225" s="163"/>
      <c r="AH225" s="367"/>
      <c r="AI225" s="796"/>
      <c r="AK225" s="165"/>
      <c r="AL225" s="163"/>
      <c r="AM225" s="163"/>
      <c r="AN225" s="156"/>
      <c r="AO225" s="375"/>
      <c r="AP225" s="163"/>
      <c r="AQ225" s="367"/>
      <c r="AR225" s="796"/>
      <c r="AS225" s="474"/>
      <c r="AT225" s="165"/>
      <c r="AU225" s="163"/>
      <c r="AV225" s="163"/>
      <c r="AW225" s="156"/>
      <c r="AX225" s="375"/>
      <c r="AY225" s="163"/>
      <c r="AZ225" s="367"/>
      <c r="BA225" s="796"/>
      <c r="BC225" s="165"/>
      <c r="BD225" s="163"/>
      <c r="BE225" s="163"/>
      <c r="BF225" s="156"/>
      <c r="BG225" s="375"/>
      <c r="BH225" s="163"/>
      <c r="BI225" s="367"/>
      <c r="BJ225" s="796"/>
      <c r="BL225" s="211">
        <v>221</v>
      </c>
      <c r="BM225" s="211" t="s">
        <v>140</v>
      </c>
      <c r="BN225" s="211">
        <v>1</v>
      </c>
      <c r="BO225" s="8" t="s">
        <v>47</v>
      </c>
      <c r="BP225" s="9" t="s">
        <v>378</v>
      </c>
      <c r="BQ225" s="9" t="s">
        <v>291</v>
      </c>
      <c r="BR225" s="346">
        <v>0</v>
      </c>
      <c r="BS225" s="347">
        <v>150000000</v>
      </c>
      <c r="BU225" s="165"/>
      <c r="BV225" s="330"/>
      <c r="CD225" s="211">
        <v>221</v>
      </c>
      <c r="CE225" s="9" t="s">
        <v>245</v>
      </c>
      <c r="CF225" s="9">
        <v>10</v>
      </c>
      <c r="CG225" s="8" t="s">
        <v>98</v>
      </c>
      <c r="CH225" s="10" t="s">
        <v>62</v>
      </c>
      <c r="CI225" s="9" t="s">
        <v>634</v>
      </c>
      <c r="CJ225" s="346">
        <v>0</v>
      </c>
      <c r="CK225" s="541">
        <v>0.10000000894069672</v>
      </c>
    </row>
    <row r="226" spans="1:98" s="35" customFormat="1" ht="12" customHeight="1">
      <c r="A226" s="165"/>
      <c r="B226" s="163"/>
      <c r="C226" s="163"/>
      <c r="D226" s="156"/>
      <c r="E226" s="375"/>
      <c r="F226" s="163"/>
      <c r="G226" s="367"/>
      <c r="H226" s="368"/>
      <c r="J226" s="165"/>
      <c r="K226" s="163"/>
      <c r="L226" s="163"/>
      <c r="M226" s="156"/>
      <c r="N226" s="375"/>
      <c r="O226" s="163"/>
      <c r="P226" s="367"/>
      <c r="Q226" s="368"/>
      <c r="S226" s="165"/>
      <c r="T226" s="163"/>
      <c r="U226" s="163"/>
      <c r="V226" s="156"/>
      <c r="W226" s="375"/>
      <c r="X226" s="163"/>
      <c r="Y226" s="367"/>
      <c r="Z226" s="368"/>
      <c r="AB226" s="165"/>
      <c r="AC226" s="163"/>
      <c r="AD226" s="163"/>
      <c r="AE226" s="156"/>
      <c r="AF226" s="375"/>
      <c r="AG226" s="163"/>
      <c r="AH226" s="367"/>
      <c r="AI226" s="368"/>
      <c r="AK226" s="165"/>
      <c r="AL226" s="163"/>
      <c r="AM226" s="163"/>
      <c r="AN226" s="156"/>
      <c r="AO226" s="375"/>
      <c r="AP226" s="163"/>
      <c r="AQ226" s="367"/>
      <c r="AR226" s="368"/>
      <c r="AS226" s="474"/>
      <c r="AT226" s="165"/>
      <c r="AU226" s="163"/>
      <c r="AV226" s="163"/>
      <c r="AW226" s="156"/>
      <c r="AX226" s="375"/>
      <c r="AY226" s="163"/>
      <c r="AZ226" s="367"/>
      <c r="BA226" s="368"/>
      <c r="BC226" s="165"/>
      <c r="BD226" s="163"/>
      <c r="BE226" s="163"/>
      <c r="BF226" s="156"/>
      <c r="BG226" s="375"/>
      <c r="BH226" s="163"/>
      <c r="BI226" s="367"/>
      <c r="BJ226" s="368"/>
      <c r="BL226" s="211">
        <v>222</v>
      </c>
      <c r="BM226" s="9" t="s">
        <v>194</v>
      </c>
      <c r="BN226" s="9">
        <v>6</v>
      </c>
      <c r="BO226" s="8" t="s">
        <v>47</v>
      </c>
      <c r="BP226" s="9" t="s">
        <v>378</v>
      </c>
      <c r="BQ226" s="9" t="s">
        <v>161</v>
      </c>
      <c r="BR226" s="346">
        <v>0</v>
      </c>
      <c r="BS226" s="347">
        <v>150000000</v>
      </c>
      <c r="BU226" s="165"/>
      <c r="BV226" s="330"/>
      <c r="CD226" s="211">
        <v>222</v>
      </c>
      <c r="CE226" s="9" t="s">
        <v>238</v>
      </c>
      <c r="CF226" s="9">
        <v>1</v>
      </c>
      <c r="CG226" s="8" t="s">
        <v>98</v>
      </c>
      <c r="CH226" s="10" t="s">
        <v>62</v>
      </c>
      <c r="CI226" s="9" t="s">
        <v>657</v>
      </c>
      <c r="CJ226" s="346">
        <v>0</v>
      </c>
      <c r="CK226" s="347">
        <v>37290000</v>
      </c>
    </row>
    <row r="227" spans="1:98" s="35" customFormat="1" ht="12" customHeight="1">
      <c r="A227" s="165"/>
      <c r="B227" s="163"/>
      <c r="C227" s="163"/>
      <c r="D227" s="156"/>
      <c r="E227" s="375"/>
      <c r="F227" s="163"/>
      <c r="G227" s="367"/>
      <c r="H227" s="368"/>
      <c r="J227" s="165"/>
      <c r="K227" s="163"/>
      <c r="L227" s="163"/>
      <c r="M227" s="156"/>
      <c r="N227" s="375"/>
      <c r="O227" s="163"/>
      <c r="P227" s="367"/>
      <c r="Q227" s="368"/>
      <c r="S227" s="165"/>
      <c r="T227" s="163"/>
      <c r="U227" s="163"/>
      <c r="V227" s="156"/>
      <c r="W227" s="375"/>
      <c r="X227" s="163"/>
      <c r="Y227" s="367"/>
      <c r="Z227" s="368"/>
      <c r="AB227" s="165"/>
      <c r="AC227" s="163"/>
      <c r="AD227" s="163"/>
      <c r="AE227" s="156"/>
      <c r="AF227" s="375"/>
      <c r="AG227" s="163"/>
      <c r="AH227" s="367"/>
      <c r="AI227" s="368"/>
      <c r="AK227" s="165"/>
      <c r="AL227" s="163"/>
      <c r="AM227" s="163"/>
      <c r="AN227" s="156"/>
      <c r="AO227" s="375"/>
      <c r="AP227" s="163"/>
      <c r="AQ227" s="367"/>
      <c r="AR227" s="368"/>
      <c r="AS227" s="474"/>
      <c r="AT227" s="165"/>
      <c r="AU227" s="163"/>
      <c r="AV227" s="163"/>
      <c r="AW227" s="156"/>
      <c r="AX227" s="375"/>
      <c r="AY227" s="163"/>
      <c r="AZ227" s="367"/>
      <c r="BA227" s="368"/>
      <c r="BC227" s="165"/>
      <c r="BD227" s="163"/>
      <c r="BE227" s="163"/>
      <c r="BF227" s="156"/>
      <c r="BG227" s="375"/>
      <c r="BH227" s="163"/>
      <c r="BI227" s="367"/>
      <c r="BJ227" s="368"/>
      <c r="BL227" s="211">
        <v>223</v>
      </c>
      <c r="BM227" s="9" t="s">
        <v>195</v>
      </c>
      <c r="BN227" s="9">
        <v>1</v>
      </c>
      <c r="BO227" s="8" t="s">
        <v>47</v>
      </c>
      <c r="BP227" s="9" t="s">
        <v>378</v>
      </c>
      <c r="BQ227" s="9" t="s">
        <v>162</v>
      </c>
      <c r="BR227" s="346">
        <v>0</v>
      </c>
      <c r="BS227" s="347">
        <v>150000000</v>
      </c>
      <c r="BU227" s="165"/>
      <c r="BV227" s="330"/>
      <c r="CD227" s="211">
        <v>223</v>
      </c>
      <c r="CE227" s="9" t="s">
        <v>238</v>
      </c>
      <c r="CF227" s="9">
        <v>24</v>
      </c>
      <c r="CG227" s="8" t="s">
        <v>98</v>
      </c>
      <c r="CH227" s="10" t="s">
        <v>62</v>
      </c>
      <c r="CI227" s="9" t="s">
        <v>1608</v>
      </c>
      <c r="CJ227" s="346">
        <v>0</v>
      </c>
      <c r="CK227" s="347">
        <v>90507905.400000006</v>
      </c>
    </row>
    <row r="228" spans="1:98" s="35" customFormat="1" ht="12" customHeight="1" thickBot="1">
      <c r="A228" s="797"/>
      <c r="B228" s="798"/>
      <c r="C228" s="798"/>
      <c r="D228" s="799"/>
      <c r="E228" s="800"/>
      <c r="F228" s="798"/>
      <c r="G228" s="801"/>
      <c r="H228" s="802"/>
      <c r="J228" s="797"/>
      <c r="K228" s="798"/>
      <c r="L228" s="798"/>
      <c r="M228" s="799"/>
      <c r="N228" s="800"/>
      <c r="O228" s="798"/>
      <c r="P228" s="801"/>
      <c r="Q228" s="802"/>
      <c r="S228" s="797"/>
      <c r="T228" s="798"/>
      <c r="U228" s="798"/>
      <c r="V228" s="799"/>
      <c r="W228" s="800"/>
      <c r="X228" s="798"/>
      <c r="Y228" s="801"/>
      <c r="Z228" s="802"/>
      <c r="AB228" s="797"/>
      <c r="AC228" s="798"/>
      <c r="AD228" s="798"/>
      <c r="AE228" s="799"/>
      <c r="AF228" s="800"/>
      <c r="AG228" s="798"/>
      <c r="AH228" s="801"/>
      <c r="AI228" s="802"/>
      <c r="AK228" s="797"/>
      <c r="AL228" s="798"/>
      <c r="AM228" s="798"/>
      <c r="AN228" s="799"/>
      <c r="AO228" s="800"/>
      <c r="AP228" s="798"/>
      <c r="AQ228" s="801"/>
      <c r="AR228" s="802"/>
      <c r="AS228" s="474"/>
      <c r="AT228" s="797"/>
      <c r="AU228" s="798"/>
      <c r="AV228" s="798"/>
      <c r="AW228" s="799"/>
      <c r="AX228" s="800"/>
      <c r="AY228" s="798"/>
      <c r="AZ228" s="801"/>
      <c r="BA228" s="802"/>
      <c r="BC228" s="797"/>
      <c r="BD228" s="798"/>
      <c r="BE228" s="798"/>
      <c r="BF228" s="799"/>
      <c r="BG228" s="800"/>
      <c r="BH228" s="798"/>
      <c r="BI228" s="801"/>
      <c r="BJ228" s="802"/>
      <c r="BL228" s="211">
        <v>224</v>
      </c>
      <c r="BM228" s="9" t="s">
        <v>239</v>
      </c>
      <c r="BN228" s="9">
        <v>1</v>
      </c>
      <c r="BO228" s="8" t="s">
        <v>47</v>
      </c>
      <c r="BP228" s="9" t="s">
        <v>378</v>
      </c>
      <c r="BQ228" s="9" t="s">
        <v>393</v>
      </c>
      <c r="BR228" s="346">
        <v>0</v>
      </c>
      <c r="BS228" s="347">
        <v>150000000</v>
      </c>
      <c r="BU228" s="165"/>
      <c r="BV228" s="330"/>
      <c r="CD228" s="536">
        <v>224</v>
      </c>
      <c r="CE228" s="482" t="s">
        <v>140</v>
      </c>
      <c r="CF228" s="482">
        <v>21</v>
      </c>
      <c r="CG228" s="483" t="s">
        <v>98</v>
      </c>
      <c r="CH228" s="484" t="s">
        <v>62</v>
      </c>
      <c r="CI228" s="482" t="s">
        <v>1640</v>
      </c>
      <c r="CJ228" s="485">
        <v>0</v>
      </c>
      <c r="CK228" s="486">
        <v>263104087.40000001</v>
      </c>
    </row>
    <row r="229" spans="1:98" s="35" customFormat="1" ht="12" customHeight="1" thickBot="1">
      <c r="B229" s="206"/>
      <c r="C229" s="206"/>
      <c r="D229" s="206"/>
      <c r="E229" s="206"/>
      <c r="F229" s="206"/>
      <c r="G229" s="206"/>
      <c r="H229" s="206"/>
      <c r="J229" s="474"/>
      <c r="K229" s="474"/>
      <c r="L229" s="474"/>
      <c r="M229" s="474"/>
      <c r="N229" s="474"/>
      <c r="O229" s="474"/>
      <c r="P229" s="474"/>
      <c r="Q229" s="474"/>
      <c r="S229" s="474"/>
      <c r="T229" s="474"/>
      <c r="U229" s="474"/>
      <c r="V229" s="474"/>
      <c r="W229" s="474"/>
      <c r="X229" s="474"/>
      <c r="Y229" s="474"/>
      <c r="Z229" s="474"/>
      <c r="AB229" s="474"/>
      <c r="AC229" s="474"/>
      <c r="AD229" s="474"/>
      <c r="AE229" s="474"/>
      <c r="AF229" s="474"/>
      <c r="AG229" s="474"/>
      <c r="AH229" s="474"/>
      <c r="AI229" s="474"/>
      <c r="AK229" s="474"/>
      <c r="AL229" s="474"/>
      <c r="AM229" s="474"/>
      <c r="AN229" s="474"/>
      <c r="AO229" s="474"/>
      <c r="AP229" s="474"/>
      <c r="AQ229" s="474"/>
      <c r="AR229" s="474"/>
      <c r="AS229" s="474"/>
      <c r="AT229" s="474"/>
      <c r="AU229" s="474"/>
      <c r="AV229" s="474"/>
      <c r="AW229" s="474"/>
      <c r="AX229" s="474"/>
      <c r="AY229" s="474"/>
      <c r="AZ229" s="474"/>
      <c r="BA229" s="474"/>
      <c r="BC229" s="474"/>
      <c r="BD229" s="474"/>
      <c r="BE229" s="474"/>
      <c r="BF229" s="474"/>
      <c r="BG229" s="474"/>
      <c r="BH229" s="474"/>
      <c r="BI229" s="474"/>
      <c r="BJ229" s="474"/>
      <c r="BL229" s="211">
        <v>225</v>
      </c>
      <c r="BM229" s="9" t="s">
        <v>240</v>
      </c>
      <c r="BN229" s="9">
        <v>1</v>
      </c>
      <c r="BO229" s="8" t="s">
        <v>47</v>
      </c>
      <c r="BP229" s="9" t="s">
        <v>378</v>
      </c>
      <c r="BQ229" s="9" t="s">
        <v>408</v>
      </c>
      <c r="BR229" s="346">
        <v>0</v>
      </c>
      <c r="BS229" s="347">
        <v>150000000</v>
      </c>
      <c r="BU229" s="165"/>
      <c r="BV229" s="330"/>
      <c r="CD229" s="165"/>
      <c r="CE229" s="206"/>
      <c r="CF229" s="206"/>
      <c r="CG229" s="206"/>
      <c r="CH229" s="206"/>
      <c r="CI229" s="206"/>
      <c r="CJ229" s="288">
        <f>SUM(CJ5:CJ228)</f>
        <v>12049</v>
      </c>
      <c r="CK229" s="289">
        <f>SUM(CK5:CK228)</f>
        <v>7188756661.2957563</v>
      </c>
    </row>
    <row r="230" spans="1:98" s="35" customFormat="1" ht="12" customHeight="1">
      <c r="A230" s="165"/>
      <c r="B230" s="206"/>
      <c r="C230" s="206"/>
      <c r="D230" s="206"/>
      <c r="E230" s="206"/>
      <c r="F230" s="206"/>
      <c r="G230" s="206"/>
      <c r="H230" s="206"/>
      <c r="J230" s="165"/>
      <c r="K230" s="474"/>
      <c r="L230" s="474"/>
      <c r="M230" s="474"/>
      <c r="N230" s="474"/>
      <c r="O230" s="474"/>
      <c r="P230" s="474"/>
      <c r="Q230" s="474"/>
      <c r="S230" s="165"/>
      <c r="T230" s="474"/>
      <c r="U230" s="474"/>
      <c r="V230" s="474"/>
      <c r="W230" s="474"/>
      <c r="X230" s="474"/>
      <c r="Y230" s="474"/>
      <c r="Z230" s="474"/>
      <c r="AB230" s="165"/>
      <c r="AC230" s="474"/>
      <c r="AD230" s="474"/>
      <c r="AE230" s="474"/>
      <c r="AF230" s="474"/>
      <c r="AG230" s="474"/>
      <c r="AH230" s="474"/>
      <c r="AI230" s="474"/>
      <c r="AK230" s="165"/>
      <c r="AL230" s="474"/>
      <c r="AM230" s="474"/>
      <c r="AN230" s="474"/>
      <c r="AO230" s="474"/>
      <c r="AP230" s="474"/>
      <c r="AQ230" s="474"/>
      <c r="AR230" s="474"/>
      <c r="AS230" s="474"/>
      <c r="AT230" s="165"/>
      <c r="AU230" s="474"/>
      <c r="AV230" s="474"/>
      <c r="AW230" s="474"/>
      <c r="AX230" s="474"/>
      <c r="AY230" s="474"/>
      <c r="AZ230" s="474"/>
      <c r="BA230" s="474"/>
      <c r="BC230" s="165"/>
      <c r="BD230" s="474"/>
      <c r="BE230" s="474"/>
      <c r="BF230" s="474"/>
      <c r="BG230" s="474"/>
      <c r="BH230" s="474"/>
      <c r="BI230" s="474"/>
      <c r="BJ230" s="474"/>
      <c r="BL230" s="211">
        <v>226</v>
      </c>
      <c r="BM230" s="9" t="s">
        <v>58</v>
      </c>
      <c r="BN230" s="9">
        <v>2</v>
      </c>
      <c r="BO230" s="8" t="s">
        <v>47</v>
      </c>
      <c r="BP230" s="9" t="s">
        <v>378</v>
      </c>
      <c r="BQ230" s="9" t="s">
        <v>436</v>
      </c>
      <c r="BR230" s="346">
        <v>0</v>
      </c>
      <c r="BS230" s="347">
        <v>85000000</v>
      </c>
      <c r="BU230" s="165"/>
      <c r="BV230" s="330"/>
      <c r="CD230" s="165"/>
      <c r="CM230" s="165"/>
      <c r="CN230" s="474"/>
      <c r="CO230" s="474"/>
      <c r="CP230" s="474"/>
      <c r="CQ230" s="474"/>
      <c r="CR230" s="474"/>
      <c r="CS230" s="474"/>
      <c r="CT230" s="474"/>
    </row>
    <row r="231" spans="1:98" s="35" customFormat="1" ht="12" customHeight="1">
      <c r="A231" s="165"/>
      <c r="B231" s="206"/>
      <c r="C231" s="206"/>
      <c r="D231" s="206"/>
      <c r="E231" s="206"/>
      <c r="F231" s="206"/>
      <c r="G231" s="206"/>
      <c r="H231" s="206"/>
      <c r="J231" s="165"/>
      <c r="K231" s="474"/>
      <c r="L231" s="474"/>
      <c r="M231" s="474"/>
      <c r="N231" s="474"/>
      <c r="O231" s="474"/>
      <c r="P231" s="474"/>
      <c r="Q231" s="474"/>
      <c r="S231" s="165"/>
      <c r="T231" s="474"/>
      <c r="U231" s="474"/>
      <c r="V231" s="474"/>
      <c r="W231" s="474"/>
      <c r="X231" s="474"/>
      <c r="Y231" s="474"/>
      <c r="Z231" s="474"/>
      <c r="AB231" s="165"/>
      <c r="AC231" s="474"/>
      <c r="AD231" s="474"/>
      <c r="AE231" s="474"/>
      <c r="AF231" s="474"/>
      <c r="AG231" s="474"/>
      <c r="AH231" s="474"/>
      <c r="AI231" s="474"/>
      <c r="AK231" s="165"/>
      <c r="AL231" s="474"/>
      <c r="AM231" s="474"/>
      <c r="AN231" s="474"/>
      <c r="AO231" s="474"/>
      <c r="AP231" s="474"/>
      <c r="AQ231" s="474"/>
      <c r="AR231" s="474"/>
      <c r="AS231" s="474"/>
      <c r="AT231" s="165"/>
      <c r="AU231" s="474"/>
      <c r="AV231" s="474"/>
      <c r="AW231" s="474"/>
      <c r="AX231" s="474"/>
      <c r="AY231" s="474"/>
      <c r="AZ231" s="474"/>
      <c r="BA231" s="474"/>
      <c r="BC231" s="165"/>
      <c r="BD231" s="474"/>
      <c r="BE231" s="474"/>
      <c r="BF231" s="474"/>
      <c r="BG231" s="474"/>
      <c r="BH231" s="474"/>
      <c r="BI231" s="474"/>
      <c r="BJ231" s="474"/>
      <c r="BL231" s="211">
        <v>227</v>
      </c>
      <c r="BM231" s="9" t="s">
        <v>241</v>
      </c>
      <c r="BN231" s="9">
        <v>1</v>
      </c>
      <c r="BO231" s="8" t="s">
        <v>47</v>
      </c>
      <c r="BP231" s="9" t="s">
        <v>378</v>
      </c>
      <c r="BQ231" s="9" t="s">
        <v>465</v>
      </c>
      <c r="BR231" s="346">
        <v>0</v>
      </c>
      <c r="BS231" s="347">
        <v>85000000</v>
      </c>
      <c r="BU231" s="165"/>
      <c r="BV231" s="330"/>
      <c r="CD231" s="165"/>
      <c r="CM231" s="165"/>
      <c r="CN231" s="474"/>
      <c r="CO231" s="474"/>
      <c r="CP231" s="474"/>
      <c r="CQ231" s="474"/>
      <c r="CR231" s="474"/>
      <c r="CS231" s="474"/>
      <c r="CT231" s="474"/>
    </row>
    <row r="232" spans="1:98" s="35" customFormat="1" ht="12" customHeight="1">
      <c r="A232" s="165"/>
      <c r="B232" s="206"/>
      <c r="C232" s="206"/>
      <c r="D232" s="206"/>
      <c r="E232" s="206"/>
      <c r="F232" s="206"/>
      <c r="G232" s="206"/>
      <c r="H232" s="206"/>
      <c r="J232" s="165"/>
      <c r="K232" s="474"/>
      <c r="L232" s="474"/>
      <c r="M232" s="474"/>
      <c r="N232" s="474"/>
      <c r="O232" s="474"/>
      <c r="P232" s="474"/>
      <c r="Q232" s="474"/>
      <c r="S232" s="165"/>
      <c r="T232" s="474"/>
      <c r="U232" s="474"/>
      <c r="V232" s="474"/>
      <c r="W232" s="474"/>
      <c r="X232" s="474"/>
      <c r="Y232" s="474"/>
      <c r="Z232" s="474"/>
      <c r="AB232" s="165"/>
      <c r="AC232" s="474"/>
      <c r="AD232" s="474"/>
      <c r="AE232" s="474"/>
      <c r="AF232" s="474"/>
      <c r="AG232" s="474"/>
      <c r="AH232" s="474"/>
      <c r="AI232" s="474"/>
      <c r="AK232" s="165"/>
      <c r="AL232" s="474"/>
      <c r="AM232" s="474"/>
      <c r="AN232" s="474"/>
      <c r="AO232" s="474"/>
      <c r="AP232" s="474"/>
      <c r="AQ232" s="474"/>
      <c r="AR232" s="474"/>
      <c r="AS232" s="474"/>
      <c r="AT232" s="165"/>
      <c r="AU232" s="474"/>
      <c r="AV232" s="474"/>
      <c r="AW232" s="474"/>
      <c r="AX232" s="474"/>
      <c r="AY232" s="474"/>
      <c r="AZ232" s="474"/>
      <c r="BA232" s="474"/>
      <c r="BC232" s="165"/>
      <c r="BD232" s="474"/>
      <c r="BE232" s="474"/>
      <c r="BF232" s="474"/>
      <c r="BG232" s="474"/>
      <c r="BH232" s="474"/>
      <c r="BI232" s="474"/>
      <c r="BJ232" s="474"/>
      <c r="BL232" s="211">
        <v>228</v>
      </c>
      <c r="BM232" s="9" t="s">
        <v>242</v>
      </c>
      <c r="BN232" s="9">
        <v>11</v>
      </c>
      <c r="BO232" s="8" t="s">
        <v>47</v>
      </c>
      <c r="BP232" s="9" t="s">
        <v>378</v>
      </c>
      <c r="BQ232" s="9" t="s">
        <v>494</v>
      </c>
      <c r="BR232" s="346">
        <v>0</v>
      </c>
      <c r="BS232" s="347">
        <v>85000000</v>
      </c>
      <c r="BU232" s="165"/>
      <c r="BV232" s="330"/>
      <c r="CD232" s="165"/>
      <c r="CM232" s="165"/>
      <c r="CN232" s="474"/>
      <c r="CO232" s="474"/>
      <c r="CP232" s="474"/>
      <c r="CQ232" s="474"/>
      <c r="CR232" s="474"/>
      <c r="CS232" s="474"/>
      <c r="CT232" s="474"/>
    </row>
    <row r="233" spans="1:98" s="35" customFormat="1" ht="12" customHeight="1">
      <c r="A233" s="165"/>
      <c r="B233" s="206"/>
      <c r="C233" s="206"/>
      <c r="D233" s="206"/>
      <c r="E233" s="206"/>
      <c r="F233" s="206"/>
      <c r="G233" s="206"/>
      <c r="H233" s="206"/>
      <c r="J233" s="165"/>
      <c r="K233" s="474"/>
      <c r="L233" s="474"/>
      <c r="M233" s="474"/>
      <c r="N233" s="474"/>
      <c r="O233" s="474"/>
      <c r="P233" s="474"/>
      <c r="Q233" s="474"/>
      <c r="S233" s="165"/>
      <c r="T233" s="474"/>
      <c r="U233" s="474"/>
      <c r="V233" s="474"/>
      <c r="W233" s="474"/>
      <c r="X233" s="474"/>
      <c r="Y233" s="474"/>
      <c r="Z233" s="474"/>
      <c r="AB233" s="165"/>
      <c r="AC233" s="474"/>
      <c r="AD233" s="474"/>
      <c r="AE233" s="474"/>
      <c r="AF233" s="474"/>
      <c r="AG233" s="474"/>
      <c r="AH233" s="474"/>
      <c r="AI233" s="474"/>
      <c r="AK233" s="165"/>
      <c r="AL233" s="474"/>
      <c r="AM233" s="474"/>
      <c r="AN233" s="474"/>
      <c r="AO233" s="474"/>
      <c r="AP233" s="474"/>
      <c r="AQ233" s="474"/>
      <c r="AR233" s="474"/>
      <c r="AS233" s="474"/>
      <c r="AT233" s="165"/>
      <c r="AU233" s="474"/>
      <c r="AV233" s="474"/>
      <c r="AW233" s="474"/>
      <c r="AX233" s="474"/>
      <c r="AY233" s="474"/>
      <c r="AZ233" s="474"/>
      <c r="BA233" s="474"/>
      <c r="BC233" s="165"/>
      <c r="BD233" s="474"/>
      <c r="BE233" s="474"/>
      <c r="BF233" s="474"/>
      <c r="BG233" s="474"/>
      <c r="BH233" s="474"/>
      <c r="BI233" s="474"/>
      <c r="BJ233" s="474"/>
      <c r="BL233" s="211">
        <v>229</v>
      </c>
      <c r="BM233" s="9" t="s">
        <v>243</v>
      </c>
      <c r="BN233" s="9">
        <v>2</v>
      </c>
      <c r="BO233" s="8" t="s">
        <v>47</v>
      </c>
      <c r="BP233" s="9" t="s">
        <v>378</v>
      </c>
      <c r="BQ233" s="9" t="s">
        <v>529</v>
      </c>
      <c r="BR233" s="346">
        <v>0</v>
      </c>
      <c r="BS233" s="347">
        <v>85000000</v>
      </c>
      <c r="BU233" s="165"/>
      <c r="BV233" s="330"/>
      <c r="CD233" s="165"/>
      <c r="CM233" s="165"/>
      <c r="CN233" s="474"/>
      <c r="CO233" s="474"/>
      <c r="CP233" s="474"/>
      <c r="CQ233" s="474"/>
      <c r="CR233" s="474"/>
      <c r="CS233" s="474"/>
      <c r="CT233" s="474"/>
    </row>
    <row r="234" spans="1:98" s="35" customFormat="1" ht="12" customHeight="1">
      <c r="A234" s="165"/>
      <c r="B234" s="206"/>
      <c r="C234" s="206"/>
      <c r="D234" s="206"/>
      <c r="E234" s="206"/>
      <c r="F234" s="206"/>
      <c r="G234" s="206"/>
      <c r="H234" s="206"/>
      <c r="J234" s="165"/>
      <c r="K234" s="474"/>
      <c r="L234" s="474"/>
      <c r="M234" s="474"/>
      <c r="N234" s="474"/>
      <c r="O234" s="474"/>
      <c r="P234" s="474"/>
      <c r="Q234" s="474"/>
      <c r="S234" s="165"/>
      <c r="T234" s="474"/>
      <c r="U234" s="474"/>
      <c r="V234" s="474"/>
      <c r="W234" s="474"/>
      <c r="X234" s="474"/>
      <c r="Y234" s="474"/>
      <c r="Z234" s="474"/>
      <c r="AB234" s="165"/>
      <c r="AC234" s="474"/>
      <c r="AD234" s="474"/>
      <c r="AE234" s="474"/>
      <c r="AF234" s="474"/>
      <c r="AG234" s="474"/>
      <c r="AH234" s="474"/>
      <c r="AI234" s="474"/>
      <c r="AK234" s="165"/>
      <c r="AL234" s="474"/>
      <c r="AM234" s="474"/>
      <c r="AN234" s="474"/>
      <c r="AO234" s="474"/>
      <c r="AP234" s="474"/>
      <c r="AQ234" s="474"/>
      <c r="AR234" s="474"/>
      <c r="AS234" s="474"/>
      <c r="AT234" s="165"/>
      <c r="AU234" s="474"/>
      <c r="AV234" s="474"/>
      <c r="AW234" s="474"/>
      <c r="AX234" s="474"/>
      <c r="AY234" s="474"/>
      <c r="AZ234" s="474"/>
      <c r="BA234" s="474"/>
      <c r="BC234" s="165"/>
      <c r="BD234" s="474"/>
      <c r="BE234" s="474"/>
      <c r="BF234" s="474"/>
      <c r="BG234" s="474"/>
      <c r="BH234" s="474"/>
      <c r="BI234" s="474"/>
      <c r="BJ234" s="474"/>
      <c r="BL234" s="211">
        <v>230</v>
      </c>
      <c r="BM234" s="211" t="s">
        <v>243</v>
      </c>
      <c r="BN234" s="211">
        <v>2</v>
      </c>
      <c r="BO234" s="8" t="s">
        <v>218</v>
      </c>
      <c r="BP234" s="10" t="s">
        <v>118</v>
      </c>
      <c r="BQ234" s="9" t="s">
        <v>292</v>
      </c>
      <c r="BR234" s="210">
        <v>0</v>
      </c>
      <c r="BS234" s="115">
        <v>8223100</v>
      </c>
      <c r="BU234" s="165"/>
      <c r="BV234" s="330"/>
      <c r="CD234" s="165"/>
      <c r="CM234" s="165"/>
      <c r="CN234" s="474"/>
      <c r="CO234" s="474"/>
      <c r="CP234" s="474"/>
      <c r="CQ234" s="474"/>
      <c r="CR234" s="474"/>
      <c r="CS234" s="474"/>
      <c r="CT234" s="474"/>
    </row>
    <row r="235" spans="1:98" s="35" customFormat="1" ht="12" customHeight="1">
      <c r="A235" s="474"/>
      <c r="B235" s="206"/>
      <c r="C235" s="206"/>
      <c r="D235" s="206"/>
      <c r="E235" s="206"/>
      <c r="F235" s="206"/>
      <c r="G235" s="206"/>
      <c r="H235" s="206"/>
      <c r="J235" s="474"/>
      <c r="K235" s="474"/>
      <c r="L235" s="474"/>
      <c r="M235" s="474"/>
      <c r="N235" s="474"/>
      <c r="O235" s="474"/>
      <c r="P235" s="474"/>
      <c r="Q235" s="474"/>
      <c r="S235" s="474"/>
      <c r="T235" s="474"/>
      <c r="U235" s="474"/>
      <c r="V235" s="474"/>
      <c r="W235" s="474"/>
      <c r="X235" s="474"/>
      <c r="Y235" s="474"/>
      <c r="Z235" s="474"/>
      <c r="AB235" s="474"/>
      <c r="AC235" s="474"/>
      <c r="AD235" s="474"/>
      <c r="AE235" s="474"/>
      <c r="AF235" s="474"/>
      <c r="AG235" s="474"/>
      <c r="AH235" s="474"/>
      <c r="AI235" s="474"/>
      <c r="AK235" s="474"/>
      <c r="AL235" s="474"/>
      <c r="AM235" s="474"/>
      <c r="AN235" s="474"/>
      <c r="AO235" s="474"/>
      <c r="AP235" s="474"/>
      <c r="AQ235" s="474"/>
      <c r="AR235" s="474"/>
      <c r="AS235" s="474"/>
      <c r="AT235" s="474"/>
      <c r="AU235" s="474"/>
      <c r="AV235" s="474"/>
      <c r="AW235" s="474"/>
      <c r="AX235" s="474"/>
      <c r="AY235" s="474"/>
      <c r="AZ235" s="474"/>
      <c r="BA235" s="474"/>
      <c r="BC235" s="474"/>
      <c r="BD235" s="474"/>
      <c r="BE235" s="474"/>
      <c r="BF235" s="474"/>
      <c r="BG235" s="474"/>
      <c r="BH235" s="474"/>
      <c r="BI235" s="474"/>
      <c r="BJ235" s="474"/>
      <c r="BL235" s="211">
        <v>231</v>
      </c>
      <c r="BM235" s="9" t="s">
        <v>140</v>
      </c>
      <c r="BN235" s="9">
        <v>9</v>
      </c>
      <c r="BO235" s="8" t="s">
        <v>219</v>
      </c>
      <c r="BP235" s="9" t="s">
        <v>63</v>
      </c>
      <c r="BQ235" s="9" t="s">
        <v>293</v>
      </c>
      <c r="BR235" s="210">
        <v>0</v>
      </c>
      <c r="BS235" s="115">
        <v>5000000</v>
      </c>
      <c r="CD235" s="474"/>
      <c r="CE235" s="474"/>
      <c r="CF235" s="474"/>
      <c r="CG235" s="474"/>
      <c r="CH235" s="474"/>
      <c r="CI235" s="474"/>
      <c r="CJ235" s="474"/>
      <c r="CK235" s="474"/>
      <c r="CM235" s="474"/>
      <c r="CN235" s="474"/>
      <c r="CO235" s="474"/>
      <c r="CP235" s="474"/>
      <c r="CQ235" s="474"/>
      <c r="CR235" s="474"/>
      <c r="CS235" s="474"/>
      <c r="CT235" s="474"/>
    </row>
    <row r="236" spans="1:98" s="35" customFormat="1" ht="12" customHeight="1">
      <c r="A236" s="474"/>
      <c r="B236" s="206"/>
      <c r="C236" s="206"/>
      <c r="D236" s="206"/>
      <c r="E236" s="206"/>
      <c r="F236" s="206"/>
      <c r="G236" s="206"/>
      <c r="H236" s="206"/>
      <c r="J236" s="474"/>
      <c r="K236" s="474"/>
      <c r="L236" s="474"/>
      <c r="M236" s="474"/>
      <c r="N236" s="474"/>
      <c r="O236" s="474"/>
      <c r="P236" s="474"/>
      <c r="Q236" s="474"/>
      <c r="S236" s="474"/>
      <c r="T236" s="474"/>
      <c r="U236" s="474"/>
      <c r="V236" s="474"/>
      <c r="W236" s="474"/>
      <c r="X236" s="474"/>
      <c r="Y236" s="474"/>
      <c r="Z236" s="474"/>
      <c r="AB236" s="474"/>
      <c r="AC236" s="474"/>
      <c r="AD236" s="474"/>
      <c r="AE236" s="474"/>
      <c r="AF236" s="474"/>
      <c r="AG236" s="474"/>
      <c r="AH236" s="474"/>
      <c r="AI236" s="474"/>
      <c r="AK236" s="474"/>
      <c r="AL236" s="474"/>
      <c r="AM236" s="474"/>
      <c r="AN236" s="474"/>
      <c r="AO236" s="474"/>
      <c r="AP236" s="474"/>
      <c r="AQ236" s="474"/>
      <c r="AR236" s="474"/>
      <c r="AS236" s="474"/>
      <c r="AT236" s="474"/>
      <c r="AU236" s="474"/>
      <c r="AV236" s="474"/>
      <c r="AW236" s="474"/>
      <c r="AX236" s="474"/>
      <c r="AY236" s="474"/>
      <c r="AZ236" s="474"/>
      <c r="BA236" s="474"/>
      <c r="BC236" s="474"/>
      <c r="BD236" s="474"/>
      <c r="BE236" s="474"/>
      <c r="BF236" s="474"/>
      <c r="BG236" s="474"/>
      <c r="BH236" s="474"/>
      <c r="BI236" s="474"/>
      <c r="BJ236" s="474"/>
      <c r="BL236" s="211">
        <v>232</v>
      </c>
      <c r="BM236" s="9" t="s">
        <v>194</v>
      </c>
      <c r="BN236" s="9">
        <v>28</v>
      </c>
      <c r="BO236" s="8" t="s">
        <v>98</v>
      </c>
      <c r="BP236" s="10" t="s">
        <v>62</v>
      </c>
      <c r="BQ236" s="9" t="s">
        <v>163</v>
      </c>
      <c r="BR236" s="210">
        <v>0</v>
      </c>
      <c r="BS236" s="115">
        <v>0.3</v>
      </c>
      <c r="CD236" s="474"/>
      <c r="CE236" s="474"/>
      <c r="CF236" s="474"/>
      <c r="CG236" s="474"/>
      <c r="CH236" s="474"/>
      <c r="CI236" s="474"/>
      <c r="CJ236" s="474"/>
      <c r="CK236" s="474"/>
      <c r="CM236" s="474"/>
      <c r="CN236" s="474"/>
      <c r="CO236" s="474"/>
      <c r="CP236" s="474"/>
      <c r="CQ236" s="474"/>
      <c r="CR236" s="474"/>
      <c r="CS236" s="474"/>
      <c r="CT236" s="474"/>
    </row>
    <row r="237" spans="1:98" s="35" customFormat="1" ht="12" customHeight="1" thickBot="1">
      <c r="B237" s="206"/>
      <c r="C237" s="206"/>
      <c r="D237" s="206"/>
      <c r="E237" s="206"/>
      <c r="F237" s="206"/>
      <c r="G237" s="206"/>
      <c r="H237" s="206"/>
      <c r="J237" s="474"/>
      <c r="K237" s="474"/>
      <c r="L237" s="474"/>
      <c r="M237" s="474"/>
      <c r="N237" s="474"/>
      <c r="O237" s="474"/>
      <c r="P237" s="474"/>
      <c r="Q237" s="474"/>
      <c r="S237" s="474"/>
      <c r="T237" s="474"/>
      <c r="U237" s="474"/>
      <c r="V237" s="474"/>
      <c r="W237" s="474"/>
      <c r="X237" s="474"/>
      <c r="Y237" s="474"/>
      <c r="Z237" s="474"/>
      <c r="AB237" s="474"/>
      <c r="AC237" s="474"/>
      <c r="AD237" s="474"/>
      <c r="AE237" s="474"/>
      <c r="AF237" s="474"/>
      <c r="AG237" s="474"/>
      <c r="AH237" s="474"/>
      <c r="AI237" s="474"/>
      <c r="AK237" s="474"/>
      <c r="AL237" s="474"/>
      <c r="AM237" s="474"/>
      <c r="AN237" s="474"/>
      <c r="AO237" s="474"/>
      <c r="AP237" s="474"/>
      <c r="AQ237" s="474"/>
      <c r="AR237" s="474"/>
      <c r="AS237" s="474"/>
      <c r="AT237" s="474"/>
      <c r="AU237" s="474"/>
      <c r="AV237" s="474"/>
      <c r="AW237" s="474"/>
      <c r="AX237" s="474"/>
      <c r="AY237" s="474"/>
      <c r="AZ237" s="474"/>
      <c r="BA237" s="474"/>
      <c r="BC237" s="474"/>
      <c r="BD237" s="474"/>
      <c r="BE237" s="474"/>
      <c r="BF237" s="474"/>
      <c r="BG237" s="474"/>
      <c r="BH237" s="474"/>
      <c r="BI237" s="474"/>
      <c r="BJ237" s="474"/>
      <c r="BL237" s="221">
        <v>233</v>
      </c>
      <c r="BM237" s="145" t="s">
        <v>241</v>
      </c>
      <c r="BN237" s="145">
        <v>16</v>
      </c>
      <c r="BO237" s="146" t="s">
        <v>98</v>
      </c>
      <c r="BP237" s="147" t="s">
        <v>62</v>
      </c>
      <c r="BQ237" s="145" t="s">
        <v>485</v>
      </c>
      <c r="BR237" s="212">
        <v>0</v>
      </c>
      <c r="BS237" s="200">
        <v>-0.31999999284744263</v>
      </c>
      <c r="CD237" s="474"/>
      <c r="CE237" s="474"/>
      <c r="CF237" s="474"/>
      <c r="CG237" s="474"/>
      <c r="CH237" s="474"/>
      <c r="CI237" s="474"/>
      <c r="CJ237" s="474"/>
      <c r="CK237" s="474"/>
      <c r="CM237" s="474"/>
      <c r="CN237" s="474"/>
      <c r="CO237" s="474"/>
      <c r="CP237" s="474"/>
      <c r="CQ237" s="474"/>
      <c r="CR237" s="474"/>
      <c r="CS237" s="474"/>
      <c r="CT237" s="474"/>
    </row>
    <row r="238" spans="1:98" s="35" customFormat="1" ht="12" customHeight="1" thickTop="1" thickBot="1">
      <c r="B238" s="206"/>
      <c r="C238" s="206"/>
      <c r="D238" s="206"/>
      <c r="E238" s="206"/>
      <c r="F238" s="206"/>
      <c r="G238" s="206"/>
      <c r="H238" s="206"/>
      <c r="J238" s="474"/>
      <c r="K238" s="474"/>
      <c r="L238" s="474"/>
      <c r="M238" s="474"/>
      <c r="N238" s="474"/>
      <c r="O238" s="474"/>
      <c r="P238" s="474"/>
      <c r="Q238" s="474"/>
      <c r="S238" s="474"/>
      <c r="T238" s="474"/>
      <c r="U238" s="474"/>
      <c r="V238" s="474"/>
      <c r="W238" s="474"/>
      <c r="X238" s="474"/>
      <c r="Y238" s="474"/>
      <c r="Z238" s="474"/>
      <c r="AB238" s="474"/>
      <c r="AC238" s="474"/>
      <c r="AD238" s="474"/>
      <c r="AE238" s="474"/>
      <c r="AF238" s="474"/>
      <c r="AG238" s="474"/>
      <c r="AH238" s="474"/>
      <c r="AI238" s="474"/>
      <c r="AK238" s="474"/>
      <c r="AL238" s="474"/>
      <c r="AM238" s="474"/>
      <c r="AN238" s="474"/>
      <c r="AO238" s="474"/>
      <c r="AP238" s="474"/>
      <c r="AQ238" s="474"/>
      <c r="AR238" s="474"/>
      <c r="AS238" s="474"/>
      <c r="AT238" s="474"/>
      <c r="AU238" s="474"/>
      <c r="AV238" s="474"/>
      <c r="AW238" s="474"/>
      <c r="AX238" s="474"/>
      <c r="AY238" s="474"/>
      <c r="AZ238" s="474"/>
      <c r="BA238" s="474"/>
      <c r="BC238" s="474"/>
      <c r="BD238" s="474"/>
      <c r="BE238" s="474"/>
      <c r="BF238" s="474"/>
      <c r="BG238" s="474"/>
      <c r="BH238" s="474"/>
      <c r="BI238" s="474"/>
      <c r="BJ238" s="474"/>
      <c r="BR238" s="222">
        <f>SUM(BR5:BR237)</f>
        <v>16009</v>
      </c>
      <c r="BS238" s="223">
        <f>SUM(BS5:BS237)</f>
        <v>5304537020.1569948</v>
      </c>
      <c r="CD238" s="474"/>
      <c r="CE238" s="474"/>
      <c r="CF238" s="474"/>
      <c r="CG238" s="474"/>
      <c r="CH238" s="474"/>
      <c r="CI238" s="474"/>
      <c r="CJ238" s="474"/>
      <c r="CK238" s="474"/>
      <c r="CM238" s="474"/>
      <c r="CN238" s="474"/>
      <c r="CO238" s="474"/>
      <c r="CP238" s="474"/>
      <c r="CQ238" s="474"/>
      <c r="CR238" s="474"/>
      <c r="CS238" s="474"/>
      <c r="CT238" s="474"/>
    </row>
    <row r="239" spans="1:98" s="35" customFormat="1" ht="12" customHeight="1">
      <c r="B239" s="206"/>
      <c r="C239" s="206"/>
      <c r="D239" s="206"/>
      <c r="E239" s="206"/>
      <c r="F239" s="206"/>
      <c r="G239" s="206"/>
      <c r="H239" s="206"/>
      <c r="J239" s="474"/>
      <c r="K239" s="474"/>
      <c r="L239" s="474"/>
      <c r="M239" s="474"/>
      <c r="N239" s="474"/>
      <c r="O239" s="474"/>
      <c r="P239" s="474"/>
      <c r="Q239" s="474"/>
      <c r="S239" s="474"/>
      <c r="T239" s="474"/>
      <c r="U239" s="474"/>
      <c r="V239" s="474"/>
      <c r="W239" s="474"/>
      <c r="X239" s="474"/>
      <c r="Y239" s="474"/>
      <c r="Z239" s="474"/>
      <c r="AB239" s="474"/>
      <c r="AC239" s="474"/>
      <c r="AD239" s="474"/>
      <c r="AE239" s="474"/>
      <c r="AF239" s="474"/>
      <c r="AG239" s="474"/>
      <c r="AH239" s="474"/>
      <c r="AI239" s="474"/>
      <c r="AK239" s="474"/>
      <c r="AL239" s="474"/>
      <c r="AM239" s="474"/>
      <c r="AN239" s="474"/>
      <c r="AO239" s="474"/>
      <c r="AP239" s="474"/>
      <c r="AQ239" s="474"/>
      <c r="AR239" s="474"/>
      <c r="AS239" s="474"/>
      <c r="AT239" s="474"/>
      <c r="AU239" s="474"/>
      <c r="AV239" s="474"/>
      <c r="AW239" s="474"/>
      <c r="AX239" s="474"/>
      <c r="AY239" s="474"/>
      <c r="AZ239" s="474"/>
      <c r="BA239" s="474"/>
      <c r="BC239" s="474"/>
      <c r="BD239" s="474"/>
      <c r="BE239" s="474"/>
      <c r="BF239" s="474"/>
      <c r="BG239" s="474"/>
      <c r="BH239" s="474"/>
      <c r="BI239" s="474"/>
      <c r="BJ239" s="474"/>
      <c r="CD239" s="474"/>
      <c r="CE239" s="474"/>
      <c r="CF239" s="474"/>
      <c r="CG239" s="474"/>
      <c r="CH239" s="474"/>
      <c r="CI239" s="474"/>
      <c r="CJ239" s="474"/>
      <c r="CK239" s="474"/>
      <c r="CM239" s="474"/>
      <c r="CN239" s="474"/>
      <c r="CO239" s="474"/>
      <c r="CP239" s="474"/>
      <c r="CQ239" s="474"/>
      <c r="CR239" s="474"/>
      <c r="CS239" s="474"/>
      <c r="CT239" s="474"/>
    </row>
    <row r="240" spans="1:98" s="35" customFormat="1" ht="12" customHeight="1">
      <c r="B240" s="206"/>
      <c r="C240" s="206"/>
      <c r="D240" s="206"/>
      <c r="E240" s="206"/>
      <c r="F240" s="206"/>
      <c r="G240" s="206"/>
      <c r="H240" s="206"/>
      <c r="J240" s="474"/>
      <c r="K240" s="474"/>
      <c r="L240" s="474"/>
      <c r="M240" s="474"/>
      <c r="N240" s="474"/>
      <c r="O240" s="474"/>
      <c r="P240" s="474"/>
      <c r="Q240" s="474"/>
      <c r="S240" s="474"/>
      <c r="T240" s="474"/>
      <c r="U240" s="474"/>
      <c r="V240" s="474"/>
      <c r="W240" s="474"/>
      <c r="X240" s="474"/>
      <c r="Y240" s="474"/>
      <c r="Z240" s="474"/>
      <c r="AB240" s="474"/>
      <c r="AC240" s="474"/>
      <c r="AD240" s="474"/>
      <c r="AE240" s="474"/>
      <c r="AF240" s="474"/>
      <c r="AG240" s="474"/>
      <c r="AH240" s="474"/>
      <c r="AI240" s="474"/>
      <c r="AK240" s="474"/>
      <c r="AL240" s="474"/>
      <c r="AM240" s="474"/>
      <c r="AN240" s="474"/>
      <c r="AO240" s="474"/>
      <c r="AP240" s="474"/>
      <c r="AQ240" s="474"/>
      <c r="AR240" s="474"/>
      <c r="AS240" s="474"/>
      <c r="AT240" s="474"/>
      <c r="AU240" s="474"/>
      <c r="AV240" s="474"/>
      <c r="AW240" s="474"/>
      <c r="AX240" s="474"/>
      <c r="AY240" s="474"/>
      <c r="AZ240" s="474"/>
      <c r="BA240" s="474"/>
      <c r="BC240" s="474"/>
      <c r="BD240" s="474"/>
      <c r="BE240" s="474"/>
      <c r="BF240" s="474"/>
      <c r="BG240" s="474"/>
      <c r="BH240" s="474"/>
      <c r="BI240" s="474"/>
      <c r="BJ240" s="474"/>
      <c r="CD240" s="474"/>
      <c r="CE240" s="474"/>
      <c r="CF240" s="474"/>
      <c r="CG240" s="474"/>
      <c r="CH240" s="474"/>
      <c r="CI240" s="474"/>
      <c r="CJ240" s="474"/>
      <c r="CK240" s="474"/>
      <c r="CM240" s="474"/>
      <c r="CN240" s="474"/>
      <c r="CO240" s="474"/>
      <c r="CP240" s="474"/>
      <c r="CQ240" s="474"/>
      <c r="CR240" s="474"/>
      <c r="CS240" s="474"/>
      <c r="CT240" s="474"/>
    </row>
    <row r="241" spans="1:98" s="35" customFormat="1" ht="12" customHeight="1">
      <c r="B241" s="206"/>
      <c r="C241" s="206"/>
      <c r="D241" s="206"/>
      <c r="E241" s="206"/>
      <c r="F241" s="206"/>
      <c r="G241" s="206"/>
      <c r="H241" s="206"/>
      <c r="J241" s="474"/>
      <c r="K241" s="474"/>
      <c r="L241" s="474"/>
      <c r="M241" s="474"/>
      <c r="N241" s="474"/>
      <c r="O241" s="474"/>
      <c r="P241" s="474"/>
      <c r="Q241" s="474"/>
      <c r="S241" s="474"/>
      <c r="T241" s="474"/>
      <c r="U241" s="474"/>
      <c r="V241" s="474"/>
      <c r="W241" s="474"/>
      <c r="X241" s="474"/>
      <c r="Y241" s="474"/>
      <c r="Z241" s="474"/>
      <c r="AB241" s="474"/>
      <c r="AC241" s="474"/>
      <c r="AD241" s="474"/>
      <c r="AE241" s="474"/>
      <c r="AF241" s="474"/>
      <c r="AG241" s="474"/>
      <c r="AH241" s="474"/>
      <c r="AI241" s="474"/>
      <c r="AK241" s="474"/>
      <c r="AL241" s="474"/>
      <c r="AM241" s="474"/>
      <c r="AN241" s="474"/>
      <c r="AO241" s="474"/>
      <c r="AP241" s="474"/>
      <c r="AQ241" s="474"/>
      <c r="AR241" s="474"/>
      <c r="AS241" s="474"/>
      <c r="AT241" s="474"/>
      <c r="AU241" s="474"/>
      <c r="AV241" s="474"/>
      <c r="AW241" s="474"/>
      <c r="AX241" s="474"/>
      <c r="AY241" s="474"/>
      <c r="AZ241" s="474"/>
      <c r="BA241" s="474"/>
      <c r="BC241" s="474"/>
      <c r="BD241" s="474"/>
      <c r="BE241" s="474"/>
      <c r="BF241" s="474"/>
      <c r="BG241" s="474"/>
      <c r="BH241" s="474"/>
      <c r="BI241" s="474"/>
      <c r="BJ241" s="474"/>
      <c r="CD241" s="474"/>
      <c r="CE241" s="474"/>
      <c r="CF241" s="474"/>
      <c r="CG241" s="474"/>
      <c r="CH241" s="474"/>
      <c r="CI241" s="474"/>
      <c r="CJ241" s="474"/>
      <c r="CK241" s="474"/>
      <c r="CM241" s="474"/>
      <c r="CN241" s="474"/>
      <c r="CO241" s="474"/>
      <c r="CP241" s="474"/>
      <c r="CQ241" s="474"/>
      <c r="CR241" s="474"/>
      <c r="CS241" s="474"/>
      <c r="CT241" s="474"/>
    </row>
    <row r="242" spans="1:98" s="35" customFormat="1" ht="12" customHeight="1">
      <c r="B242" s="206"/>
      <c r="C242" s="206"/>
      <c r="D242" s="206"/>
      <c r="E242" s="206"/>
      <c r="F242" s="206"/>
      <c r="G242" s="206"/>
      <c r="H242" s="206"/>
      <c r="J242" s="474"/>
      <c r="K242" s="474"/>
      <c r="L242" s="474"/>
      <c r="M242" s="474"/>
      <c r="N242" s="474"/>
      <c r="O242" s="474"/>
      <c r="P242" s="474"/>
      <c r="Q242" s="474"/>
      <c r="S242" s="474"/>
      <c r="T242" s="474"/>
      <c r="U242" s="474"/>
      <c r="V242" s="474"/>
      <c r="W242" s="474"/>
      <c r="X242" s="474"/>
      <c r="Y242" s="474"/>
      <c r="Z242" s="474"/>
      <c r="AB242" s="474"/>
      <c r="AC242" s="474"/>
      <c r="AD242" s="474"/>
      <c r="AE242" s="474"/>
      <c r="AF242" s="474"/>
      <c r="AG242" s="474"/>
      <c r="AH242" s="474"/>
      <c r="AI242" s="474"/>
      <c r="AK242" s="474"/>
      <c r="AL242" s="474"/>
      <c r="AM242" s="474"/>
      <c r="AN242" s="474"/>
      <c r="AO242" s="474"/>
      <c r="AP242" s="474"/>
      <c r="AQ242" s="474"/>
      <c r="AR242" s="474"/>
      <c r="AS242" s="474"/>
      <c r="AT242" s="474"/>
      <c r="AU242" s="474"/>
      <c r="AV242" s="474"/>
      <c r="AW242" s="474"/>
      <c r="AX242" s="474"/>
      <c r="AY242" s="474"/>
      <c r="AZ242" s="474"/>
      <c r="BA242" s="474"/>
      <c r="BC242" s="474"/>
      <c r="BD242" s="474"/>
      <c r="BE242" s="474"/>
      <c r="BF242" s="474"/>
      <c r="BG242" s="474"/>
      <c r="BH242" s="474"/>
      <c r="BI242" s="474"/>
      <c r="BJ242" s="474"/>
      <c r="CD242" s="474"/>
      <c r="CE242" s="474"/>
      <c r="CF242" s="474"/>
      <c r="CG242" s="474"/>
      <c r="CH242" s="474"/>
      <c r="CI242" s="474"/>
      <c r="CJ242" s="474"/>
      <c r="CK242" s="474"/>
      <c r="CM242" s="474"/>
      <c r="CN242" s="474"/>
      <c r="CO242" s="474"/>
      <c r="CP242" s="474"/>
      <c r="CQ242" s="474"/>
      <c r="CR242" s="474"/>
      <c r="CS242" s="474"/>
      <c r="CT242" s="474"/>
    </row>
    <row r="243" spans="1:98" s="35" customFormat="1" ht="12" customHeight="1">
      <c r="B243" s="206"/>
      <c r="C243" s="206"/>
      <c r="D243" s="206"/>
      <c r="E243" s="206"/>
      <c r="F243" s="206"/>
      <c r="G243" s="206"/>
      <c r="H243" s="206"/>
      <c r="J243" s="474"/>
      <c r="K243" s="474"/>
      <c r="L243" s="474"/>
      <c r="M243" s="474"/>
      <c r="N243" s="474"/>
      <c r="O243" s="474"/>
      <c r="P243" s="474"/>
      <c r="Q243" s="474"/>
      <c r="S243" s="474"/>
      <c r="T243" s="474"/>
      <c r="U243" s="474"/>
      <c r="V243" s="474"/>
      <c r="W243" s="474"/>
      <c r="X243" s="474"/>
      <c r="Y243" s="474"/>
      <c r="Z243" s="474"/>
      <c r="AB243" s="474"/>
      <c r="AC243" s="474"/>
      <c r="AD243" s="474"/>
      <c r="AE243" s="474"/>
      <c r="AF243" s="474"/>
      <c r="AG243" s="474"/>
      <c r="AH243" s="474"/>
      <c r="AI243" s="474"/>
      <c r="AK243" s="474"/>
      <c r="AL243" s="474"/>
      <c r="AM243" s="474"/>
      <c r="AN243" s="474"/>
      <c r="AO243" s="474"/>
      <c r="AP243" s="474"/>
      <c r="AQ243" s="474"/>
      <c r="AR243" s="474"/>
      <c r="AS243" s="474"/>
      <c r="AT243" s="474"/>
      <c r="AU243" s="474"/>
      <c r="AV243" s="474"/>
      <c r="AW243" s="474"/>
      <c r="AX243" s="474"/>
      <c r="AY243" s="474"/>
      <c r="AZ243" s="474"/>
      <c r="BA243" s="474"/>
      <c r="BC243" s="474"/>
      <c r="BD243" s="474"/>
      <c r="BE243" s="474"/>
      <c r="BF243" s="474"/>
      <c r="BG243" s="474"/>
      <c r="BH243" s="474"/>
      <c r="BI243" s="474"/>
      <c r="BJ243" s="474"/>
      <c r="CD243" s="474"/>
      <c r="CE243" s="474"/>
      <c r="CF243" s="474"/>
      <c r="CG243" s="474"/>
      <c r="CH243" s="474"/>
      <c r="CI243" s="474"/>
      <c r="CJ243" s="474"/>
      <c r="CK243" s="474"/>
      <c r="CM243" s="474"/>
      <c r="CN243" s="474"/>
      <c r="CO243" s="474"/>
      <c r="CP243" s="474"/>
      <c r="CQ243" s="474"/>
      <c r="CR243" s="474"/>
      <c r="CS243" s="474"/>
      <c r="CT243" s="474"/>
    </row>
    <row r="244" spans="1:98" s="35" customFormat="1" ht="12" customHeight="1">
      <c r="B244" s="206"/>
      <c r="C244" s="206"/>
      <c r="D244" s="206"/>
      <c r="E244" s="206"/>
      <c r="F244" s="206"/>
      <c r="G244" s="206"/>
      <c r="H244" s="206"/>
      <c r="J244" s="474"/>
      <c r="K244" s="474"/>
      <c r="L244" s="474"/>
      <c r="M244" s="474"/>
      <c r="N244" s="474"/>
      <c r="O244" s="474"/>
      <c r="P244" s="474"/>
      <c r="Q244" s="474"/>
      <c r="S244" s="474"/>
      <c r="T244" s="474"/>
      <c r="U244" s="474"/>
      <c r="V244" s="474"/>
      <c r="W244" s="474"/>
      <c r="X244" s="474"/>
      <c r="Y244" s="474"/>
      <c r="Z244" s="474"/>
      <c r="AB244" s="474"/>
      <c r="AC244" s="474"/>
      <c r="AD244" s="474"/>
      <c r="AE244" s="474"/>
      <c r="AF244" s="474"/>
      <c r="AG244" s="474"/>
      <c r="AH244" s="474"/>
      <c r="AI244" s="474"/>
      <c r="AK244" s="474"/>
      <c r="AL244" s="474"/>
      <c r="AM244" s="474"/>
      <c r="AN244" s="474"/>
      <c r="AO244" s="474"/>
      <c r="AP244" s="474"/>
      <c r="AQ244" s="474"/>
      <c r="AR244" s="474"/>
      <c r="AS244" s="474"/>
      <c r="AT244" s="474"/>
      <c r="AU244" s="474"/>
      <c r="AV244" s="474"/>
      <c r="AW244" s="474"/>
      <c r="AX244" s="474"/>
      <c r="AY244" s="474"/>
      <c r="AZ244" s="474"/>
      <c r="BA244" s="474"/>
      <c r="BC244" s="474"/>
      <c r="BD244" s="474"/>
      <c r="BE244" s="474"/>
      <c r="BF244" s="474"/>
      <c r="BG244" s="474"/>
      <c r="BH244" s="474"/>
      <c r="BI244" s="474"/>
      <c r="BJ244" s="474"/>
      <c r="CD244" s="474"/>
      <c r="CE244" s="474"/>
      <c r="CF244" s="474"/>
      <c r="CG244" s="474"/>
      <c r="CH244" s="474"/>
      <c r="CI244" s="474"/>
      <c r="CJ244" s="474"/>
      <c r="CK244" s="474"/>
      <c r="CM244" s="474"/>
      <c r="CN244" s="474"/>
      <c r="CO244" s="474"/>
      <c r="CP244" s="474"/>
      <c r="CQ244" s="474"/>
      <c r="CR244" s="474"/>
      <c r="CS244" s="474"/>
      <c r="CT244" s="474"/>
    </row>
    <row r="245" spans="1:98" s="35" customFormat="1" ht="12" customHeight="1">
      <c r="A245" s="474"/>
      <c r="B245" s="206"/>
      <c r="C245" s="206"/>
      <c r="D245" s="206"/>
      <c r="E245" s="206"/>
      <c r="F245" s="206"/>
      <c r="G245" s="206"/>
      <c r="H245" s="206"/>
      <c r="J245" s="474"/>
      <c r="K245" s="474"/>
      <c r="L245" s="474"/>
      <c r="M245" s="474"/>
      <c r="N245" s="474"/>
      <c r="O245" s="474"/>
      <c r="P245" s="474"/>
      <c r="Q245" s="474"/>
      <c r="S245" s="474"/>
      <c r="T245" s="474"/>
      <c r="U245" s="474"/>
      <c r="V245" s="474"/>
      <c r="W245" s="474"/>
      <c r="X245" s="474"/>
      <c r="Y245" s="474"/>
      <c r="Z245" s="474"/>
      <c r="AB245" s="474"/>
      <c r="AC245" s="474"/>
      <c r="AD245" s="474"/>
      <c r="AE245" s="474"/>
      <c r="AF245" s="474"/>
      <c r="AG245" s="474"/>
      <c r="AH245" s="474"/>
      <c r="AI245" s="474"/>
      <c r="AK245" s="474"/>
      <c r="AL245" s="474"/>
      <c r="AM245" s="474"/>
      <c r="AN245" s="474"/>
      <c r="AO245" s="474"/>
      <c r="AP245" s="474"/>
      <c r="AQ245" s="474"/>
      <c r="AR245" s="474"/>
      <c r="AS245" s="474"/>
      <c r="AT245" s="474"/>
      <c r="AU245" s="474"/>
      <c r="AV245" s="474"/>
      <c r="AW245" s="474"/>
      <c r="AX245" s="474"/>
      <c r="AY245" s="474"/>
      <c r="AZ245" s="474"/>
      <c r="BA245" s="474"/>
      <c r="BC245" s="474"/>
      <c r="BD245" s="474"/>
      <c r="BE245" s="474"/>
      <c r="BF245" s="474"/>
      <c r="BG245" s="474"/>
      <c r="BH245" s="474"/>
      <c r="BI245" s="474"/>
      <c r="BJ245" s="474"/>
      <c r="CD245" s="474"/>
      <c r="CE245" s="474"/>
      <c r="CF245" s="474"/>
      <c r="CG245" s="474"/>
      <c r="CH245" s="474"/>
      <c r="CI245" s="474"/>
      <c r="CJ245" s="474"/>
      <c r="CK245" s="474"/>
      <c r="CM245" s="474"/>
      <c r="CN245" s="474"/>
      <c r="CO245" s="474"/>
      <c r="CP245" s="474"/>
      <c r="CQ245" s="474"/>
      <c r="CR245" s="474"/>
      <c r="CS245" s="474"/>
      <c r="CT245" s="474"/>
    </row>
    <row r="246" spans="1:98" s="35" customFormat="1" ht="12" customHeight="1">
      <c r="A246" s="474"/>
      <c r="B246" s="206"/>
      <c r="C246" s="206"/>
      <c r="D246" s="206"/>
      <c r="E246" s="206"/>
      <c r="F246" s="206"/>
      <c r="G246" s="206"/>
      <c r="H246" s="206"/>
      <c r="J246" s="474"/>
      <c r="K246" s="474"/>
      <c r="L246" s="474"/>
      <c r="M246" s="474"/>
      <c r="N246" s="474"/>
      <c r="O246" s="474"/>
      <c r="P246" s="474"/>
      <c r="Q246" s="474"/>
      <c r="S246" s="474"/>
      <c r="T246" s="474"/>
      <c r="U246" s="474"/>
      <c r="V246" s="474"/>
      <c r="W246" s="474"/>
      <c r="X246" s="474"/>
      <c r="Y246" s="474"/>
      <c r="Z246" s="474"/>
      <c r="AB246" s="474"/>
      <c r="AC246" s="474"/>
      <c r="AD246" s="474"/>
      <c r="AE246" s="474"/>
      <c r="AF246" s="474"/>
      <c r="AG246" s="474"/>
      <c r="AH246" s="474"/>
      <c r="AI246" s="474"/>
      <c r="AK246" s="474"/>
      <c r="AL246" s="474"/>
      <c r="AM246" s="474"/>
      <c r="AN246" s="474"/>
      <c r="AO246" s="474"/>
      <c r="AP246" s="474"/>
      <c r="AQ246" s="474"/>
      <c r="AR246" s="474"/>
      <c r="AS246" s="474"/>
      <c r="AT246" s="474"/>
      <c r="AU246" s="474"/>
      <c r="AV246" s="474"/>
      <c r="AW246" s="474"/>
      <c r="AX246" s="474"/>
      <c r="AY246" s="474"/>
      <c r="AZ246" s="474"/>
      <c r="BA246" s="474"/>
      <c r="BC246" s="474"/>
      <c r="BD246" s="474"/>
      <c r="BE246" s="474"/>
      <c r="BF246" s="474"/>
      <c r="BG246" s="474"/>
      <c r="BH246" s="474"/>
      <c r="BI246" s="474"/>
      <c r="BJ246" s="474"/>
      <c r="CD246" s="474"/>
      <c r="CE246" s="474"/>
      <c r="CF246" s="474"/>
      <c r="CG246" s="474"/>
      <c r="CH246" s="474"/>
      <c r="CI246" s="474"/>
      <c r="CJ246" s="474"/>
      <c r="CK246" s="474"/>
      <c r="CM246" s="474"/>
      <c r="CN246" s="474"/>
      <c r="CO246" s="474"/>
      <c r="CP246" s="474"/>
      <c r="CQ246" s="474"/>
      <c r="CR246" s="474"/>
      <c r="CS246" s="474"/>
      <c r="CT246" s="474"/>
    </row>
    <row r="247" spans="1:98" s="35" customFormat="1" ht="12" customHeight="1">
      <c r="A247" s="474"/>
      <c r="B247" s="206"/>
      <c r="C247" s="206"/>
      <c r="D247" s="206"/>
      <c r="E247" s="206"/>
      <c r="F247" s="206"/>
      <c r="G247" s="206"/>
      <c r="H247" s="206"/>
      <c r="J247" s="474"/>
      <c r="K247" s="474"/>
      <c r="L247" s="474"/>
      <c r="M247" s="474"/>
      <c r="N247" s="474"/>
      <c r="O247" s="474"/>
      <c r="P247" s="474"/>
      <c r="Q247" s="474"/>
      <c r="S247" s="474"/>
      <c r="T247" s="474"/>
      <c r="U247" s="474"/>
      <c r="V247" s="474"/>
      <c r="W247" s="474"/>
      <c r="X247" s="474"/>
      <c r="Y247" s="474"/>
      <c r="Z247" s="474"/>
      <c r="AB247" s="474"/>
      <c r="AC247" s="474"/>
      <c r="AD247" s="474"/>
      <c r="AE247" s="474"/>
      <c r="AF247" s="474"/>
      <c r="AG247" s="474"/>
      <c r="AH247" s="474"/>
      <c r="AI247" s="474"/>
      <c r="AK247" s="474"/>
      <c r="AL247" s="474"/>
      <c r="AM247" s="474"/>
      <c r="AN247" s="474"/>
      <c r="AO247" s="474"/>
      <c r="AP247" s="474"/>
      <c r="AQ247" s="474"/>
      <c r="AR247" s="474"/>
      <c r="AS247" s="474"/>
      <c r="AT247" s="474"/>
      <c r="AU247" s="474"/>
      <c r="AV247" s="474"/>
      <c r="AW247" s="474"/>
      <c r="AX247" s="474"/>
      <c r="AY247" s="474"/>
      <c r="AZ247" s="474"/>
      <c r="BA247" s="474"/>
      <c r="BC247" s="474"/>
      <c r="BD247" s="474"/>
      <c r="BE247" s="474"/>
      <c r="BF247" s="474"/>
      <c r="BG247" s="474"/>
      <c r="BH247" s="474"/>
      <c r="BI247" s="474"/>
      <c r="BJ247" s="474"/>
      <c r="CD247" s="474"/>
      <c r="CE247" s="474"/>
      <c r="CF247" s="474"/>
      <c r="CG247" s="474"/>
      <c r="CH247" s="474"/>
      <c r="CI247" s="474"/>
      <c r="CJ247" s="474"/>
      <c r="CK247" s="474"/>
      <c r="CM247" s="474"/>
      <c r="CN247" s="474"/>
      <c r="CO247" s="474"/>
      <c r="CP247" s="474"/>
      <c r="CQ247" s="474"/>
      <c r="CR247" s="474"/>
      <c r="CS247" s="474"/>
      <c r="CT247" s="474"/>
    </row>
    <row r="248" spans="1:98" s="35" customFormat="1" ht="12" customHeight="1">
      <c r="A248" s="474"/>
      <c r="B248" s="206"/>
      <c r="C248" s="206"/>
      <c r="D248" s="206"/>
      <c r="E248" s="206"/>
      <c r="F248" s="206"/>
      <c r="G248" s="206"/>
      <c r="H248" s="206"/>
      <c r="J248" s="474"/>
      <c r="K248" s="474"/>
      <c r="L248" s="474"/>
      <c r="M248" s="474"/>
      <c r="N248" s="474"/>
      <c r="O248" s="474"/>
      <c r="P248" s="474"/>
      <c r="Q248" s="474"/>
      <c r="S248" s="474"/>
      <c r="T248" s="474"/>
      <c r="U248" s="474"/>
      <c r="V248" s="474"/>
      <c r="W248" s="474"/>
      <c r="X248" s="474"/>
      <c r="Y248" s="474"/>
      <c r="Z248" s="474"/>
      <c r="AB248" s="474"/>
      <c r="AC248" s="474"/>
      <c r="AD248" s="474"/>
      <c r="AE248" s="474"/>
      <c r="AF248" s="474"/>
      <c r="AG248" s="474"/>
      <c r="AH248" s="474"/>
      <c r="AI248" s="474"/>
      <c r="AK248" s="474"/>
      <c r="AL248" s="474"/>
      <c r="AM248" s="474"/>
      <c r="AN248" s="474"/>
      <c r="AO248" s="474"/>
      <c r="AP248" s="474"/>
      <c r="AQ248" s="474"/>
      <c r="AR248" s="474"/>
      <c r="AS248" s="474"/>
      <c r="AT248" s="474"/>
      <c r="AU248" s="474"/>
      <c r="AV248" s="474"/>
      <c r="AW248" s="474"/>
      <c r="AX248" s="474"/>
      <c r="AY248" s="474"/>
      <c r="AZ248" s="474"/>
      <c r="BA248" s="474"/>
      <c r="BC248" s="474"/>
      <c r="BD248" s="474"/>
      <c r="BE248" s="474"/>
      <c r="BF248" s="474"/>
      <c r="BG248" s="474"/>
      <c r="BH248" s="474"/>
      <c r="BI248" s="474"/>
      <c r="BJ248" s="474"/>
      <c r="CD248" s="474"/>
      <c r="CE248" s="474"/>
      <c r="CF248" s="474"/>
      <c r="CG248" s="474"/>
      <c r="CH248" s="474"/>
      <c r="CI248" s="474"/>
      <c r="CJ248" s="474"/>
      <c r="CK248" s="474"/>
      <c r="CM248" s="474"/>
      <c r="CN248" s="474"/>
      <c r="CO248" s="474"/>
      <c r="CP248" s="474"/>
      <c r="CQ248" s="474"/>
      <c r="CR248" s="474"/>
      <c r="CS248" s="474"/>
      <c r="CT248" s="474"/>
    </row>
    <row r="249" spans="1:98" s="35" customFormat="1" ht="12" customHeight="1">
      <c r="A249" s="474"/>
      <c r="B249" s="206"/>
      <c r="C249" s="206"/>
      <c r="D249" s="206"/>
      <c r="E249" s="206"/>
      <c r="F249" s="206"/>
      <c r="G249" s="206"/>
      <c r="H249" s="206"/>
      <c r="J249" s="474"/>
      <c r="K249" s="474"/>
      <c r="L249" s="474"/>
      <c r="M249" s="474"/>
      <c r="N249" s="474"/>
      <c r="O249" s="474"/>
      <c r="P249" s="474"/>
      <c r="Q249" s="474"/>
      <c r="S249" s="474"/>
      <c r="T249" s="474"/>
      <c r="U249" s="474"/>
      <c r="V249" s="474"/>
      <c r="W249" s="474"/>
      <c r="X249" s="474"/>
      <c r="Y249" s="474"/>
      <c r="Z249" s="474"/>
      <c r="AB249" s="474"/>
      <c r="AC249" s="474"/>
      <c r="AD249" s="474"/>
      <c r="AE249" s="474"/>
      <c r="AF249" s="474"/>
      <c r="AG249" s="474"/>
      <c r="AH249" s="474"/>
      <c r="AI249" s="474"/>
      <c r="AK249" s="474"/>
      <c r="AL249" s="474"/>
      <c r="AM249" s="474"/>
      <c r="AN249" s="474"/>
      <c r="AO249" s="474"/>
      <c r="AP249" s="474"/>
      <c r="AQ249" s="474"/>
      <c r="AR249" s="474"/>
      <c r="AS249" s="474"/>
      <c r="AT249" s="474"/>
      <c r="AU249" s="474"/>
      <c r="AV249" s="474"/>
      <c r="AW249" s="474"/>
      <c r="AX249" s="474"/>
      <c r="AY249" s="474"/>
      <c r="AZ249" s="474"/>
      <c r="BA249" s="474"/>
      <c r="BC249" s="474"/>
      <c r="BD249" s="474"/>
      <c r="BE249" s="474"/>
      <c r="BF249" s="474"/>
      <c r="BG249" s="474"/>
      <c r="BH249" s="474"/>
      <c r="BI249" s="474"/>
      <c r="BJ249" s="474"/>
      <c r="CD249" s="474"/>
      <c r="CE249" s="474"/>
      <c r="CF249" s="474"/>
      <c r="CG249" s="474"/>
      <c r="CH249" s="474"/>
      <c r="CI249" s="474"/>
      <c r="CJ249" s="474"/>
      <c r="CK249" s="474"/>
      <c r="CM249" s="474"/>
      <c r="CN249" s="474"/>
      <c r="CO249" s="474"/>
      <c r="CP249" s="474"/>
      <c r="CQ249" s="474"/>
      <c r="CR249" s="474"/>
      <c r="CS249" s="474"/>
      <c r="CT249" s="474"/>
    </row>
    <row r="250" spans="1:98" s="35" customFormat="1" ht="12" customHeight="1">
      <c r="A250" s="474"/>
      <c r="B250" s="206"/>
      <c r="C250" s="206"/>
      <c r="D250" s="206"/>
      <c r="E250" s="206"/>
      <c r="F250" s="206"/>
      <c r="G250" s="206"/>
      <c r="H250" s="206"/>
      <c r="J250" s="474"/>
      <c r="K250" s="474"/>
      <c r="L250" s="474"/>
      <c r="M250" s="474"/>
      <c r="N250" s="474"/>
      <c r="O250" s="474"/>
      <c r="P250" s="474"/>
      <c r="Q250" s="474"/>
      <c r="S250" s="474"/>
      <c r="T250" s="474"/>
      <c r="U250" s="474"/>
      <c r="V250" s="474"/>
      <c r="W250" s="474"/>
      <c r="X250" s="474"/>
      <c r="Y250" s="474"/>
      <c r="Z250" s="474"/>
      <c r="AB250" s="474"/>
      <c r="AC250" s="474"/>
      <c r="AD250" s="474"/>
      <c r="AE250" s="474"/>
      <c r="AF250" s="474"/>
      <c r="AG250" s="474"/>
      <c r="AH250" s="474"/>
      <c r="AI250" s="474"/>
      <c r="AK250" s="474"/>
      <c r="AL250" s="474"/>
      <c r="AM250" s="474"/>
      <c r="AN250" s="474"/>
      <c r="AO250" s="474"/>
      <c r="AP250" s="474"/>
      <c r="AQ250" s="474"/>
      <c r="AR250" s="474"/>
      <c r="AS250" s="474"/>
      <c r="AT250" s="474"/>
      <c r="AU250" s="474"/>
      <c r="AV250" s="474"/>
      <c r="AW250" s="474"/>
      <c r="AX250" s="474"/>
      <c r="AY250" s="474"/>
      <c r="AZ250" s="474"/>
      <c r="BA250" s="474"/>
      <c r="BC250" s="474"/>
      <c r="BD250" s="474"/>
      <c r="BE250" s="474"/>
      <c r="BF250" s="474"/>
      <c r="BG250" s="474"/>
      <c r="BH250" s="474"/>
      <c r="BI250" s="474"/>
      <c r="BJ250" s="474"/>
      <c r="CD250" s="474"/>
      <c r="CE250" s="474"/>
      <c r="CF250" s="474"/>
      <c r="CG250" s="474"/>
      <c r="CH250" s="474"/>
      <c r="CI250" s="474"/>
      <c r="CJ250" s="474"/>
      <c r="CK250" s="474"/>
      <c r="CM250" s="474"/>
      <c r="CN250" s="474"/>
      <c r="CO250" s="474"/>
      <c r="CP250" s="474"/>
      <c r="CQ250" s="474"/>
      <c r="CR250" s="474"/>
      <c r="CS250" s="474"/>
      <c r="CT250" s="474"/>
    </row>
    <row r="251" spans="1:98" s="35" customFormat="1" ht="12" customHeight="1">
      <c r="A251" s="474"/>
      <c r="B251" s="206"/>
      <c r="C251" s="206"/>
      <c r="D251" s="206"/>
      <c r="E251" s="206"/>
      <c r="F251" s="206"/>
      <c r="G251" s="206"/>
      <c r="H251" s="206"/>
      <c r="J251" s="474"/>
      <c r="K251" s="474"/>
      <c r="L251" s="474"/>
      <c r="M251" s="474"/>
      <c r="N251" s="474"/>
      <c r="O251" s="474"/>
      <c r="P251" s="474"/>
      <c r="Q251" s="474"/>
      <c r="S251" s="474"/>
      <c r="T251" s="474"/>
      <c r="U251" s="474"/>
      <c r="V251" s="474"/>
      <c r="W251" s="474"/>
      <c r="X251" s="474"/>
      <c r="Y251" s="474"/>
      <c r="Z251" s="474"/>
      <c r="AB251" s="474"/>
      <c r="AC251" s="474"/>
      <c r="AD251" s="474"/>
      <c r="AE251" s="474"/>
      <c r="AF251" s="474"/>
      <c r="AG251" s="474"/>
      <c r="AH251" s="474"/>
      <c r="AI251" s="474"/>
      <c r="AK251" s="474"/>
      <c r="AL251" s="474"/>
      <c r="AM251" s="474"/>
      <c r="AN251" s="474"/>
      <c r="AO251" s="474"/>
      <c r="AP251" s="474"/>
      <c r="AQ251" s="474"/>
      <c r="AR251" s="474"/>
      <c r="AS251" s="474"/>
      <c r="AT251" s="474"/>
      <c r="AU251" s="474"/>
      <c r="AV251" s="474"/>
      <c r="AW251" s="474"/>
      <c r="AX251" s="474"/>
      <c r="AY251" s="474"/>
      <c r="AZ251" s="474"/>
      <c r="BA251" s="474"/>
      <c r="BC251" s="474"/>
      <c r="BD251" s="474"/>
      <c r="BE251" s="474"/>
      <c r="BF251" s="474"/>
      <c r="BG251" s="474"/>
      <c r="BH251" s="474"/>
      <c r="BI251" s="474"/>
      <c r="BJ251" s="474"/>
      <c r="CD251" s="474"/>
      <c r="CE251" s="474"/>
      <c r="CF251" s="474"/>
      <c r="CG251" s="474"/>
      <c r="CH251" s="474"/>
      <c r="CI251" s="474"/>
      <c r="CJ251" s="474"/>
      <c r="CK251" s="474"/>
      <c r="CM251" s="474"/>
      <c r="CN251" s="474"/>
      <c r="CO251" s="474"/>
      <c r="CP251" s="474"/>
      <c r="CQ251" s="474"/>
      <c r="CR251" s="474"/>
      <c r="CS251" s="474"/>
      <c r="CT251" s="474"/>
    </row>
    <row r="252" spans="1:98" s="35" customFormat="1" ht="12" customHeight="1">
      <c r="A252" s="474"/>
      <c r="B252" s="206"/>
      <c r="C252" s="206"/>
      <c r="D252" s="206"/>
      <c r="E252" s="206"/>
      <c r="F252" s="206"/>
      <c r="G252" s="206"/>
      <c r="H252" s="206"/>
      <c r="J252" s="474"/>
      <c r="K252" s="474"/>
      <c r="L252" s="474"/>
      <c r="M252" s="474"/>
      <c r="N252" s="474"/>
      <c r="O252" s="474"/>
      <c r="P252" s="474"/>
      <c r="Q252" s="474"/>
      <c r="S252" s="474"/>
      <c r="T252" s="474"/>
      <c r="U252" s="474"/>
      <c r="V252" s="474"/>
      <c r="W252" s="474"/>
      <c r="X252" s="474"/>
      <c r="Y252" s="474"/>
      <c r="Z252" s="474"/>
      <c r="AB252" s="474"/>
      <c r="AC252" s="474"/>
      <c r="AD252" s="474"/>
      <c r="AE252" s="474"/>
      <c r="AF252" s="474"/>
      <c r="AG252" s="474"/>
      <c r="AH252" s="474"/>
      <c r="AI252" s="474"/>
      <c r="AK252" s="474"/>
      <c r="AL252" s="474"/>
      <c r="AM252" s="474"/>
      <c r="AN252" s="474"/>
      <c r="AO252" s="474"/>
      <c r="AP252" s="474"/>
      <c r="AQ252" s="474"/>
      <c r="AR252" s="474"/>
      <c r="AS252" s="474"/>
      <c r="AT252" s="474"/>
      <c r="AU252" s="474"/>
      <c r="AV252" s="474"/>
      <c r="AW252" s="474"/>
      <c r="AX252" s="474"/>
      <c r="AY252" s="474"/>
      <c r="AZ252" s="474"/>
      <c r="BA252" s="474"/>
      <c r="BC252" s="474"/>
      <c r="BD252" s="474"/>
      <c r="BE252" s="474"/>
      <c r="BF252" s="474"/>
      <c r="BG252" s="474"/>
      <c r="BH252" s="474"/>
      <c r="BI252" s="474"/>
      <c r="BJ252" s="474"/>
      <c r="CD252" s="474"/>
      <c r="CE252" s="474"/>
      <c r="CF252" s="474"/>
      <c r="CG252" s="474"/>
      <c r="CH252" s="474"/>
      <c r="CI252" s="474"/>
      <c r="CJ252" s="474"/>
      <c r="CK252" s="474"/>
      <c r="CM252" s="474"/>
      <c r="CN252" s="474"/>
      <c r="CO252" s="474"/>
      <c r="CP252" s="474"/>
      <c r="CQ252" s="474"/>
      <c r="CR252" s="474"/>
      <c r="CS252" s="474"/>
      <c r="CT252" s="474"/>
    </row>
    <row r="253" spans="1:98" s="35" customFormat="1" ht="12" customHeight="1">
      <c r="A253" s="474"/>
      <c r="B253" s="206"/>
      <c r="C253" s="206"/>
      <c r="D253" s="206"/>
      <c r="E253" s="206"/>
      <c r="F253" s="206"/>
      <c r="G253" s="206"/>
      <c r="H253" s="206"/>
      <c r="J253" s="474"/>
      <c r="K253" s="474"/>
      <c r="L253" s="474"/>
      <c r="M253" s="474"/>
      <c r="N253" s="474"/>
      <c r="O253" s="474"/>
      <c r="P253" s="474"/>
      <c r="Q253" s="474"/>
      <c r="S253" s="474"/>
      <c r="T253" s="474"/>
      <c r="U253" s="474"/>
      <c r="V253" s="474"/>
      <c r="W253" s="474"/>
      <c r="X253" s="474"/>
      <c r="Y253" s="474"/>
      <c r="Z253" s="474"/>
      <c r="AB253" s="474"/>
      <c r="AC253" s="474"/>
      <c r="AD253" s="474"/>
      <c r="AE253" s="474"/>
      <c r="AF253" s="474"/>
      <c r="AG253" s="474"/>
      <c r="AH253" s="474"/>
      <c r="AI253" s="474"/>
      <c r="AK253" s="474"/>
      <c r="AL253" s="474"/>
      <c r="AM253" s="474"/>
      <c r="AN253" s="474"/>
      <c r="AO253" s="474"/>
      <c r="AP253" s="474"/>
      <c r="AQ253" s="474"/>
      <c r="AR253" s="474"/>
      <c r="AS253" s="474"/>
      <c r="AT253" s="474"/>
      <c r="AU253" s="474"/>
      <c r="AV253" s="474"/>
      <c r="AW253" s="474"/>
      <c r="AX253" s="474"/>
      <c r="AY253" s="474"/>
      <c r="AZ253" s="474"/>
      <c r="BA253" s="474"/>
      <c r="BC253" s="474"/>
      <c r="BD253" s="474"/>
      <c r="BE253" s="474"/>
      <c r="BF253" s="474"/>
      <c r="BG253" s="474"/>
      <c r="BH253" s="474"/>
      <c r="BI253" s="474"/>
      <c r="BJ253" s="474"/>
      <c r="CD253" s="474"/>
      <c r="CE253" s="474"/>
      <c r="CF253" s="474"/>
      <c r="CG253" s="474"/>
      <c r="CH253" s="474"/>
      <c r="CI253" s="474"/>
      <c r="CJ253" s="474"/>
      <c r="CK253" s="474"/>
      <c r="CM253" s="474"/>
      <c r="CN253" s="474"/>
      <c r="CO253" s="474"/>
      <c r="CP253" s="474"/>
      <c r="CQ253" s="474"/>
      <c r="CR253" s="474"/>
      <c r="CS253" s="474"/>
      <c r="CT253" s="474"/>
    </row>
    <row r="254" spans="1:98" s="35" customFormat="1" ht="12" customHeight="1">
      <c r="A254" s="474"/>
      <c r="B254" s="206"/>
      <c r="C254" s="206"/>
      <c r="D254" s="206"/>
      <c r="E254" s="206"/>
      <c r="F254" s="206"/>
      <c r="G254" s="206"/>
      <c r="H254" s="206"/>
      <c r="J254" s="474"/>
      <c r="K254" s="474"/>
      <c r="L254" s="474"/>
      <c r="M254" s="474"/>
      <c r="N254" s="474"/>
      <c r="O254" s="474"/>
      <c r="P254" s="474"/>
      <c r="Q254" s="474"/>
      <c r="S254" s="474"/>
      <c r="T254" s="474"/>
      <c r="U254" s="474"/>
      <c r="V254" s="474"/>
      <c r="W254" s="474"/>
      <c r="X254" s="474"/>
      <c r="Y254" s="474"/>
      <c r="Z254" s="474"/>
      <c r="AB254" s="474"/>
      <c r="AC254" s="474"/>
      <c r="AD254" s="474"/>
      <c r="AE254" s="474"/>
      <c r="AF254" s="474"/>
      <c r="AG254" s="474"/>
      <c r="AH254" s="474"/>
      <c r="AI254" s="474"/>
      <c r="AK254" s="474"/>
      <c r="AL254" s="474"/>
      <c r="AM254" s="474"/>
      <c r="AN254" s="474"/>
      <c r="AO254" s="474"/>
      <c r="AP254" s="474"/>
      <c r="AQ254" s="474"/>
      <c r="AR254" s="474"/>
      <c r="AS254" s="474"/>
      <c r="AT254" s="474"/>
      <c r="AU254" s="474"/>
      <c r="AV254" s="474"/>
      <c r="AW254" s="474"/>
      <c r="AX254" s="474"/>
      <c r="AY254" s="474"/>
      <c r="AZ254" s="474"/>
      <c r="BA254" s="474"/>
      <c r="BC254" s="474"/>
      <c r="BD254" s="474"/>
      <c r="BE254" s="474"/>
      <c r="BF254" s="474"/>
      <c r="BG254" s="474"/>
      <c r="BH254" s="474"/>
      <c r="BI254" s="474"/>
      <c r="BJ254" s="474"/>
      <c r="CD254" s="474"/>
      <c r="CE254" s="474"/>
      <c r="CF254" s="474"/>
      <c r="CG254" s="474"/>
      <c r="CH254" s="474"/>
      <c r="CI254" s="474"/>
      <c r="CJ254" s="474"/>
      <c r="CK254" s="474"/>
      <c r="CM254" s="474"/>
      <c r="CN254" s="474"/>
      <c r="CO254" s="474"/>
      <c r="CP254" s="474"/>
      <c r="CQ254" s="474"/>
      <c r="CR254" s="474"/>
      <c r="CS254" s="474"/>
      <c r="CT254" s="474"/>
    </row>
    <row r="255" spans="1:98" s="35" customFormat="1" ht="12" customHeight="1">
      <c r="A255" s="474"/>
      <c r="B255" s="206"/>
      <c r="C255" s="206"/>
      <c r="D255" s="206"/>
      <c r="E255" s="206"/>
      <c r="F255" s="206"/>
      <c r="G255" s="206"/>
      <c r="H255" s="206"/>
      <c r="J255" s="474"/>
      <c r="K255" s="474"/>
      <c r="L255" s="474"/>
      <c r="M255" s="474"/>
      <c r="N255" s="474"/>
      <c r="O255" s="474"/>
      <c r="P255" s="474"/>
      <c r="Q255" s="474"/>
      <c r="S255" s="474"/>
      <c r="T255" s="474"/>
      <c r="U255" s="474"/>
      <c r="V255" s="474"/>
      <c r="W255" s="474"/>
      <c r="X255" s="474"/>
      <c r="Y255" s="474"/>
      <c r="Z255" s="474"/>
      <c r="AB255" s="474"/>
      <c r="AC255" s="474"/>
      <c r="AD255" s="474"/>
      <c r="AE255" s="474"/>
      <c r="AF255" s="474"/>
      <c r="AG255" s="474"/>
      <c r="AH255" s="474"/>
      <c r="AI255" s="474"/>
      <c r="AK255" s="474"/>
      <c r="AL255" s="474"/>
      <c r="AM255" s="474"/>
      <c r="AN255" s="474"/>
      <c r="AO255" s="474"/>
      <c r="AP255" s="474"/>
      <c r="AQ255" s="474"/>
      <c r="AR255" s="474"/>
      <c r="AS255" s="474"/>
      <c r="AT255" s="474"/>
      <c r="AU255" s="474"/>
      <c r="AV255" s="474"/>
      <c r="AW255" s="474"/>
      <c r="AX255" s="474"/>
      <c r="AY255" s="474"/>
      <c r="AZ255" s="474"/>
      <c r="BA255" s="474"/>
      <c r="BC255" s="474"/>
      <c r="BD255" s="474"/>
      <c r="BE255" s="474"/>
      <c r="BF255" s="474"/>
      <c r="BG255" s="474"/>
      <c r="BH255" s="474"/>
      <c r="BI255" s="474"/>
      <c r="BJ255" s="474"/>
      <c r="CD255" s="474"/>
      <c r="CE255" s="474"/>
      <c r="CF255" s="474"/>
      <c r="CG255" s="474"/>
      <c r="CH255" s="474"/>
      <c r="CI255" s="474"/>
      <c r="CJ255" s="474"/>
      <c r="CK255" s="474"/>
      <c r="CM255" s="474"/>
      <c r="CN255" s="474"/>
      <c r="CO255" s="474"/>
      <c r="CP255" s="474"/>
      <c r="CQ255" s="474"/>
      <c r="CR255" s="474"/>
      <c r="CS255" s="474"/>
      <c r="CT255" s="474"/>
    </row>
    <row r="256" spans="1:98" s="35" customFormat="1" ht="12" customHeight="1">
      <c r="A256" s="474"/>
      <c r="B256" s="206"/>
      <c r="C256" s="206"/>
      <c r="D256" s="206"/>
      <c r="E256" s="206"/>
      <c r="F256" s="206"/>
      <c r="G256" s="206"/>
      <c r="H256" s="206"/>
      <c r="J256" s="474"/>
      <c r="K256" s="474"/>
      <c r="L256" s="474"/>
      <c r="M256" s="474"/>
      <c r="N256" s="474"/>
      <c r="O256" s="474"/>
      <c r="P256" s="474"/>
      <c r="Q256" s="474"/>
      <c r="S256" s="474"/>
      <c r="T256" s="474"/>
      <c r="U256" s="474"/>
      <c r="V256" s="474"/>
      <c r="W256" s="474"/>
      <c r="X256" s="474"/>
      <c r="Y256" s="474"/>
      <c r="Z256" s="474"/>
      <c r="AB256" s="474"/>
      <c r="AC256" s="474"/>
      <c r="AD256" s="474"/>
      <c r="AE256" s="474"/>
      <c r="AF256" s="474"/>
      <c r="AG256" s="474"/>
      <c r="AH256" s="474"/>
      <c r="AI256" s="474"/>
      <c r="AK256" s="474"/>
      <c r="AL256" s="474"/>
      <c r="AM256" s="474"/>
      <c r="AN256" s="474"/>
      <c r="AO256" s="474"/>
      <c r="AP256" s="474"/>
      <c r="AQ256" s="474"/>
      <c r="AR256" s="474"/>
      <c r="AS256" s="474"/>
      <c r="AT256" s="474"/>
      <c r="AU256" s="474"/>
      <c r="AV256" s="474"/>
      <c r="AW256" s="474"/>
      <c r="AX256" s="474"/>
      <c r="AY256" s="474"/>
      <c r="AZ256" s="474"/>
      <c r="BA256" s="474"/>
      <c r="BC256" s="474"/>
      <c r="BD256" s="474"/>
      <c r="BE256" s="474"/>
      <c r="BF256" s="474"/>
      <c r="BG256" s="474"/>
      <c r="BH256" s="474"/>
      <c r="BI256" s="474"/>
      <c r="BJ256" s="474"/>
      <c r="CD256" s="474"/>
      <c r="CE256" s="474"/>
      <c r="CF256" s="474"/>
      <c r="CG256" s="474"/>
      <c r="CH256" s="474"/>
      <c r="CI256" s="474"/>
      <c r="CJ256" s="474"/>
      <c r="CK256" s="474"/>
      <c r="CM256" s="474"/>
      <c r="CN256" s="474"/>
      <c r="CO256" s="474"/>
      <c r="CP256" s="474"/>
      <c r="CQ256" s="474"/>
      <c r="CR256" s="474"/>
      <c r="CS256" s="474"/>
      <c r="CT256" s="474"/>
    </row>
    <row r="257" spans="1:98" s="35" customFormat="1" ht="12" customHeight="1">
      <c r="A257" s="474"/>
      <c r="B257" s="206"/>
      <c r="C257" s="206"/>
      <c r="D257" s="206"/>
      <c r="E257" s="206"/>
      <c r="F257" s="206"/>
      <c r="G257" s="206"/>
      <c r="H257" s="206"/>
      <c r="J257" s="474"/>
      <c r="K257" s="474"/>
      <c r="L257" s="474"/>
      <c r="M257" s="474"/>
      <c r="N257" s="474"/>
      <c r="O257" s="474"/>
      <c r="P257" s="474"/>
      <c r="Q257" s="474"/>
      <c r="S257" s="474"/>
      <c r="T257" s="474"/>
      <c r="U257" s="474"/>
      <c r="V257" s="474"/>
      <c r="W257" s="474"/>
      <c r="X257" s="474"/>
      <c r="Y257" s="474"/>
      <c r="Z257" s="474"/>
      <c r="AB257" s="474"/>
      <c r="AC257" s="474"/>
      <c r="AD257" s="474"/>
      <c r="AE257" s="474"/>
      <c r="AF257" s="474"/>
      <c r="AG257" s="474"/>
      <c r="AH257" s="474"/>
      <c r="AI257" s="474"/>
      <c r="AK257" s="474"/>
      <c r="AL257" s="474"/>
      <c r="AM257" s="474"/>
      <c r="AN257" s="474"/>
      <c r="AO257" s="474"/>
      <c r="AP257" s="474"/>
      <c r="AQ257" s="474"/>
      <c r="AR257" s="474"/>
      <c r="AS257" s="474"/>
      <c r="AT257" s="474"/>
      <c r="AU257" s="474"/>
      <c r="AV257" s="474"/>
      <c r="AW257" s="474"/>
      <c r="AX257" s="474"/>
      <c r="AY257" s="474"/>
      <c r="AZ257" s="474"/>
      <c r="BA257" s="474"/>
      <c r="BC257" s="474"/>
      <c r="BD257" s="474"/>
      <c r="BE257" s="474"/>
      <c r="BF257" s="474"/>
      <c r="BG257" s="474"/>
      <c r="BH257" s="474"/>
      <c r="BI257" s="474"/>
      <c r="BJ257" s="474"/>
      <c r="CD257" s="474"/>
      <c r="CE257" s="474"/>
      <c r="CF257" s="474"/>
      <c r="CG257" s="474"/>
      <c r="CH257" s="474"/>
      <c r="CI257" s="474"/>
      <c r="CJ257" s="474"/>
      <c r="CK257" s="474"/>
      <c r="CM257" s="474"/>
      <c r="CN257" s="474"/>
      <c r="CO257" s="474"/>
      <c r="CP257" s="474"/>
      <c r="CQ257" s="474"/>
      <c r="CR257" s="474"/>
      <c r="CS257" s="474"/>
      <c r="CT257" s="474"/>
    </row>
    <row r="258" spans="1:98" s="35" customFormat="1" ht="12" customHeight="1">
      <c r="A258" s="474"/>
      <c r="B258" s="206"/>
      <c r="C258" s="206"/>
      <c r="D258" s="206"/>
      <c r="E258" s="206"/>
      <c r="F258" s="206"/>
      <c r="G258" s="206"/>
      <c r="H258" s="206"/>
      <c r="J258" s="474"/>
      <c r="K258" s="474"/>
      <c r="L258" s="474"/>
      <c r="M258" s="474"/>
      <c r="N258" s="474"/>
      <c r="O258" s="474"/>
      <c r="P258" s="474"/>
      <c r="Q258" s="474"/>
      <c r="S258" s="474"/>
      <c r="T258" s="474"/>
      <c r="U258" s="474"/>
      <c r="V258" s="474"/>
      <c r="W258" s="474"/>
      <c r="X258" s="474"/>
      <c r="Y258" s="474"/>
      <c r="Z258" s="474"/>
      <c r="AB258" s="474"/>
      <c r="AC258" s="474"/>
      <c r="AD258" s="474"/>
      <c r="AE258" s="474"/>
      <c r="AF258" s="474"/>
      <c r="AG258" s="474"/>
      <c r="AH258" s="474"/>
      <c r="AI258" s="474"/>
      <c r="AK258" s="474"/>
      <c r="AL258" s="474"/>
      <c r="AM258" s="474"/>
      <c r="AN258" s="474"/>
      <c r="AO258" s="474"/>
      <c r="AP258" s="474"/>
      <c r="AQ258" s="474"/>
      <c r="AR258" s="474"/>
      <c r="AS258" s="474"/>
      <c r="AT258" s="474"/>
      <c r="AU258" s="474"/>
      <c r="AV258" s="474"/>
      <c r="AW258" s="474"/>
      <c r="AX258" s="474"/>
      <c r="AY258" s="474"/>
      <c r="AZ258" s="474"/>
      <c r="BA258" s="474"/>
      <c r="BC258" s="474"/>
      <c r="BD258" s="474"/>
      <c r="BE258" s="474"/>
      <c r="BF258" s="474"/>
      <c r="BG258" s="474"/>
      <c r="BH258" s="474"/>
      <c r="BI258" s="474"/>
      <c r="BJ258" s="474"/>
      <c r="CD258" s="474"/>
      <c r="CE258" s="474"/>
      <c r="CF258" s="474"/>
      <c r="CG258" s="474"/>
      <c r="CH258" s="474"/>
      <c r="CI258" s="474"/>
      <c r="CJ258" s="474"/>
      <c r="CK258" s="474"/>
      <c r="CM258" s="474"/>
      <c r="CN258" s="474"/>
      <c r="CO258" s="474"/>
      <c r="CP258" s="474"/>
      <c r="CQ258" s="474"/>
      <c r="CR258" s="474"/>
      <c r="CS258" s="474"/>
      <c r="CT258" s="474"/>
    </row>
    <row r="259" spans="1:98" s="35" customFormat="1" ht="12" customHeight="1">
      <c r="A259" s="474"/>
      <c r="B259" s="206"/>
      <c r="C259" s="206"/>
      <c r="D259" s="206"/>
      <c r="E259" s="206"/>
      <c r="F259" s="206"/>
      <c r="G259" s="206"/>
      <c r="H259" s="206"/>
      <c r="J259" s="474"/>
      <c r="K259" s="474"/>
      <c r="L259" s="474"/>
      <c r="M259" s="474"/>
      <c r="N259" s="474"/>
      <c r="O259" s="474"/>
      <c r="P259" s="474"/>
      <c r="Q259" s="474"/>
      <c r="S259" s="474"/>
      <c r="T259" s="474"/>
      <c r="U259" s="474"/>
      <c r="V259" s="474"/>
      <c r="W259" s="474"/>
      <c r="X259" s="474"/>
      <c r="Y259" s="474"/>
      <c r="Z259" s="474"/>
      <c r="AB259" s="474"/>
      <c r="AC259" s="474"/>
      <c r="AD259" s="474"/>
      <c r="AE259" s="474"/>
      <c r="AF259" s="474"/>
      <c r="AG259" s="474"/>
      <c r="AH259" s="474"/>
      <c r="AI259" s="474"/>
      <c r="AK259" s="474"/>
      <c r="AL259" s="474"/>
      <c r="AM259" s="474"/>
      <c r="AN259" s="474"/>
      <c r="AO259" s="474"/>
      <c r="AP259" s="474"/>
      <c r="AQ259" s="474"/>
      <c r="AR259" s="474"/>
      <c r="AS259" s="474"/>
      <c r="AT259" s="474"/>
      <c r="AU259" s="474"/>
      <c r="AV259" s="474"/>
      <c r="AW259" s="474"/>
      <c r="AX259" s="474"/>
      <c r="AY259" s="474"/>
      <c r="AZ259" s="474"/>
      <c r="BA259" s="474"/>
      <c r="BC259" s="474"/>
      <c r="BD259" s="474"/>
      <c r="BE259" s="474"/>
      <c r="BF259" s="474"/>
      <c r="BG259" s="474"/>
      <c r="BH259" s="474"/>
      <c r="BI259" s="474"/>
      <c r="BJ259" s="474"/>
      <c r="CD259" s="474"/>
      <c r="CE259" s="474"/>
      <c r="CF259" s="474"/>
      <c r="CG259" s="474"/>
      <c r="CH259" s="474"/>
      <c r="CI259" s="474"/>
      <c r="CJ259" s="474"/>
      <c r="CK259" s="474"/>
      <c r="CM259" s="474"/>
      <c r="CN259" s="474"/>
      <c r="CO259" s="474"/>
      <c r="CP259" s="474"/>
      <c r="CQ259" s="474"/>
      <c r="CR259" s="474"/>
      <c r="CS259" s="474"/>
      <c r="CT259" s="474"/>
    </row>
    <row r="260" spans="1:98" s="35" customFormat="1" ht="12" customHeight="1">
      <c r="A260" s="474"/>
      <c r="B260" s="206"/>
      <c r="C260" s="206"/>
      <c r="D260" s="206"/>
      <c r="E260" s="206"/>
      <c r="F260" s="206"/>
      <c r="G260" s="206"/>
      <c r="H260" s="206"/>
      <c r="J260" s="474"/>
      <c r="K260" s="474"/>
      <c r="L260" s="474"/>
      <c r="M260" s="474"/>
      <c r="N260" s="474"/>
      <c r="O260" s="474"/>
      <c r="P260" s="474"/>
      <c r="Q260" s="474"/>
      <c r="S260" s="474"/>
      <c r="T260" s="474"/>
      <c r="U260" s="474"/>
      <c r="V260" s="474"/>
      <c r="W260" s="474"/>
      <c r="X260" s="474"/>
      <c r="Y260" s="474"/>
      <c r="Z260" s="474"/>
      <c r="AB260" s="474"/>
      <c r="AC260" s="474"/>
      <c r="AD260" s="474"/>
      <c r="AE260" s="474"/>
      <c r="AF260" s="474"/>
      <c r="AG260" s="474"/>
      <c r="AH260" s="474"/>
      <c r="AI260" s="474"/>
      <c r="AK260" s="474"/>
      <c r="AL260" s="474"/>
      <c r="AM260" s="474"/>
      <c r="AN260" s="474"/>
      <c r="AO260" s="474"/>
      <c r="AP260" s="474"/>
      <c r="AQ260" s="474"/>
      <c r="AR260" s="474"/>
      <c r="AS260" s="474"/>
      <c r="AT260" s="474"/>
      <c r="AU260" s="474"/>
      <c r="AV260" s="474"/>
      <c r="AW260" s="474"/>
      <c r="AX260" s="474"/>
      <c r="AY260" s="474"/>
      <c r="AZ260" s="474"/>
      <c r="BA260" s="474"/>
      <c r="BC260" s="474"/>
      <c r="BD260" s="474"/>
      <c r="BE260" s="474"/>
      <c r="BF260" s="474"/>
      <c r="BG260" s="474"/>
      <c r="BH260" s="474"/>
      <c r="BI260" s="474"/>
      <c r="BJ260" s="474"/>
      <c r="CD260" s="474"/>
      <c r="CE260" s="474"/>
      <c r="CF260" s="474"/>
      <c r="CG260" s="474"/>
      <c r="CH260" s="474"/>
      <c r="CI260" s="474"/>
      <c r="CJ260" s="474"/>
      <c r="CK260" s="474"/>
      <c r="CM260" s="474"/>
      <c r="CN260" s="474"/>
      <c r="CO260" s="474"/>
      <c r="CP260" s="474"/>
      <c r="CQ260" s="474"/>
      <c r="CR260" s="474"/>
      <c r="CS260" s="474"/>
      <c r="CT260" s="474"/>
    </row>
    <row r="261" spans="1:98" s="35" customFormat="1" ht="12" customHeight="1">
      <c r="A261" s="474"/>
      <c r="B261" s="206"/>
      <c r="C261" s="206"/>
      <c r="D261" s="206"/>
      <c r="E261" s="206"/>
      <c r="F261" s="206"/>
      <c r="G261" s="206"/>
      <c r="H261" s="206"/>
      <c r="J261" s="474"/>
      <c r="K261" s="474"/>
      <c r="L261" s="474"/>
      <c r="M261" s="474"/>
      <c r="N261" s="474"/>
      <c r="O261" s="474"/>
      <c r="P261" s="474"/>
      <c r="Q261" s="474"/>
      <c r="S261" s="474"/>
      <c r="T261" s="474"/>
      <c r="U261" s="474"/>
      <c r="V261" s="474"/>
      <c r="W261" s="474"/>
      <c r="X261" s="474"/>
      <c r="Y261" s="474"/>
      <c r="Z261" s="474"/>
      <c r="AB261" s="474"/>
      <c r="AC261" s="474"/>
      <c r="AD261" s="474"/>
      <c r="AE261" s="474"/>
      <c r="AF261" s="474"/>
      <c r="AG261" s="474"/>
      <c r="AH261" s="474"/>
      <c r="AI261" s="474"/>
      <c r="AK261" s="474"/>
      <c r="AL261" s="474"/>
      <c r="AM261" s="474"/>
      <c r="AN261" s="474"/>
      <c r="AO261" s="474"/>
      <c r="AP261" s="474"/>
      <c r="AQ261" s="474"/>
      <c r="AR261" s="474"/>
      <c r="AS261" s="474"/>
      <c r="AT261" s="474"/>
      <c r="AU261" s="474"/>
      <c r="AV261" s="474"/>
      <c r="AW261" s="474"/>
      <c r="AX261" s="474"/>
      <c r="AY261" s="474"/>
      <c r="AZ261" s="474"/>
      <c r="BA261" s="474"/>
      <c r="BC261" s="474"/>
      <c r="BD261" s="474"/>
      <c r="BE261" s="474"/>
      <c r="BF261" s="474"/>
      <c r="BG261" s="474"/>
      <c r="BH261" s="474"/>
      <c r="BI261" s="474"/>
      <c r="BJ261" s="474"/>
      <c r="CD261" s="474"/>
      <c r="CE261" s="474"/>
      <c r="CF261" s="474"/>
      <c r="CG261" s="474"/>
      <c r="CH261" s="474"/>
      <c r="CI261" s="474"/>
      <c r="CJ261" s="474"/>
      <c r="CK261" s="474"/>
      <c r="CM261" s="474"/>
      <c r="CN261" s="474"/>
      <c r="CO261" s="474"/>
      <c r="CP261" s="474"/>
      <c r="CQ261" s="474"/>
      <c r="CR261" s="474"/>
      <c r="CS261" s="474"/>
      <c r="CT261" s="474"/>
    </row>
    <row r="262" spans="1:98" s="35" customFormat="1" ht="12" customHeight="1">
      <c r="A262" s="474"/>
      <c r="B262" s="206"/>
      <c r="C262" s="206"/>
      <c r="D262" s="206"/>
      <c r="E262" s="206"/>
      <c r="F262" s="206"/>
      <c r="G262" s="206"/>
      <c r="H262" s="206"/>
      <c r="J262" s="474"/>
      <c r="K262" s="474"/>
      <c r="L262" s="474"/>
      <c r="M262" s="474"/>
      <c r="N262" s="474"/>
      <c r="O262" s="474"/>
      <c r="P262" s="474"/>
      <c r="Q262" s="474"/>
      <c r="S262" s="474"/>
      <c r="T262" s="474"/>
      <c r="U262" s="474"/>
      <c r="V262" s="474"/>
      <c r="W262" s="474"/>
      <c r="X262" s="474"/>
      <c r="Y262" s="474"/>
      <c r="Z262" s="474"/>
      <c r="AB262" s="474"/>
      <c r="AC262" s="474"/>
      <c r="AD262" s="474"/>
      <c r="AE262" s="474"/>
      <c r="AF262" s="474"/>
      <c r="AG262" s="474"/>
      <c r="AH262" s="474"/>
      <c r="AI262" s="474"/>
      <c r="AK262" s="474"/>
      <c r="AL262" s="474"/>
      <c r="AM262" s="474"/>
      <c r="AN262" s="474"/>
      <c r="AO262" s="474"/>
      <c r="AP262" s="474"/>
      <c r="AQ262" s="474"/>
      <c r="AR262" s="474"/>
      <c r="AS262" s="474"/>
      <c r="AT262" s="474"/>
      <c r="AU262" s="474"/>
      <c r="AV262" s="474"/>
      <c r="AW262" s="474"/>
      <c r="AX262" s="474"/>
      <c r="AY262" s="474"/>
      <c r="AZ262" s="474"/>
      <c r="BA262" s="474"/>
      <c r="BC262" s="474"/>
      <c r="BD262" s="474"/>
      <c r="BE262" s="474"/>
      <c r="BF262" s="474"/>
      <c r="BG262" s="474"/>
      <c r="BH262" s="474"/>
      <c r="BI262" s="474"/>
      <c r="BJ262" s="474"/>
      <c r="CD262" s="474"/>
      <c r="CE262" s="474"/>
      <c r="CF262" s="474"/>
      <c r="CG262" s="474"/>
      <c r="CH262" s="474"/>
      <c r="CI262" s="474"/>
      <c r="CJ262" s="474"/>
      <c r="CK262" s="474"/>
      <c r="CM262" s="474"/>
      <c r="CN262" s="474"/>
      <c r="CO262" s="474"/>
      <c r="CP262" s="474"/>
      <c r="CQ262" s="474"/>
      <c r="CR262" s="474"/>
      <c r="CS262" s="474"/>
      <c r="CT262" s="474"/>
    </row>
    <row r="263" spans="1:98" s="35" customFormat="1" ht="12" customHeight="1">
      <c r="A263" s="474"/>
      <c r="B263" s="206"/>
      <c r="C263" s="206"/>
      <c r="D263" s="206"/>
      <c r="E263" s="206"/>
      <c r="F263" s="206"/>
      <c r="G263" s="206"/>
      <c r="H263" s="206"/>
      <c r="J263" s="474"/>
      <c r="K263" s="474"/>
      <c r="L263" s="474"/>
      <c r="M263" s="474"/>
      <c r="N263" s="474"/>
      <c r="O263" s="474"/>
      <c r="P263" s="474"/>
      <c r="Q263" s="474"/>
      <c r="S263" s="474"/>
      <c r="T263" s="474"/>
      <c r="U263" s="474"/>
      <c r="V263" s="474"/>
      <c r="W263" s="474"/>
      <c r="X263" s="474"/>
      <c r="Y263" s="474"/>
      <c r="Z263" s="474"/>
      <c r="AB263" s="474"/>
      <c r="AC263" s="474"/>
      <c r="AD263" s="474"/>
      <c r="AE263" s="474"/>
      <c r="AF263" s="474"/>
      <c r="AG263" s="474"/>
      <c r="AH263" s="474"/>
      <c r="AI263" s="474"/>
      <c r="AK263" s="474"/>
      <c r="AL263" s="474"/>
      <c r="AM263" s="474"/>
      <c r="AN263" s="474"/>
      <c r="AO263" s="474"/>
      <c r="AP263" s="474"/>
      <c r="AQ263" s="474"/>
      <c r="AR263" s="474"/>
      <c r="AS263" s="474"/>
      <c r="AT263" s="474"/>
      <c r="AU263" s="474"/>
      <c r="AV263" s="474"/>
      <c r="AW263" s="474"/>
      <c r="AX263" s="474"/>
      <c r="AY263" s="474"/>
      <c r="AZ263" s="474"/>
      <c r="BA263" s="474"/>
      <c r="BC263" s="474"/>
      <c r="BD263" s="474"/>
      <c r="BE263" s="474"/>
      <c r="BF263" s="474"/>
      <c r="BG263" s="474"/>
      <c r="BH263" s="474"/>
      <c r="BI263" s="474"/>
      <c r="BJ263" s="474"/>
      <c r="CD263" s="474"/>
      <c r="CE263" s="474"/>
      <c r="CF263" s="474"/>
      <c r="CG263" s="474"/>
      <c r="CH263" s="474"/>
      <c r="CI263" s="474"/>
      <c r="CJ263" s="474"/>
      <c r="CK263" s="474"/>
      <c r="CM263" s="474"/>
      <c r="CN263" s="474"/>
      <c r="CO263" s="474"/>
      <c r="CP263" s="474"/>
      <c r="CQ263" s="474"/>
      <c r="CR263" s="474"/>
      <c r="CS263" s="474"/>
      <c r="CT263" s="474"/>
    </row>
    <row r="264" spans="1:98" s="35" customFormat="1" ht="12" customHeight="1">
      <c r="A264" s="474"/>
      <c r="B264" s="206"/>
      <c r="C264" s="206"/>
      <c r="D264" s="206"/>
      <c r="E264" s="206"/>
      <c r="F264" s="206"/>
      <c r="G264" s="206"/>
      <c r="H264" s="206"/>
      <c r="J264" s="474"/>
      <c r="K264" s="474"/>
      <c r="L264" s="474"/>
      <c r="M264" s="474"/>
      <c r="N264" s="474"/>
      <c r="O264" s="474"/>
      <c r="P264" s="474"/>
      <c r="Q264" s="474"/>
      <c r="S264" s="474"/>
      <c r="T264" s="474"/>
      <c r="U264" s="474"/>
      <c r="V264" s="474"/>
      <c r="W264" s="474"/>
      <c r="X264" s="474"/>
      <c r="Y264" s="474"/>
      <c r="Z264" s="474"/>
      <c r="AB264" s="474"/>
      <c r="AC264" s="474"/>
      <c r="AD264" s="474"/>
      <c r="AE264" s="474"/>
      <c r="AF264" s="474"/>
      <c r="AG264" s="474"/>
      <c r="AH264" s="474"/>
      <c r="AI264" s="474"/>
      <c r="AK264" s="474"/>
      <c r="AL264" s="474"/>
      <c r="AM264" s="474"/>
      <c r="AN264" s="474"/>
      <c r="AO264" s="474"/>
      <c r="AP264" s="474"/>
      <c r="AQ264" s="474"/>
      <c r="AR264" s="474"/>
      <c r="AS264" s="474"/>
      <c r="AT264" s="474"/>
      <c r="AU264" s="474"/>
      <c r="AV264" s="474"/>
      <c r="AW264" s="474"/>
      <c r="AX264" s="474"/>
      <c r="AY264" s="474"/>
      <c r="AZ264" s="474"/>
      <c r="BA264" s="474"/>
      <c r="BC264" s="474"/>
      <c r="BD264" s="474"/>
      <c r="BE264" s="474"/>
      <c r="BF264" s="474"/>
      <c r="BG264" s="474"/>
      <c r="BH264" s="474"/>
      <c r="BI264" s="474"/>
      <c r="BJ264" s="474"/>
      <c r="CD264" s="474"/>
      <c r="CE264" s="474"/>
      <c r="CF264" s="474"/>
      <c r="CG264" s="474"/>
      <c r="CH264" s="474"/>
      <c r="CI264" s="474"/>
      <c r="CJ264" s="474"/>
      <c r="CK264" s="474"/>
      <c r="CM264" s="474"/>
      <c r="CN264" s="474"/>
      <c r="CO264" s="474"/>
      <c r="CP264" s="474"/>
      <c r="CQ264" s="474"/>
      <c r="CR264" s="474"/>
      <c r="CS264" s="474"/>
      <c r="CT264" s="474"/>
    </row>
    <row r="265" spans="1:98" s="35" customFormat="1" ht="12" customHeight="1">
      <c r="A265" s="474"/>
      <c r="B265" s="206"/>
      <c r="C265" s="206"/>
      <c r="D265" s="206"/>
      <c r="E265" s="206"/>
      <c r="F265" s="206"/>
      <c r="G265" s="206"/>
      <c r="H265" s="206"/>
      <c r="J265" s="474"/>
      <c r="K265" s="474"/>
      <c r="L265" s="474"/>
      <c r="M265" s="474"/>
      <c r="N265" s="474"/>
      <c r="O265" s="474"/>
      <c r="P265" s="474"/>
      <c r="Q265" s="474"/>
      <c r="S265" s="474"/>
      <c r="T265" s="474"/>
      <c r="U265" s="474"/>
      <c r="V265" s="474"/>
      <c r="W265" s="474"/>
      <c r="X265" s="474"/>
      <c r="Y265" s="474"/>
      <c r="Z265" s="474"/>
      <c r="AB265" s="474"/>
      <c r="AC265" s="474"/>
      <c r="AD265" s="474"/>
      <c r="AE265" s="474"/>
      <c r="AF265" s="474"/>
      <c r="AG265" s="474"/>
      <c r="AH265" s="474"/>
      <c r="AI265" s="474"/>
      <c r="AK265" s="474"/>
      <c r="AL265" s="474"/>
      <c r="AM265" s="474"/>
      <c r="AN265" s="474"/>
      <c r="AO265" s="474"/>
      <c r="AP265" s="474"/>
      <c r="AQ265" s="474"/>
      <c r="AR265" s="474"/>
      <c r="AS265" s="474"/>
      <c r="AT265" s="474"/>
      <c r="AU265" s="474"/>
      <c r="AV265" s="474"/>
      <c r="AW265" s="474"/>
      <c r="AX265" s="474"/>
      <c r="AY265" s="474"/>
      <c r="AZ265" s="474"/>
      <c r="BA265" s="474"/>
      <c r="BC265" s="474"/>
      <c r="BD265" s="474"/>
      <c r="BE265" s="474"/>
      <c r="BF265" s="474"/>
      <c r="BG265" s="474"/>
      <c r="BH265" s="474"/>
      <c r="BI265" s="474"/>
      <c r="BJ265" s="474"/>
      <c r="CD265" s="474"/>
      <c r="CE265" s="474"/>
      <c r="CF265" s="474"/>
      <c r="CG265" s="474"/>
      <c r="CH265" s="474"/>
      <c r="CI265" s="474"/>
      <c r="CJ265" s="474"/>
      <c r="CK265" s="474"/>
      <c r="CM265" s="474"/>
      <c r="CN265" s="474"/>
      <c r="CO265" s="474"/>
      <c r="CP265" s="474"/>
      <c r="CQ265" s="474"/>
      <c r="CR265" s="474"/>
      <c r="CS265" s="474"/>
      <c r="CT265" s="474"/>
    </row>
    <row r="266" spans="1:98" s="35" customFormat="1" ht="12" customHeight="1">
      <c r="A266" s="474"/>
      <c r="B266" s="206"/>
      <c r="C266" s="206"/>
      <c r="D266" s="206"/>
      <c r="E266" s="206"/>
      <c r="F266" s="206"/>
      <c r="G266" s="206"/>
      <c r="H266" s="206"/>
      <c r="J266" s="474"/>
      <c r="K266" s="474"/>
      <c r="L266" s="474"/>
      <c r="M266" s="474"/>
      <c r="N266" s="474"/>
      <c r="O266" s="474"/>
      <c r="P266" s="474"/>
      <c r="Q266" s="474"/>
      <c r="S266" s="474"/>
      <c r="T266" s="474"/>
      <c r="U266" s="474"/>
      <c r="V266" s="474"/>
      <c r="W266" s="474"/>
      <c r="X266" s="474"/>
      <c r="Y266" s="474"/>
      <c r="Z266" s="474"/>
      <c r="AB266" s="474"/>
      <c r="AC266" s="474"/>
      <c r="AD266" s="474"/>
      <c r="AE266" s="474"/>
      <c r="AF266" s="474"/>
      <c r="AG266" s="474"/>
      <c r="AH266" s="474"/>
      <c r="AI266" s="474"/>
      <c r="AK266" s="474"/>
      <c r="AL266" s="474"/>
      <c r="AM266" s="474"/>
      <c r="AN266" s="474"/>
      <c r="AO266" s="474"/>
      <c r="AP266" s="474"/>
      <c r="AQ266" s="474"/>
      <c r="AR266" s="474"/>
      <c r="AS266" s="474"/>
      <c r="AT266" s="474"/>
      <c r="AU266" s="474"/>
      <c r="AV266" s="474"/>
      <c r="AW266" s="474"/>
      <c r="AX266" s="474"/>
      <c r="AY266" s="474"/>
      <c r="AZ266" s="474"/>
      <c r="BA266" s="474"/>
      <c r="BC266" s="474"/>
      <c r="BD266" s="474"/>
      <c r="BE266" s="474"/>
      <c r="BF266" s="474"/>
      <c r="BG266" s="474"/>
      <c r="BH266" s="474"/>
      <c r="BI266" s="474"/>
      <c r="BJ266" s="474"/>
      <c r="CD266" s="474"/>
      <c r="CE266" s="474"/>
      <c r="CF266" s="474"/>
      <c r="CG266" s="474"/>
      <c r="CH266" s="474"/>
      <c r="CI266" s="474"/>
      <c r="CJ266" s="474"/>
      <c r="CK266" s="474"/>
      <c r="CM266" s="474"/>
      <c r="CN266" s="474"/>
      <c r="CO266" s="474"/>
      <c r="CP266" s="474"/>
      <c r="CQ266" s="474"/>
      <c r="CR266" s="474"/>
      <c r="CS266" s="474"/>
      <c r="CT266" s="474"/>
    </row>
    <row r="267" spans="1:98" s="35" customFormat="1" ht="12" customHeight="1">
      <c r="A267" s="474"/>
      <c r="B267" s="206"/>
      <c r="C267" s="206"/>
      <c r="D267" s="206"/>
      <c r="E267" s="206"/>
      <c r="F267" s="206"/>
      <c r="G267" s="206"/>
      <c r="H267" s="206"/>
      <c r="J267" s="474"/>
      <c r="K267" s="474"/>
      <c r="L267" s="474"/>
      <c r="M267" s="474"/>
      <c r="N267" s="474"/>
      <c r="O267" s="474"/>
      <c r="P267" s="474"/>
      <c r="Q267" s="474"/>
      <c r="S267" s="474"/>
      <c r="T267" s="474"/>
      <c r="U267" s="474"/>
      <c r="V267" s="474"/>
      <c r="W267" s="474"/>
      <c r="X267" s="474"/>
      <c r="Y267" s="474"/>
      <c r="Z267" s="474"/>
      <c r="AB267" s="474"/>
      <c r="AC267" s="474"/>
      <c r="AD267" s="474"/>
      <c r="AE267" s="474"/>
      <c r="AF267" s="474"/>
      <c r="AG267" s="474"/>
      <c r="AH267" s="474"/>
      <c r="AI267" s="474"/>
      <c r="AK267" s="474"/>
      <c r="AL267" s="474"/>
      <c r="AM267" s="474"/>
      <c r="AN267" s="474"/>
      <c r="AO267" s="474"/>
      <c r="AP267" s="474"/>
      <c r="AQ267" s="474"/>
      <c r="AR267" s="474"/>
      <c r="AS267" s="474"/>
      <c r="AT267" s="474"/>
      <c r="AU267" s="474"/>
      <c r="AV267" s="474"/>
      <c r="AW267" s="474"/>
      <c r="AX267" s="474"/>
      <c r="AY267" s="474"/>
      <c r="AZ267" s="474"/>
      <c r="BA267" s="474"/>
      <c r="BC267" s="474"/>
      <c r="BD267" s="474"/>
      <c r="BE267" s="474"/>
      <c r="BF267" s="474"/>
      <c r="BG267" s="474"/>
      <c r="BH267" s="474"/>
      <c r="BI267" s="474"/>
      <c r="BJ267" s="474"/>
      <c r="CD267" s="474"/>
      <c r="CE267" s="474"/>
      <c r="CF267" s="474"/>
      <c r="CG267" s="474"/>
      <c r="CH267" s="474"/>
      <c r="CI267" s="474"/>
      <c r="CJ267" s="474"/>
      <c r="CK267" s="474"/>
      <c r="CM267" s="474"/>
      <c r="CN267" s="474"/>
      <c r="CO267" s="474"/>
      <c r="CP267" s="474"/>
      <c r="CQ267" s="474"/>
      <c r="CR267" s="474"/>
      <c r="CS267" s="474"/>
      <c r="CT267" s="474"/>
    </row>
    <row r="268" spans="1:98" s="35" customFormat="1" ht="12" customHeight="1">
      <c r="A268" s="474"/>
      <c r="B268" s="206"/>
      <c r="C268" s="206"/>
      <c r="D268" s="206"/>
      <c r="E268" s="206"/>
      <c r="F268" s="206"/>
      <c r="G268" s="206"/>
      <c r="H268" s="206"/>
      <c r="J268" s="474"/>
      <c r="K268" s="474"/>
      <c r="L268" s="474"/>
      <c r="M268" s="474"/>
      <c r="N268" s="474"/>
      <c r="O268" s="474"/>
      <c r="P268" s="474"/>
      <c r="Q268" s="474"/>
      <c r="S268" s="474"/>
      <c r="T268" s="474"/>
      <c r="U268" s="474"/>
      <c r="V268" s="474"/>
      <c r="W268" s="474"/>
      <c r="X268" s="474"/>
      <c r="Y268" s="474"/>
      <c r="Z268" s="474"/>
      <c r="AB268" s="474"/>
      <c r="AC268" s="474"/>
      <c r="AD268" s="474"/>
      <c r="AE268" s="474"/>
      <c r="AF268" s="474"/>
      <c r="AG268" s="474"/>
      <c r="AH268" s="474"/>
      <c r="AI268" s="474"/>
      <c r="AK268" s="474"/>
      <c r="AL268" s="474"/>
      <c r="AM268" s="474"/>
      <c r="AN268" s="474"/>
      <c r="AO268" s="474"/>
      <c r="AP268" s="474"/>
      <c r="AQ268" s="474"/>
      <c r="AR268" s="474"/>
      <c r="AS268" s="474"/>
      <c r="AT268" s="474"/>
      <c r="AU268" s="474"/>
      <c r="AV268" s="474"/>
      <c r="AW268" s="474"/>
      <c r="AX268" s="474"/>
      <c r="AY268" s="474"/>
      <c r="AZ268" s="474"/>
      <c r="BA268" s="474"/>
      <c r="BC268" s="474"/>
      <c r="BD268" s="474"/>
      <c r="BE268" s="474"/>
      <c r="BF268" s="474"/>
      <c r="BG268" s="474"/>
      <c r="BH268" s="474"/>
      <c r="BI268" s="474"/>
      <c r="BJ268" s="474"/>
      <c r="CD268" s="474"/>
      <c r="CE268" s="474"/>
      <c r="CF268" s="474"/>
      <c r="CG268" s="474"/>
      <c r="CH268" s="474"/>
      <c r="CI268" s="474"/>
      <c r="CJ268" s="474"/>
      <c r="CK268" s="474"/>
      <c r="CM268" s="474"/>
      <c r="CN268" s="474"/>
      <c r="CO268" s="474"/>
      <c r="CP268" s="474"/>
      <c r="CQ268" s="474"/>
      <c r="CR268" s="474"/>
      <c r="CS268" s="474"/>
      <c r="CT268" s="474"/>
    </row>
    <row r="269" spans="1:98" s="35" customFormat="1" ht="12" customHeight="1">
      <c r="A269" s="474"/>
      <c r="B269" s="206"/>
      <c r="C269" s="206"/>
      <c r="D269" s="206"/>
      <c r="E269" s="206"/>
      <c r="F269" s="206"/>
      <c r="G269" s="206"/>
      <c r="H269" s="206"/>
      <c r="J269" s="474"/>
      <c r="K269" s="474"/>
      <c r="L269" s="474"/>
      <c r="M269" s="474"/>
      <c r="N269" s="474"/>
      <c r="O269" s="474"/>
      <c r="P269" s="474"/>
      <c r="Q269" s="474"/>
      <c r="S269" s="474"/>
      <c r="T269" s="474"/>
      <c r="U269" s="474"/>
      <c r="V269" s="474"/>
      <c r="W269" s="474"/>
      <c r="X269" s="474"/>
      <c r="Y269" s="474"/>
      <c r="Z269" s="474"/>
      <c r="AB269" s="474"/>
      <c r="AC269" s="474"/>
      <c r="AD269" s="474"/>
      <c r="AE269" s="474"/>
      <c r="AF269" s="474"/>
      <c r="AG269" s="474"/>
      <c r="AH269" s="474"/>
      <c r="AI269" s="474"/>
      <c r="AK269" s="474"/>
      <c r="AL269" s="474"/>
      <c r="AM269" s="474"/>
      <c r="AN269" s="474"/>
      <c r="AO269" s="474"/>
      <c r="AP269" s="474"/>
      <c r="AQ269" s="474"/>
      <c r="AR269" s="474"/>
      <c r="AS269" s="474"/>
      <c r="AT269" s="474"/>
      <c r="AU269" s="474"/>
      <c r="AV269" s="474"/>
      <c r="AW269" s="474"/>
      <c r="AX269" s="474"/>
      <c r="AY269" s="474"/>
      <c r="AZ269" s="474"/>
      <c r="BA269" s="474"/>
      <c r="BC269" s="474"/>
      <c r="BD269" s="474"/>
      <c r="BE269" s="474"/>
      <c r="BF269" s="474"/>
      <c r="BG269" s="474"/>
      <c r="BH269" s="474"/>
      <c r="BI269" s="474"/>
      <c r="BJ269" s="474"/>
      <c r="CD269" s="474"/>
      <c r="CE269" s="474"/>
      <c r="CF269" s="474"/>
      <c r="CG269" s="474"/>
      <c r="CH269" s="474"/>
      <c r="CI269" s="474"/>
      <c r="CJ269" s="474"/>
      <c r="CK269" s="474"/>
      <c r="CM269" s="474"/>
      <c r="CN269" s="474"/>
      <c r="CO269" s="474"/>
      <c r="CP269" s="474"/>
      <c r="CQ269" s="474"/>
      <c r="CR269" s="474"/>
      <c r="CS269" s="474"/>
      <c r="CT269" s="474"/>
    </row>
    <row r="270" spans="1:98" s="35" customFormat="1" ht="12" customHeight="1">
      <c r="A270" s="474"/>
      <c r="B270" s="206"/>
      <c r="C270" s="206"/>
      <c r="D270" s="206"/>
      <c r="E270" s="206"/>
      <c r="F270" s="206"/>
      <c r="G270" s="206"/>
      <c r="H270" s="206"/>
      <c r="J270" s="474"/>
      <c r="K270" s="474"/>
      <c r="L270" s="474"/>
      <c r="M270" s="474"/>
      <c r="N270" s="474"/>
      <c r="O270" s="474"/>
      <c r="P270" s="474"/>
      <c r="Q270" s="474"/>
      <c r="S270" s="474"/>
      <c r="T270" s="474"/>
      <c r="U270" s="474"/>
      <c r="V270" s="474"/>
      <c r="W270" s="474"/>
      <c r="X270" s="474"/>
      <c r="Y270" s="474"/>
      <c r="Z270" s="474"/>
      <c r="AB270" s="474"/>
      <c r="AC270" s="474"/>
      <c r="AD270" s="474"/>
      <c r="AE270" s="474"/>
      <c r="AF270" s="474"/>
      <c r="AG270" s="474"/>
      <c r="AH270" s="474"/>
      <c r="AI270" s="474"/>
      <c r="AK270" s="474"/>
      <c r="AL270" s="474"/>
      <c r="AM270" s="474"/>
      <c r="AN270" s="474"/>
      <c r="AO270" s="474"/>
      <c r="AP270" s="474"/>
      <c r="AQ270" s="474"/>
      <c r="AR270" s="474"/>
      <c r="AS270" s="474"/>
      <c r="AT270" s="474"/>
      <c r="AU270" s="474"/>
      <c r="AV270" s="474"/>
      <c r="AW270" s="474"/>
      <c r="AX270" s="474"/>
      <c r="AY270" s="474"/>
      <c r="AZ270" s="474"/>
      <c r="BA270" s="474"/>
      <c r="BC270" s="474"/>
      <c r="BD270" s="474"/>
      <c r="BE270" s="474"/>
      <c r="BF270" s="474"/>
      <c r="BG270" s="474"/>
      <c r="BH270" s="474"/>
      <c r="BI270" s="474"/>
      <c r="BJ270" s="474"/>
      <c r="CD270" s="474"/>
      <c r="CE270" s="474"/>
      <c r="CF270" s="474"/>
      <c r="CG270" s="474"/>
      <c r="CH270" s="474"/>
      <c r="CI270" s="474"/>
      <c r="CJ270" s="474"/>
      <c r="CK270" s="474"/>
      <c r="CM270" s="474"/>
      <c r="CN270" s="474"/>
      <c r="CO270" s="474"/>
      <c r="CP270" s="474"/>
      <c r="CQ270" s="474"/>
      <c r="CR270" s="474"/>
      <c r="CS270" s="474"/>
      <c r="CT270" s="474"/>
    </row>
    <row r="271" spans="1:98" s="35" customFormat="1" ht="12" customHeight="1">
      <c r="A271" s="474"/>
      <c r="B271" s="206"/>
      <c r="C271" s="206"/>
      <c r="D271" s="206"/>
      <c r="E271" s="206"/>
      <c r="F271" s="206"/>
      <c r="G271" s="206"/>
      <c r="H271" s="206"/>
      <c r="J271" s="474"/>
      <c r="K271" s="474"/>
      <c r="L271" s="474"/>
      <c r="M271" s="474"/>
      <c r="N271" s="474"/>
      <c r="O271" s="474"/>
      <c r="P271" s="474"/>
      <c r="Q271" s="474"/>
      <c r="S271" s="474"/>
      <c r="T271" s="474"/>
      <c r="U271" s="474"/>
      <c r="V271" s="474"/>
      <c r="W271" s="474"/>
      <c r="X271" s="474"/>
      <c r="Y271" s="474"/>
      <c r="Z271" s="474"/>
      <c r="AB271" s="474"/>
      <c r="AC271" s="474"/>
      <c r="AD271" s="474"/>
      <c r="AE271" s="474"/>
      <c r="AF271" s="474"/>
      <c r="AG271" s="474"/>
      <c r="AH271" s="474"/>
      <c r="AI271" s="474"/>
      <c r="AK271" s="474"/>
      <c r="AL271" s="474"/>
      <c r="AM271" s="474"/>
      <c r="AN271" s="474"/>
      <c r="AO271" s="474"/>
      <c r="AP271" s="474"/>
      <c r="AQ271" s="474"/>
      <c r="AR271" s="474"/>
      <c r="AS271" s="474"/>
      <c r="AT271" s="474"/>
      <c r="AU271" s="474"/>
      <c r="AV271" s="474"/>
      <c r="AW271" s="474"/>
      <c r="AX271" s="474"/>
      <c r="AY271" s="474"/>
      <c r="AZ271" s="474"/>
      <c r="BA271" s="474"/>
      <c r="BC271" s="474"/>
      <c r="BD271" s="474"/>
      <c r="BE271" s="474"/>
      <c r="BF271" s="474"/>
      <c r="BG271" s="474"/>
      <c r="BH271" s="474"/>
      <c r="BI271" s="474"/>
      <c r="BJ271" s="474"/>
      <c r="CD271" s="474"/>
      <c r="CE271" s="474"/>
      <c r="CF271" s="474"/>
      <c r="CG271" s="474"/>
      <c r="CH271" s="474"/>
      <c r="CI271" s="474"/>
      <c r="CJ271" s="474"/>
      <c r="CK271" s="474"/>
      <c r="CM271" s="474"/>
      <c r="CN271" s="474"/>
      <c r="CO271" s="474"/>
      <c r="CP271" s="474"/>
      <c r="CQ271" s="474"/>
      <c r="CR271" s="474"/>
      <c r="CS271" s="474"/>
      <c r="CT271" s="474"/>
    </row>
    <row r="272" spans="1:98" s="35" customFormat="1" ht="12" customHeight="1">
      <c r="A272" s="474"/>
      <c r="B272" s="206"/>
      <c r="C272" s="206"/>
      <c r="D272" s="206"/>
      <c r="E272" s="206"/>
      <c r="F272" s="206"/>
      <c r="G272" s="206"/>
      <c r="H272" s="206"/>
      <c r="J272" s="474"/>
      <c r="K272" s="474"/>
      <c r="L272" s="474"/>
      <c r="M272" s="474"/>
      <c r="N272" s="474"/>
      <c r="O272" s="474"/>
      <c r="P272" s="474"/>
      <c r="Q272" s="474"/>
      <c r="S272" s="474"/>
      <c r="T272" s="474"/>
      <c r="U272" s="474"/>
      <c r="V272" s="474"/>
      <c r="W272" s="474"/>
      <c r="X272" s="474"/>
      <c r="Y272" s="474"/>
      <c r="Z272" s="474"/>
      <c r="AB272" s="474"/>
      <c r="AC272" s="474"/>
      <c r="AD272" s="474"/>
      <c r="AE272" s="474"/>
      <c r="AF272" s="474"/>
      <c r="AG272" s="474"/>
      <c r="AH272" s="474"/>
      <c r="AI272" s="474"/>
      <c r="AK272" s="474"/>
      <c r="AL272" s="474"/>
      <c r="AM272" s="474"/>
      <c r="AN272" s="474"/>
      <c r="AO272" s="474"/>
      <c r="AP272" s="474"/>
      <c r="AQ272" s="474"/>
      <c r="AR272" s="474"/>
      <c r="AS272" s="474"/>
      <c r="AT272" s="474"/>
      <c r="AU272" s="474"/>
      <c r="AV272" s="474"/>
      <c r="AW272" s="474"/>
      <c r="AX272" s="474"/>
      <c r="AY272" s="474"/>
      <c r="AZ272" s="474"/>
      <c r="BA272" s="474"/>
      <c r="BC272" s="474"/>
      <c r="BD272" s="474"/>
      <c r="BE272" s="474"/>
      <c r="BF272" s="474"/>
      <c r="BG272" s="474"/>
      <c r="BH272" s="474"/>
      <c r="BI272" s="474"/>
      <c r="BJ272" s="474"/>
      <c r="CD272" s="474"/>
      <c r="CE272" s="474"/>
      <c r="CF272" s="474"/>
      <c r="CG272" s="474"/>
      <c r="CH272" s="474"/>
      <c r="CI272" s="474"/>
      <c r="CJ272" s="474"/>
      <c r="CK272" s="474"/>
      <c r="CM272" s="474"/>
      <c r="CN272" s="474"/>
      <c r="CO272" s="474"/>
      <c r="CP272" s="474"/>
      <c r="CQ272" s="474"/>
      <c r="CR272" s="474"/>
      <c r="CS272" s="474"/>
      <c r="CT272" s="474"/>
    </row>
    <row r="273" spans="1:98" s="35" customFormat="1" ht="12" customHeight="1">
      <c r="A273" s="474"/>
      <c r="B273" s="206"/>
      <c r="C273" s="206"/>
      <c r="D273" s="206"/>
      <c r="E273" s="206"/>
      <c r="F273" s="206"/>
      <c r="G273" s="206"/>
      <c r="H273" s="206"/>
      <c r="J273" s="474"/>
      <c r="K273" s="474"/>
      <c r="L273" s="474"/>
      <c r="M273" s="474"/>
      <c r="N273" s="474"/>
      <c r="O273" s="474"/>
      <c r="P273" s="474"/>
      <c r="Q273" s="474"/>
      <c r="S273" s="474"/>
      <c r="T273" s="474"/>
      <c r="U273" s="474"/>
      <c r="V273" s="474"/>
      <c r="W273" s="474"/>
      <c r="X273" s="474"/>
      <c r="Y273" s="474"/>
      <c r="Z273" s="474"/>
      <c r="AB273" s="474"/>
      <c r="AC273" s="474"/>
      <c r="AD273" s="474"/>
      <c r="AE273" s="474"/>
      <c r="AF273" s="474"/>
      <c r="AG273" s="474"/>
      <c r="AH273" s="474"/>
      <c r="AI273" s="474"/>
      <c r="AK273" s="474"/>
      <c r="AL273" s="474"/>
      <c r="AM273" s="474"/>
      <c r="AN273" s="474"/>
      <c r="AO273" s="474"/>
      <c r="AP273" s="474"/>
      <c r="AQ273" s="474"/>
      <c r="AR273" s="474"/>
      <c r="AS273" s="474"/>
      <c r="AT273" s="474"/>
      <c r="AU273" s="474"/>
      <c r="AV273" s="474"/>
      <c r="AW273" s="474"/>
      <c r="AX273" s="474"/>
      <c r="AY273" s="474"/>
      <c r="AZ273" s="474"/>
      <c r="BA273" s="474"/>
      <c r="BC273" s="474"/>
      <c r="BD273" s="474"/>
      <c r="BE273" s="474"/>
      <c r="BF273" s="474"/>
      <c r="BG273" s="474"/>
      <c r="BH273" s="474"/>
      <c r="BI273" s="474"/>
      <c r="BJ273" s="474"/>
      <c r="CD273" s="474"/>
      <c r="CE273" s="474"/>
      <c r="CF273" s="474"/>
      <c r="CG273" s="474"/>
      <c r="CH273" s="474"/>
      <c r="CI273" s="474"/>
      <c r="CJ273" s="474"/>
      <c r="CK273" s="474"/>
      <c r="CM273" s="474"/>
      <c r="CN273" s="474"/>
      <c r="CO273" s="474"/>
      <c r="CP273" s="474"/>
      <c r="CQ273" s="474"/>
      <c r="CR273" s="474"/>
      <c r="CS273" s="474"/>
      <c r="CT273" s="474"/>
    </row>
    <row r="274" spans="1:98" s="35" customFormat="1" ht="12" customHeight="1">
      <c r="A274" s="474"/>
      <c r="B274" s="206"/>
      <c r="C274" s="206"/>
      <c r="D274" s="206"/>
      <c r="E274" s="206"/>
      <c r="F274" s="206"/>
      <c r="G274" s="206"/>
      <c r="H274" s="206"/>
      <c r="J274" s="474"/>
      <c r="K274" s="474"/>
      <c r="L274" s="474"/>
      <c r="M274" s="474"/>
      <c r="N274" s="474"/>
      <c r="O274" s="474"/>
      <c r="P274" s="474"/>
      <c r="Q274" s="474"/>
      <c r="S274" s="474"/>
      <c r="T274" s="474"/>
      <c r="U274" s="474"/>
      <c r="V274" s="474"/>
      <c r="W274" s="474"/>
      <c r="X274" s="474"/>
      <c r="Y274" s="474"/>
      <c r="Z274" s="474"/>
      <c r="AB274" s="474"/>
      <c r="AC274" s="474"/>
      <c r="AD274" s="474"/>
      <c r="AE274" s="474"/>
      <c r="AF274" s="474"/>
      <c r="AG274" s="474"/>
      <c r="AH274" s="474"/>
      <c r="AI274" s="474"/>
      <c r="AK274" s="474"/>
      <c r="AL274" s="474"/>
      <c r="AM274" s="474"/>
      <c r="AN274" s="474"/>
      <c r="AO274" s="474"/>
      <c r="AP274" s="474"/>
      <c r="AQ274" s="474"/>
      <c r="AR274" s="474"/>
      <c r="AS274" s="474"/>
      <c r="AT274" s="474"/>
      <c r="AU274" s="474"/>
      <c r="AV274" s="474"/>
      <c r="AW274" s="474"/>
      <c r="AX274" s="474"/>
      <c r="AY274" s="474"/>
      <c r="AZ274" s="474"/>
      <c r="BA274" s="474"/>
      <c r="BC274" s="474"/>
      <c r="BD274" s="474"/>
      <c r="BE274" s="474"/>
      <c r="BF274" s="474"/>
      <c r="BG274" s="474"/>
      <c r="BH274" s="474"/>
      <c r="BI274" s="474"/>
      <c r="BJ274" s="474"/>
      <c r="CD274" s="474"/>
      <c r="CE274" s="474"/>
      <c r="CF274" s="474"/>
      <c r="CG274" s="474"/>
      <c r="CH274" s="474"/>
      <c r="CI274" s="474"/>
      <c r="CJ274" s="474"/>
      <c r="CK274" s="474"/>
      <c r="CM274" s="474"/>
      <c r="CN274" s="474"/>
      <c r="CO274" s="474"/>
      <c r="CP274" s="474"/>
      <c r="CQ274" s="474"/>
      <c r="CR274" s="474"/>
      <c r="CS274" s="474"/>
      <c r="CT274" s="474"/>
    </row>
    <row r="275" spans="1:98" s="35" customFormat="1" ht="12" customHeight="1">
      <c r="A275" s="474"/>
      <c r="B275" s="206"/>
      <c r="C275" s="206"/>
      <c r="D275" s="206"/>
      <c r="E275" s="206"/>
      <c r="F275" s="206"/>
      <c r="G275" s="206"/>
      <c r="H275" s="206"/>
      <c r="J275" s="474"/>
      <c r="K275" s="474"/>
      <c r="L275" s="474"/>
      <c r="M275" s="474"/>
      <c r="N275" s="474"/>
      <c r="O275" s="474"/>
      <c r="P275" s="474"/>
      <c r="Q275" s="474"/>
      <c r="S275" s="474"/>
      <c r="T275" s="474"/>
      <c r="U275" s="474"/>
      <c r="V275" s="474"/>
      <c r="W275" s="474"/>
      <c r="X275" s="474"/>
      <c r="Y275" s="474"/>
      <c r="Z275" s="474"/>
      <c r="AB275" s="474"/>
      <c r="AC275" s="474"/>
      <c r="AD275" s="474"/>
      <c r="AE275" s="474"/>
      <c r="AF275" s="474"/>
      <c r="AG275" s="474"/>
      <c r="AH275" s="474"/>
      <c r="AI275" s="474"/>
      <c r="AK275" s="474"/>
      <c r="AL275" s="474"/>
      <c r="AM275" s="474"/>
      <c r="AN275" s="474"/>
      <c r="AO275" s="474"/>
      <c r="AP275" s="474"/>
      <c r="AQ275" s="474"/>
      <c r="AR275" s="474"/>
      <c r="AS275" s="474"/>
      <c r="AT275" s="474"/>
      <c r="AU275" s="474"/>
      <c r="AV275" s="474"/>
      <c r="AW275" s="474"/>
      <c r="AX275" s="474"/>
      <c r="AY275" s="474"/>
      <c r="AZ275" s="474"/>
      <c r="BA275" s="474"/>
      <c r="BC275" s="474"/>
      <c r="BD275" s="474"/>
      <c r="BE275" s="474"/>
      <c r="BF275" s="474"/>
      <c r="BG275" s="474"/>
      <c r="BH275" s="474"/>
      <c r="BI275" s="474"/>
      <c r="BJ275" s="474"/>
      <c r="CD275" s="474"/>
      <c r="CE275" s="474"/>
      <c r="CF275" s="474"/>
      <c r="CG275" s="474"/>
      <c r="CH275" s="474"/>
      <c r="CI275" s="474"/>
      <c r="CJ275" s="474"/>
      <c r="CK275" s="474"/>
      <c r="CM275" s="474"/>
      <c r="CN275" s="474"/>
      <c r="CO275" s="474"/>
      <c r="CP275" s="474"/>
      <c r="CQ275" s="474"/>
      <c r="CR275" s="474"/>
      <c r="CS275" s="474"/>
      <c r="CT275" s="474"/>
    </row>
    <row r="276" spans="1:98" s="35" customFormat="1" ht="12" customHeight="1">
      <c r="A276" s="474"/>
      <c r="B276" s="206"/>
      <c r="C276" s="206"/>
      <c r="D276" s="206"/>
      <c r="E276" s="206"/>
      <c r="F276" s="206"/>
      <c r="G276" s="206"/>
      <c r="H276" s="206"/>
      <c r="J276" s="474"/>
      <c r="K276" s="474"/>
      <c r="L276" s="474"/>
      <c r="M276" s="474"/>
      <c r="N276" s="474"/>
      <c r="O276" s="474"/>
      <c r="P276" s="474"/>
      <c r="Q276" s="474"/>
      <c r="S276" s="474"/>
      <c r="T276" s="474"/>
      <c r="U276" s="474"/>
      <c r="V276" s="474"/>
      <c r="W276" s="474"/>
      <c r="X276" s="474"/>
      <c r="Y276" s="474"/>
      <c r="Z276" s="474"/>
      <c r="AB276" s="474"/>
      <c r="AC276" s="474"/>
      <c r="AD276" s="474"/>
      <c r="AE276" s="474"/>
      <c r="AF276" s="474"/>
      <c r="AG276" s="474"/>
      <c r="AH276" s="474"/>
      <c r="AI276" s="474"/>
      <c r="AK276" s="474"/>
      <c r="AL276" s="474"/>
      <c r="AM276" s="474"/>
      <c r="AN276" s="474"/>
      <c r="AO276" s="474"/>
      <c r="AP276" s="474"/>
      <c r="AQ276" s="474"/>
      <c r="AR276" s="474"/>
      <c r="AS276" s="474"/>
      <c r="AT276" s="474"/>
      <c r="AU276" s="474"/>
      <c r="AV276" s="474"/>
      <c r="AW276" s="474"/>
      <c r="AX276" s="474"/>
      <c r="AY276" s="474"/>
      <c r="AZ276" s="474"/>
      <c r="BA276" s="474"/>
      <c r="BC276" s="474"/>
      <c r="BD276" s="474"/>
      <c r="BE276" s="474"/>
      <c r="BF276" s="474"/>
      <c r="BG276" s="474"/>
      <c r="BH276" s="474"/>
      <c r="BI276" s="474"/>
      <c r="BJ276" s="474"/>
      <c r="CD276" s="474"/>
      <c r="CE276" s="474"/>
      <c r="CF276" s="474"/>
      <c r="CG276" s="474"/>
      <c r="CH276" s="474"/>
      <c r="CI276" s="474"/>
      <c r="CJ276" s="474"/>
      <c r="CK276" s="474"/>
      <c r="CM276" s="474"/>
      <c r="CN276" s="474"/>
      <c r="CO276" s="474"/>
      <c r="CP276" s="474"/>
      <c r="CQ276" s="474"/>
      <c r="CR276" s="474"/>
      <c r="CS276" s="474"/>
      <c r="CT276" s="474"/>
    </row>
    <row r="277" spans="1:98" s="35" customFormat="1" ht="12" customHeight="1">
      <c r="A277" s="474"/>
      <c r="B277" s="206"/>
      <c r="C277" s="206"/>
      <c r="D277" s="206"/>
      <c r="E277" s="206"/>
      <c r="F277" s="206"/>
      <c r="G277" s="206"/>
      <c r="H277" s="206"/>
      <c r="J277" s="474"/>
      <c r="K277" s="474"/>
      <c r="L277" s="474"/>
      <c r="M277" s="474"/>
      <c r="N277" s="474"/>
      <c r="O277" s="474"/>
      <c r="P277" s="474"/>
      <c r="Q277" s="474"/>
      <c r="S277" s="474"/>
      <c r="T277" s="474"/>
      <c r="U277" s="474"/>
      <c r="V277" s="474"/>
      <c r="W277" s="474"/>
      <c r="X277" s="474"/>
      <c r="Y277" s="474"/>
      <c r="Z277" s="474"/>
      <c r="AB277" s="474"/>
      <c r="AC277" s="474"/>
      <c r="AD277" s="474"/>
      <c r="AE277" s="474"/>
      <c r="AF277" s="474"/>
      <c r="AG277" s="474"/>
      <c r="AH277" s="474"/>
      <c r="AI277" s="474"/>
      <c r="AK277" s="474"/>
      <c r="AL277" s="474"/>
      <c r="AM277" s="474"/>
      <c r="AN277" s="474"/>
      <c r="AO277" s="474"/>
      <c r="AP277" s="474"/>
      <c r="AQ277" s="474"/>
      <c r="AR277" s="474"/>
      <c r="AS277" s="474"/>
      <c r="AT277" s="474"/>
      <c r="AU277" s="474"/>
      <c r="AV277" s="474"/>
      <c r="AW277" s="474"/>
      <c r="AX277" s="474"/>
      <c r="AY277" s="474"/>
      <c r="AZ277" s="474"/>
      <c r="BA277" s="474"/>
      <c r="BC277" s="474"/>
      <c r="BD277" s="474"/>
      <c r="BE277" s="474"/>
      <c r="BF277" s="474"/>
      <c r="BG277" s="474"/>
      <c r="BH277" s="474"/>
      <c r="BI277" s="474"/>
      <c r="BJ277" s="474"/>
      <c r="CD277" s="474"/>
      <c r="CE277" s="474"/>
      <c r="CF277" s="474"/>
      <c r="CG277" s="474"/>
      <c r="CH277" s="474"/>
      <c r="CI277" s="474"/>
      <c r="CJ277" s="474"/>
      <c r="CK277" s="474"/>
      <c r="CM277" s="474"/>
      <c r="CN277" s="474"/>
      <c r="CO277" s="474"/>
      <c r="CP277" s="474"/>
      <c r="CQ277" s="474"/>
      <c r="CR277" s="474"/>
      <c r="CS277" s="474"/>
      <c r="CT277" s="474"/>
    </row>
    <row r="278" spans="1:98" s="35" customFormat="1" ht="12" customHeight="1">
      <c r="A278" s="474"/>
      <c r="B278" s="206"/>
      <c r="C278" s="206"/>
      <c r="D278" s="206"/>
      <c r="E278" s="206"/>
      <c r="F278" s="206"/>
      <c r="G278" s="206"/>
      <c r="H278" s="206"/>
      <c r="J278" s="474"/>
      <c r="K278" s="474"/>
      <c r="L278" s="474"/>
      <c r="M278" s="474"/>
      <c r="N278" s="474"/>
      <c r="O278" s="474"/>
      <c r="P278" s="474"/>
      <c r="Q278" s="474"/>
      <c r="S278" s="474"/>
      <c r="T278" s="474"/>
      <c r="U278" s="474"/>
      <c r="V278" s="474"/>
      <c r="W278" s="474"/>
      <c r="X278" s="474"/>
      <c r="Y278" s="474"/>
      <c r="Z278" s="474"/>
      <c r="AB278" s="474"/>
      <c r="AC278" s="474"/>
      <c r="AD278" s="474"/>
      <c r="AE278" s="474"/>
      <c r="AF278" s="474"/>
      <c r="AG278" s="474"/>
      <c r="AH278" s="474"/>
      <c r="AI278" s="474"/>
      <c r="AK278" s="474"/>
      <c r="AL278" s="474"/>
      <c r="AM278" s="474"/>
      <c r="AN278" s="474"/>
      <c r="AO278" s="474"/>
      <c r="AP278" s="474"/>
      <c r="AQ278" s="474"/>
      <c r="AR278" s="474"/>
      <c r="AS278" s="474"/>
      <c r="AT278" s="474"/>
      <c r="AU278" s="474"/>
      <c r="AV278" s="474"/>
      <c r="AW278" s="474"/>
      <c r="AX278" s="474"/>
      <c r="AY278" s="474"/>
      <c r="AZ278" s="474"/>
      <c r="BA278" s="474"/>
      <c r="BC278" s="474"/>
      <c r="BD278" s="474"/>
      <c r="BE278" s="474"/>
      <c r="BF278" s="474"/>
      <c r="BG278" s="474"/>
      <c r="BH278" s="474"/>
      <c r="BI278" s="474"/>
      <c r="BJ278" s="474"/>
      <c r="CD278" s="474"/>
      <c r="CE278" s="474"/>
      <c r="CF278" s="474"/>
      <c r="CG278" s="474"/>
      <c r="CH278" s="474"/>
      <c r="CI278" s="474"/>
      <c r="CJ278" s="474"/>
      <c r="CK278" s="474"/>
      <c r="CM278" s="474"/>
      <c r="CN278" s="474"/>
      <c r="CO278" s="474"/>
      <c r="CP278" s="474"/>
      <c r="CQ278" s="474"/>
      <c r="CR278" s="474"/>
      <c r="CS278" s="474"/>
      <c r="CT278" s="474"/>
    </row>
    <row r="279" spans="1:98" s="35" customFormat="1" ht="12" customHeight="1">
      <c r="A279" s="474"/>
      <c r="B279" s="206"/>
      <c r="C279" s="206"/>
      <c r="D279" s="206"/>
      <c r="E279" s="206"/>
      <c r="F279" s="206"/>
      <c r="G279" s="206"/>
      <c r="H279" s="206"/>
      <c r="J279" s="474"/>
      <c r="K279" s="474"/>
      <c r="L279" s="474"/>
      <c r="M279" s="474"/>
      <c r="N279" s="474"/>
      <c r="O279" s="474"/>
      <c r="P279" s="474"/>
      <c r="Q279" s="474"/>
      <c r="S279" s="474"/>
      <c r="T279" s="474"/>
      <c r="U279" s="474"/>
      <c r="V279" s="474"/>
      <c r="W279" s="474"/>
      <c r="X279" s="474"/>
      <c r="Y279" s="474"/>
      <c r="Z279" s="474"/>
      <c r="AB279" s="474"/>
      <c r="AC279" s="474"/>
      <c r="AD279" s="474"/>
      <c r="AE279" s="474"/>
      <c r="AF279" s="474"/>
      <c r="AG279" s="474"/>
      <c r="AH279" s="474"/>
      <c r="AI279" s="474"/>
      <c r="AK279" s="474"/>
      <c r="AL279" s="474"/>
      <c r="AM279" s="474"/>
      <c r="AN279" s="474"/>
      <c r="AO279" s="474"/>
      <c r="AP279" s="474"/>
      <c r="AQ279" s="474"/>
      <c r="AR279" s="474"/>
      <c r="AS279" s="474"/>
      <c r="AT279" s="474"/>
      <c r="AU279" s="474"/>
      <c r="AV279" s="474"/>
      <c r="AW279" s="474"/>
      <c r="AX279" s="474"/>
      <c r="AY279" s="474"/>
      <c r="AZ279" s="474"/>
      <c r="BA279" s="474"/>
      <c r="BC279" s="474"/>
      <c r="BD279" s="474"/>
      <c r="BE279" s="474"/>
      <c r="BF279" s="474"/>
      <c r="BG279" s="474"/>
      <c r="BH279" s="474"/>
      <c r="BI279" s="474"/>
      <c r="BJ279" s="474"/>
      <c r="CD279" s="474"/>
      <c r="CE279" s="474"/>
      <c r="CF279" s="474"/>
      <c r="CG279" s="474"/>
      <c r="CH279" s="474"/>
      <c r="CI279" s="474"/>
      <c r="CJ279" s="474"/>
      <c r="CK279" s="474"/>
      <c r="CM279" s="474"/>
      <c r="CN279" s="474"/>
      <c r="CO279" s="474"/>
      <c r="CP279" s="474"/>
      <c r="CQ279" s="474"/>
      <c r="CR279" s="474"/>
      <c r="CS279" s="474"/>
      <c r="CT279" s="474"/>
    </row>
    <row r="280" spans="1:98" s="35" customFormat="1" ht="12" customHeight="1">
      <c r="A280" s="474"/>
      <c r="B280" s="206"/>
      <c r="C280" s="206"/>
      <c r="D280" s="206"/>
      <c r="E280" s="206"/>
      <c r="F280" s="206"/>
      <c r="G280" s="206"/>
      <c r="H280" s="206"/>
      <c r="J280" s="474"/>
      <c r="K280" s="474"/>
      <c r="L280" s="474"/>
      <c r="M280" s="474"/>
      <c r="N280" s="474"/>
      <c r="O280" s="474"/>
      <c r="P280" s="474"/>
      <c r="Q280" s="474"/>
      <c r="S280" s="474"/>
      <c r="T280" s="474"/>
      <c r="U280" s="474"/>
      <c r="V280" s="474"/>
      <c r="W280" s="474"/>
      <c r="X280" s="474"/>
      <c r="Y280" s="474"/>
      <c r="Z280" s="474"/>
      <c r="AB280" s="474"/>
      <c r="AC280" s="474"/>
      <c r="AD280" s="474"/>
      <c r="AE280" s="474"/>
      <c r="AF280" s="474"/>
      <c r="AG280" s="474"/>
      <c r="AH280" s="474"/>
      <c r="AI280" s="474"/>
      <c r="AK280" s="474"/>
      <c r="AL280" s="474"/>
      <c r="AM280" s="474"/>
      <c r="AN280" s="474"/>
      <c r="AO280" s="474"/>
      <c r="AP280" s="474"/>
      <c r="AQ280" s="474"/>
      <c r="AR280" s="474"/>
      <c r="AS280" s="474"/>
      <c r="AT280" s="474"/>
      <c r="AU280" s="474"/>
      <c r="AV280" s="474"/>
      <c r="AW280" s="474"/>
      <c r="AX280" s="474"/>
      <c r="AY280" s="474"/>
      <c r="AZ280" s="474"/>
      <c r="BA280" s="474"/>
      <c r="BC280" s="474"/>
      <c r="BD280" s="474"/>
      <c r="BE280" s="474"/>
      <c r="BF280" s="474"/>
      <c r="BG280" s="474"/>
      <c r="BH280" s="474"/>
      <c r="BI280" s="474"/>
      <c r="BJ280" s="474"/>
      <c r="CD280" s="474"/>
      <c r="CE280" s="474"/>
      <c r="CF280" s="474"/>
      <c r="CG280" s="474"/>
      <c r="CH280" s="474"/>
      <c r="CI280" s="474"/>
      <c r="CJ280" s="474"/>
      <c r="CK280" s="474"/>
      <c r="CM280" s="474"/>
      <c r="CN280" s="474"/>
      <c r="CO280" s="474"/>
      <c r="CP280" s="474"/>
      <c r="CQ280" s="474"/>
      <c r="CR280" s="474"/>
      <c r="CS280" s="474"/>
      <c r="CT280" s="474"/>
    </row>
    <row r="281" spans="1:98" s="35" customFormat="1" ht="12" customHeight="1">
      <c r="A281" s="474"/>
      <c r="B281" s="206"/>
      <c r="C281" s="206"/>
      <c r="D281" s="206"/>
      <c r="E281" s="206"/>
      <c r="F281" s="206"/>
      <c r="G281" s="206"/>
      <c r="H281" s="206"/>
      <c r="J281" s="474"/>
      <c r="K281" s="474"/>
      <c r="L281" s="474"/>
      <c r="M281" s="474"/>
      <c r="N281" s="474"/>
      <c r="O281" s="474"/>
      <c r="P281" s="474"/>
      <c r="Q281" s="474"/>
      <c r="S281" s="474"/>
      <c r="T281" s="474"/>
      <c r="U281" s="474"/>
      <c r="V281" s="474"/>
      <c r="W281" s="474"/>
      <c r="X281" s="474"/>
      <c r="Y281" s="474"/>
      <c r="Z281" s="474"/>
      <c r="AB281" s="474"/>
      <c r="AC281" s="474"/>
      <c r="AD281" s="474"/>
      <c r="AE281" s="474"/>
      <c r="AF281" s="474"/>
      <c r="AG281" s="474"/>
      <c r="AH281" s="474"/>
      <c r="AI281" s="474"/>
      <c r="AK281" s="474"/>
      <c r="AL281" s="474"/>
      <c r="AM281" s="474"/>
      <c r="AN281" s="474"/>
      <c r="AO281" s="474"/>
      <c r="AP281" s="474"/>
      <c r="AQ281" s="474"/>
      <c r="AR281" s="474"/>
      <c r="AS281" s="474"/>
      <c r="AT281" s="474"/>
      <c r="AU281" s="474"/>
      <c r="AV281" s="474"/>
      <c r="AW281" s="474"/>
      <c r="AX281" s="474"/>
      <c r="AY281" s="474"/>
      <c r="AZ281" s="474"/>
      <c r="BA281" s="474"/>
      <c r="BC281" s="474"/>
      <c r="BD281" s="474"/>
      <c r="BE281" s="474"/>
      <c r="BF281" s="474"/>
      <c r="BG281" s="474"/>
      <c r="BH281" s="474"/>
      <c r="BI281" s="474"/>
      <c r="BJ281" s="474"/>
      <c r="CD281" s="474"/>
      <c r="CE281" s="474"/>
      <c r="CF281" s="474"/>
      <c r="CG281" s="474"/>
      <c r="CH281" s="474"/>
      <c r="CI281" s="474"/>
      <c r="CJ281" s="474"/>
      <c r="CK281" s="474"/>
      <c r="CM281" s="474"/>
      <c r="CN281" s="474"/>
      <c r="CO281" s="474"/>
      <c r="CP281" s="474"/>
      <c r="CQ281" s="474"/>
      <c r="CR281" s="474"/>
      <c r="CS281" s="474"/>
      <c r="CT281" s="474"/>
    </row>
    <row r="282" spans="1:98" s="35" customFormat="1" ht="12" customHeight="1">
      <c r="A282" s="474"/>
      <c r="B282" s="206"/>
      <c r="C282" s="206"/>
      <c r="D282" s="206"/>
      <c r="E282" s="206"/>
      <c r="F282" s="206"/>
      <c r="G282" s="206"/>
      <c r="H282" s="206"/>
      <c r="J282" s="474"/>
      <c r="K282" s="474"/>
      <c r="L282" s="474"/>
      <c r="M282" s="474"/>
      <c r="N282" s="474"/>
      <c r="O282" s="474"/>
      <c r="P282" s="474"/>
      <c r="Q282" s="474"/>
      <c r="S282" s="474"/>
      <c r="T282" s="474"/>
      <c r="U282" s="474"/>
      <c r="V282" s="474"/>
      <c r="W282" s="474"/>
      <c r="X282" s="474"/>
      <c r="Y282" s="474"/>
      <c r="Z282" s="474"/>
      <c r="AB282" s="474"/>
      <c r="AC282" s="474"/>
      <c r="AD282" s="474"/>
      <c r="AE282" s="474"/>
      <c r="AF282" s="474"/>
      <c r="AG282" s="474"/>
      <c r="AH282" s="474"/>
      <c r="AI282" s="474"/>
      <c r="AK282" s="474"/>
      <c r="AL282" s="474"/>
      <c r="AM282" s="474"/>
      <c r="AN282" s="474"/>
      <c r="AO282" s="474"/>
      <c r="AP282" s="474"/>
      <c r="AQ282" s="474"/>
      <c r="AR282" s="474"/>
      <c r="AS282" s="474"/>
      <c r="AT282" s="474"/>
      <c r="AU282" s="474"/>
      <c r="AV282" s="474"/>
      <c r="AW282" s="474"/>
      <c r="AX282" s="474"/>
      <c r="AY282" s="474"/>
      <c r="AZ282" s="474"/>
      <c r="BA282" s="474"/>
      <c r="BC282" s="474"/>
      <c r="BD282" s="474"/>
      <c r="BE282" s="474"/>
      <c r="BF282" s="474"/>
      <c r="BG282" s="474"/>
      <c r="BH282" s="474"/>
      <c r="BI282" s="474"/>
      <c r="BJ282" s="474"/>
      <c r="CD282" s="474"/>
      <c r="CE282" s="474"/>
      <c r="CF282" s="474"/>
      <c r="CG282" s="474"/>
      <c r="CH282" s="474"/>
      <c r="CI282" s="474"/>
      <c r="CJ282" s="474"/>
      <c r="CK282" s="474"/>
      <c r="CM282" s="474"/>
      <c r="CN282" s="474"/>
      <c r="CO282" s="474"/>
      <c r="CP282" s="474"/>
      <c r="CQ282" s="474"/>
      <c r="CR282" s="474"/>
      <c r="CS282" s="474"/>
      <c r="CT282" s="474"/>
    </row>
    <row r="283" spans="1:98" s="35" customFormat="1" ht="12" customHeight="1">
      <c r="A283" s="474"/>
      <c r="B283" s="206"/>
      <c r="C283" s="206"/>
      <c r="D283" s="206"/>
      <c r="E283" s="206"/>
      <c r="F283" s="206"/>
      <c r="G283" s="206"/>
      <c r="H283" s="206"/>
      <c r="J283" s="474"/>
      <c r="K283" s="474"/>
      <c r="L283" s="474"/>
      <c r="M283" s="474"/>
      <c r="N283" s="474"/>
      <c r="O283" s="474"/>
      <c r="P283" s="474"/>
      <c r="Q283" s="474"/>
      <c r="S283" s="474"/>
      <c r="T283" s="474"/>
      <c r="U283" s="474"/>
      <c r="V283" s="474"/>
      <c r="W283" s="474"/>
      <c r="X283" s="474"/>
      <c r="Y283" s="474"/>
      <c r="Z283" s="474"/>
      <c r="AB283" s="474"/>
      <c r="AC283" s="474"/>
      <c r="AD283" s="474"/>
      <c r="AE283" s="474"/>
      <c r="AF283" s="474"/>
      <c r="AG283" s="474"/>
      <c r="AH283" s="474"/>
      <c r="AI283" s="474"/>
      <c r="AK283" s="474"/>
      <c r="AL283" s="474"/>
      <c r="AM283" s="474"/>
      <c r="AN283" s="474"/>
      <c r="AO283" s="474"/>
      <c r="AP283" s="474"/>
      <c r="AQ283" s="474"/>
      <c r="AR283" s="474"/>
      <c r="AS283" s="474"/>
      <c r="AT283" s="474"/>
      <c r="AU283" s="474"/>
      <c r="AV283" s="474"/>
      <c r="AW283" s="474"/>
      <c r="AX283" s="474"/>
      <c r="AY283" s="474"/>
      <c r="AZ283" s="474"/>
      <c r="BA283" s="474"/>
      <c r="BC283" s="474"/>
      <c r="BD283" s="474"/>
      <c r="BE283" s="474"/>
      <c r="BF283" s="474"/>
      <c r="BG283" s="474"/>
      <c r="BH283" s="474"/>
      <c r="BI283" s="474"/>
      <c r="BJ283" s="474"/>
      <c r="CD283" s="474"/>
      <c r="CE283" s="474"/>
      <c r="CF283" s="474"/>
      <c r="CG283" s="474"/>
      <c r="CH283" s="474"/>
      <c r="CI283" s="474"/>
      <c r="CJ283" s="474"/>
      <c r="CK283" s="474"/>
      <c r="CM283" s="474"/>
      <c r="CN283" s="474"/>
      <c r="CO283" s="474"/>
      <c r="CP283" s="474"/>
      <c r="CQ283" s="474"/>
      <c r="CR283" s="474"/>
      <c r="CS283" s="474"/>
      <c r="CT283" s="474"/>
    </row>
    <row r="284" spans="1:98" s="35" customFormat="1" ht="12" customHeight="1">
      <c r="A284" s="474"/>
      <c r="B284" s="206"/>
      <c r="C284" s="206"/>
      <c r="D284" s="206"/>
      <c r="E284" s="206"/>
      <c r="F284" s="206"/>
      <c r="G284" s="206"/>
      <c r="H284" s="206"/>
      <c r="J284" s="474"/>
      <c r="K284" s="474"/>
      <c r="L284" s="474"/>
      <c r="M284" s="474"/>
      <c r="N284" s="474"/>
      <c r="O284" s="474"/>
      <c r="P284" s="474"/>
      <c r="Q284" s="474"/>
      <c r="S284" s="474"/>
      <c r="T284" s="474"/>
      <c r="U284" s="474"/>
      <c r="V284" s="474"/>
      <c r="W284" s="474"/>
      <c r="X284" s="474"/>
      <c r="Y284" s="474"/>
      <c r="Z284" s="474"/>
      <c r="AB284" s="474"/>
      <c r="AC284" s="474"/>
      <c r="AD284" s="474"/>
      <c r="AE284" s="474"/>
      <c r="AF284" s="474"/>
      <c r="AG284" s="474"/>
      <c r="AH284" s="474"/>
      <c r="AI284" s="474"/>
      <c r="AK284" s="474"/>
      <c r="AL284" s="474"/>
      <c r="AM284" s="474"/>
      <c r="AN284" s="474"/>
      <c r="AO284" s="474"/>
      <c r="AP284" s="474"/>
      <c r="AQ284" s="474"/>
      <c r="AR284" s="474"/>
      <c r="AS284" s="474"/>
      <c r="AT284" s="474"/>
      <c r="AU284" s="474"/>
      <c r="AV284" s="474"/>
      <c r="AW284" s="474"/>
      <c r="AX284" s="474"/>
      <c r="AY284" s="474"/>
      <c r="AZ284" s="474"/>
      <c r="BA284" s="474"/>
      <c r="BC284" s="474"/>
      <c r="BD284" s="474"/>
      <c r="BE284" s="474"/>
      <c r="BF284" s="474"/>
      <c r="BG284" s="474"/>
      <c r="BH284" s="474"/>
      <c r="BI284" s="474"/>
      <c r="BJ284" s="474"/>
      <c r="CD284" s="474"/>
      <c r="CE284" s="474"/>
      <c r="CF284" s="474"/>
      <c r="CG284" s="474"/>
      <c r="CH284" s="474"/>
      <c r="CI284" s="474"/>
      <c r="CJ284" s="474"/>
      <c r="CK284" s="474"/>
      <c r="CM284" s="474"/>
      <c r="CN284" s="474"/>
      <c r="CO284" s="474"/>
      <c r="CP284" s="474"/>
      <c r="CQ284" s="474"/>
      <c r="CR284" s="474"/>
      <c r="CS284" s="474"/>
      <c r="CT284" s="474"/>
    </row>
    <row r="285" spans="1:98" s="35" customFormat="1" ht="12" customHeight="1">
      <c r="A285" s="474"/>
      <c r="B285" s="474"/>
      <c r="C285" s="474"/>
      <c r="D285" s="474"/>
      <c r="E285" s="474"/>
      <c r="F285" s="474"/>
      <c r="G285" s="474"/>
      <c r="H285" s="474"/>
      <c r="J285" s="474"/>
      <c r="K285" s="474"/>
      <c r="L285" s="474"/>
      <c r="M285" s="474"/>
      <c r="N285" s="474"/>
      <c r="O285" s="474"/>
      <c r="P285" s="474"/>
      <c r="Q285" s="474"/>
      <c r="S285" s="474"/>
      <c r="T285" s="474"/>
      <c r="U285" s="474"/>
      <c r="V285" s="474"/>
      <c r="W285" s="474"/>
      <c r="X285" s="474"/>
      <c r="Y285" s="474"/>
      <c r="Z285" s="474"/>
      <c r="AB285" s="474"/>
      <c r="AC285" s="474"/>
      <c r="AD285" s="474"/>
      <c r="AE285" s="474"/>
      <c r="AF285" s="474"/>
      <c r="AG285" s="474"/>
      <c r="AH285" s="474"/>
      <c r="AI285" s="474"/>
      <c r="AK285" s="474"/>
      <c r="AL285" s="474"/>
      <c r="AM285" s="474"/>
      <c r="AN285" s="474"/>
      <c r="AO285" s="474"/>
      <c r="AP285" s="474"/>
      <c r="AQ285" s="474"/>
      <c r="AR285" s="474"/>
      <c r="AS285" s="474"/>
      <c r="AT285" s="474"/>
      <c r="AU285" s="474"/>
      <c r="AV285" s="474"/>
      <c r="AW285" s="474"/>
      <c r="AX285" s="474"/>
      <c r="AY285" s="474"/>
      <c r="AZ285" s="474"/>
      <c r="BA285" s="474"/>
      <c r="BC285" s="474"/>
      <c r="BD285" s="474"/>
      <c r="BE285" s="474"/>
      <c r="BF285" s="474"/>
      <c r="BG285" s="474"/>
      <c r="BH285" s="474"/>
      <c r="BI285" s="474"/>
      <c r="BJ285" s="474"/>
      <c r="CD285" s="474"/>
      <c r="CE285" s="474"/>
      <c r="CF285" s="474"/>
      <c r="CG285" s="474"/>
      <c r="CH285" s="474"/>
      <c r="CI285" s="474"/>
      <c r="CJ285" s="474"/>
      <c r="CK285" s="474"/>
      <c r="CM285" s="474"/>
      <c r="CN285" s="474"/>
      <c r="CO285" s="474"/>
      <c r="CP285" s="474"/>
      <c r="CQ285" s="474"/>
      <c r="CR285" s="474"/>
      <c r="CS285" s="474"/>
      <c r="CT285" s="474"/>
    </row>
    <row r="286" spans="1:98" s="35" customFormat="1" ht="12" customHeight="1">
      <c r="A286" s="474"/>
      <c r="B286" s="474"/>
      <c r="C286" s="474"/>
      <c r="D286" s="474"/>
      <c r="E286" s="474"/>
      <c r="F286" s="474"/>
      <c r="G286" s="474"/>
      <c r="H286" s="474"/>
      <c r="J286" s="474"/>
      <c r="K286" s="474"/>
      <c r="L286" s="474"/>
      <c r="M286" s="474"/>
      <c r="N286" s="474"/>
      <c r="O286" s="474"/>
      <c r="P286" s="474"/>
      <c r="Q286" s="474"/>
      <c r="S286" s="474"/>
      <c r="T286" s="474"/>
      <c r="U286" s="474"/>
      <c r="V286" s="474"/>
      <c r="W286" s="474"/>
      <c r="X286" s="474"/>
      <c r="Y286" s="474"/>
      <c r="Z286" s="474"/>
      <c r="AB286" s="474"/>
      <c r="AC286" s="474"/>
      <c r="AD286" s="474"/>
      <c r="AE286" s="474"/>
      <c r="AF286" s="474"/>
      <c r="AG286" s="474"/>
      <c r="AH286" s="474"/>
      <c r="AI286" s="474"/>
      <c r="AK286" s="474"/>
      <c r="AL286" s="474"/>
      <c r="AM286" s="474"/>
      <c r="AN286" s="474"/>
      <c r="AO286" s="474"/>
      <c r="AP286" s="474"/>
      <c r="AQ286" s="474"/>
      <c r="AR286" s="474"/>
      <c r="AS286" s="474"/>
      <c r="AT286" s="474"/>
      <c r="AU286" s="474"/>
      <c r="AV286" s="474"/>
      <c r="AW286" s="474"/>
      <c r="AX286" s="474"/>
      <c r="AY286" s="474"/>
      <c r="AZ286" s="474"/>
      <c r="BA286" s="474"/>
      <c r="BC286" s="474"/>
      <c r="BD286" s="474"/>
      <c r="BE286" s="474"/>
      <c r="BF286" s="474"/>
      <c r="BG286" s="474"/>
      <c r="BH286" s="474"/>
      <c r="BI286" s="474"/>
      <c r="BJ286" s="474"/>
      <c r="CD286" s="474"/>
      <c r="CE286" s="474"/>
      <c r="CF286" s="474"/>
      <c r="CG286" s="474"/>
      <c r="CH286" s="474"/>
      <c r="CI286" s="474"/>
      <c r="CJ286" s="474"/>
      <c r="CK286" s="474"/>
      <c r="CM286" s="474"/>
      <c r="CN286" s="474"/>
      <c r="CO286" s="474"/>
      <c r="CP286" s="474"/>
      <c r="CQ286" s="474"/>
      <c r="CR286" s="474"/>
      <c r="CS286" s="474"/>
      <c r="CT286" s="474"/>
    </row>
    <row r="287" spans="1:98" s="35" customFormat="1" ht="12" customHeight="1">
      <c r="A287" s="474"/>
      <c r="B287" s="474"/>
      <c r="C287" s="474"/>
      <c r="D287" s="474"/>
      <c r="E287" s="474"/>
      <c r="F287" s="474"/>
      <c r="G287" s="474"/>
      <c r="H287" s="474"/>
      <c r="J287" s="474"/>
      <c r="K287" s="474"/>
      <c r="L287" s="474"/>
      <c r="M287" s="474"/>
      <c r="N287" s="474"/>
      <c r="O287" s="474"/>
      <c r="P287" s="474"/>
      <c r="Q287" s="474"/>
      <c r="S287" s="474"/>
      <c r="T287" s="474"/>
      <c r="U287" s="474"/>
      <c r="V287" s="474"/>
      <c r="W287" s="474"/>
      <c r="X287" s="474"/>
      <c r="Y287" s="474"/>
      <c r="Z287" s="474"/>
      <c r="AB287" s="474"/>
      <c r="AC287" s="474"/>
      <c r="AD287" s="474"/>
      <c r="AE287" s="474"/>
      <c r="AF287" s="474"/>
      <c r="AG287" s="474"/>
      <c r="AH287" s="474"/>
      <c r="AI287" s="474"/>
      <c r="AK287" s="474"/>
      <c r="AL287" s="474"/>
      <c r="AM287" s="474"/>
      <c r="AN287" s="474"/>
      <c r="AO287" s="474"/>
      <c r="AP287" s="474"/>
      <c r="AQ287" s="474"/>
      <c r="AR287" s="474"/>
      <c r="AS287" s="474"/>
      <c r="AT287" s="474"/>
      <c r="AU287" s="474"/>
      <c r="AV287" s="474"/>
      <c r="AW287" s="474"/>
      <c r="AX287" s="474"/>
      <c r="AY287" s="474"/>
      <c r="AZ287" s="474"/>
      <c r="BA287" s="474"/>
      <c r="BC287" s="474"/>
      <c r="BD287" s="474"/>
      <c r="BE287" s="474"/>
      <c r="BF287" s="474"/>
      <c r="BG287" s="474"/>
      <c r="BH287" s="474"/>
      <c r="BI287" s="474"/>
      <c r="BJ287" s="474"/>
      <c r="CD287" s="474"/>
      <c r="CE287" s="474"/>
      <c r="CF287" s="474"/>
      <c r="CG287" s="474"/>
      <c r="CH287" s="474"/>
      <c r="CI287" s="474"/>
      <c r="CJ287" s="474"/>
      <c r="CK287" s="474"/>
      <c r="CM287" s="474"/>
      <c r="CN287" s="474"/>
      <c r="CO287" s="474"/>
      <c r="CP287" s="474"/>
      <c r="CQ287" s="474"/>
      <c r="CR287" s="474"/>
      <c r="CS287" s="474"/>
      <c r="CT287" s="474"/>
    </row>
    <row r="288" spans="1:98" s="35" customFormat="1" ht="12" customHeight="1">
      <c r="A288" s="474"/>
      <c r="B288" s="474"/>
      <c r="C288" s="474"/>
      <c r="D288" s="474"/>
      <c r="E288" s="474"/>
      <c r="F288" s="474"/>
      <c r="G288" s="474"/>
      <c r="H288" s="474"/>
      <c r="J288" s="474"/>
      <c r="K288" s="474"/>
      <c r="L288" s="474"/>
      <c r="M288" s="474"/>
      <c r="N288" s="474"/>
      <c r="O288" s="474"/>
      <c r="P288" s="474"/>
      <c r="Q288" s="474"/>
      <c r="S288" s="474"/>
      <c r="T288" s="474"/>
      <c r="U288" s="474"/>
      <c r="V288" s="474"/>
      <c r="W288" s="474"/>
      <c r="X288" s="474"/>
      <c r="Y288" s="474"/>
      <c r="Z288" s="474"/>
      <c r="AB288" s="474"/>
      <c r="AC288" s="474"/>
      <c r="AD288" s="474"/>
      <c r="AE288" s="474"/>
      <c r="AF288" s="474"/>
      <c r="AG288" s="474"/>
      <c r="AH288" s="474"/>
      <c r="AI288" s="474"/>
      <c r="AK288" s="474"/>
      <c r="AL288" s="474"/>
      <c r="AM288" s="474"/>
      <c r="AN288" s="474"/>
      <c r="AO288" s="474"/>
      <c r="AP288" s="474"/>
      <c r="AQ288" s="474"/>
      <c r="AR288" s="474"/>
      <c r="AS288" s="474"/>
      <c r="AT288" s="474"/>
      <c r="AU288" s="474"/>
      <c r="AV288" s="474"/>
      <c r="AW288" s="474"/>
      <c r="AX288" s="474"/>
      <c r="AY288" s="474"/>
      <c r="AZ288" s="474"/>
      <c r="BA288" s="474"/>
      <c r="BC288" s="474"/>
      <c r="BD288" s="474"/>
      <c r="BE288" s="474"/>
      <c r="BF288" s="474"/>
      <c r="BG288" s="474"/>
      <c r="BH288" s="474"/>
      <c r="BI288" s="474"/>
      <c r="BJ288" s="474"/>
      <c r="CD288" s="474"/>
      <c r="CE288" s="474"/>
      <c r="CF288" s="474"/>
      <c r="CG288" s="474"/>
      <c r="CH288" s="474"/>
      <c r="CI288" s="474"/>
      <c r="CJ288" s="474"/>
      <c r="CK288" s="474"/>
      <c r="CM288" s="474"/>
      <c r="CN288" s="474"/>
      <c r="CO288" s="474"/>
      <c r="CP288" s="474"/>
      <c r="CQ288" s="474"/>
      <c r="CR288" s="474"/>
      <c r="CS288" s="474"/>
      <c r="CT288" s="474"/>
    </row>
    <row r="289" spans="1:98" s="35" customFormat="1" ht="12" customHeight="1">
      <c r="A289" s="474"/>
      <c r="B289" s="474"/>
      <c r="C289" s="474"/>
      <c r="D289" s="474"/>
      <c r="E289" s="474"/>
      <c r="F289" s="474"/>
      <c r="G289" s="474"/>
      <c r="H289" s="474"/>
      <c r="J289" s="474"/>
      <c r="K289" s="474"/>
      <c r="L289" s="474"/>
      <c r="M289" s="474"/>
      <c r="N289" s="474"/>
      <c r="O289" s="474"/>
      <c r="P289" s="474"/>
      <c r="Q289" s="474"/>
      <c r="S289" s="474"/>
      <c r="T289" s="474"/>
      <c r="U289" s="474"/>
      <c r="V289" s="474"/>
      <c r="W289" s="474"/>
      <c r="X289" s="474"/>
      <c r="Y289" s="474"/>
      <c r="Z289" s="474"/>
      <c r="AB289" s="474"/>
      <c r="AC289" s="474"/>
      <c r="AD289" s="474"/>
      <c r="AE289" s="474"/>
      <c r="AF289" s="474"/>
      <c r="AG289" s="474"/>
      <c r="AH289" s="474"/>
      <c r="AI289" s="474"/>
      <c r="AK289" s="474"/>
      <c r="AL289" s="474"/>
      <c r="AM289" s="474"/>
      <c r="AN289" s="474"/>
      <c r="AO289" s="474"/>
      <c r="AP289" s="474"/>
      <c r="AQ289" s="474"/>
      <c r="AR289" s="474"/>
      <c r="AS289" s="474"/>
      <c r="AT289" s="474"/>
      <c r="AU289" s="474"/>
      <c r="AV289" s="474"/>
      <c r="AW289" s="474"/>
      <c r="AX289" s="474"/>
      <c r="AY289" s="474"/>
      <c r="AZ289" s="474"/>
      <c r="BA289" s="474"/>
      <c r="BC289" s="474"/>
      <c r="BD289" s="474"/>
      <c r="BE289" s="474"/>
      <c r="BF289" s="474"/>
      <c r="BG289" s="474"/>
      <c r="BH289" s="474"/>
      <c r="BI289" s="474"/>
      <c r="BJ289" s="474"/>
      <c r="CD289" s="474"/>
      <c r="CE289" s="474"/>
      <c r="CF289" s="474"/>
      <c r="CG289" s="474"/>
      <c r="CH289" s="474"/>
      <c r="CI289" s="474"/>
      <c r="CJ289" s="474"/>
      <c r="CK289" s="474"/>
      <c r="CM289" s="474"/>
      <c r="CN289" s="474"/>
      <c r="CO289" s="474"/>
      <c r="CP289" s="474"/>
      <c r="CQ289" s="474"/>
      <c r="CR289" s="474"/>
      <c r="CS289" s="474"/>
      <c r="CT289" s="474"/>
    </row>
    <row r="290" spans="1:98" s="35" customFormat="1" ht="12" customHeight="1">
      <c r="A290" s="474"/>
      <c r="B290" s="474"/>
      <c r="C290" s="474"/>
      <c r="D290" s="474"/>
      <c r="E290" s="474"/>
      <c r="F290" s="474"/>
      <c r="G290" s="474"/>
      <c r="H290" s="474"/>
      <c r="J290" s="474"/>
      <c r="K290" s="474"/>
      <c r="L290" s="474"/>
      <c r="M290" s="474"/>
      <c r="N290" s="474"/>
      <c r="O290" s="474"/>
      <c r="P290" s="474"/>
      <c r="Q290" s="474"/>
      <c r="S290" s="474"/>
      <c r="T290" s="474"/>
      <c r="U290" s="474"/>
      <c r="V290" s="474"/>
      <c r="W290" s="474"/>
      <c r="X290" s="474"/>
      <c r="Y290" s="474"/>
      <c r="Z290" s="474"/>
      <c r="AB290" s="474"/>
      <c r="AC290" s="474"/>
      <c r="AD290" s="474"/>
      <c r="AE290" s="474"/>
      <c r="AF290" s="474"/>
      <c r="AG290" s="474"/>
      <c r="AH290" s="474"/>
      <c r="AI290" s="474"/>
      <c r="AK290" s="474"/>
      <c r="AL290" s="474"/>
      <c r="AM290" s="474"/>
      <c r="AN290" s="474"/>
      <c r="AO290" s="474"/>
      <c r="AP290" s="474"/>
      <c r="AQ290" s="474"/>
      <c r="AR290" s="474"/>
      <c r="AS290" s="474"/>
      <c r="AT290" s="474"/>
      <c r="AU290" s="474"/>
      <c r="AV290" s="474"/>
      <c r="AW290" s="474"/>
      <c r="AX290" s="474"/>
      <c r="AY290" s="474"/>
      <c r="AZ290" s="474"/>
      <c r="BA290" s="474"/>
      <c r="BC290" s="474"/>
      <c r="BD290" s="474"/>
      <c r="BE290" s="474"/>
      <c r="BF290" s="474"/>
      <c r="BG290" s="474"/>
      <c r="BH290" s="474"/>
      <c r="BI290" s="474"/>
      <c r="BJ290" s="474"/>
      <c r="CD290" s="474"/>
      <c r="CE290" s="474"/>
      <c r="CF290" s="474"/>
      <c r="CG290" s="474"/>
      <c r="CH290" s="474"/>
      <c r="CI290" s="474"/>
      <c r="CJ290" s="474"/>
      <c r="CK290" s="474"/>
      <c r="CM290" s="474"/>
      <c r="CN290" s="474"/>
      <c r="CO290" s="474"/>
      <c r="CP290" s="474"/>
      <c r="CQ290" s="474"/>
      <c r="CR290" s="474"/>
      <c r="CS290" s="474"/>
      <c r="CT290" s="474"/>
    </row>
    <row r="291" spans="1:98" s="35" customFormat="1" ht="12" customHeight="1">
      <c r="A291" s="474"/>
      <c r="B291" s="474"/>
      <c r="C291" s="474"/>
      <c r="D291" s="474"/>
      <c r="E291" s="474"/>
      <c r="F291" s="474"/>
      <c r="G291" s="474"/>
      <c r="H291" s="474"/>
      <c r="J291" s="474"/>
      <c r="K291" s="474"/>
      <c r="L291" s="474"/>
      <c r="M291" s="474"/>
      <c r="N291" s="474"/>
      <c r="O291" s="474"/>
      <c r="P291" s="474"/>
      <c r="Q291" s="474"/>
      <c r="S291" s="474"/>
      <c r="T291" s="474"/>
      <c r="U291" s="474"/>
      <c r="V291" s="474"/>
      <c r="W291" s="474"/>
      <c r="X291" s="474"/>
      <c r="Y291" s="474"/>
      <c r="Z291" s="474"/>
      <c r="AB291" s="474"/>
      <c r="AC291" s="474"/>
      <c r="AD291" s="474"/>
      <c r="AE291" s="474"/>
      <c r="AF291" s="474"/>
      <c r="AG291" s="474"/>
      <c r="AH291" s="474"/>
      <c r="AI291" s="474"/>
      <c r="AK291" s="474"/>
      <c r="AL291" s="474"/>
      <c r="AM291" s="474"/>
      <c r="AN291" s="474"/>
      <c r="AO291" s="474"/>
      <c r="AP291" s="474"/>
      <c r="AQ291" s="474"/>
      <c r="AR291" s="474"/>
      <c r="AS291" s="474"/>
      <c r="AT291" s="474"/>
      <c r="AU291" s="474"/>
      <c r="AV291" s="474"/>
      <c r="AW291" s="474"/>
      <c r="AX291" s="474"/>
      <c r="AY291" s="474"/>
      <c r="AZ291" s="474"/>
      <c r="BA291" s="474"/>
      <c r="BC291" s="474"/>
      <c r="BD291" s="474"/>
      <c r="BE291" s="474"/>
      <c r="BF291" s="474"/>
      <c r="BG291" s="474"/>
      <c r="BH291" s="474"/>
      <c r="BI291" s="474"/>
      <c r="BJ291" s="474"/>
      <c r="CD291" s="474"/>
      <c r="CE291" s="474"/>
      <c r="CF291" s="474"/>
      <c r="CG291" s="474"/>
      <c r="CH291" s="474"/>
      <c r="CI291" s="474"/>
      <c r="CJ291" s="474"/>
      <c r="CK291" s="474"/>
      <c r="CM291" s="474"/>
      <c r="CN291" s="474"/>
      <c r="CO291" s="474"/>
      <c r="CP291" s="474"/>
      <c r="CQ291" s="474"/>
      <c r="CR291" s="474"/>
      <c r="CS291" s="474"/>
      <c r="CT291" s="474"/>
    </row>
    <row r="292" spans="1:98" s="35" customFormat="1" ht="12" customHeight="1">
      <c r="A292" s="474"/>
      <c r="B292" s="474"/>
      <c r="C292" s="474"/>
      <c r="D292" s="474"/>
      <c r="E292" s="474"/>
      <c r="F292" s="474"/>
      <c r="G292" s="474"/>
      <c r="H292" s="474"/>
      <c r="J292" s="474"/>
      <c r="K292" s="474"/>
      <c r="L292" s="474"/>
      <c r="M292" s="474"/>
      <c r="N292" s="474"/>
      <c r="O292" s="474"/>
      <c r="P292" s="474"/>
      <c r="Q292" s="474"/>
      <c r="S292" s="474"/>
      <c r="T292" s="474"/>
      <c r="U292" s="474"/>
      <c r="V292" s="474"/>
      <c r="W292" s="474"/>
      <c r="X292" s="474"/>
      <c r="Y292" s="474"/>
      <c r="Z292" s="474"/>
      <c r="AB292" s="474"/>
      <c r="AC292" s="474"/>
      <c r="AD292" s="474"/>
      <c r="AE292" s="474"/>
      <c r="AF292" s="474"/>
      <c r="AG292" s="474"/>
      <c r="AH292" s="474"/>
      <c r="AI292" s="474"/>
      <c r="AK292" s="474"/>
      <c r="AL292" s="474"/>
      <c r="AM292" s="474"/>
      <c r="AN292" s="474"/>
      <c r="AO292" s="474"/>
      <c r="AP292" s="474"/>
      <c r="AQ292" s="474"/>
      <c r="AR292" s="474"/>
      <c r="AS292" s="474"/>
      <c r="AT292" s="474"/>
      <c r="AU292" s="474"/>
      <c r="AV292" s="474"/>
      <c r="AW292" s="474"/>
      <c r="AX292" s="474"/>
      <c r="AY292" s="474"/>
      <c r="AZ292" s="474"/>
      <c r="BA292" s="474"/>
      <c r="BC292" s="474"/>
      <c r="BD292" s="474"/>
      <c r="BE292" s="474"/>
      <c r="BF292" s="474"/>
      <c r="BG292" s="474"/>
      <c r="BH292" s="474"/>
      <c r="BI292" s="474"/>
      <c r="BJ292" s="474"/>
      <c r="CD292" s="474"/>
      <c r="CE292" s="474"/>
      <c r="CF292" s="474"/>
      <c r="CG292" s="474"/>
      <c r="CH292" s="474"/>
      <c r="CI292" s="474"/>
      <c r="CJ292" s="474"/>
      <c r="CK292" s="474"/>
      <c r="CM292" s="474"/>
      <c r="CN292" s="474"/>
      <c r="CO292" s="474"/>
      <c r="CP292" s="474"/>
      <c r="CQ292" s="474"/>
      <c r="CR292" s="474"/>
      <c r="CS292" s="474"/>
      <c r="CT292" s="474"/>
    </row>
    <row r="293" spans="1:98" s="35" customFormat="1" ht="12" customHeight="1">
      <c r="A293" s="474"/>
      <c r="B293" s="474"/>
      <c r="C293" s="474"/>
      <c r="D293" s="474"/>
      <c r="E293" s="474"/>
      <c r="F293" s="474"/>
      <c r="G293" s="474"/>
      <c r="H293" s="474"/>
      <c r="J293" s="474"/>
      <c r="K293" s="474"/>
      <c r="L293" s="474"/>
      <c r="M293" s="474"/>
      <c r="N293" s="474"/>
      <c r="O293" s="474"/>
      <c r="P293" s="474"/>
      <c r="Q293" s="474"/>
      <c r="S293" s="474"/>
      <c r="T293" s="474"/>
      <c r="U293" s="474"/>
      <c r="V293" s="474"/>
      <c r="W293" s="474"/>
      <c r="X293" s="474"/>
      <c r="Y293" s="474"/>
      <c r="Z293" s="474"/>
      <c r="AB293" s="474"/>
      <c r="AC293" s="474"/>
      <c r="AD293" s="474"/>
      <c r="AE293" s="474"/>
      <c r="AF293" s="474"/>
      <c r="AG293" s="474"/>
      <c r="AH293" s="474"/>
      <c r="AI293" s="474"/>
      <c r="AK293" s="474"/>
      <c r="AL293" s="474"/>
      <c r="AM293" s="474"/>
      <c r="AN293" s="474"/>
      <c r="AO293" s="474"/>
      <c r="AP293" s="474"/>
      <c r="AQ293" s="474"/>
      <c r="AR293" s="474"/>
      <c r="AS293" s="474"/>
      <c r="AT293" s="474"/>
      <c r="AU293" s="474"/>
      <c r="AV293" s="474"/>
      <c r="AW293" s="474"/>
      <c r="AX293" s="474"/>
      <c r="AY293" s="474"/>
      <c r="AZ293" s="474"/>
      <c r="BA293" s="474"/>
      <c r="BC293" s="474"/>
      <c r="BD293" s="474"/>
      <c r="BE293" s="474"/>
      <c r="BF293" s="474"/>
      <c r="BG293" s="474"/>
      <c r="BH293" s="474"/>
      <c r="BI293" s="474"/>
      <c r="BJ293" s="474"/>
      <c r="CD293" s="474"/>
      <c r="CE293" s="474"/>
      <c r="CF293" s="474"/>
      <c r="CG293" s="474"/>
      <c r="CH293" s="474"/>
      <c r="CI293" s="474"/>
      <c r="CJ293" s="474"/>
      <c r="CK293" s="474"/>
      <c r="CM293" s="474"/>
      <c r="CN293" s="474"/>
      <c r="CO293" s="474"/>
      <c r="CP293" s="474"/>
      <c r="CQ293" s="474"/>
      <c r="CR293" s="474"/>
      <c r="CS293" s="474"/>
      <c r="CT293" s="474"/>
    </row>
    <row r="294" spans="1:98" s="35" customFormat="1" ht="12" customHeight="1">
      <c r="A294" s="474"/>
      <c r="B294" s="474"/>
      <c r="C294" s="474"/>
      <c r="D294" s="474"/>
      <c r="E294" s="474"/>
      <c r="F294" s="474"/>
      <c r="G294" s="474"/>
      <c r="H294" s="474"/>
      <c r="J294" s="474"/>
      <c r="K294" s="474"/>
      <c r="L294" s="474"/>
      <c r="M294" s="474"/>
      <c r="N294" s="474"/>
      <c r="O294" s="474"/>
      <c r="P294" s="474"/>
      <c r="Q294" s="474"/>
      <c r="S294" s="474"/>
      <c r="T294" s="474"/>
      <c r="U294" s="474"/>
      <c r="V294" s="474"/>
      <c r="W294" s="474"/>
      <c r="X294" s="474"/>
      <c r="Y294" s="474"/>
      <c r="Z294" s="474"/>
      <c r="AB294" s="474"/>
      <c r="AC294" s="474"/>
      <c r="AD294" s="474"/>
      <c r="AE294" s="474"/>
      <c r="AF294" s="474"/>
      <c r="AG294" s="474"/>
      <c r="AH294" s="474"/>
      <c r="AI294" s="474"/>
      <c r="AK294" s="474"/>
      <c r="AL294" s="474"/>
      <c r="AM294" s="474"/>
      <c r="AN294" s="474"/>
      <c r="AO294" s="474"/>
      <c r="AP294" s="474"/>
      <c r="AQ294" s="474"/>
      <c r="AR294" s="474"/>
      <c r="AS294" s="474"/>
      <c r="AT294" s="474"/>
      <c r="AU294" s="474"/>
      <c r="AV294" s="474"/>
      <c r="AW294" s="474"/>
      <c r="AX294" s="474"/>
      <c r="AY294" s="474"/>
      <c r="AZ294" s="474"/>
      <c r="BA294" s="474"/>
      <c r="BC294" s="474"/>
      <c r="BD294" s="474"/>
      <c r="BE294" s="474"/>
      <c r="BF294" s="474"/>
      <c r="BG294" s="474"/>
      <c r="BH294" s="474"/>
      <c r="BI294" s="474"/>
      <c r="BJ294" s="474"/>
      <c r="CD294" s="474"/>
      <c r="CE294" s="474"/>
      <c r="CF294" s="474"/>
      <c r="CG294" s="474"/>
      <c r="CH294" s="474"/>
      <c r="CI294" s="474"/>
      <c r="CJ294" s="474"/>
      <c r="CK294" s="474"/>
      <c r="CM294" s="474"/>
      <c r="CN294" s="474"/>
      <c r="CO294" s="474"/>
      <c r="CP294" s="474"/>
      <c r="CQ294" s="474"/>
      <c r="CR294" s="474"/>
      <c r="CS294" s="474"/>
      <c r="CT294" s="474"/>
    </row>
    <row r="295" spans="1:98" s="35" customFormat="1" ht="12" customHeight="1">
      <c r="A295" s="474"/>
      <c r="B295" s="474"/>
      <c r="C295" s="474"/>
      <c r="D295" s="474"/>
      <c r="E295" s="474"/>
      <c r="F295" s="474"/>
      <c r="G295" s="474"/>
      <c r="H295" s="474"/>
      <c r="J295" s="474"/>
      <c r="K295" s="474"/>
      <c r="L295" s="474"/>
      <c r="M295" s="474"/>
      <c r="N295" s="474"/>
      <c r="O295" s="474"/>
      <c r="P295" s="474"/>
      <c r="Q295" s="474"/>
      <c r="S295" s="474"/>
      <c r="T295" s="474"/>
      <c r="U295" s="474"/>
      <c r="V295" s="474"/>
      <c r="W295" s="474"/>
      <c r="X295" s="474"/>
      <c r="Y295" s="474"/>
      <c r="Z295" s="474"/>
      <c r="AB295" s="474"/>
      <c r="AC295" s="474"/>
      <c r="AD295" s="474"/>
      <c r="AE295" s="474"/>
      <c r="AF295" s="474"/>
      <c r="AG295" s="474"/>
      <c r="AH295" s="474"/>
      <c r="AI295" s="474"/>
      <c r="AK295" s="474"/>
      <c r="AL295" s="474"/>
      <c r="AM295" s="474"/>
      <c r="AN295" s="474"/>
      <c r="AO295" s="474"/>
      <c r="AP295" s="474"/>
      <c r="AQ295" s="474"/>
      <c r="AR295" s="474"/>
      <c r="AS295" s="474"/>
      <c r="AT295" s="474"/>
      <c r="AU295" s="474"/>
      <c r="AV295" s="474"/>
      <c r="AW295" s="474"/>
      <c r="AX295" s="474"/>
      <c r="AY295" s="474"/>
      <c r="AZ295" s="474"/>
      <c r="BA295" s="474"/>
      <c r="BC295" s="474"/>
      <c r="BD295" s="474"/>
      <c r="BE295" s="474"/>
      <c r="BF295" s="474"/>
      <c r="BG295" s="474"/>
      <c r="BH295" s="474"/>
      <c r="BI295" s="474"/>
      <c r="BJ295" s="474"/>
      <c r="CD295" s="474"/>
      <c r="CE295" s="474"/>
      <c r="CF295" s="474"/>
      <c r="CG295" s="474"/>
      <c r="CH295" s="474"/>
      <c r="CI295" s="474"/>
      <c r="CJ295" s="474"/>
      <c r="CK295" s="474"/>
      <c r="CM295" s="474"/>
      <c r="CN295" s="474"/>
      <c r="CO295" s="474"/>
      <c r="CP295" s="474"/>
      <c r="CQ295" s="474"/>
      <c r="CR295" s="474"/>
      <c r="CS295" s="474"/>
      <c r="CT295" s="474"/>
    </row>
    <row r="296" spans="1:98" s="35" customFormat="1" ht="12" customHeight="1">
      <c r="A296" s="474"/>
      <c r="B296" s="474"/>
      <c r="C296" s="474"/>
      <c r="D296" s="474"/>
      <c r="E296" s="474"/>
      <c r="F296" s="474"/>
      <c r="G296" s="474"/>
      <c r="H296" s="474"/>
      <c r="J296" s="474"/>
      <c r="K296" s="474"/>
      <c r="L296" s="474"/>
      <c r="M296" s="474"/>
      <c r="N296" s="474"/>
      <c r="O296" s="474"/>
      <c r="P296" s="474"/>
      <c r="Q296" s="474"/>
      <c r="S296" s="474"/>
      <c r="T296" s="474"/>
      <c r="U296" s="474"/>
      <c r="V296" s="474"/>
      <c r="W296" s="474"/>
      <c r="X296" s="474"/>
      <c r="Y296" s="474"/>
      <c r="Z296" s="474"/>
      <c r="AB296" s="474"/>
      <c r="AC296" s="474"/>
      <c r="AD296" s="474"/>
      <c r="AE296" s="474"/>
      <c r="AF296" s="474"/>
      <c r="AG296" s="474"/>
      <c r="AH296" s="474"/>
      <c r="AI296" s="474"/>
      <c r="AK296" s="474"/>
      <c r="AL296" s="474"/>
      <c r="AM296" s="474"/>
      <c r="AN296" s="474"/>
      <c r="AO296" s="474"/>
      <c r="AP296" s="474"/>
      <c r="AQ296" s="474"/>
      <c r="AR296" s="474"/>
      <c r="AS296" s="474"/>
      <c r="AT296" s="474"/>
      <c r="AU296" s="474"/>
      <c r="AV296" s="474"/>
      <c r="AW296" s="474"/>
      <c r="AX296" s="474"/>
      <c r="AY296" s="474"/>
      <c r="AZ296" s="474"/>
      <c r="BA296" s="474"/>
      <c r="BC296" s="474"/>
      <c r="BD296" s="474"/>
      <c r="BE296" s="474"/>
      <c r="BF296" s="474"/>
      <c r="BG296" s="474"/>
      <c r="BH296" s="474"/>
      <c r="BI296" s="474"/>
      <c r="BJ296" s="474"/>
      <c r="CD296" s="474"/>
      <c r="CE296" s="474"/>
      <c r="CF296" s="474"/>
      <c r="CG296" s="474"/>
      <c r="CH296" s="474"/>
      <c r="CI296" s="474"/>
      <c r="CJ296" s="474"/>
      <c r="CK296" s="474"/>
      <c r="CM296" s="474"/>
      <c r="CN296" s="474"/>
      <c r="CO296" s="474"/>
      <c r="CP296" s="474"/>
      <c r="CQ296" s="474"/>
      <c r="CR296" s="474"/>
      <c r="CS296" s="474"/>
      <c r="CT296" s="474"/>
    </row>
    <row r="297" spans="1:98" s="35" customFormat="1" ht="12" customHeight="1">
      <c r="A297" s="474"/>
      <c r="B297" s="474"/>
      <c r="C297" s="474"/>
      <c r="D297" s="474"/>
      <c r="E297" s="474"/>
      <c r="F297" s="474"/>
      <c r="G297" s="474"/>
      <c r="H297" s="474"/>
      <c r="J297" s="474"/>
      <c r="K297" s="474"/>
      <c r="L297" s="474"/>
      <c r="M297" s="474"/>
      <c r="N297" s="474"/>
      <c r="O297" s="474"/>
      <c r="P297" s="474"/>
      <c r="Q297" s="474"/>
      <c r="S297" s="474"/>
      <c r="T297" s="474"/>
      <c r="U297" s="474"/>
      <c r="V297" s="474"/>
      <c r="W297" s="474"/>
      <c r="X297" s="474"/>
      <c r="Y297" s="474"/>
      <c r="Z297" s="474"/>
      <c r="AB297" s="474"/>
      <c r="AC297" s="474"/>
      <c r="AD297" s="474"/>
      <c r="AE297" s="474"/>
      <c r="AF297" s="474"/>
      <c r="AG297" s="474"/>
      <c r="AH297" s="474"/>
      <c r="AI297" s="474"/>
      <c r="AK297" s="474"/>
      <c r="AL297" s="474"/>
      <c r="AM297" s="474"/>
      <c r="AN297" s="474"/>
      <c r="AO297" s="474"/>
      <c r="AP297" s="474"/>
      <c r="AQ297" s="474"/>
      <c r="AR297" s="474"/>
      <c r="AS297" s="474"/>
      <c r="AT297" s="474"/>
      <c r="AU297" s="474"/>
      <c r="AV297" s="474"/>
      <c r="AW297" s="474"/>
      <c r="AX297" s="474"/>
      <c r="AY297" s="474"/>
      <c r="AZ297" s="474"/>
      <c r="BA297" s="474"/>
      <c r="BC297" s="474"/>
      <c r="BD297" s="474"/>
      <c r="BE297" s="474"/>
      <c r="BF297" s="474"/>
      <c r="BG297" s="474"/>
      <c r="BH297" s="474"/>
      <c r="BI297" s="474"/>
      <c r="BJ297" s="474"/>
      <c r="CD297" s="474"/>
      <c r="CE297" s="474"/>
      <c r="CF297" s="474"/>
      <c r="CG297" s="474"/>
      <c r="CH297" s="474"/>
      <c r="CI297" s="474"/>
      <c r="CJ297" s="474"/>
      <c r="CK297" s="474"/>
      <c r="CM297" s="474"/>
      <c r="CN297" s="474"/>
      <c r="CO297" s="474"/>
      <c r="CP297" s="474"/>
      <c r="CQ297" s="474"/>
      <c r="CR297" s="474"/>
      <c r="CS297" s="474"/>
      <c r="CT297" s="474"/>
    </row>
    <row r="298" spans="1:98" s="35" customFormat="1" ht="12" customHeight="1">
      <c r="A298" s="474"/>
      <c r="B298" s="474"/>
      <c r="C298" s="474"/>
      <c r="D298" s="474"/>
      <c r="E298" s="474"/>
      <c r="F298" s="474"/>
      <c r="G298" s="474"/>
      <c r="H298" s="474"/>
      <c r="J298" s="474"/>
      <c r="K298" s="474"/>
      <c r="L298" s="474"/>
      <c r="M298" s="474"/>
      <c r="N298" s="474"/>
      <c r="O298" s="474"/>
      <c r="P298" s="474"/>
      <c r="Q298" s="474"/>
      <c r="S298" s="474"/>
      <c r="T298" s="474"/>
      <c r="U298" s="474"/>
      <c r="V298" s="474"/>
      <c r="W298" s="474"/>
      <c r="X298" s="474"/>
      <c r="Y298" s="474"/>
      <c r="Z298" s="474"/>
      <c r="AB298" s="474"/>
      <c r="AC298" s="474"/>
      <c r="AD298" s="474"/>
      <c r="AE298" s="474"/>
      <c r="AF298" s="474"/>
      <c r="AG298" s="474"/>
      <c r="AH298" s="474"/>
      <c r="AI298" s="474"/>
      <c r="AK298" s="474"/>
      <c r="AL298" s="474"/>
      <c r="AM298" s="474"/>
      <c r="AN298" s="474"/>
      <c r="AO298" s="474"/>
      <c r="AP298" s="474"/>
      <c r="AQ298" s="474"/>
      <c r="AR298" s="474"/>
      <c r="AS298" s="474"/>
      <c r="AT298" s="474"/>
      <c r="AU298" s="474"/>
      <c r="AV298" s="474"/>
      <c r="AW298" s="474"/>
      <c r="AX298" s="474"/>
      <c r="AY298" s="474"/>
      <c r="AZ298" s="474"/>
      <c r="BA298" s="474"/>
      <c r="BC298" s="474"/>
      <c r="BD298" s="474"/>
      <c r="BE298" s="474"/>
      <c r="BF298" s="474"/>
      <c r="BG298" s="474"/>
      <c r="BH298" s="474"/>
      <c r="BI298" s="474"/>
      <c r="BJ298" s="474"/>
      <c r="CD298" s="474"/>
      <c r="CE298" s="474"/>
      <c r="CF298" s="474"/>
      <c r="CG298" s="474"/>
      <c r="CH298" s="474"/>
      <c r="CI298" s="474"/>
      <c r="CJ298" s="474"/>
      <c r="CK298" s="474"/>
      <c r="CM298" s="474"/>
      <c r="CN298" s="474"/>
      <c r="CO298" s="474"/>
      <c r="CP298" s="474"/>
      <c r="CQ298" s="474"/>
      <c r="CR298" s="474"/>
      <c r="CS298" s="474"/>
      <c r="CT298" s="474"/>
    </row>
    <row r="299" spans="1:98" s="35" customFormat="1" ht="12" customHeight="1">
      <c r="A299" s="474"/>
      <c r="B299" s="474"/>
      <c r="C299" s="474"/>
      <c r="D299" s="474"/>
      <c r="E299" s="474"/>
      <c r="F299" s="474"/>
      <c r="G299" s="474"/>
      <c r="H299" s="474"/>
      <c r="J299" s="474"/>
      <c r="K299" s="474"/>
      <c r="L299" s="474"/>
      <c r="M299" s="474"/>
      <c r="N299" s="474"/>
      <c r="O299" s="474"/>
      <c r="P299" s="474"/>
      <c r="Q299" s="474"/>
      <c r="S299" s="474"/>
      <c r="T299" s="474"/>
      <c r="U299" s="474"/>
      <c r="V299" s="474"/>
      <c r="W299" s="474"/>
      <c r="X299" s="474"/>
      <c r="Y299" s="474"/>
      <c r="Z299" s="474"/>
      <c r="AB299" s="474"/>
      <c r="AC299" s="474"/>
      <c r="AD299" s="474"/>
      <c r="AE299" s="474"/>
      <c r="AF299" s="474"/>
      <c r="AG299" s="474"/>
      <c r="AH299" s="474"/>
      <c r="AI299" s="474"/>
      <c r="AK299" s="474"/>
      <c r="AL299" s="474"/>
      <c r="AM299" s="474"/>
      <c r="AN299" s="474"/>
      <c r="AO299" s="474"/>
      <c r="AP299" s="474"/>
      <c r="AQ299" s="474"/>
      <c r="AR299" s="474"/>
      <c r="AS299" s="474"/>
      <c r="AT299" s="474"/>
      <c r="AU299" s="474"/>
      <c r="AV299" s="474"/>
      <c r="AW299" s="474"/>
      <c r="AX299" s="474"/>
      <c r="AY299" s="474"/>
      <c r="AZ299" s="474"/>
      <c r="BA299" s="474"/>
      <c r="BC299" s="474"/>
      <c r="BD299" s="474"/>
      <c r="BE299" s="474"/>
      <c r="BF299" s="474"/>
      <c r="BG299" s="474"/>
      <c r="BH299" s="474"/>
      <c r="BI299" s="474"/>
      <c r="BJ299" s="474"/>
      <c r="CD299" s="474"/>
      <c r="CE299" s="474"/>
      <c r="CF299" s="474"/>
      <c r="CG299" s="474"/>
      <c r="CH299" s="474"/>
      <c r="CI299" s="474"/>
      <c r="CJ299" s="474"/>
      <c r="CK299" s="474"/>
      <c r="CM299" s="474"/>
      <c r="CN299" s="474"/>
      <c r="CO299" s="474"/>
      <c r="CP299" s="474"/>
      <c r="CQ299" s="474"/>
      <c r="CR299" s="474"/>
      <c r="CS299" s="474"/>
      <c r="CT299" s="474"/>
    </row>
    <row r="300" spans="1:98" s="35" customFormat="1" ht="12" customHeight="1">
      <c r="A300" s="474"/>
      <c r="B300" s="474"/>
      <c r="C300" s="474"/>
      <c r="D300" s="474"/>
      <c r="E300" s="474"/>
      <c r="F300" s="474"/>
      <c r="G300" s="474"/>
      <c r="H300" s="474"/>
      <c r="J300" s="474"/>
      <c r="K300" s="474"/>
      <c r="L300" s="474"/>
      <c r="M300" s="474"/>
      <c r="N300" s="474"/>
      <c r="O300" s="474"/>
      <c r="P300" s="474"/>
      <c r="Q300" s="474"/>
      <c r="S300" s="474"/>
      <c r="T300" s="474"/>
      <c r="U300" s="474"/>
      <c r="V300" s="474"/>
      <c r="W300" s="474"/>
      <c r="X300" s="474"/>
      <c r="Y300" s="474"/>
      <c r="Z300" s="474"/>
      <c r="AB300" s="474"/>
      <c r="AC300" s="474"/>
      <c r="AD300" s="474"/>
      <c r="AE300" s="474"/>
      <c r="AF300" s="474"/>
      <c r="AG300" s="474"/>
      <c r="AH300" s="474"/>
      <c r="AI300" s="474"/>
      <c r="AK300" s="474"/>
      <c r="AL300" s="474"/>
      <c r="AM300" s="474"/>
      <c r="AN300" s="474"/>
      <c r="AO300" s="474"/>
      <c r="AP300" s="474"/>
      <c r="AQ300" s="474"/>
      <c r="AR300" s="474"/>
      <c r="AS300" s="474"/>
      <c r="AT300" s="474"/>
      <c r="AU300" s="474"/>
      <c r="AV300" s="474"/>
      <c r="AW300" s="474"/>
      <c r="AX300" s="474"/>
      <c r="AY300" s="474"/>
      <c r="AZ300" s="474"/>
      <c r="BA300" s="474"/>
      <c r="BC300" s="474"/>
      <c r="BD300" s="474"/>
      <c r="BE300" s="474"/>
      <c r="BF300" s="474"/>
      <c r="BG300" s="474"/>
      <c r="BH300" s="474"/>
      <c r="BI300" s="474"/>
      <c r="BJ300" s="474"/>
      <c r="CD300" s="474"/>
      <c r="CE300" s="474"/>
      <c r="CF300" s="474"/>
      <c r="CG300" s="474"/>
      <c r="CH300" s="474"/>
      <c r="CI300" s="474"/>
      <c r="CJ300" s="474"/>
      <c r="CK300" s="474"/>
      <c r="CM300" s="474"/>
      <c r="CN300" s="474"/>
      <c r="CO300" s="474"/>
      <c r="CP300" s="474"/>
      <c r="CQ300" s="474"/>
      <c r="CR300" s="474"/>
      <c r="CS300" s="474"/>
      <c r="CT300" s="474"/>
    </row>
    <row r="301" spans="1:98" s="35" customFormat="1" ht="12" customHeight="1">
      <c r="A301" s="474"/>
      <c r="B301" s="474"/>
      <c r="C301" s="474"/>
      <c r="D301" s="474"/>
      <c r="E301" s="474"/>
      <c r="F301" s="474"/>
      <c r="G301" s="474"/>
      <c r="H301" s="474"/>
      <c r="J301" s="474"/>
      <c r="K301" s="474"/>
      <c r="L301" s="474"/>
      <c r="M301" s="474"/>
      <c r="N301" s="474"/>
      <c r="O301" s="474"/>
      <c r="P301" s="474"/>
      <c r="Q301" s="474"/>
      <c r="S301" s="474"/>
      <c r="T301" s="474"/>
      <c r="U301" s="474"/>
      <c r="V301" s="474"/>
      <c r="W301" s="474"/>
      <c r="X301" s="474"/>
      <c r="Y301" s="474"/>
      <c r="Z301" s="474"/>
      <c r="AB301" s="474"/>
      <c r="AC301" s="474"/>
      <c r="AD301" s="474"/>
      <c r="AE301" s="474"/>
      <c r="AF301" s="474"/>
      <c r="AG301" s="474"/>
      <c r="AH301" s="474"/>
      <c r="AI301" s="474"/>
      <c r="AK301" s="474"/>
      <c r="AL301" s="474"/>
      <c r="AM301" s="474"/>
      <c r="AN301" s="474"/>
      <c r="AO301" s="474"/>
      <c r="AP301" s="474"/>
      <c r="AQ301" s="474"/>
      <c r="AR301" s="474"/>
      <c r="AS301" s="474"/>
      <c r="AT301" s="474"/>
      <c r="AU301" s="474"/>
      <c r="AV301" s="474"/>
      <c r="AW301" s="474"/>
      <c r="AX301" s="474"/>
      <c r="AY301" s="474"/>
      <c r="AZ301" s="474"/>
      <c r="BA301" s="474"/>
      <c r="BC301" s="474"/>
      <c r="BD301" s="474"/>
      <c r="BE301" s="474"/>
      <c r="BF301" s="474"/>
      <c r="BG301" s="474"/>
      <c r="BH301" s="474"/>
      <c r="BI301" s="474"/>
      <c r="BJ301" s="474"/>
      <c r="CD301" s="474"/>
      <c r="CE301" s="474"/>
      <c r="CF301" s="474"/>
      <c r="CG301" s="474"/>
      <c r="CH301" s="474"/>
      <c r="CI301" s="474"/>
      <c r="CJ301" s="474"/>
      <c r="CK301" s="474"/>
      <c r="CM301" s="474"/>
      <c r="CN301" s="474"/>
      <c r="CO301" s="474"/>
      <c r="CP301" s="474"/>
      <c r="CQ301" s="474"/>
      <c r="CR301" s="474"/>
      <c r="CS301" s="474"/>
      <c r="CT301" s="474"/>
    </row>
    <row r="302" spans="1:98" s="35" customFormat="1" ht="12" customHeight="1">
      <c r="A302" s="474"/>
      <c r="B302" s="474"/>
      <c r="C302" s="474"/>
      <c r="D302" s="474"/>
      <c r="E302" s="474"/>
      <c r="F302" s="474"/>
      <c r="G302" s="474"/>
      <c r="H302" s="474"/>
      <c r="J302" s="474"/>
      <c r="K302" s="474"/>
      <c r="L302" s="474"/>
      <c r="M302" s="474"/>
      <c r="N302" s="474"/>
      <c r="O302" s="474"/>
      <c r="P302" s="474"/>
      <c r="Q302" s="474"/>
      <c r="S302" s="474"/>
      <c r="T302" s="474"/>
      <c r="U302" s="474"/>
      <c r="V302" s="474"/>
      <c r="W302" s="474"/>
      <c r="X302" s="474"/>
      <c r="Y302" s="474"/>
      <c r="Z302" s="474"/>
      <c r="AB302" s="474"/>
      <c r="AC302" s="474"/>
      <c r="AD302" s="474"/>
      <c r="AE302" s="474"/>
      <c r="AF302" s="474"/>
      <c r="AG302" s="474"/>
      <c r="AH302" s="474"/>
      <c r="AI302" s="474"/>
      <c r="AK302" s="474"/>
      <c r="AL302" s="474"/>
      <c r="AM302" s="474"/>
      <c r="AN302" s="474"/>
      <c r="AO302" s="474"/>
      <c r="AP302" s="474"/>
      <c r="AQ302" s="474"/>
      <c r="AR302" s="474"/>
      <c r="AS302" s="474"/>
      <c r="AT302" s="474"/>
      <c r="AU302" s="474"/>
      <c r="AV302" s="474"/>
      <c r="AW302" s="474"/>
      <c r="AX302" s="474"/>
      <c r="AY302" s="474"/>
      <c r="AZ302" s="474"/>
      <c r="BA302" s="474"/>
      <c r="BC302" s="474"/>
      <c r="BD302" s="474"/>
      <c r="BE302" s="474"/>
      <c r="BF302" s="474"/>
      <c r="BG302" s="474"/>
      <c r="BH302" s="474"/>
      <c r="BI302" s="474"/>
      <c r="BJ302" s="474"/>
      <c r="CD302" s="474"/>
      <c r="CE302" s="474"/>
      <c r="CF302" s="474"/>
      <c r="CG302" s="474"/>
      <c r="CH302" s="474"/>
      <c r="CI302" s="474"/>
      <c r="CJ302" s="474"/>
      <c r="CK302" s="474"/>
      <c r="CM302" s="474"/>
      <c r="CN302" s="474"/>
      <c r="CO302" s="474"/>
      <c r="CP302" s="474"/>
      <c r="CQ302" s="474"/>
      <c r="CR302" s="474"/>
      <c r="CS302" s="474"/>
      <c r="CT302" s="474"/>
    </row>
    <row r="303" spans="1:98" s="35" customFormat="1" ht="12" customHeight="1">
      <c r="A303" s="474"/>
      <c r="B303" s="474"/>
      <c r="C303" s="474"/>
      <c r="D303" s="474"/>
      <c r="E303" s="474"/>
      <c r="F303" s="474"/>
      <c r="G303" s="474"/>
      <c r="H303" s="474"/>
      <c r="J303" s="474"/>
      <c r="K303" s="474"/>
      <c r="L303" s="474"/>
      <c r="M303" s="474"/>
      <c r="N303" s="474"/>
      <c r="O303" s="474"/>
      <c r="P303" s="474"/>
      <c r="Q303" s="474"/>
      <c r="S303" s="474"/>
      <c r="T303" s="474"/>
      <c r="U303" s="474"/>
      <c r="V303" s="474"/>
      <c r="W303" s="474"/>
      <c r="X303" s="474"/>
      <c r="Y303" s="474"/>
      <c r="Z303" s="474"/>
      <c r="AB303" s="474"/>
      <c r="AC303" s="474"/>
      <c r="AD303" s="474"/>
      <c r="AE303" s="474"/>
      <c r="AF303" s="474"/>
      <c r="AG303" s="474"/>
      <c r="AH303" s="474"/>
      <c r="AI303" s="474"/>
      <c r="AK303" s="474"/>
      <c r="AL303" s="474"/>
      <c r="AM303" s="474"/>
      <c r="AN303" s="474"/>
      <c r="AO303" s="474"/>
      <c r="AP303" s="474"/>
      <c r="AQ303" s="474"/>
      <c r="AR303" s="474"/>
      <c r="AS303" s="474"/>
      <c r="AT303" s="474"/>
      <c r="AU303" s="474"/>
      <c r="AV303" s="474"/>
      <c r="AW303" s="474"/>
      <c r="AX303" s="474"/>
      <c r="AY303" s="474"/>
      <c r="AZ303" s="474"/>
      <c r="BA303" s="474"/>
      <c r="BC303" s="474"/>
      <c r="BD303" s="474"/>
      <c r="BE303" s="474"/>
      <c r="BF303" s="474"/>
      <c r="BG303" s="474"/>
      <c r="BH303" s="474"/>
      <c r="BI303" s="474"/>
      <c r="BJ303" s="474"/>
      <c r="CD303" s="474"/>
      <c r="CE303" s="474"/>
      <c r="CF303" s="474"/>
      <c r="CG303" s="474"/>
      <c r="CH303" s="474"/>
      <c r="CI303" s="474"/>
      <c r="CJ303" s="474"/>
      <c r="CK303" s="474"/>
      <c r="CM303" s="474"/>
      <c r="CN303" s="474"/>
      <c r="CO303" s="474"/>
      <c r="CP303" s="474"/>
      <c r="CQ303" s="474"/>
      <c r="CR303" s="474"/>
      <c r="CS303" s="474"/>
      <c r="CT303" s="474"/>
    </row>
    <row r="304" spans="1:98" s="35" customFormat="1" ht="12" customHeight="1">
      <c r="A304" s="474"/>
      <c r="B304" s="474"/>
      <c r="C304" s="474"/>
      <c r="D304" s="474"/>
      <c r="E304" s="474"/>
      <c r="F304" s="474"/>
      <c r="G304" s="474"/>
      <c r="H304" s="474"/>
      <c r="J304" s="474"/>
      <c r="K304" s="474"/>
      <c r="L304" s="474"/>
      <c r="M304" s="474"/>
      <c r="N304" s="474"/>
      <c r="O304" s="474"/>
      <c r="P304" s="474"/>
      <c r="Q304" s="474"/>
      <c r="S304" s="474"/>
      <c r="T304" s="474"/>
      <c r="U304" s="474"/>
      <c r="V304" s="474"/>
      <c r="W304" s="474"/>
      <c r="X304" s="474"/>
      <c r="Y304" s="474"/>
      <c r="Z304" s="474"/>
      <c r="AB304" s="474"/>
      <c r="AC304" s="474"/>
      <c r="AD304" s="474"/>
      <c r="AE304" s="474"/>
      <c r="AF304" s="474"/>
      <c r="AG304" s="474"/>
      <c r="AH304" s="474"/>
      <c r="AI304" s="474"/>
      <c r="AK304" s="474"/>
      <c r="AL304" s="474"/>
      <c r="AM304" s="474"/>
      <c r="AN304" s="474"/>
      <c r="AO304" s="474"/>
      <c r="AP304" s="474"/>
      <c r="AQ304" s="474"/>
      <c r="AR304" s="474"/>
      <c r="AS304" s="474"/>
      <c r="AT304" s="474"/>
      <c r="AU304" s="474"/>
      <c r="AV304" s="474"/>
      <c r="AW304" s="474"/>
      <c r="AX304" s="474"/>
      <c r="AY304" s="474"/>
      <c r="AZ304" s="474"/>
      <c r="BA304" s="474"/>
      <c r="BC304" s="474"/>
      <c r="BD304" s="474"/>
      <c r="BE304" s="474"/>
      <c r="BF304" s="474"/>
      <c r="BG304" s="474"/>
      <c r="BH304" s="474"/>
      <c r="BI304" s="474"/>
      <c r="BJ304" s="474"/>
      <c r="CD304" s="474"/>
      <c r="CE304" s="474"/>
      <c r="CF304" s="474"/>
      <c r="CG304" s="474"/>
      <c r="CH304" s="474"/>
      <c r="CI304" s="474"/>
      <c r="CJ304" s="474"/>
      <c r="CK304" s="474"/>
      <c r="CM304" s="474"/>
      <c r="CN304" s="474"/>
      <c r="CO304" s="474"/>
      <c r="CP304" s="474"/>
      <c r="CQ304" s="474"/>
      <c r="CR304" s="474"/>
      <c r="CS304" s="474"/>
      <c r="CT304" s="474"/>
    </row>
    <row r="305" spans="1:98" s="35" customFormat="1" ht="12" customHeight="1">
      <c r="A305" s="474"/>
      <c r="B305" s="474"/>
      <c r="C305" s="474"/>
      <c r="D305" s="474"/>
      <c r="E305" s="474"/>
      <c r="F305" s="474"/>
      <c r="G305" s="474"/>
      <c r="H305" s="474"/>
      <c r="J305" s="474"/>
      <c r="K305" s="474"/>
      <c r="L305" s="474"/>
      <c r="M305" s="474"/>
      <c r="N305" s="474"/>
      <c r="O305" s="474"/>
      <c r="P305" s="474"/>
      <c r="Q305" s="474"/>
      <c r="S305" s="474"/>
      <c r="T305" s="474"/>
      <c r="U305" s="474"/>
      <c r="V305" s="474"/>
      <c r="W305" s="474"/>
      <c r="X305" s="474"/>
      <c r="Y305" s="474"/>
      <c r="Z305" s="474"/>
      <c r="AB305" s="474"/>
      <c r="AC305" s="474"/>
      <c r="AD305" s="474"/>
      <c r="AE305" s="474"/>
      <c r="AF305" s="474"/>
      <c r="AG305" s="474"/>
      <c r="AH305" s="474"/>
      <c r="AI305" s="474"/>
      <c r="AK305" s="474"/>
      <c r="AL305" s="474"/>
      <c r="AM305" s="474"/>
      <c r="AN305" s="474"/>
      <c r="AO305" s="474"/>
      <c r="AP305" s="474"/>
      <c r="AQ305" s="474"/>
      <c r="AR305" s="474"/>
      <c r="AS305" s="474"/>
      <c r="AT305" s="474"/>
      <c r="AU305" s="474"/>
      <c r="AV305" s="474"/>
      <c r="AW305" s="474"/>
      <c r="AX305" s="474"/>
      <c r="AY305" s="474"/>
      <c r="AZ305" s="474"/>
      <c r="BA305" s="474"/>
      <c r="BC305" s="474"/>
      <c r="BD305" s="474"/>
      <c r="BE305" s="474"/>
      <c r="BF305" s="474"/>
      <c r="BG305" s="474"/>
      <c r="BH305" s="474"/>
      <c r="BI305" s="474"/>
      <c r="BJ305" s="474"/>
      <c r="CD305" s="474"/>
      <c r="CE305" s="474"/>
      <c r="CF305" s="474"/>
      <c r="CG305" s="474"/>
      <c r="CH305" s="474"/>
      <c r="CI305" s="474"/>
      <c r="CJ305" s="474"/>
      <c r="CK305" s="474"/>
      <c r="CM305" s="474"/>
      <c r="CN305" s="474"/>
      <c r="CO305" s="474"/>
      <c r="CP305" s="474"/>
      <c r="CQ305" s="474"/>
      <c r="CR305" s="474"/>
      <c r="CS305" s="474"/>
      <c r="CT305" s="474"/>
    </row>
    <row r="306" spans="1:98" s="35" customFormat="1" ht="12" customHeight="1">
      <c r="A306" s="474"/>
      <c r="B306" s="474"/>
      <c r="C306" s="474"/>
      <c r="D306" s="474"/>
      <c r="E306" s="474"/>
      <c r="F306" s="474"/>
      <c r="G306" s="474"/>
      <c r="H306" s="474"/>
      <c r="J306" s="474"/>
      <c r="K306" s="474"/>
      <c r="L306" s="474"/>
      <c r="M306" s="474"/>
      <c r="N306" s="474"/>
      <c r="O306" s="474"/>
      <c r="P306" s="474"/>
      <c r="Q306" s="474"/>
      <c r="S306" s="474"/>
      <c r="T306" s="474"/>
      <c r="U306" s="474"/>
      <c r="V306" s="474"/>
      <c r="W306" s="474"/>
      <c r="X306" s="474"/>
      <c r="Y306" s="474"/>
      <c r="Z306" s="474"/>
      <c r="AB306" s="474"/>
      <c r="AC306" s="474"/>
      <c r="AD306" s="474"/>
      <c r="AE306" s="474"/>
      <c r="AF306" s="474"/>
      <c r="AG306" s="474"/>
      <c r="AH306" s="474"/>
      <c r="AI306" s="474"/>
      <c r="AK306" s="474"/>
      <c r="AL306" s="474"/>
      <c r="AM306" s="474"/>
      <c r="AN306" s="474"/>
      <c r="AO306" s="474"/>
      <c r="AP306" s="474"/>
      <c r="AQ306" s="474"/>
      <c r="AR306" s="474"/>
      <c r="AS306" s="474"/>
      <c r="AT306" s="474"/>
      <c r="AU306" s="474"/>
      <c r="AV306" s="474"/>
      <c r="AW306" s="474"/>
      <c r="AX306" s="474"/>
      <c r="AY306" s="474"/>
      <c r="AZ306" s="474"/>
      <c r="BA306" s="474"/>
      <c r="BC306" s="474"/>
      <c r="BD306" s="474"/>
      <c r="BE306" s="474"/>
      <c r="BF306" s="474"/>
      <c r="BG306" s="474"/>
      <c r="BH306" s="474"/>
      <c r="BI306" s="474"/>
      <c r="BJ306" s="474"/>
      <c r="CD306" s="474"/>
      <c r="CE306" s="474"/>
      <c r="CF306" s="474"/>
      <c r="CG306" s="474"/>
      <c r="CH306" s="474"/>
      <c r="CI306" s="474"/>
      <c r="CJ306" s="474"/>
      <c r="CK306" s="474"/>
      <c r="CM306" s="474"/>
      <c r="CN306" s="474"/>
      <c r="CO306" s="474"/>
      <c r="CP306" s="474"/>
      <c r="CQ306" s="474"/>
      <c r="CR306" s="474"/>
      <c r="CS306" s="474"/>
      <c r="CT306" s="474"/>
    </row>
    <row r="307" spans="1:98" s="35" customFormat="1" ht="12" customHeight="1">
      <c r="A307" s="474"/>
      <c r="B307" s="474"/>
      <c r="C307" s="474"/>
      <c r="D307" s="474"/>
      <c r="E307" s="474"/>
      <c r="F307" s="474"/>
      <c r="G307" s="474"/>
      <c r="H307" s="474"/>
      <c r="J307" s="474"/>
      <c r="K307" s="474"/>
      <c r="L307" s="474"/>
      <c r="M307" s="474"/>
      <c r="N307" s="474"/>
      <c r="O307" s="474"/>
      <c r="P307" s="474"/>
      <c r="Q307" s="474"/>
      <c r="S307" s="474"/>
      <c r="T307" s="474"/>
      <c r="U307" s="474"/>
      <c r="V307" s="474"/>
      <c r="W307" s="474"/>
      <c r="X307" s="474"/>
      <c r="Y307" s="474"/>
      <c r="Z307" s="474"/>
      <c r="AB307" s="474"/>
      <c r="AC307" s="474"/>
      <c r="AD307" s="474"/>
      <c r="AE307" s="474"/>
      <c r="AF307" s="474"/>
      <c r="AG307" s="474"/>
      <c r="AH307" s="474"/>
      <c r="AI307" s="474"/>
      <c r="AK307" s="474"/>
      <c r="AL307" s="474"/>
      <c r="AM307" s="474"/>
      <c r="AN307" s="474"/>
      <c r="AO307" s="474"/>
      <c r="AP307" s="474"/>
      <c r="AQ307" s="474"/>
      <c r="AR307" s="474"/>
      <c r="AS307" s="474"/>
      <c r="AT307" s="474"/>
      <c r="AU307" s="474"/>
      <c r="AV307" s="474"/>
      <c r="AW307" s="474"/>
      <c r="AX307" s="474"/>
      <c r="AY307" s="474"/>
      <c r="AZ307" s="474"/>
      <c r="BA307" s="474"/>
      <c r="BC307" s="474"/>
      <c r="BD307" s="474"/>
      <c r="BE307" s="474"/>
      <c r="BF307" s="474"/>
      <c r="BG307" s="474"/>
      <c r="BH307" s="474"/>
      <c r="BI307" s="474"/>
      <c r="BJ307" s="474"/>
      <c r="CD307" s="474"/>
      <c r="CE307" s="474"/>
      <c r="CF307" s="474"/>
      <c r="CG307" s="474"/>
      <c r="CH307" s="474"/>
      <c r="CI307" s="474"/>
      <c r="CJ307" s="474"/>
      <c r="CK307" s="474"/>
      <c r="CM307" s="474"/>
      <c r="CN307" s="474"/>
      <c r="CO307" s="474"/>
      <c r="CP307" s="474"/>
      <c r="CQ307" s="474"/>
      <c r="CR307" s="474"/>
      <c r="CS307" s="474"/>
      <c r="CT307" s="474"/>
    </row>
    <row r="308" spans="1:98" s="35" customFormat="1" ht="12" customHeight="1">
      <c r="A308" s="474"/>
      <c r="B308" s="474"/>
      <c r="C308" s="474"/>
      <c r="D308" s="474"/>
      <c r="E308" s="474"/>
      <c r="F308" s="474"/>
      <c r="G308" s="474"/>
      <c r="H308" s="474"/>
      <c r="J308" s="474"/>
      <c r="K308" s="474"/>
      <c r="L308" s="474"/>
      <c r="M308" s="474"/>
      <c r="N308" s="474"/>
      <c r="O308" s="474"/>
      <c r="P308" s="474"/>
      <c r="Q308" s="474"/>
      <c r="S308" s="474"/>
      <c r="T308" s="474"/>
      <c r="U308" s="474"/>
      <c r="V308" s="474"/>
      <c r="W308" s="474"/>
      <c r="X308" s="474"/>
      <c r="Y308" s="474"/>
      <c r="Z308" s="474"/>
      <c r="AB308" s="474"/>
      <c r="AC308" s="474"/>
      <c r="AD308" s="474"/>
      <c r="AE308" s="474"/>
      <c r="AF308" s="474"/>
      <c r="AG308" s="474"/>
      <c r="AH308" s="474"/>
      <c r="AI308" s="474"/>
      <c r="AK308" s="474"/>
      <c r="AL308" s="474"/>
      <c r="AM308" s="474"/>
      <c r="AN308" s="474"/>
      <c r="AO308" s="474"/>
      <c r="AP308" s="474"/>
      <c r="AQ308" s="474"/>
      <c r="AR308" s="474"/>
      <c r="AS308" s="474"/>
      <c r="AT308" s="474"/>
      <c r="AU308" s="474"/>
      <c r="AV308" s="474"/>
      <c r="AW308" s="474"/>
      <c r="AX308" s="474"/>
      <c r="AY308" s="474"/>
      <c r="AZ308" s="474"/>
      <c r="BA308" s="474"/>
      <c r="BC308" s="474"/>
      <c r="BD308" s="474"/>
      <c r="BE308" s="474"/>
      <c r="BF308" s="474"/>
      <c r="BG308" s="474"/>
      <c r="BH308" s="474"/>
      <c r="BI308" s="474"/>
      <c r="BJ308" s="474"/>
      <c r="CD308" s="474"/>
      <c r="CE308" s="474"/>
      <c r="CF308" s="474"/>
      <c r="CG308" s="474"/>
      <c r="CH308" s="474"/>
      <c r="CI308" s="474"/>
      <c r="CJ308" s="474"/>
      <c r="CK308" s="474"/>
      <c r="CM308" s="474"/>
      <c r="CN308" s="474"/>
      <c r="CO308" s="474"/>
      <c r="CP308" s="474"/>
      <c r="CQ308" s="474"/>
      <c r="CR308" s="474"/>
      <c r="CS308" s="474"/>
      <c r="CT308" s="474"/>
    </row>
    <row r="309" spans="1:98" s="35" customFormat="1" ht="12" customHeight="1">
      <c r="A309" s="474"/>
      <c r="B309" s="474"/>
      <c r="C309" s="474"/>
      <c r="D309" s="474"/>
      <c r="E309" s="474"/>
      <c r="F309" s="474"/>
      <c r="G309" s="474"/>
      <c r="H309" s="474"/>
      <c r="J309" s="474"/>
      <c r="K309" s="474"/>
      <c r="L309" s="474"/>
      <c r="M309" s="474"/>
      <c r="N309" s="474"/>
      <c r="O309" s="474"/>
      <c r="P309" s="474"/>
      <c r="Q309" s="474"/>
      <c r="S309" s="474"/>
      <c r="T309" s="474"/>
      <c r="U309" s="474"/>
      <c r="V309" s="474"/>
      <c r="W309" s="474"/>
      <c r="X309" s="474"/>
      <c r="Y309" s="474"/>
      <c r="Z309" s="474"/>
      <c r="AB309" s="474"/>
      <c r="AC309" s="474"/>
      <c r="AD309" s="474"/>
      <c r="AE309" s="474"/>
      <c r="AF309" s="474"/>
      <c r="AG309" s="474"/>
      <c r="AH309" s="474"/>
      <c r="AI309" s="474"/>
      <c r="AK309" s="474"/>
      <c r="AL309" s="474"/>
      <c r="AM309" s="474"/>
      <c r="AN309" s="474"/>
      <c r="AO309" s="474"/>
      <c r="AP309" s="474"/>
      <c r="AQ309" s="474"/>
      <c r="AR309" s="474"/>
      <c r="AS309" s="474"/>
      <c r="AT309" s="474"/>
      <c r="AU309" s="474"/>
      <c r="AV309" s="474"/>
      <c r="AW309" s="474"/>
      <c r="AX309" s="474"/>
      <c r="AY309" s="474"/>
      <c r="AZ309" s="474"/>
      <c r="BA309" s="474"/>
      <c r="BC309" s="474"/>
      <c r="BD309" s="474"/>
      <c r="BE309" s="474"/>
      <c r="BF309" s="474"/>
      <c r="BG309" s="474"/>
      <c r="BH309" s="474"/>
      <c r="BI309" s="474"/>
      <c r="BJ309" s="474"/>
      <c r="CD309" s="474"/>
      <c r="CE309" s="474"/>
      <c r="CF309" s="474"/>
      <c r="CG309" s="474"/>
      <c r="CH309" s="474"/>
      <c r="CI309" s="474"/>
      <c r="CJ309" s="474"/>
      <c r="CK309" s="474"/>
      <c r="CM309" s="474"/>
      <c r="CN309" s="474"/>
      <c r="CO309" s="474"/>
      <c r="CP309" s="474"/>
      <c r="CQ309" s="474"/>
      <c r="CR309" s="474"/>
      <c r="CS309" s="474"/>
      <c r="CT309" s="474"/>
    </row>
    <row r="310" spans="1:98" s="35" customFormat="1" ht="12" customHeight="1">
      <c r="A310" s="474"/>
      <c r="B310" s="474"/>
      <c r="C310" s="474"/>
      <c r="D310" s="474"/>
      <c r="E310" s="474"/>
      <c r="F310" s="474"/>
      <c r="G310" s="474"/>
      <c r="H310" s="474"/>
      <c r="J310" s="474"/>
      <c r="K310" s="474"/>
      <c r="L310" s="474"/>
      <c r="M310" s="474"/>
      <c r="N310" s="474"/>
      <c r="O310" s="474"/>
      <c r="P310" s="474"/>
      <c r="Q310" s="474"/>
      <c r="S310" s="474"/>
      <c r="T310" s="474"/>
      <c r="U310" s="474"/>
      <c r="V310" s="474"/>
      <c r="W310" s="474"/>
      <c r="X310" s="474"/>
      <c r="Y310" s="474"/>
      <c r="Z310" s="474"/>
      <c r="AB310" s="474"/>
      <c r="AC310" s="474"/>
      <c r="AD310" s="474"/>
      <c r="AE310" s="474"/>
      <c r="AF310" s="474"/>
      <c r="AG310" s="474"/>
      <c r="AH310" s="474"/>
      <c r="AI310" s="474"/>
      <c r="AK310" s="474"/>
      <c r="AL310" s="474"/>
      <c r="AM310" s="474"/>
      <c r="AN310" s="474"/>
      <c r="AO310" s="474"/>
      <c r="AP310" s="474"/>
      <c r="AQ310" s="474"/>
      <c r="AR310" s="474"/>
      <c r="AS310" s="474"/>
      <c r="AT310" s="474"/>
      <c r="AU310" s="474"/>
      <c r="AV310" s="474"/>
      <c r="AW310" s="474"/>
      <c r="AX310" s="474"/>
      <c r="AY310" s="474"/>
      <c r="AZ310" s="474"/>
      <c r="BA310" s="474"/>
      <c r="BC310" s="474"/>
      <c r="BD310" s="474"/>
      <c r="BE310" s="474"/>
      <c r="BF310" s="474"/>
      <c r="BG310" s="474"/>
      <c r="BH310" s="474"/>
      <c r="BI310" s="474"/>
      <c r="BJ310" s="474"/>
      <c r="CD310" s="474"/>
      <c r="CE310" s="474"/>
      <c r="CF310" s="474"/>
      <c r="CG310" s="474"/>
      <c r="CH310" s="474"/>
      <c r="CI310" s="474"/>
      <c r="CJ310" s="474"/>
      <c r="CK310" s="474"/>
      <c r="CM310" s="474"/>
      <c r="CN310" s="474"/>
      <c r="CO310" s="474"/>
      <c r="CP310" s="474"/>
      <c r="CQ310" s="474"/>
      <c r="CR310" s="474"/>
      <c r="CS310" s="474"/>
      <c r="CT310" s="474"/>
    </row>
    <row r="311" spans="1:98" s="35" customFormat="1" ht="12" customHeight="1">
      <c r="A311" s="474"/>
      <c r="B311" s="474"/>
      <c r="C311" s="474"/>
      <c r="D311" s="474"/>
      <c r="E311" s="474"/>
      <c r="F311" s="474"/>
      <c r="G311" s="474"/>
      <c r="H311" s="474"/>
      <c r="J311" s="474"/>
      <c r="K311" s="474"/>
      <c r="L311" s="474"/>
      <c r="M311" s="474"/>
      <c r="N311" s="474"/>
      <c r="O311" s="474"/>
      <c r="P311" s="474"/>
      <c r="Q311" s="474"/>
      <c r="S311" s="474"/>
      <c r="T311" s="474"/>
      <c r="U311" s="474"/>
      <c r="V311" s="474"/>
      <c r="W311" s="474"/>
      <c r="X311" s="474"/>
      <c r="Y311" s="474"/>
      <c r="Z311" s="474"/>
      <c r="AB311" s="474"/>
      <c r="AC311" s="474"/>
      <c r="AD311" s="474"/>
      <c r="AE311" s="474"/>
      <c r="AF311" s="474"/>
      <c r="AG311" s="474"/>
      <c r="AH311" s="474"/>
      <c r="AI311" s="474"/>
      <c r="AK311" s="474"/>
      <c r="AL311" s="474"/>
      <c r="AM311" s="474"/>
      <c r="AN311" s="474"/>
      <c r="AO311" s="474"/>
      <c r="AP311" s="474"/>
      <c r="AQ311" s="474"/>
      <c r="AR311" s="474"/>
      <c r="AS311" s="474"/>
      <c r="AT311" s="474"/>
      <c r="AU311" s="474"/>
      <c r="AV311" s="474"/>
      <c r="AW311" s="474"/>
      <c r="AX311" s="474"/>
      <c r="AY311" s="474"/>
      <c r="AZ311" s="474"/>
      <c r="BA311" s="474"/>
      <c r="BC311" s="474"/>
      <c r="BD311" s="474"/>
      <c r="BE311" s="474"/>
      <c r="BF311" s="474"/>
      <c r="BG311" s="474"/>
      <c r="BH311" s="474"/>
      <c r="BI311" s="474"/>
      <c r="BJ311" s="474"/>
      <c r="CD311" s="474"/>
      <c r="CE311" s="474"/>
      <c r="CF311" s="474"/>
      <c r="CG311" s="474"/>
      <c r="CH311" s="474"/>
      <c r="CI311" s="474"/>
      <c r="CJ311" s="474"/>
      <c r="CK311" s="474"/>
      <c r="CM311" s="474"/>
      <c r="CN311" s="474"/>
      <c r="CO311" s="474"/>
      <c r="CP311" s="474"/>
      <c r="CQ311" s="474"/>
      <c r="CR311" s="474"/>
      <c r="CS311" s="474"/>
      <c r="CT311" s="474"/>
    </row>
    <row r="312" spans="1:98" s="35" customFormat="1" ht="12" customHeight="1">
      <c r="A312" s="474"/>
      <c r="B312" s="474"/>
      <c r="C312" s="474"/>
      <c r="D312" s="474"/>
      <c r="E312" s="474"/>
      <c r="F312" s="474"/>
      <c r="G312" s="474"/>
      <c r="H312" s="474"/>
      <c r="J312" s="474"/>
      <c r="K312" s="474"/>
      <c r="L312" s="474"/>
      <c r="M312" s="474"/>
      <c r="N312" s="474"/>
      <c r="O312" s="474"/>
      <c r="P312" s="474"/>
      <c r="Q312" s="474"/>
      <c r="S312" s="474"/>
      <c r="T312" s="474"/>
      <c r="U312" s="474"/>
      <c r="V312" s="474"/>
      <c r="W312" s="474"/>
      <c r="X312" s="474"/>
      <c r="Y312" s="474"/>
      <c r="Z312" s="474"/>
      <c r="AB312" s="474"/>
      <c r="AC312" s="474"/>
      <c r="AD312" s="474"/>
      <c r="AE312" s="474"/>
      <c r="AF312" s="474"/>
      <c r="AG312" s="474"/>
      <c r="AH312" s="474"/>
      <c r="AI312" s="474"/>
      <c r="AK312" s="474"/>
      <c r="AL312" s="474"/>
      <c r="AM312" s="474"/>
      <c r="AN312" s="474"/>
      <c r="AO312" s="474"/>
      <c r="AP312" s="474"/>
      <c r="AQ312" s="474"/>
      <c r="AR312" s="474"/>
      <c r="AS312" s="474"/>
      <c r="AT312" s="474"/>
      <c r="AU312" s="474"/>
      <c r="AV312" s="474"/>
      <c r="AW312" s="474"/>
      <c r="AX312" s="474"/>
      <c r="AY312" s="474"/>
      <c r="AZ312" s="474"/>
      <c r="BA312" s="474"/>
      <c r="BC312" s="474"/>
      <c r="BD312" s="474"/>
      <c r="BE312" s="474"/>
      <c r="BF312" s="474"/>
      <c r="BG312" s="474"/>
      <c r="BH312" s="474"/>
      <c r="BI312" s="474"/>
      <c r="BJ312" s="474"/>
      <c r="CD312" s="474"/>
      <c r="CE312" s="474"/>
      <c r="CF312" s="474"/>
      <c r="CG312" s="474"/>
      <c r="CH312" s="474"/>
      <c r="CI312" s="474"/>
      <c r="CJ312" s="474"/>
      <c r="CK312" s="474"/>
      <c r="CM312" s="474"/>
      <c r="CN312" s="474"/>
      <c r="CO312" s="474"/>
      <c r="CP312" s="474"/>
      <c r="CQ312" s="474"/>
      <c r="CR312" s="474"/>
      <c r="CS312" s="474"/>
      <c r="CT312" s="474"/>
    </row>
    <row r="313" spans="1:98" s="35" customFormat="1" ht="12" customHeight="1">
      <c r="A313" s="474"/>
      <c r="B313" s="474"/>
      <c r="C313" s="474"/>
      <c r="D313" s="474"/>
      <c r="E313" s="474"/>
      <c r="F313" s="474"/>
      <c r="G313" s="474"/>
      <c r="H313" s="474"/>
      <c r="J313" s="474"/>
      <c r="K313" s="474"/>
      <c r="L313" s="474"/>
      <c r="M313" s="474"/>
      <c r="N313" s="474"/>
      <c r="O313" s="474"/>
      <c r="P313" s="474"/>
      <c r="Q313" s="474"/>
      <c r="S313" s="474"/>
      <c r="T313" s="474"/>
      <c r="U313" s="474"/>
      <c r="V313" s="474"/>
      <c r="W313" s="474"/>
      <c r="X313" s="474"/>
      <c r="Y313" s="474"/>
      <c r="Z313" s="474"/>
      <c r="AB313" s="474"/>
      <c r="AC313" s="474"/>
      <c r="AD313" s="474"/>
      <c r="AE313" s="474"/>
      <c r="AF313" s="474"/>
      <c r="AG313" s="474"/>
      <c r="AH313" s="474"/>
      <c r="AI313" s="474"/>
      <c r="AK313" s="474"/>
      <c r="AL313" s="474"/>
      <c r="AM313" s="474"/>
      <c r="AN313" s="474"/>
      <c r="AO313" s="474"/>
      <c r="AP313" s="474"/>
      <c r="AQ313" s="474"/>
      <c r="AR313" s="474"/>
      <c r="AS313" s="474"/>
      <c r="AT313" s="474"/>
      <c r="AU313" s="474"/>
      <c r="AV313" s="474"/>
      <c r="AW313" s="474"/>
      <c r="AX313" s="474"/>
      <c r="AY313" s="474"/>
      <c r="AZ313" s="474"/>
      <c r="BA313" s="474"/>
      <c r="BC313" s="474"/>
      <c r="BD313" s="474"/>
      <c r="BE313" s="474"/>
      <c r="BF313" s="474"/>
      <c r="BG313" s="474"/>
      <c r="BH313" s="474"/>
      <c r="BI313" s="474"/>
      <c r="BJ313" s="474"/>
      <c r="CD313" s="474"/>
      <c r="CE313" s="474"/>
      <c r="CF313" s="474"/>
      <c r="CG313" s="474"/>
      <c r="CH313" s="474"/>
      <c r="CI313" s="474"/>
      <c r="CJ313" s="474"/>
      <c r="CK313" s="474"/>
      <c r="CM313" s="474"/>
      <c r="CN313" s="474"/>
      <c r="CO313" s="474"/>
      <c r="CP313" s="474"/>
      <c r="CQ313" s="474"/>
      <c r="CR313" s="474"/>
      <c r="CS313" s="474"/>
      <c r="CT313" s="474"/>
    </row>
    <row r="314" spans="1:98" s="35" customFormat="1" ht="12" customHeight="1">
      <c r="A314" s="474"/>
      <c r="B314" s="474"/>
      <c r="C314" s="474"/>
      <c r="D314" s="474"/>
      <c r="E314" s="474"/>
      <c r="F314" s="474"/>
      <c r="G314" s="474"/>
      <c r="H314" s="474"/>
      <c r="J314" s="474"/>
      <c r="K314" s="474"/>
      <c r="L314" s="474"/>
      <c r="M314" s="474"/>
      <c r="N314" s="474"/>
      <c r="O314" s="474"/>
      <c r="P314" s="474"/>
      <c r="Q314" s="474"/>
      <c r="S314" s="474"/>
      <c r="T314" s="474"/>
      <c r="U314" s="474"/>
      <c r="V314" s="474"/>
      <c r="W314" s="474"/>
      <c r="X314" s="474"/>
      <c r="Y314" s="474"/>
      <c r="Z314" s="474"/>
      <c r="AB314" s="474"/>
      <c r="AC314" s="474"/>
      <c r="AD314" s="474"/>
      <c r="AE314" s="474"/>
      <c r="AF314" s="474"/>
      <c r="AG314" s="474"/>
      <c r="AH314" s="474"/>
      <c r="AI314" s="474"/>
      <c r="AK314" s="474"/>
      <c r="AL314" s="474"/>
      <c r="AM314" s="474"/>
      <c r="AN314" s="474"/>
      <c r="AO314" s="474"/>
      <c r="AP314" s="474"/>
      <c r="AQ314" s="474"/>
      <c r="AR314" s="474"/>
      <c r="AS314" s="474"/>
      <c r="AT314" s="474"/>
      <c r="AU314" s="474"/>
      <c r="AV314" s="474"/>
      <c r="AW314" s="474"/>
      <c r="AX314" s="474"/>
      <c r="AY314" s="474"/>
      <c r="AZ314" s="474"/>
      <c r="BA314" s="474"/>
      <c r="BC314" s="474"/>
      <c r="BD314" s="474"/>
      <c r="BE314" s="474"/>
      <c r="BF314" s="474"/>
      <c r="BG314" s="474"/>
      <c r="BH314" s="474"/>
      <c r="BI314" s="474"/>
      <c r="BJ314" s="474"/>
      <c r="CD314" s="474"/>
      <c r="CE314" s="474"/>
      <c r="CF314" s="474"/>
      <c r="CG314" s="474"/>
      <c r="CH314" s="474"/>
      <c r="CI314" s="474"/>
      <c r="CJ314" s="474"/>
      <c r="CK314" s="474"/>
      <c r="CM314" s="474"/>
      <c r="CN314" s="474"/>
      <c r="CO314" s="474"/>
      <c r="CP314" s="474"/>
      <c r="CQ314" s="474"/>
      <c r="CR314" s="474"/>
      <c r="CS314" s="474"/>
      <c r="CT314" s="474"/>
    </row>
    <row r="315" spans="1:98" s="35" customFormat="1" ht="12" customHeight="1">
      <c r="A315" s="474"/>
      <c r="B315" s="474"/>
      <c r="C315" s="474"/>
      <c r="D315" s="474"/>
      <c r="E315" s="474"/>
      <c r="F315" s="474"/>
      <c r="G315" s="474"/>
      <c r="H315" s="474"/>
      <c r="J315" s="474"/>
      <c r="K315" s="474"/>
      <c r="L315" s="474"/>
      <c r="M315" s="474"/>
      <c r="N315" s="474"/>
      <c r="O315" s="474"/>
      <c r="P315" s="474"/>
      <c r="Q315" s="474"/>
      <c r="S315" s="474"/>
      <c r="T315" s="474"/>
      <c r="U315" s="474"/>
      <c r="V315" s="474"/>
      <c r="W315" s="474"/>
      <c r="X315" s="474"/>
      <c r="Y315" s="474"/>
      <c r="Z315" s="474"/>
      <c r="AB315" s="474"/>
      <c r="AC315" s="474"/>
      <c r="AD315" s="474"/>
      <c r="AE315" s="474"/>
      <c r="AF315" s="474"/>
      <c r="AG315" s="474"/>
      <c r="AH315" s="474"/>
      <c r="AI315" s="474"/>
      <c r="AK315" s="474"/>
      <c r="AL315" s="474"/>
      <c r="AM315" s="474"/>
      <c r="AN315" s="474"/>
      <c r="AO315" s="474"/>
      <c r="AP315" s="474"/>
      <c r="AQ315" s="474"/>
      <c r="AR315" s="474"/>
      <c r="AS315" s="474"/>
      <c r="AT315" s="474"/>
      <c r="AU315" s="474"/>
      <c r="AV315" s="474"/>
      <c r="AW315" s="474"/>
      <c r="AX315" s="474"/>
      <c r="AY315" s="474"/>
      <c r="AZ315" s="474"/>
      <c r="BA315" s="474"/>
      <c r="BC315" s="474"/>
      <c r="BD315" s="474"/>
      <c r="BE315" s="474"/>
      <c r="BF315" s="474"/>
      <c r="BG315" s="474"/>
      <c r="BH315" s="474"/>
      <c r="BI315" s="474"/>
      <c r="BJ315" s="474"/>
      <c r="CD315" s="474"/>
      <c r="CE315" s="474"/>
      <c r="CF315" s="474"/>
      <c r="CG315" s="474"/>
      <c r="CH315" s="474"/>
      <c r="CI315" s="474"/>
      <c r="CJ315" s="474"/>
      <c r="CK315" s="474"/>
      <c r="CM315" s="474"/>
      <c r="CN315" s="474"/>
      <c r="CO315" s="474"/>
      <c r="CP315" s="474"/>
      <c r="CQ315" s="474"/>
      <c r="CR315" s="474"/>
      <c r="CS315" s="474"/>
      <c r="CT315" s="474"/>
    </row>
    <row r="316" spans="1:98" s="35" customFormat="1" ht="12" customHeight="1">
      <c r="A316" s="474"/>
      <c r="B316" s="474"/>
      <c r="C316" s="474"/>
      <c r="D316" s="474"/>
      <c r="E316" s="474"/>
      <c r="F316" s="474"/>
      <c r="G316" s="474"/>
      <c r="H316" s="474"/>
      <c r="J316" s="474"/>
      <c r="K316" s="474"/>
      <c r="L316" s="474"/>
      <c r="M316" s="474"/>
      <c r="N316" s="474"/>
      <c r="O316" s="474"/>
      <c r="P316" s="474"/>
      <c r="Q316" s="474"/>
      <c r="S316" s="474"/>
      <c r="T316" s="474"/>
      <c r="U316" s="474"/>
      <c r="V316" s="474"/>
      <c r="W316" s="474"/>
      <c r="X316" s="474"/>
      <c r="Y316" s="474"/>
      <c r="Z316" s="474"/>
      <c r="AB316" s="474"/>
      <c r="AC316" s="474"/>
      <c r="AD316" s="474"/>
      <c r="AE316" s="474"/>
      <c r="AF316" s="474"/>
      <c r="AG316" s="474"/>
      <c r="AH316" s="474"/>
      <c r="AI316" s="474"/>
      <c r="AK316" s="474"/>
      <c r="AL316" s="474"/>
      <c r="AM316" s="474"/>
      <c r="AN316" s="474"/>
      <c r="AO316" s="474"/>
      <c r="AP316" s="474"/>
      <c r="AQ316" s="474"/>
      <c r="AR316" s="474"/>
      <c r="AS316" s="474"/>
      <c r="AT316" s="474"/>
      <c r="AU316" s="474"/>
      <c r="AV316" s="474"/>
      <c r="AW316" s="474"/>
      <c r="AX316" s="474"/>
      <c r="AY316" s="474"/>
      <c r="AZ316" s="474"/>
      <c r="BA316" s="474"/>
      <c r="BC316" s="474"/>
      <c r="BD316" s="474"/>
      <c r="BE316" s="474"/>
      <c r="BF316" s="474"/>
      <c r="BG316" s="474"/>
      <c r="BH316" s="474"/>
      <c r="BI316" s="474"/>
      <c r="BJ316" s="474"/>
      <c r="CD316" s="474"/>
      <c r="CE316" s="474"/>
      <c r="CF316" s="474"/>
      <c r="CG316" s="474"/>
      <c r="CH316" s="474"/>
      <c r="CI316" s="474"/>
      <c r="CJ316" s="474"/>
      <c r="CK316" s="474"/>
      <c r="CM316" s="474"/>
      <c r="CN316" s="474"/>
      <c r="CO316" s="474"/>
      <c r="CP316" s="474"/>
      <c r="CQ316" s="474"/>
      <c r="CR316" s="474"/>
      <c r="CS316" s="474"/>
      <c r="CT316" s="474"/>
    </row>
    <row r="317" spans="1:98" s="35" customFormat="1" ht="12" customHeight="1">
      <c r="A317" s="474"/>
      <c r="B317" s="474"/>
      <c r="C317" s="474"/>
      <c r="D317" s="474"/>
      <c r="E317" s="474"/>
      <c r="F317" s="474"/>
      <c r="G317" s="474"/>
      <c r="H317" s="474"/>
      <c r="J317" s="474"/>
      <c r="K317" s="474"/>
      <c r="L317" s="474"/>
      <c r="M317" s="474"/>
      <c r="N317" s="474"/>
      <c r="O317" s="474"/>
      <c r="P317" s="474"/>
      <c r="Q317" s="474"/>
      <c r="S317" s="474"/>
      <c r="T317" s="474"/>
      <c r="U317" s="474"/>
      <c r="V317" s="474"/>
      <c r="W317" s="474"/>
      <c r="X317" s="474"/>
      <c r="Y317" s="474"/>
      <c r="Z317" s="474"/>
      <c r="AB317" s="474"/>
      <c r="AC317" s="474"/>
      <c r="AD317" s="474"/>
      <c r="AE317" s="474"/>
      <c r="AF317" s="474"/>
      <c r="AG317" s="474"/>
      <c r="AH317" s="474"/>
      <c r="AI317" s="474"/>
      <c r="AK317" s="474"/>
      <c r="AL317" s="474"/>
      <c r="AM317" s="474"/>
      <c r="AN317" s="474"/>
      <c r="AO317" s="474"/>
      <c r="AP317" s="474"/>
      <c r="AQ317" s="474"/>
      <c r="AR317" s="474"/>
      <c r="AS317" s="474"/>
      <c r="AT317" s="474"/>
      <c r="AU317" s="474"/>
      <c r="AV317" s="474"/>
      <c r="AW317" s="474"/>
      <c r="AX317" s="474"/>
      <c r="AY317" s="474"/>
      <c r="AZ317" s="474"/>
      <c r="BA317" s="474"/>
      <c r="BC317" s="474"/>
      <c r="BD317" s="474"/>
      <c r="BE317" s="474"/>
      <c r="BF317" s="474"/>
      <c r="BG317" s="474"/>
      <c r="BH317" s="474"/>
      <c r="BI317" s="474"/>
      <c r="BJ317" s="474"/>
      <c r="CD317" s="474"/>
      <c r="CE317" s="474"/>
      <c r="CF317" s="474"/>
      <c r="CG317" s="474"/>
      <c r="CH317" s="474"/>
      <c r="CI317" s="474"/>
      <c r="CJ317" s="474"/>
      <c r="CK317" s="474"/>
      <c r="CM317" s="474"/>
      <c r="CN317" s="474"/>
      <c r="CO317" s="474"/>
      <c r="CP317" s="474"/>
      <c r="CQ317" s="474"/>
      <c r="CR317" s="474"/>
      <c r="CS317" s="474"/>
      <c r="CT317" s="474"/>
    </row>
    <row r="318" spans="1:98" s="35" customFormat="1" ht="12" customHeight="1">
      <c r="A318" s="474"/>
      <c r="B318" s="474"/>
      <c r="C318" s="474"/>
      <c r="D318" s="474"/>
      <c r="E318" s="474"/>
      <c r="F318" s="474"/>
      <c r="G318" s="474"/>
      <c r="H318" s="474"/>
      <c r="J318" s="474"/>
      <c r="K318" s="474"/>
      <c r="L318" s="474"/>
      <c r="M318" s="474"/>
      <c r="N318" s="474"/>
      <c r="O318" s="474"/>
      <c r="P318" s="474"/>
      <c r="Q318" s="474"/>
      <c r="S318" s="474"/>
      <c r="T318" s="474"/>
      <c r="U318" s="474"/>
      <c r="V318" s="474"/>
      <c r="W318" s="474"/>
      <c r="X318" s="474"/>
      <c r="Y318" s="474"/>
      <c r="Z318" s="474"/>
      <c r="AB318" s="474"/>
      <c r="AC318" s="474"/>
      <c r="AD318" s="474"/>
      <c r="AE318" s="474"/>
      <c r="AF318" s="474"/>
      <c r="AG318" s="474"/>
      <c r="AH318" s="474"/>
      <c r="AI318" s="474"/>
      <c r="AK318" s="474"/>
      <c r="AL318" s="474"/>
      <c r="AM318" s="474"/>
      <c r="AN318" s="474"/>
      <c r="AO318" s="474"/>
      <c r="AP318" s="474"/>
      <c r="AQ318" s="474"/>
      <c r="AR318" s="474"/>
      <c r="AS318" s="474"/>
      <c r="AT318" s="474"/>
      <c r="AU318" s="474"/>
      <c r="AV318" s="474"/>
      <c r="AW318" s="474"/>
      <c r="AX318" s="474"/>
      <c r="AY318" s="474"/>
      <c r="AZ318" s="474"/>
      <c r="BA318" s="474"/>
      <c r="BC318" s="474"/>
      <c r="BD318" s="474"/>
      <c r="BE318" s="474"/>
      <c r="BF318" s="474"/>
      <c r="BG318" s="474"/>
      <c r="BH318" s="474"/>
      <c r="BI318" s="474"/>
      <c r="BJ318" s="474"/>
      <c r="CD318" s="474"/>
      <c r="CE318" s="474"/>
      <c r="CF318" s="474"/>
      <c r="CG318" s="474"/>
      <c r="CH318" s="474"/>
      <c r="CI318" s="474"/>
      <c r="CJ318" s="474"/>
      <c r="CK318" s="474"/>
      <c r="CM318" s="474"/>
      <c r="CN318" s="474"/>
      <c r="CO318" s="474"/>
      <c r="CP318" s="474"/>
      <c r="CQ318" s="474"/>
      <c r="CR318" s="474"/>
      <c r="CS318" s="474"/>
      <c r="CT318" s="474"/>
    </row>
    <row r="319" spans="1:98" s="35" customFormat="1" ht="12" customHeight="1">
      <c r="A319" s="474"/>
      <c r="B319" s="474"/>
      <c r="C319" s="474"/>
      <c r="D319" s="474"/>
      <c r="E319" s="474"/>
      <c r="F319" s="474"/>
      <c r="G319" s="474"/>
      <c r="H319" s="474"/>
      <c r="J319" s="474"/>
      <c r="K319" s="474"/>
      <c r="L319" s="474"/>
      <c r="M319" s="474"/>
      <c r="N319" s="474"/>
      <c r="O319" s="474"/>
      <c r="P319" s="474"/>
      <c r="Q319" s="474"/>
      <c r="S319" s="474"/>
      <c r="T319" s="474"/>
      <c r="U319" s="474"/>
      <c r="V319" s="474"/>
      <c r="W319" s="474"/>
      <c r="X319" s="474"/>
      <c r="Y319" s="474"/>
      <c r="Z319" s="474"/>
      <c r="AB319" s="474"/>
      <c r="AC319" s="474"/>
      <c r="AD319" s="474"/>
      <c r="AE319" s="474"/>
      <c r="AF319" s="474"/>
      <c r="AG319" s="474"/>
      <c r="AH319" s="474"/>
      <c r="AI319" s="474"/>
      <c r="AK319" s="474"/>
      <c r="AL319" s="474"/>
      <c r="AM319" s="474"/>
      <c r="AN319" s="474"/>
      <c r="AO319" s="474"/>
      <c r="AP319" s="474"/>
      <c r="AQ319" s="474"/>
      <c r="AR319" s="474"/>
      <c r="AS319" s="474"/>
      <c r="AT319" s="474"/>
      <c r="AU319" s="474"/>
      <c r="AV319" s="474"/>
      <c r="AW319" s="474"/>
      <c r="AX319" s="474"/>
      <c r="AY319" s="474"/>
      <c r="AZ319" s="474"/>
      <c r="BA319" s="474"/>
      <c r="BC319" s="474"/>
      <c r="BD319" s="474"/>
      <c r="BE319" s="474"/>
      <c r="BF319" s="474"/>
      <c r="BG319" s="474"/>
      <c r="BH319" s="474"/>
      <c r="BI319" s="474"/>
      <c r="BJ319" s="474"/>
      <c r="CD319" s="474"/>
      <c r="CE319" s="474"/>
      <c r="CF319" s="474"/>
      <c r="CG319" s="474"/>
      <c r="CH319" s="474"/>
      <c r="CI319" s="474"/>
      <c r="CJ319" s="474"/>
      <c r="CK319" s="474"/>
      <c r="CM319" s="474"/>
      <c r="CN319" s="474"/>
      <c r="CO319" s="474"/>
      <c r="CP319" s="474"/>
      <c r="CQ319" s="474"/>
      <c r="CR319" s="474"/>
      <c r="CS319" s="474"/>
      <c r="CT319" s="474"/>
    </row>
    <row r="320" spans="1:98" s="35" customFormat="1" ht="12" customHeight="1">
      <c r="A320" s="474"/>
      <c r="B320" s="474"/>
      <c r="C320" s="474"/>
      <c r="D320" s="474"/>
      <c r="E320" s="474"/>
      <c r="F320" s="474"/>
      <c r="G320" s="474"/>
      <c r="H320" s="474"/>
      <c r="J320" s="474"/>
      <c r="K320" s="474"/>
      <c r="L320" s="474"/>
      <c r="M320" s="474"/>
      <c r="N320" s="474"/>
      <c r="O320" s="474"/>
      <c r="P320" s="474"/>
      <c r="Q320" s="474"/>
      <c r="S320" s="474"/>
      <c r="T320" s="474"/>
      <c r="U320" s="474"/>
      <c r="V320" s="474"/>
      <c r="W320" s="474"/>
      <c r="X320" s="474"/>
      <c r="Y320" s="474"/>
      <c r="Z320" s="474"/>
      <c r="AB320" s="474"/>
      <c r="AC320" s="474"/>
      <c r="AD320" s="474"/>
      <c r="AE320" s="474"/>
      <c r="AF320" s="474"/>
      <c r="AG320" s="474"/>
      <c r="AH320" s="474"/>
      <c r="AI320" s="474"/>
      <c r="AK320" s="474"/>
      <c r="AL320" s="474"/>
      <c r="AM320" s="474"/>
      <c r="AN320" s="474"/>
      <c r="AO320" s="474"/>
      <c r="AP320" s="474"/>
      <c r="AQ320" s="474"/>
      <c r="AR320" s="474"/>
      <c r="AS320" s="474"/>
      <c r="AT320" s="474"/>
      <c r="AU320" s="474"/>
      <c r="AV320" s="474"/>
      <c r="AW320" s="474"/>
      <c r="AX320" s="474"/>
      <c r="AY320" s="474"/>
      <c r="AZ320" s="474"/>
      <c r="BA320" s="474"/>
      <c r="BC320" s="474"/>
      <c r="BD320" s="474"/>
      <c r="BE320" s="474"/>
      <c r="BF320" s="474"/>
      <c r="BG320" s="474"/>
      <c r="BH320" s="474"/>
      <c r="BI320" s="474"/>
      <c r="BJ320" s="474"/>
      <c r="CD320" s="474"/>
      <c r="CE320" s="474"/>
      <c r="CF320" s="474"/>
      <c r="CG320" s="474"/>
      <c r="CH320" s="474"/>
      <c r="CI320" s="474"/>
      <c r="CJ320" s="474"/>
      <c r="CK320" s="474"/>
      <c r="CM320" s="474"/>
      <c r="CN320" s="474"/>
      <c r="CO320" s="474"/>
      <c r="CP320" s="474"/>
      <c r="CQ320" s="474"/>
      <c r="CR320" s="474"/>
      <c r="CS320" s="474"/>
      <c r="CT320" s="474"/>
    </row>
    <row r="321" spans="1:98" s="35" customFormat="1" ht="12" customHeight="1">
      <c r="A321" s="474"/>
      <c r="B321" s="474"/>
      <c r="C321" s="474"/>
      <c r="D321" s="474"/>
      <c r="E321" s="474"/>
      <c r="F321" s="474"/>
      <c r="G321" s="474"/>
      <c r="H321" s="474"/>
      <c r="J321" s="474"/>
      <c r="K321" s="474"/>
      <c r="L321" s="474"/>
      <c r="M321" s="474"/>
      <c r="N321" s="474"/>
      <c r="O321" s="474"/>
      <c r="P321" s="474"/>
      <c r="Q321" s="474"/>
      <c r="S321" s="474"/>
      <c r="T321" s="474"/>
      <c r="U321" s="474"/>
      <c r="V321" s="474"/>
      <c r="W321" s="474"/>
      <c r="X321" s="474"/>
      <c r="Y321" s="474"/>
      <c r="Z321" s="474"/>
      <c r="AB321" s="474"/>
      <c r="AC321" s="474"/>
      <c r="AD321" s="474"/>
      <c r="AE321" s="474"/>
      <c r="AF321" s="474"/>
      <c r="AG321" s="474"/>
      <c r="AH321" s="474"/>
      <c r="AI321" s="474"/>
      <c r="AK321" s="474"/>
      <c r="AL321" s="474"/>
      <c r="AM321" s="474"/>
      <c r="AN321" s="474"/>
      <c r="AO321" s="474"/>
      <c r="AP321" s="474"/>
      <c r="AQ321" s="474"/>
      <c r="AR321" s="474"/>
      <c r="AS321" s="474"/>
      <c r="AT321" s="474"/>
      <c r="AU321" s="474"/>
      <c r="AV321" s="474"/>
      <c r="AW321" s="474"/>
      <c r="AX321" s="474"/>
      <c r="AY321" s="474"/>
      <c r="AZ321" s="474"/>
      <c r="BA321" s="474"/>
      <c r="BC321" s="474"/>
      <c r="BD321" s="474"/>
      <c r="BE321" s="474"/>
      <c r="BF321" s="474"/>
      <c r="BG321" s="474"/>
      <c r="BH321" s="474"/>
      <c r="BI321" s="474"/>
      <c r="BJ321" s="474"/>
      <c r="CD321" s="474"/>
      <c r="CE321" s="474"/>
      <c r="CF321" s="474"/>
      <c r="CG321" s="474"/>
      <c r="CH321" s="474"/>
      <c r="CI321" s="474"/>
      <c r="CJ321" s="474"/>
      <c r="CK321" s="474"/>
      <c r="CM321" s="474"/>
      <c r="CN321" s="474"/>
      <c r="CO321" s="474"/>
      <c r="CP321" s="474"/>
      <c r="CQ321" s="474"/>
      <c r="CR321" s="474"/>
      <c r="CS321" s="474"/>
      <c r="CT321" s="474"/>
    </row>
    <row r="322" spans="1:98" s="35" customFormat="1" ht="12" customHeight="1">
      <c r="A322" s="474"/>
      <c r="B322" s="474"/>
      <c r="C322" s="474"/>
      <c r="D322" s="474"/>
      <c r="E322" s="474"/>
      <c r="F322" s="474"/>
      <c r="G322" s="474"/>
      <c r="H322" s="474"/>
      <c r="J322" s="474"/>
      <c r="K322" s="474"/>
      <c r="L322" s="474"/>
      <c r="M322" s="474"/>
      <c r="N322" s="474"/>
      <c r="O322" s="474"/>
      <c r="P322" s="474"/>
      <c r="Q322" s="474"/>
      <c r="S322" s="474"/>
      <c r="T322" s="474"/>
      <c r="U322" s="474"/>
      <c r="V322" s="474"/>
      <c r="W322" s="474"/>
      <c r="X322" s="474"/>
      <c r="Y322" s="474"/>
      <c r="Z322" s="474"/>
      <c r="AB322" s="474"/>
      <c r="AC322" s="474"/>
      <c r="AD322" s="474"/>
      <c r="AE322" s="474"/>
      <c r="AF322" s="474"/>
      <c r="AG322" s="474"/>
      <c r="AH322" s="474"/>
      <c r="AI322" s="474"/>
      <c r="AK322" s="474"/>
      <c r="AL322" s="474"/>
      <c r="AM322" s="474"/>
      <c r="AN322" s="474"/>
      <c r="AO322" s="474"/>
      <c r="AP322" s="474"/>
      <c r="AQ322" s="474"/>
      <c r="AR322" s="474"/>
      <c r="AS322" s="474"/>
      <c r="AT322" s="474"/>
      <c r="AU322" s="474"/>
      <c r="AV322" s="474"/>
      <c r="AW322" s="474"/>
      <c r="AX322" s="474"/>
      <c r="AY322" s="474"/>
      <c r="AZ322" s="474"/>
      <c r="BA322" s="474"/>
      <c r="BC322" s="474"/>
      <c r="BD322" s="474"/>
      <c r="BE322" s="474"/>
      <c r="BF322" s="474"/>
      <c r="BG322" s="474"/>
      <c r="BH322" s="474"/>
      <c r="BI322" s="474"/>
      <c r="BJ322" s="474"/>
      <c r="CD322" s="474"/>
      <c r="CE322" s="474"/>
      <c r="CF322" s="474"/>
      <c r="CG322" s="474"/>
      <c r="CH322" s="474"/>
      <c r="CI322" s="474"/>
      <c r="CJ322" s="474"/>
      <c r="CK322" s="474"/>
      <c r="CM322" s="474"/>
      <c r="CN322" s="474"/>
      <c r="CO322" s="474"/>
      <c r="CP322" s="474"/>
      <c r="CQ322" s="474"/>
      <c r="CR322" s="474"/>
      <c r="CS322" s="474"/>
      <c r="CT322" s="474"/>
    </row>
    <row r="323" spans="1:98" s="35" customFormat="1" ht="12" customHeight="1">
      <c r="A323" s="474"/>
      <c r="B323" s="474"/>
      <c r="C323" s="474"/>
      <c r="D323" s="474"/>
      <c r="E323" s="474"/>
      <c r="F323" s="474"/>
      <c r="G323" s="474"/>
      <c r="H323" s="474"/>
      <c r="J323" s="474"/>
      <c r="K323" s="474"/>
      <c r="L323" s="474"/>
      <c r="M323" s="474"/>
      <c r="N323" s="474"/>
      <c r="O323" s="474"/>
      <c r="P323" s="474"/>
      <c r="Q323" s="474"/>
      <c r="S323" s="474"/>
      <c r="T323" s="474"/>
      <c r="U323" s="474"/>
      <c r="V323" s="474"/>
      <c r="W323" s="474"/>
      <c r="X323" s="474"/>
      <c r="Y323" s="474"/>
      <c r="Z323" s="474"/>
      <c r="AB323" s="474"/>
      <c r="AC323" s="474"/>
      <c r="AD323" s="474"/>
      <c r="AE323" s="474"/>
      <c r="AF323" s="474"/>
      <c r="AG323" s="474"/>
      <c r="AH323" s="474"/>
      <c r="AI323" s="474"/>
      <c r="AK323" s="474"/>
      <c r="AL323" s="474"/>
      <c r="AM323" s="474"/>
      <c r="AN323" s="474"/>
      <c r="AO323" s="474"/>
      <c r="AP323" s="474"/>
      <c r="AQ323" s="474"/>
      <c r="AR323" s="474"/>
      <c r="AS323" s="474"/>
      <c r="AT323" s="474"/>
      <c r="AU323" s="474"/>
      <c r="AV323" s="474"/>
      <c r="AW323" s="474"/>
      <c r="AX323" s="474"/>
      <c r="AY323" s="474"/>
      <c r="AZ323" s="474"/>
      <c r="BA323" s="474"/>
      <c r="BC323" s="474"/>
      <c r="BD323" s="474"/>
      <c r="BE323" s="474"/>
      <c r="BF323" s="474"/>
      <c r="BG323" s="474"/>
      <c r="BH323" s="474"/>
      <c r="BI323" s="474"/>
      <c r="BJ323" s="474"/>
      <c r="CD323" s="474"/>
      <c r="CE323" s="474"/>
      <c r="CF323" s="474"/>
      <c r="CG323" s="474"/>
      <c r="CH323" s="474"/>
      <c r="CI323" s="474"/>
      <c r="CJ323" s="474"/>
      <c r="CK323" s="474"/>
      <c r="CM323" s="474"/>
      <c r="CN323" s="474"/>
      <c r="CO323" s="474"/>
      <c r="CP323" s="474"/>
      <c r="CQ323" s="474"/>
      <c r="CR323" s="474"/>
      <c r="CS323" s="474"/>
      <c r="CT323" s="474"/>
    </row>
    <row r="324" spans="1:98" s="35" customFormat="1" ht="12" customHeight="1">
      <c r="A324" s="474"/>
      <c r="B324" s="474"/>
      <c r="C324" s="474"/>
      <c r="D324" s="474"/>
      <c r="E324" s="474"/>
      <c r="F324" s="474"/>
      <c r="G324" s="474"/>
      <c r="H324" s="474"/>
      <c r="J324" s="474"/>
      <c r="K324" s="474"/>
      <c r="L324" s="474"/>
      <c r="M324" s="474"/>
      <c r="N324" s="474"/>
      <c r="O324" s="474"/>
      <c r="P324" s="474"/>
      <c r="Q324" s="474"/>
      <c r="S324" s="474"/>
      <c r="T324" s="474"/>
      <c r="U324" s="474"/>
      <c r="V324" s="474"/>
      <c r="W324" s="474"/>
      <c r="X324" s="474"/>
      <c r="Y324" s="474"/>
      <c r="Z324" s="474"/>
      <c r="AB324" s="474"/>
      <c r="AC324" s="474"/>
      <c r="AD324" s="474"/>
      <c r="AE324" s="474"/>
      <c r="AF324" s="474"/>
      <c r="AG324" s="474"/>
      <c r="AH324" s="474"/>
      <c r="AI324" s="474"/>
      <c r="AK324" s="474"/>
      <c r="AL324" s="474"/>
      <c r="AM324" s="474"/>
      <c r="AN324" s="474"/>
      <c r="AO324" s="474"/>
      <c r="AP324" s="474"/>
      <c r="AQ324" s="474"/>
      <c r="AR324" s="474"/>
      <c r="AS324" s="474"/>
      <c r="AT324" s="474"/>
      <c r="AU324" s="474"/>
      <c r="AV324" s="474"/>
      <c r="AW324" s="474"/>
      <c r="AX324" s="474"/>
      <c r="AY324" s="474"/>
      <c r="AZ324" s="474"/>
      <c r="BA324" s="474"/>
      <c r="BC324" s="474"/>
      <c r="BD324" s="474"/>
      <c r="BE324" s="474"/>
      <c r="BF324" s="474"/>
      <c r="BG324" s="474"/>
      <c r="BH324" s="474"/>
      <c r="BI324" s="474"/>
      <c r="BJ324" s="474"/>
      <c r="CD324" s="474"/>
      <c r="CE324" s="474"/>
      <c r="CF324" s="474"/>
      <c r="CG324" s="474"/>
      <c r="CH324" s="474"/>
      <c r="CI324" s="474"/>
      <c r="CJ324" s="474"/>
      <c r="CK324" s="474"/>
      <c r="CM324" s="474"/>
      <c r="CN324" s="474"/>
      <c r="CO324" s="474"/>
      <c r="CP324" s="474"/>
      <c r="CQ324" s="474"/>
      <c r="CR324" s="474"/>
      <c r="CS324" s="474"/>
      <c r="CT324" s="474"/>
    </row>
    <row r="325" spans="1:98" s="35" customFormat="1" ht="12" customHeight="1">
      <c r="A325" s="474"/>
      <c r="B325" s="474"/>
      <c r="C325" s="474"/>
      <c r="D325" s="474"/>
      <c r="E325" s="474"/>
      <c r="F325" s="474"/>
      <c r="G325" s="474"/>
      <c r="H325" s="474"/>
      <c r="J325" s="474"/>
      <c r="K325" s="474"/>
      <c r="L325" s="474"/>
      <c r="M325" s="474"/>
      <c r="N325" s="474"/>
      <c r="O325" s="474"/>
      <c r="P325" s="474"/>
      <c r="Q325" s="474"/>
      <c r="S325" s="474"/>
      <c r="T325" s="474"/>
      <c r="U325" s="474"/>
      <c r="V325" s="474"/>
      <c r="W325" s="474"/>
      <c r="X325" s="474"/>
      <c r="Y325" s="474"/>
      <c r="Z325" s="474"/>
      <c r="AB325" s="474"/>
      <c r="AC325" s="474"/>
      <c r="AD325" s="474"/>
      <c r="AE325" s="474"/>
      <c r="AF325" s="474"/>
      <c r="AG325" s="474"/>
      <c r="AH325" s="474"/>
      <c r="AI325" s="474"/>
      <c r="AK325" s="474"/>
      <c r="AL325" s="474"/>
      <c r="AM325" s="474"/>
      <c r="AN325" s="474"/>
      <c r="AO325" s="474"/>
      <c r="AP325" s="474"/>
      <c r="AQ325" s="474"/>
      <c r="AR325" s="474"/>
      <c r="AS325" s="474"/>
      <c r="AT325" s="474"/>
      <c r="AU325" s="474"/>
      <c r="AV325" s="474"/>
      <c r="AW325" s="474"/>
      <c r="AX325" s="474"/>
      <c r="AY325" s="474"/>
      <c r="AZ325" s="474"/>
      <c r="BA325" s="474"/>
      <c r="BC325" s="474"/>
      <c r="BD325" s="474"/>
      <c r="BE325" s="474"/>
      <c r="BF325" s="474"/>
      <c r="BG325" s="474"/>
      <c r="BH325" s="474"/>
      <c r="BI325" s="474"/>
      <c r="BJ325" s="474"/>
      <c r="CD325" s="474"/>
      <c r="CE325" s="474"/>
      <c r="CF325" s="474"/>
      <c r="CG325" s="474"/>
      <c r="CH325" s="474"/>
      <c r="CI325" s="474"/>
      <c r="CJ325" s="474"/>
      <c r="CK325" s="474"/>
      <c r="CM325" s="474"/>
      <c r="CN325" s="474"/>
      <c r="CO325" s="474"/>
      <c r="CP325" s="474"/>
      <c r="CQ325" s="474"/>
      <c r="CR325" s="474"/>
      <c r="CS325" s="474"/>
      <c r="CT325" s="474"/>
    </row>
    <row r="326" spans="1:98" s="35" customFormat="1" ht="12" customHeight="1">
      <c r="A326" s="474"/>
      <c r="B326" s="474"/>
      <c r="C326" s="474"/>
      <c r="D326" s="474"/>
      <c r="E326" s="474"/>
      <c r="F326" s="474"/>
      <c r="G326" s="474"/>
      <c r="H326" s="474"/>
      <c r="J326" s="474"/>
      <c r="K326" s="474"/>
      <c r="L326" s="474"/>
      <c r="M326" s="474"/>
      <c r="N326" s="474"/>
      <c r="O326" s="474"/>
      <c r="P326" s="474"/>
      <c r="Q326" s="474"/>
      <c r="S326" s="474"/>
      <c r="T326" s="474"/>
      <c r="U326" s="474"/>
      <c r="V326" s="474"/>
      <c r="W326" s="474"/>
      <c r="X326" s="474"/>
      <c r="Y326" s="474"/>
      <c r="Z326" s="474"/>
      <c r="AB326" s="474"/>
      <c r="AC326" s="474"/>
      <c r="AD326" s="474"/>
      <c r="AE326" s="474"/>
      <c r="AF326" s="474"/>
      <c r="AG326" s="474"/>
      <c r="AH326" s="474"/>
      <c r="AI326" s="474"/>
      <c r="AK326" s="474"/>
      <c r="AL326" s="474"/>
      <c r="AM326" s="474"/>
      <c r="AN326" s="474"/>
      <c r="AO326" s="474"/>
      <c r="AP326" s="474"/>
      <c r="AQ326" s="474"/>
      <c r="AR326" s="474"/>
      <c r="AS326" s="474"/>
      <c r="AT326" s="474"/>
      <c r="AU326" s="474"/>
      <c r="AV326" s="474"/>
      <c r="AW326" s="474"/>
      <c r="AX326" s="474"/>
      <c r="AY326" s="474"/>
      <c r="AZ326" s="474"/>
      <c r="BA326" s="474"/>
      <c r="BC326" s="474"/>
      <c r="BD326" s="474"/>
      <c r="BE326" s="474"/>
      <c r="BF326" s="474"/>
      <c r="BG326" s="474"/>
      <c r="BH326" s="474"/>
      <c r="BI326" s="474"/>
      <c r="BJ326" s="474"/>
      <c r="CD326" s="474"/>
      <c r="CE326" s="474"/>
      <c r="CF326" s="474"/>
      <c r="CG326" s="474"/>
      <c r="CH326" s="474"/>
      <c r="CI326" s="474"/>
      <c r="CJ326" s="474"/>
      <c r="CK326" s="474"/>
      <c r="CM326" s="474"/>
      <c r="CN326" s="474"/>
      <c r="CO326" s="474"/>
      <c r="CP326" s="474"/>
      <c r="CQ326" s="474"/>
      <c r="CR326" s="474"/>
      <c r="CS326" s="474"/>
      <c r="CT326" s="474"/>
    </row>
    <row r="327" spans="1:98" s="35" customFormat="1" ht="12" customHeight="1">
      <c r="A327" s="474"/>
      <c r="B327" s="474"/>
      <c r="C327" s="474"/>
      <c r="D327" s="474"/>
      <c r="E327" s="474"/>
      <c r="F327" s="474"/>
      <c r="G327" s="474"/>
      <c r="H327" s="474"/>
      <c r="J327" s="474"/>
      <c r="K327" s="474"/>
      <c r="L327" s="474"/>
      <c r="M327" s="474"/>
      <c r="N327" s="474"/>
      <c r="O327" s="474"/>
      <c r="P327" s="474"/>
      <c r="Q327" s="474"/>
      <c r="S327" s="474"/>
      <c r="T327" s="474"/>
      <c r="U327" s="474"/>
      <c r="V327" s="474"/>
      <c r="W327" s="474"/>
      <c r="X327" s="474"/>
      <c r="Y327" s="474"/>
      <c r="Z327" s="474"/>
      <c r="AB327" s="474"/>
      <c r="AC327" s="474"/>
      <c r="AD327" s="474"/>
      <c r="AE327" s="474"/>
      <c r="AF327" s="474"/>
      <c r="AG327" s="474"/>
      <c r="AH327" s="474"/>
      <c r="AI327" s="474"/>
      <c r="AK327" s="474"/>
      <c r="AL327" s="474"/>
      <c r="AM327" s="474"/>
      <c r="AN327" s="474"/>
      <c r="AO327" s="474"/>
      <c r="AP327" s="474"/>
      <c r="AQ327" s="474"/>
      <c r="AR327" s="474"/>
      <c r="AS327" s="474"/>
      <c r="AT327" s="474"/>
      <c r="AU327" s="474"/>
      <c r="AV327" s="474"/>
      <c r="AW327" s="474"/>
      <c r="AX327" s="474"/>
      <c r="AY327" s="474"/>
      <c r="AZ327" s="474"/>
      <c r="BA327" s="474"/>
      <c r="BC327" s="474"/>
      <c r="BD327" s="474"/>
      <c r="BE327" s="474"/>
      <c r="BF327" s="474"/>
      <c r="BG327" s="474"/>
      <c r="BH327" s="474"/>
      <c r="BI327" s="474"/>
      <c r="BJ327" s="474"/>
      <c r="CD327" s="474"/>
      <c r="CE327" s="474"/>
      <c r="CF327" s="474"/>
      <c r="CG327" s="474"/>
      <c r="CH327" s="474"/>
      <c r="CI327" s="474"/>
      <c r="CJ327" s="474"/>
      <c r="CK327" s="474"/>
      <c r="CM327" s="474"/>
      <c r="CN327" s="474"/>
      <c r="CO327" s="474"/>
      <c r="CP327" s="474"/>
      <c r="CQ327" s="474"/>
      <c r="CR327" s="474"/>
      <c r="CS327" s="474"/>
      <c r="CT327" s="474"/>
    </row>
    <row r="328" spans="1:98" s="35" customFormat="1" ht="12" customHeight="1">
      <c r="A328" s="474"/>
      <c r="B328" s="474"/>
      <c r="C328" s="474"/>
      <c r="D328" s="474"/>
      <c r="E328" s="474"/>
      <c r="F328" s="474"/>
      <c r="G328" s="474"/>
      <c r="H328" s="474"/>
      <c r="J328" s="474"/>
      <c r="K328" s="474"/>
      <c r="L328" s="474"/>
      <c r="M328" s="474"/>
      <c r="N328" s="474"/>
      <c r="O328" s="474"/>
      <c r="P328" s="474"/>
      <c r="Q328" s="474"/>
      <c r="S328" s="474"/>
      <c r="T328" s="474"/>
      <c r="U328" s="474"/>
      <c r="V328" s="474"/>
      <c r="W328" s="474"/>
      <c r="X328" s="474"/>
      <c r="Y328" s="474"/>
      <c r="Z328" s="474"/>
      <c r="AB328" s="474"/>
      <c r="AC328" s="474"/>
      <c r="AD328" s="474"/>
      <c r="AE328" s="474"/>
      <c r="AF328" s="474"/>
      <c r="AG328" s="474"/>
      <c r="AH328" s="474"/>
      <c r="AI328" s="474"/>
      <c r="AK328" s="474"/>
      <c r="AL328" s="474"/>
      <c r="AM328" s="474"/>
      <c r="AN328" s="474"/>
      <c r="AO328" s="474"/>
      <c r="AP328" s="474"/>
      <c r="AQ328" s="474"/>
      <c r="AR328" s="474"/>
      <c r="AS328" s="474"/>
      <c r="AT328" s="474"/>
      <c r="AU328" s="474"/>
      <c r="AV328" s="474"/>
      <c r="AW328" s="474"/>
      <c r="AX328" s="474"/>
      <c r="AY328" s="474"/>
      <c r="AZ328" s="474"/>
      <c r="BA328" s="474"/>
      <c r="BC328" s="474"/>
      <c r="BD328" s="474"/>
      <c r="BE328" s="474"/>
      <c r="BF328" s="474"/>
      <c r="BG328" s="474"/>
      <c r="BH328" s="474"/>
      <c r="BI328" s="474"/>
      <c r="BJ328" s="474"/>
      <c r="CD328" s="474"/>
      <c r="CE328" s="474"/>
      <c r="CF328" s="474"/>
      <c r="CG328" s="474"/>
      <c r="CH328" s="474"/>
      <c r="CI328" s="474"/>
      <c r="CJ328" s="474"/>
      <c r="CK328" s="474"/>
      <c r="CM328" s="474"/>
      <c r="CN328" s="474"/>
      <c r="CO328" s="474"/>
      <c r="CP328" s="474"/>
      <c r="CQ328" s="474"/>
      <c r="CR328" s="474"/>
      <c r="CS328" s="474"/>
      <c r="CT328" s="474"/>
    </row>
    <row r="329" spans="1:98" s="35" customFormat="1" ht="12" customHeight="1">
      <c r="A329" s="474"/>
      <c r="B329" s="474"/>
      <c r="C329" s="474"/>
      <c r="D329" s="474"/>
      <c r="E329" s="474"/>
      <c r="F329" s="474"/>
      <c r="G329" s="474"/>
      <c r="H329" s="474"/>
      <c r="J329" s="474"/>
      <c r="K329" s="474"/>
      <c r="L329" s="474"/>
      <c r="M329" s="474"/>
      <c r="N329" s="474"/>
      <c r="O329" s="474"/>
      <c r="P329" s="474"/>
      <c r="Q329" s="474"/>
      <c r="S329" s="474"/>
      <c r="T329" s="474"/>
      <c r="U329" s="474"/>
      <c r="V329" s="474"/>
      <c r="W329" s="474"/>
      <c r="X329" s="474"/>
      <c r="Y329" s="474"/>
      <c r="Z329" s="474"/>
      <c r="AB329" s="474"/>
      <c r="AC329" s="474"/>
      <c r="AD329" s="474"/>
      <c r="AE329" s="474"/>
      <c r="AF329" s="474"/>
      <c r="AG329" s="474"/>
      <c r="AH329" s="474"/>
      <c r="AI329" s="474"/>
      <c r="AK329" s="474"/>
      <c r="AL329" s="474"/>
      <c r="AM329" s="474"/>
      <c r="AN329" s="474"/>
      <c r="AO329" s="474"/>
      <c r="AP329" s="474"/>
      <c r="AQ329" s="474"/>
      <c r="AR329" s="474"/>
      <c r="AS329" s="474"/>
      <c r="AT329" s="474"/>
      <c r="AU329" s="474"/>
      <c r="AV329" s="474"/>
      <c r="AW329" s="474"/>
      <c r="AX329" s="474"/>
      <c r="AY329" s="474"/>
      <c r="AZ329" s="474"/>
      <c r="BA329" s="474"/>
      <c r="BC329" s="474"/>
      <c r="BD329" s="474"/>
      <c r="BE329" s="474"/>
      <c r="BF329" s="474"/>
      <c r="BG329" s="474"/>
      <c r="BH329" s="474"/>
      <c r="BI329" s="474"/>
      <c r="BJ329" s="474"/>
      <c r="CD329" s="474"/>
      <c r="CE329" s="474"/>
      <c r="CF329" s="474"/>
      <c r="CG329" s="474"/>
      <c r="CH329" s="474"/>
      <c r="CI329" s="474"/>
      <c r="CJ329" s="474"/>
      <c r="CK329" s="474"/>
      <c r="CM329" s="474"/>
      <c r="CN329" s="474"/>
      <c r="CO329" s="474"/>
      <c r="CP329" s="474"/>
      <c r="CQ329" s="474"/>
      <c r="CR329" s="474"/>
      <c r="CS329" s="474"/>
      <c r="CT329" s="474"/>
    </row>
    <row r="330" spans="1:98" s="35" customFormat="1" ht="12" customHeight="1">
      <c r="A330" s="474"/>
      <c r="B330" s="474"/>
      <c r="C330" s="474"/>
      <c r="D330" s="474"/>
      <c r="E330" s="474"/>
      <c r="F330" s="474"/>
      <c r="G330" s="474"/>
      <c r="H330" s="474"/>
      <c r="J330" s="474"/>
      <c r="K330" s="474"/>
      <c r="L330" s="474"/>
      <c r="M330" s="474"/>
      <c r="N330" s="474"/>
      <c r="O330" s="474"/>
      <c r="P330" s="474"/>
      <c r="Q330" s="474"/>
      <c r="S330" s="474"/>
      <c r="T330" s="474"/>
      <c r="U330" s="474"/>
      <c r="V330" s="474"/>
      <c r="W330" s="474"/>
      <c r="X330" s="474"/>
      <c r="Y330" s="474"/>
      <c r="Z330" s="474"/>
      <c r="AB330" s="474"/>
      <c r="AC330" s="474"/>
      <c r="AD330" s="474"/>
      <c r="AE330" s="474"/>
      <c r="AF330" s="474"/>
      <c r="AG330" s="474"/>
      <c r="AH330" s="474"/>
      <c r="AI330" s="474"/>
      <c r="AK330" s="474"/>
      <c r="AL330" s="474"/>
      <c r="AM330" s="474"/>
      <c r="AN330" s="474"/>
      <c r="AO330" s="474"/>
      <c r="AP330" s="474"/>
      <c r="AQ330" s="474"/>
      <c r="AR330" s="474"/>
      <c r="AS330" s="474"/>
      <c r="AT330" s="474"/>
      <c r="AU330" s="474"/>
      <c r="AV330" s="474"/>
      <c r="AW330" s="474"/>
      <c r="AX330" s="474"/>
      <c r="AY330" s="474"/>
      <c r="AZ330" s="474"/>
      <c r="BA330" s="474"/>
      <c r="BC330" s="474"/>
      <c r="BD330" s="474"/>
      <c r="BE330" s="474"/>
      <c r="BF330" s="474"/>
      <c r="BG330" s="474"/>
      <c r="BH330" s="474"/>
      <c r="BI330" s="474"/>
      <c r="BJ330" s="474"/>
      <c r="CD330" s="474"/>
      <c r="CE330" s="474"/>
      <c r="CF330" s="474"/>
      <c r="CG330" s="474"/>
      <c r="CH330" s="474"/>
      <c r="CI330" s="474"/>
      <c r="CJ330" s="474"/>
      <c r="CK330" s="474"/>
      <c r="CM330" s="474"/>
      <c r="CN330" s="474"/>
      <c r="CO330" s="474"/>
      <c r="CP330" s="474"/>
      <c r="CQ330" s="474"/>
      <c r="CR330" s="474"/>
      <c r="CS330" s="474"/>
      <c r="CT330" s="474"/>
    </row>
    <row r="331" spans="1:98" s="35" customFormat="1" ht="12" customHeight="1">
      <c r="A331" s="474"/>
      <c r="B331" s="474"/>
      <c r="C331" s="474"/>
      <c r="D331" s="474"/>
      <c r="E331" s="474"/>
      <c r="F331" s="474"/>
      <c r="G331" s="474"/>
      <c r="H331" s="474"/>
      <c r="J331" s="474"/>
      <c r="K331" s="474"/>
      <c r="L331" s="474"/>
      <c r="M331" s="474"/>
      <c r="N331" s="474"/>
      <c r="O331" s="474"/>
      <c r="P331" s="474"/>
      <c r="Q331" s="474"/>
      <c r="S331" s="474"/>
      <c r="T331" s="474"/>
      <c r="U331" s="474"/>
      <c r="V331" s="474"/>
      <c r="W331" s="474"/>
      <c r="X331" s="474"/>
      <c r="Y331" s="474"/>
      <c r="Z331" s="474"/>
      <c r="AB331" s="474"/>
      <c r="AC331" s="474"/>
      <c r="AD331" s="474"/>
      <c r="AE331" s="474"/>
      <c r="AF331" s="474"/>
      <c r="AG331" s="474"/>
      <c r="AH331" s="474"/>
      <c r="AI331" s="474"/>
      <c r="AK331" s="474"/>
      <c r="AL331" s="474"/>
      <c r="AM331" s="474"/>
      <c r="AN331" s="474"/>
      <c r="AO331" s="474"/>
      <c r="AP331" s="474"/>
      <c r="AQ331" s="474"/>
      <c r="AR331" s="474"/>
      <c r="AS331" s="474"/>
      <c r="AT331" s="474"/>
      <c r="AU331" s="474"/>
      <c r="AV331" s="474"/>
      <c r="AW331" s="474"/>
      <c r="AX331" s="474"/>
      <c r="AY331" s="474"/>
      <c r="AZ331" s="474"/>
      <c r="BA331" s="474"/>
      <c r="BC331" s="474"/>
      <c r="BD331" s="474"/>
      <c r="BE331" s="474"/>
      <c r="BF331" s="474"/>
      <c r="BG331" s="474"/>
      <c r="BH331" s="474"/>
      <c r="BI331" s="474"/>
      <c r="BJ331" s="474"/>
      <c r="CD331" s="474"/>
      <c r="CE331" s="474"/>
      <c r="CF331" s="474"/>
      <c r="CG331" s="474"/>
      <c r="CH331" s="474"/>
      <c r="CI331" s="474"/>
      <c r="CJ331" s="474"/>
      <c r="CK331" s="474"/>
      <c r="CM331" s="474"/>
      <c r="CN331" s="474"/>
      <c r="CO331" s="474"/>
      <c r="CP331" s="474"/>
      <c r="CQ331" s="474"/>
      <c r="CR331" s="474"/>
      <c r="CS331" s="474"/>
      <c r="CT331" s="474"/>
    </row>
    <row r="332" spans="1:98" s="35" customFormat="1" ht="12" customHeight="1">
      <c r="A332" s="474"/>
      <c r="B332" s="474"/>
      <c r="C332" s="474"/>
      <c r="D332" s="474"/>
      <c r="E332" s="474"/>
      <c r="F332" s="474"/>
      <c r="G332" s="474"/>
      <c r="H332" s="474"/>
      <c r="J332" s="474"/>
      <c r="K332" s="474"/>
      <c r="L332" s="474"/>
      <c r="M332" s="474"/>
      <c r="N332" s="474"/>
      <c r="O332" s="474"/>
      <c r="P332" s="474"/>
      <c r="Q332" s="474"/>
      <c r="S332" s="474"/>
      <c r="T332" s="474"/>
      <c r="U332" s="474"/>
      <c r="V332" s="474"/>
      <c r="W332" s="474"/>
      <c r="X332" s="474"/>
      <c r="Y332" s="474"/>
      <c r="Z332" s="474"/>
      <c r="AB332" s="474"/>
      <c r="AC332" s="474"/>
      <c r="AD332" s="474"/>
      <c r="AE332" s="474"/>
      <c r="AF332" s="474"/>
      <c r="AG332" s="474"/>
      <c r="AH332" s="474"/>
      <c r="AI332" s="474"/>
      <c r="AK332" s="474"/>
      <c r="AL332" s="474"/>
      <c r="AM332" s="474"/>
      <c r="AN332" s="474"/>
      <c r="AO332" s="474"/>
      <c r="AP332" s="474"/>
      <c r="AQ332" s="474"/>
      <c r="AR332" s="474"/>
      <c r="AS332" s="474"/>
      <c r="AT332" s="474"/>
      <c r="AU332" s="474"/>
      <c r="AV332" s="474"/>
      <c r="AW332" s="474"/>
      <c r="AX332" s="474"/>
      <c r="AY332" s="474"/>
      <c r="AZ332" s="474"/>
      <c r="BA332" s="474"/>
      <c r="BC332" s="474"/>
      <c r="BD332" s="474"/>
      <c r="BE332" s="474"/>
      <c r="BF332" s="474"/>
      <c r="BG332" s="474"/>
      <c r="BH332" s="474"/>
      <c r="BI332" s="474"/>
      <c r="BJ332" s="474"/>
      <c r="CD332" s="474"/>
      <c r="CE332" s="474"/>
      <c r="CF332" s="474"/>
      <c r="CG332" s="474"/>
      <c r="CH332" s="474"/>
      <c r="CI332" s="474"/>
      <c r="CJ332" s="474"/>
      <c r="CK332" s="474"/>
      <c r="CM332" s="474"/>
      <c r="CN332" s="474"/>
      <c r="CO332" s="474"/>
      <c r="CP332" s="474"/>
      <c r="CQ332" s="474"/>
      <c r="CR332" s="474"/>
      <c r="CS332" s="474"/>
      <c r="CT332" s="474"/>
    </row>
    <row r="333" spans="1:98" s="35" customFormat="1" ht="12" customHeight="1">
      <c r="A333" s="474"/>
      <c r="B333" s="474"/>
      <c r="C333" s="474"/>
      <c r="D333" s="474"/>
      <c r="E333" s="474"/>
      <c r="F333" s="474"/>
      <c r="G333" s="474"/>
      <c r="H333" s="474"/>
      <c r="J333" s="474"/>
      <c r="K333" s="474"/>
      <c r="L333" s="474"/>
      <c r="M333" s="474"/>
      <c r="N333" s="474"/>
      <c r="O333" s="474"/>
      <c r="P333" s="474"/>
      <c r="Q333" s="474"/>
      <c r="S333" s="474"/>
      <c r="T333" s="474"/>
      <c r="U333" s="474"/>
      <c r="V333" s="474"/>
      <c r="W333" s="474"/>
      <c r="X333" s="474"/>
      <c r="Y333" s="474"/>
      <c r="Z333" s="474"/>
      <c r="AB333" s="474"/>
      <c r="AC333" s="474"/>
      <c r="AD333" s="474"/>
      <c r="AE333" s="474"/>
      <c r="AF333" s="474"/>
      <c r="AG333" s="474"/>
      <c r="AH333" s="474"/>
      <c r="AI333" s="474"/>
      <c r="AK333" s="474"/>
      <c r="AL333" s="474"/>
      <c r="AM333" s="474"/>
      <c r="AN333" s="474"/>
      <c r="AO333" s="474"/>
      <c r="AP333" s="474"/>
      <c r="AQ333" s="474"/>
      <c r="AR333" s="474"/>
      <c r="AS333" s="474"/>
      <c r="AT333" s="474"/>
      <c r="AU333" s="474"/>
      <c r="AV333" s="474"/>
      <c r="AW333" s="474"/>
      <c r="AX333" s="474"/>
      <c r="AY333" s="474"/>
      <c r="AZ333" s="474"/>
      <c r="BA333" s="474"/>
      <c r="BC333" s="474"/>
      <c r="BD333" s="474"/>
      <c r="BE333" s="474"/>
      <c r="BF333" s="474"/>
      <c r="BG333" s="474"/>
      <c r="BH333" s="474"/>
      <c r="BI333" s="474"/>
      <c r="BJ333" s="474"/>
      <c r="CD333" s="474"/>
      <c r="CE333" s="474"/>
      <c r="CF333" s="474"/>
      <c r="CG333" s="474"/>
      <c r="CH333" s="474"/>
      <c r="CI333" s="474"/>
      <c r="CJ333" s="474"/>
      <c r="CK333" s="474"/>
      <c r="CM333" s="474"/>
      <c r="CN333" s="474"/>
      <c r="CO333" s="474"/>
      <c r="CP333" s="474"/>
      <c r="CQ333" s="474"/>
      <c r="CR333" s="474"/>
      <c r="CS333" s="474"/>
      <c r="CT333" s="474"/>
    </row>
    <row r="334" spans="1:98" s="35" customFormat="1" ht="12" customHeight="1">
      <c r="A334" s="474"/>
      <c r="B334" s="474"/>
      <c r="C334" s="474"/>
      <c r="D334" s="474"/>
      <c r="E334" s="474"/>
      <c r="F334" s="474"/>
      <c r="G334" s="474"/>
      <c r="H334" s="474"/>
      <c r="J334" s="474"/>
      <c r="K334" s="474"/>
      <c r="L334" s="474"/>
      <c r="M334" s="474"/>
      <c r="N334" s="474"/>
      <c r="O334" s="474"/>
      <c r="P334" s="474"/>
      <c r="Q334" s="474"/>
      <c r="S334" s="474"/>
      <c r="T334" s="474"/>
      <c r="U334" s="474"/>
      <c r="V334" s="474"/>
      <c r="W334" s="474"/>
      <c r="X334" s="474"/>
      <c r="Y334" s="474"/>
      <c r="Z334" s="474"/>
      <c r="AB334" s="474"/>
      <c r="AC334" s="474"/>
      <c r="AD334" s="474"/>
      <c r="AE334" s="474"/>
      <c r="AF334" s="474"/>
      <c r="AG334" s="474"/>
      <c r="AH334" s="474"/>
      <c r="AI334" s="474"/>
      <c r="AK334" s="474"/>
      <c r="AL334" s="474"/>
      <c r="AM334" s="474"/>
      <c r="AN334" s="474"/>
      <c r="AO334" s="474"/>
      <c r="AP334" s="474"/>
      <c r="AQ334" s="474"/>
      <c r="AR334" s="474"/>
      <c r="AS334" s="474"/>
      <c r="AT334" s="474"/>
      <c r="AU334" s="474"/>
      <c r="AV334" s="474"/>
      <c r="AW334" s="474"/>
      <c r="AX334" s="474"/>
      <c r="AY334" s="474"/>
      <c r="AZ334" s="474"/>
      <c r="BA334" s="474"/>
      <c r="BC334" s="474"/>
      <c r="BD334" s="474"/>
      <c r="BE334" s="474"/>
      <c r="BF334" s="474"/>
      <c r="BG334" s="474"/>
      <c r="BH334" s="474"/>
      <c r="BI334" s="474"/>
      <c r="BJ334" s="474"/>
      <c r="CD334" s="474"/>
      <c r="CE334" s="474"/>
      <c r="CF334" s="474"/>
      <c r="CG334" s="474"/>
      <c r="CH334" s="474"/>
      <c r="CI334" s="474"/>
      <c r="CJ334" s="474"/>
      <c r="CK334" s="474"/>
      <c r="CM334" s="474"/>
      <c r="CN334" s="474"/>
      <c r="CO334" s="474"/>
      <c r="CP334" s="474"/>
      <c r="CQ334" s="474"/>
      <c r="CR334" s="474"/>
      <c r="CS334" s="474"/>
      <c r="CT334" s="474"/>
    </row>
    <row r="335" spans="1:98" s="35" customFormat="1" ht="12" customHeight="1">
      <c r="A335" s="474"/>
      <c r="B335" s="474"/>
      <c r="C335" s="474"/>
      <c r="D335" s="474"/>
      <c r="E335" s="474"/>
      <c r="F335" s="474"/>
      <c r="G335" s="474"/>
      <c r="H335" s="474"/>
      <c r="J335" s="474"/>
      <c r="K335" s="474"/>
      <c r="L335" s="474"/>
      <c r="M335" s="474"/>
      <c r="N335" s="474"/>
      <c r="O335" s="474"/>
      <c r="P335" s="474"/>
      <c r="Q335" s="474"/>
      <c r="S335" s="474"/>
      <c r="T335" s="474"/>
      <c r="U335" s="474"/>
      <c r="V335" s="474"/>
      <c r="W335" s="474"/>
      <c r="X335" s="474"/>
      <c r="Y335" s="474"/>
      <c r="Z335" s="474"/>
      <c r="AB335" s="474"/>
      <c r="AC335" s="474"/>
      <c r="AD335" s="474"/>
      <c r="AE335" s="474"/>
      <c r="AF335" s="474"/>
      <c r="AG335" s="474"/>
      <c r="AH335" s="474"/>
      <c r="AI335" s="474"/>
      <c r="AK335" s="474"/>
      <c r="AL335" s="474"/>
      <c r="AM335" s="474"/>
      <c r="AN335" s="474"/>
      <c r="AO335" s="474"/>
      <c r="AP335" s="474"/>
      <c r="AQ335" s="474"/>
      <c r="AR335" s="474"/>
      <c r="AS335" s="474"/>
      <c r="AT335" s="474"/>
      <c r="AU335" s="474"/>
      <c r="AV335" s="474"/>
      <c r="AW335" s="474"/>
      <c r="AX335" s="474"/>
      <c r="AY335" s="474"/>
      <c r="AZ335" s="474"/>
      <c r="BA335" s="474"/>
      <c r="BC335" s="474"/>
      <c r="BD335" s="474"/>
      <c r="BE335" s="474"/>
      <c r="BF335" s="474"/>
      <c r="BG335" s="474"/>
      <c r="BH335" s="474"/>
      <c r="BI335" s="474"/>
      <c r="BJ335" s="474"/>
      <c r="CD335" s="474"/>
      <c r="CE335" s="474"/>
      <c r="CF335" s="474"/>
      <c r="CG335" s="474"/>
      <c r="CH335" s="474"/>
      <c r="CI335" s="474"/>
      <c r="CJ335" s="474"/>
      <c r="CK335" s="474"/>
      <c r="CM335" s="474"/>
      <c r="CN335" s="474"/>
      <c r="CO335" s="474"/>
      <c r="CP335" s="474"/>
      <c r="CQ335" s="474"/>
      <c r="CR335" s="474"/>
      <c r="CS335" s="474"/>
      <c r="CT335" s="474"/>
    </row>
    <row r="336" spans="1:98" s="35" customFormat="1" ht="12" customHeight="1">
      <c r="A336" s="474"/>
      <c r="B336" s="474"/>
      <c r="C336" s="474"/>
      <c r="D336" s="474"/>
      <c r="E336" s="474"/>
      <c r="F336" s="474"/>
      <c r="G336" s="474"/>
      <c r="H336" s="474"/>
      <c r="J336" s="474"/>
      <c r="K336" s="474"/>
      <c r="L336" s="474"/>
      <c r="M336" s="474"/>
      <c r="N336" s="474"/>
      <c r="O336" s="474"/>
      <c r="P336" s="474"/>
      <c r="Q336" s="474"/>
      <c r="S336" s="474"/>
      <c r="T336" s="474"/>
      <c r="U336" s="474"/>
      <c r="V336" s="474"/>
      <c r="W336" s="474"/>
      <c r="X336" s="474"/>
      <c r="Y336" s="474"/>
      <c r="Z336" s="474"/>
      <c r="AB336" s="474"/>
      <c r="AC336" s="474"/>
      <c r="AD336" s="474"/>
      <c r="AE336" s="474"/>
      <c r="AF336" s="474"/>
      <c r="AG336" s="474"/>
      <c r="AH336" s="474"/>
      <c r="AI336" s="474"/>
      <c r="AK336" s="474"/>
      <c r="AL336" s="474"/>
      <c r="AM336" s="474"/>
      <c r="AN336" s="474"/>
      <c r="AO336" s="474"/>
      <c r="AP336" s="474"/>
      <c r="AQ336" s="474"/>
      <c r="AR336" s="474"/>
      <c r="AS336" s="474"/>
      <c r="AT336" s="474"/>
      <c r="AU336" s="474"/>
      <c r="AV336" s="474"/>
      <c r="AW336" s="474"/>
      <c r="AX336" s="474"/>
      <c r="AY336" s="474"/>
      <c r="AZ336" s="474"/>
      <c r="BA336" s="474"/>
      <c r="BC336" s="474"/>
      <c r="BD336" s="474"/>
      <c r="BE336" s="474"/>
      <c r="BF336" s="474"/>
      <c r="BG336" s="474"/>
      <c r="BH336" s="474"/>
      <c r="BI336" s="474"/>
      <c r="BJ336" s="474"/>
      <c r="CD336" s="474"/>
      <c r="CE336" s="474"/>
      <c r="CF336" s="474"/>
      <c r="CG336" s="474"/>
      <c r="CH336" s="474"/>
      <c r="CI336" s="474"/>
      <c r="CJ336" s="474"/>
      <c r="CK336" s="474"/>
      <c r="CM336" s="474"/>
      <c r="CN336" s="474"/>
      <c r="CO336" s="474"/>
      <c r="CP336" s="474"/>
      <c r="CQ336" s="474"/>
      <c r="CR336" s="474"/>
      <c r="CS336" s="474"/>
      <c r="CT336" s="474"/>
    </row>
    <row r="337" spans="1:98" s="35" customFormat="1" ht="12" customHeight="1">
      <c r="A337" s="474"/>
      <c r="B337" s="474"/>
      <c r="C337" s="474"/>
      <c r="D337" s="474"/>
      <c r="E337" s="474"/>
      <c r="F337" s="474"/>
      <c r="G337" s="474"/>
      <c r="H337" s="474"/>
      <c r="J337" s="474"/>
      <c r="K337" s="474"/>
      <c r="L337" s="474"/>
      <c r="M337" s="474"/>
      <c r="N337" s="474"/>
      <c r="O337" s="474"/>
      <c r="P337" s="474"/>
      <c r="Q337" s="474"/>
      <c r="S337" s="474"/>
      <c r="T337" s="474"/>
      <c r="U337" s="474"/>
      <c r="V337" s="474"/>
      <c r="W337" s="474"/>
      <c r="X337" s="474"/>
      <c r="Y337" s="474"/>
      <c r="Z337" s="474"/>
      <c r="AB337" s="474"/>
      <c r="AC337" s="474"/>
      <c r="AD337" s="474"/>
      <c r="AE337" s="474"/>
      <c r="AF337" s="474"/>
      <c r="AG337" s="474"/>
      <c r="AH337" s="474"/>
      <c r="AI337" s="474"/>
      <c r="AK337" s="474"/>
      <c r="AL337" s="474"/>
      <c r="AM337" s="474"/>
      <c r="AN337" s="474"/>
      <c r="AO337" s="474"/>
      <c r="AP337" s="474"/>
      <c r="AQ337" s="474"/>
      <c r="AR337" s="474"/>
      <c r="AS337" s="474"/>
      <c r="AT337" s="474"/>
      <c r="AU337" s="474"/>
      <c r="AV337" s="474"/>
      <c r="AW337" s="474"/>
      <c r="AX337" s="474"/>
      <c r="AY337" s="474"/>
      <c r="AZ337" s="474"/>
      <c r="BA337" s="474"/>
      <c r="BC337" s="474"/>
      <c r="BD337" s="474"/>
      <c r="BE337" s="474"/>
      <c r="BF337" s="474"/>
      <c r="BG337" s="474"/>
      <c r="BH337" s="474"/>
      <c r="BI337" s="474"/>
      <c r="BJ337" s="474"/>
      <c r="CD337" s="474"/>
      <c r="CE337" s="474"/>
      <c r="CF337" s="474"/>
      <c r="CG337" s="474"/>
      <c r="CH337" s="474"/>
      <c r="CI337" s="474"/>
      <c r="CJ337" s="474"/>
      <c r="CK337" s="474"/>
      <c r="CM337" s="474"/>
      <c r="CN337" s="474"/>
      <c r="CO337" s="474"/>
      <c r="CP337" s="474"/>
      <c r="CQ337" s="474"/>
      <c r="CR337" s="474"/>
      <c r="CS337" s="474"/>
      <c r="CT337" s="474"/>
    </row>
    <row r="338" spans="1:98" s="35" customFormat="1" ht="12" customHeight="1">
      <c r="A338" s="474"/>
      <c r="B338" s="474"/>
      <c r="C338" s="474"/>
      <c r="D338" s="474"/>
      <c r="E338" s="474"/>
      <c r="F338" s="474"/>
      <c r="G338" s="474"/>
      <c r="H338" s="474"/>
      <c r="J338" s="474"/>
      <c r="K338" s="474"/>
      <c r="L338" s="474"/>
      <c r="M338" s="474"/>
      <c r="N338" s="474"/>
      <c r="O338" s="474"/>
      <c r="P338" s="474"/>
      <c r="Q338" s="474"/>
      <c r="S338" s="474"/>
      <c r="T338" s="474"/>
      <c r="U338" s="474"/>
      <c r="V338" s="474"/>
      <c r="W338" s="474"/>
      <c r="X338" s="474"/>
      <c r="Y338" s="474"/>
      <c r="Z338" s="474"/>
      <c r="AB338" s="474"/>
      <c r="AC338" s="474"/>
      <c r="AD338" s="474"/>
      <c r="AE338" s="474"/>
      <c r="AF338" s="474"/>
      <c r="AG338" s="474"/>
      <c r="AH338" s="474"/>
      <c r="AI338" s="474"/>
      <c r="AK338" s="474"/>
      <c r="AL338" s="474"/>
      <c r="AM338" s="474"/>
      <c r="AN338" s="474"/>
      <c r="AO338" s="474"/>
      <c r="AP338" s="474"/>
      <c r="AQ338" s="474"/>
      <c r="AR338" s="474"/>
      <c r="AS338" s="474"/>
      <c r="AT338" s="474"/>
      <c r="AU338" s="474"/>
      <c r="AV338" s="474"/>
      <c r="AW338" s="474"/>
      <c r="AX338" s="474"/>
      <c r="AY338" s="474"/>
      <c r="AZ338" s="474"/>
      <c r="BA338" s="474"/>
      <c r="BC338" s="474"/>
      <c r="BD338" s="474"/>
      <c r="BE338" s="474"/>
      <c r="BF338" s="474"/>
      <c r="BG338" s="474"/>
      <c r="BH338" s="474"/>
      <c r="BI338" s="474"/>
      <c r="BJ338" s="474"/>
      <c r="CD338" s="474"/>
      <c r="CE338" s="474"/>
      <c r="CF338" s="474"/>
      <c r="CG338" s="474"/>
      <c r="CH338" s="474"/>
      <c r="CI338" s="474"/>
      <c r="CJ338" s="474"/>
      <c r="CK338" s="474"/>
      <c r="CM338" s="474"/>
      <c r="CN338" s="474"/>
      <c r="CO338" s="474"/>
      <c r="CP338" s="474"/>
      <c r="CQ338" s="474"/>
      <c r="CR338" s="474"/>
      <c r="CS338" s="474"/>
      <c r="CT338" s="474"/>
    </row>
    <row r="339" spans="1:98" s="35" customFormat="1" ht="12" customHeight="1">
      <c r="A339" s="474"/>
      <c r="B339" s="474"/>
      <c r="C339" s="474"/>
      <c r="D339" s="474"/>
      <c r="E339" s="474"/>
      <c r="F339" s="474"/>
      <c r="G339" s="474"/>
      <c r="H339" s="474"/>
      <c r="J339" s="474"/>
      <c r="K339" s="474"/>
      <c r="L339" s="474"/>
      <c r="M339" s="474"/>
      <c r="N339" s="474"/>
      <c r="O339" s="474"/>
      <c r="P339" s="474"/>
      <c r="Q339" s="474"/>
      <c r="S339" s="474"/>
      <c r="T339" s="474"/>
      <c r="U339" s="474"/>
      <c r="V339" s="474"/>
      <c r="W339" s="474"/>
      <c r="X339" s="474"/>
      <c r="Y339" s="474"/>
      <c r="Z339" s="474"/>
      <c r="AB339" s="474"/>
      <c r="AC339" s="474"/>
      <c r="AD339" s="474"/>
      <c r="AE339" s="474"/>
      <c r="AF339" s="474"/>
      <c r="AG339" s="474"/>
      <c r="AH339" s="474"/>
      <c r="AI339" s="474"/>
      <c r="AK339" s="474"/>
      <c r="AL339" s="474"/>
      <c r="AM339" s="474"/>
      <c r="AN339" s="474"/>
      <c r="AO339" s="474"/>
      <c r="AP339" s="474"/>
      <c r="AQ339" s="474"/>
      <c r="AR339" s="474"/>
      <c r="AS339" s="474"/>
      <c r="AT339" s="474"/>
      <c r="AU339" s="474"/>
      <c r="AV339" s="474"/>
      <c r="AW339" s="474"/>
      <c r="AX339" s="474"/>
      <c r="AY339" s="474"/>
      <c r="AZ339" s="474"/>
      <c r="BA339" s="474"/>
      <c r="BC339" s="474"/>
      <c r="BD339" s="474"/>
      <c r="BE339" s="474"/>
      <c r="BF339" s="474"/>
      <c r="BG339" s="474"/>
      <c r="BH339" s="474"/>
      <c r="BI339" s="474"/>
      <c r="BJ339" s="474"/>
      <c r="CD339" s="474"/>
      <c r="CE339" s="474"/>
      <c r="CF339" s="474"/>
      <c r="CG339" s="474"/>
      <c r="CH339" s="474"/>
      <c r="CI339" s="474"/>
      <c r="CJ339" s="474"/>
      <c r="CK339" s="474"/>
      <c r="CM339" s="474"/>
      <c r="CN339" s="474"/>
      <c r="CO339" s="474"/>
      <c r="CP339" s="474"/>
      <c r="CQ339" s="474"/>
      <c r="CR339" s="474"/>
      <c r="CS339" s="474"/>
      <c r="CT339" s="474"/>
    </row>
    <row r="340" spans="1:98" s="35" customFormat="1" ht="12" customHeight="1">
      <c r="A340" s="474"/>
      <c r="B340" s="474"/>
      <c r="C340" s="474"/>
      <c r="D340" s="474"/>
      <c r="E340" s="474"/>
      <c r="F340" s="474"/>
      <c r="G340" s="474"/>
      <c r="H340" s="474"/>
      <c r="J340" s="474"/>
      <c r="K340" s="474"/>
      <c r="L340" s="474"/>
      <c r="M340" s="474"/>
      <c r="N340" s="474"/>
      <c r="O340" s="474"/>
      <c r="P340" s="474"/>
      <c r="Q340" s="474"/>
      <c r="S340" s="474"/>
      <c r="T340" s="474"/>
      <c r="U340" s="474"/>
      <c r="V340" s="474"/>
      <c r="W340" s="474"/>
      <c r="X340" s="474"/>
      <c r="Y340" s="474"/>
      <c r="Z340" s="474"/>
      <c r="AB340" s="474"/>
      <c r="AC340" s="474"/>
      <c r="AD340" s="474"/>
      <c r="AE340" s="474"/>
      <c r="AF340" s="474"/>
      <c r="AG340" s="474"/>
      <c r="AH340" s="474"/>
      <c r="AI340" s="474"/>
      <c r="AK340" s="474"/>
      <c r="AL340" s="474"/>
      <c r="AM340" s="474"/>
      <c r="AN340" s="474"/>
      <c r="AO340" s="474"/>
      <c r="AP340" s="474"/>
      <c r="AQ340" s="474"/>
      <c r="AR340" s="474"/>
      <c r="AS340" s="474"/>
      <c r="AT340" s="474"/>
      <c r="AU340" s="474"/>
      <c r="AV340" s="474"/>
      <c r="AW340" s="474"/>
      <c r="AX340" s="474"/>
      <c r="AY340" s="474"/>
      <c r="AZ340" s="474"/>
      <c r="BA340" s="474"/>
      <c r="BC340" s="474"/>
      <c r="BD340" s="474"/>
      <c r="BE340" s="474"/>
      <c r="BF340" s="474"/>
      <c r="BG340" s="474"/>
      <c r="BH340" s="474"/>
      <c r="BI340" s="474"/>
      <c r="BJ340" s="474"/>
      <c r="CD340" s="474"/>
      <c r="CE340" s="474"/>
      <c r="CF340" s="474"/>
      <c r="CG340" s="474"/>
      <c r="CH340" s="474"/>
      <c r="CI340" s="474"/>
      <c r="CJ340" s="474"/>
      <c r="CK340" s="474"/>
      <c r="CM340" s="474"/>
      <c r="CN340" s="474"/>
      <c r="CO340" s="474"/>
      <c r="CP340" s="474"/>
      <c r="CQ340" s="474"/>
      <c r="CR340" s="474"/>
      <c r="CS340" s="474"/>
      <c r="CT340" s="474"/>
    </row>
    <row r="341" spans="1:98" s="35" customFormat="1" ht="12" customHeight="1">
      <c r="A341" s="474"/>
      <c r="B341" s="474"/>
      <c r="C341" s="474"/>
      <c r="D341" s="474"/>
      <c r="E341" s="474"/>
      <c r="F341" s="474"/>
      <c r="G341" s="474"/>
      <c r="H341" s="474"/>
      <c r="J341" s="474"/>
      <c r="K341" s="474"/>
      <c r="L341" s="474"/>
      <c r="M341" s="474"/>
      <c r="N341" s="474"/>
      <c r="O341" s="474"/>
      <c r="P341" s="474"/>
      <c r="Q341" s="474"/>
      <c r="S341" s="474"/>
      <c r="T341" s="474"/>
      <c r="U341" s="474"/>
      <c r="V341" s="474"/>
      <c r="W341" s="474"/>
      <c r="X341" s="474"/>
      <c r="Y341" s="474"/>
      <c r="Z341" s="474"/>
      <c r="AB341" s="474"/>
      <c r="AC341" s="474"/>
      <c r="AD341" s="474"/>
      <c r="AE341" s="474"/>
      <c r="AF341" s="474"/>
      <c r="AG341" s="474"/>
      <c r="AH341" s="474"/>
      <c r="AI341" s="474"/>
      <c r="AK341" s="474"/>
      <c r="AL341" s="474"/>
      <c r="AM341" s="474"/>
      <c r="AN341" s="474"/>
      <c r="AO341" s="474"/>
      <c r="AP341" s="474"/>
      <c r="AQ341" s="474"/>
      <c r="AR341" s="474"/>
      <c r="AS341" s="474"/>
      <c r="AT341" s="474"/>
      <c r="AU341" s="474"/>
      <c r="AV341" s="474"/>
      <c r="AW341" s="474"/>
      <c r="AX341" s="474"/>
      <c r="AY341" s="474"/>
      <c r="AZ341" s="474"/>
      <c r="BA341" s="474"/>
      <c r="BC341" s="474"/>
      <c r="BD341" s="474"/>
      <c r="BE341" s="474"/>
      <c r="BF341" s="474"/>
      <c r="BG341" s="474"/>
      <c r="BH341" s="474"/>
      <c r="BI341" s="474"/>
      <c r="BJ341" s="474"/>
      <c r="CD341" s="474"/>
      <c r="CE341" s="474"/>
      <c r="CF341" s="474"/>
      <c r="CG341" s="474"/>
      <c r="CH341" s="474"/>
      <c r="CI341" s="474"/>
      <c r="CJ341" s="474"/>
      <c r="CK341" s="474"/>
      <c r="CM341" s="474"/>
      <c r="CN341" s="474"/>
      <c r="CO341" s="474"/>
      <c r="CP341" s="474"/>
      <c r="CQ341" s="474"/>
      <c r="CR341" s="474"/>
      <c r="CS341" s="474"/>
      <c r="CT341" s="474"/>
    </row>
    <row r="342" spans="1:98" s="35" customFormat="1" ht="12" customHeight="1">
      <c r="A342" s="474"/>
      <c r="B342" s="474"/>
      <c r="C342" s="474"/>
      <c r="D342" s="474"/>
      <c r="E342" s="474"/>
      <c r="F342" s="474"/>
      <c r="G342" s="474"/>
      <c r="H342" s="474"/>
      <c r="J342" s="474"/>
      <c r="K342" s="474"/>
      <c r="L342" s="474"/>
      <c r="M342" s="474"/>
      <c r="N342" s="474"/>
      <c r="O342" s="474"/>
      <c r="P342" s="474"/>
      <c r="Q342" s="474"/>
      <c r="S342" s="474"/>
      <c r="T342" s="474"/>
      <c r="U342" s="474"/>
      <c r="V342" s="474"/>
      <c r="W342" s="474"/>
      <c r="X342" s="474"/>
      <c r="Y342" s="474"/>
      <c r="Z342" s="474"/>
      <c r="AB342" s="474"/>
      <c r="AC342" s="474"/>
      <c r="AD342" s="474"/>
      <c r="AE342" s="474"/>
      <c r="AF342" s="474"/>
      <c r="AG342" s="474"/>
      <c r="AH342" s="474"/>
      <c r="AI342" s="474"/>
      <c r="AK342" s="474"/>
      <c r="AL342" s="474"/>
      <c r="AM342" s="474"/>
      <c r="AN342" s="474"/>
      <c r="AO342" s="474"/>
      <c r="AP342" s="474"/>
      <c r="AQ342" s="474"/>
      <c r="AR342" s="474"/>
      <c r="AS342" s="474"/>
      <c r="AT342" s="474"/>
      <c r="AU342" s="474"/>
      <c r="AV342" s="474"/>
      <c r="AW342" s="474"/>
      <c r="AX342" s="474"/>
      <c r="AY342" s="474"/>
      <c r="AZ342" s="474"/>
      <c r="BA342" s="474"/>
      <c r="BC342" s="474"/>
      <c r="BD342" s="474"/>
      <c r="BE342" s="474"/>
      <c r="BF342" s="474"/>
      <c r="BG342" s="474"/>
      <c r="BH342" s="474"/>
      <c r="BI342" s="474"/>
      <c r="BJ342" s="474"/>
      <c r="CD342" s="474"/>
      <c r="CE342" s="474"/>
      <c r="CF342" s="474"/>
      <c r="CG342" s="474"/>
      <c r="CH342" s="474"/>
      <c r="CI342" s="474"/>
      <c r="CJ342" s="474"/>
      <c r="CK342" s="474"/>
      <c r="CM342" s="474"/>
      <c r="CN342" s="474"/>
      <c r="CO342" s="474"/>
      <c r="CP342" s="474"/>
      <c r="CQ342" s="474"/>
      <c r="CR342" s="474"/>
      <c r="CS342" s="474"/>
      <c r="CT342" s="474"/>
    </row>
    <row r="343" spans="1:98" s="35" customFormat="1" ht="12" customHeight="1">
      <c r="A343" s="474"/>
      <c r="B343" s="474"/>
      <c r="C343" s="474"/>
      <c r="D343" s="474"/>
      <c r="E343" s="474"/>
      <c r="F343" s="474"/>
      <c r="G343" s="474"/>
      <c r="H343" s="474"/>
      <c r="J343" s="474"/>
      <c r="K343" s="474"/>
      <c r="L343" s="474"/>
      <c r="M343" s="474"/>
      <c r="N343" s="474"/>
      <c r="O343" s="474"/>
      <c r="P343" s="474"/>
      <c r="Q343" s="474"/>
      <c r="S343" s="474"/>
      <c r="T343" s="474"/>
      <c r="U343" s="474"/>
      <c r="V343" s="474"/>
      <c r="W343" s="474"/>
      <c r="X343" s="474"/>
      <c r="Y343" s="474"/>
      <c r="Z343" s="474"/>
      <c r="AB343" s="474"/>
      <c r="AC343" s="474"/>
      <c r="AD343" s="474"/>
      <c r="AE343" s="474"/>
      <c r="AF343" s="474"/>
      <c r="AG343" s="474"/>
      <c r="AH343" s="474"/>
      <c r="AI343" s="474"/>
      <c r="AK343" s="474"/>
      <c r="AL343" s="474"/>
      <c r="AM343" s="474"/>
      <c r="AN343" s="474"/>
      <c r="AO343" s="474"/>
      <c r="AP343" s="474"/>
      <c r="AQ343" s="474"/>
      <c r="AR343" s="474"/>
      <c r="AS343" s="474"/>
      <c r="AT343" s="474"/>
      <c r="AU343" s="474"/>
      <c r="AV343" s="474"/>
      <c r="AW343" s="474"/>
      <c r="AX343" s="474"/>
      <c r="AY343" s="474"/>
      <c r="AZ343" s="474"/>
      <c r="BA343" s="474"/>
      <c r="BC343" s="474"/>
      <c r="BD343" s="474"/>
      <c r="BE343" s="474"/>
      <c r="BF343" s="474"/>
      <c r="BG343" s="474"/>
      <c r="BH343" s="474"/>
      <c r="BI343" s="474"/>
      <c r="BJ343" s="474"/>
      <c r="CD343" s="474"/>
      <c r="CE343" s="474"/>
      <c r="CF343" s="474"/>
      <c r="CG343" s="474"/>
      <c r="CH343" s="474"/>
      <c r="CI343" s="474"/>
      <c r="CJ343" s="474"/>
      <c r="CK343" s="474"/>
      <c r="CM343" s="474"/>
      <c r="CN343" s="474"/>
      <c r="CO343" s="474"/>
      <c r="CP343" s="474"/>
      <c r="CQ343" s="474"/>
      <c r="CR343" s="474"/>
      <c r="CS343" s="474"/>
      <c r="CT343" s="474"/>
    </row>
    <row r="344" spans="1:98" s="35" customFormat="1" ht="12" customHeight="1">
      <c r="A344" s="474"/>
      <c r="B344" s="474"/>
      <c r="C344" s="474"/>
      <c r="D344" s="474"/>
      <c r="E344" s="474"/>
      <c r="F344" s="474"/>
      <c r="G344" s="474"/>
      <c r="H344" s="474"/>
      <c r="J344" s="474"/>
      <c r="K344" s="474"/>
      <c r="L344" s="474"/>
      <c r="M344" s="474"/>
      <c r="N344" s="474"/>
      <c r="O344" s="474"/>
      <c r="P344" s="474"/>
      <c r="Q344" s="474"/>
      <c r="S344" s="474"/>
      <c r="T344" s="474"/>
      <c r="U344" s="474"/>
      <c r="V344" s="474"/>
      <c r="W344" s="474"/>
      <c r="X344" s="474"/>
      <c r="Y344" s="474"/>
      <c r="Z344" s="474"/>
      <c r="AB344" s="474"/>
      <c r="AC344" s="474"/>
      <c r="AD344" s="474"/>
      <c r="AE344" s="474"/>
      <c r="AF344" s="474"/>
      <c r="AG344" s="474"/>
      <c r="AH344" s="474"/>
      <c r="AI344" s="474"/>
      <c r="AK344" s="474"/>
      <c r="AL344" s="474"/>
      <c r="AM344" s="474"/>
      <c r="AN344" s="474"/>
      <c r="AO344" s="474"/>
      <c r="AP344" s="474"/>
      <c r="AQ344" s="474"/>
      <c r="AR344" s="474"/>
      <c r="AS344" s="474"/>
      <c r="AT344" s="474"/>
      <c r="AU344" s="474"/>
      <c r="AV344" s="474"/>
      <c r="AW344" s="474"/>
      <c r="AX344" s="474"/>
      <c r="AY344" s="474"/>
      <c r="AZ344" s="474"/>
      <c r="BA344" s="474"/>
      <c r="BC344" s="474"/>
      <c r="BD344" s="474"/>
      <c r="BE344" s="474"/>
      <c r="BF344" s="474"/>
      <c r="BG344" s="474"/>
      <c r="BH344" s="474"/>
      <c r="BI344" s="474"/>
      <c r="BJ344" s="474"/>
      <c r="CD344" s="474"/>
      <c r="CE344" s="474"/>
      <c r="CF344" s="474"/>
      <c r="CG344" s="474"/>
      <c r="CH344" s="474"/>
      <c r="CI344" s="474"/>
      <c r="CJ344" s="474"/>
      <c r="CK344" s="474"/>
      <c r="CM344" s="474"/>
      <c r="CN344" s="474"/>
      <c r="CO344" s="474"/>
      <c r="CP344" s="474"/>
      <c r="CQ344" s="474"/>
      <c r="CR344" s="474"/>
      <c r="CS344" s="474"/>
      <c r="CT344" s="474"/>
    </row>
    <row r="345" spans="1:98" s="35" customFormat="1" ht="12" customHeight="1">
      <c r="A345" s="474"/>
      <c r="B345" s="474"/>
      <c r="C345" s="474"/>
      <c r="D345" s="474"/>
      <c r="E345" s="474"/>
      <c r="F345" s="474"/>
      <c r="G345" s="474"/>
      <c r="H345" s="474"/>
      <c r="J345" s="474"/>
      <c r="K345" s="474"/>
      <c r="L345" s="474"/>
      <c r="M345" s="474"/>
      <c r="N345" s="474"/>
      <c r="O345" s="474"/>
      <c r="P345" s="474"/>
      <c r="Q345" s="474"/>
      <c r="S345" s="474"/>
      <c r="T345" s="474"/>
      <c r="U345" s="474"/>
      <c r="V345" s="474"/>
      <c r="W345" s="474"/>
      <c r="X345" s="474"/>
      <c r="Y345" s="474"/>
      <c r="Z345" s="474"/>
      <c r="AB345" s="474"/>
      <c r="AC345" s="474"/>
      <c r="AD345" s="474"/>
      <c r="AE345" s="474"/>
      <c r="AF345" s="474"/>
      <c r="AG345" s="474"/>
      <c r="AH345" s="474"/>
      <c r="AI345" s="474"/>
      <c r="AK345" s="474"/>
      <c r="AL345" s="474"/>
      <c r="AM345" s="474"/>
      <c r="AN345" s="474"/>
      <c r="AO345" s="474"/>
      <c r="AP345" s="474"/>
      <c r="AQ345" s="474"/>
      <c r="AR345" s="474"/>
      <c r="AS345" s="474"/>
      <c r="AT345" s="474"/>
      <c r="AU345" s="474"/>
      <c r="AV345" s="474"/>
      <c r="AW345" s="474"/>
      <c r="AX345" s="474"/>
      <c r="AY345" s="474"/>
      <c r="AZ345" s="474"/>
      <c r="BA345" s="474"/>
      <c r="BC345" s="474"/>
      <c r="BD345" s="474"/>
      <c r="BE345" s="474"/>
      <c r="BF345" s="474"/>
      <c r="BG345" s="474"/>
      <c r="BH345" s="474"/>
      <c r="BI345" s="474"/>
      <c r="BJ345" s="474"/>
      <c r="CD345" s="474"/>
      <c r="CE345" s="474"/>
      <c r="CF345" s="474"/>
      <c r="CG345" s="474"/>
      <c r="CH345" s="474"/>
      <c r="CI345" s="474"/>
      <c r="CJ345" s="474"/>
      <c r="CK345" s="474"/>
      <c r="CM345" s="474"/>
      <c r="CN345" s="474"/>
      <c r="CO345" s="474"/>
      <c r="CP345" s="474"/>
      <c r="CQ345" s="474"/>
      <c r="CR345" s="474"/>
      <c r="CS345" s="474"/>
      <c r="CT345" s="474"/>
    </row>
    <row r="346" spans="1:98" s="35" customFormat="1" ht="12" customHeight="1">
      <c r="A346" s="474"/>
      <c r="B346" s="474"/>
      <c r="C346" s="474"/>
      <c r="D346" s="474"/>
      <c r="E346" s="474"/>
      <c r="F346" s="474"/>
      <c r="G346" s="474"/>
      <c r="H346" s="474"/>
      <c r="J346" s="474"/>
      <c r="K346" s="474"/>
      <c r="L346" s="474"/>
      <c r="M346" s="474"/>
      <c r="N346" s="474"/>
      <c r="O346" s="474"/>
      <c r="P346" s="474"/>
      <c r="Q346" s="474"/>
      <c r="S346" s="474"/>
      <c r="T346" s="474"/>
      <c r="U346" s="474"/>
      <c r="V346" s="474"/>
      <c r="W346" s="474"/>
      <c r="X346" s="474"/>
      <c r="Y346" s="474"/>
      <c r="Z346" s="474"/>
      <c r="AB346" s="474"/>
      <c r="AC346" s="474"/>
      <c r="AD346" s="474"/>
      <c r="AE346" s="474"/>
      <c r="AF346" s="474"/>
      <c r="AG346" s="474"/>
      <c r="AH346" s="474"/>
      <c r="AI346" s="474"/>
      <c r="AK346" s="474"/>
      <c r="AL346" s="474"/>
      <c r="AM346" s="474"/>
      <c r="AN346" s="474"/>
      <c r="AO346" s="474"/>
      <c r="AP346" s="474"/>
      <c r="AQ346" s="474"/>
      <c r="AR346" s="474"/>
      <c r="AS346" s="474"/>
      <c r="AT346" s="474"/>
      <c r="AU346" s="474"/>
      <c r="AV346" s="474"/>
      <c r="AW346" s="474"/>
      <c r="AX346" s="474"/>
      <c r="AY346" s="474"/>
      <c r="AZ346" s="474"/>
      <c r="BA346" s="474"/>
      <c r="BC346" s="474"/>
      <c r="BD346" s="474"/>
      <c r="BE346" s="474"/>
      <c r="BF346" s="474"/>
      <c r="BG346" s="474"/>
      <c r="BH346" s="474"/>
      <c r="BI346" s="474"/>
      <c r="BJ346" s="474"/>
      <c r="CD346" s="474"/>
      <c r="CE346" s="474"/>
      <c r="CF346" s="474"/>
      <c r="CG346" s="474"/>
      <c r="CH346" s="474"/>
      <c r="CI346" s="474"/>
      <c r="CJ346" s="474"/>
      <c r="CK346" s="474"/>
      <c r="CM346" s="474"/>
      <c r="CN346" s="474"/>
      <c r="CO346" s="474"/>
      <c r="CP346" s="474"/>
      <c r="CQ346" s="474"/>
      <c r="CR346" s="474"/>
      <c r="CS346" s="474"/>
      <c r="CT346" s="474"/>
    </row>
    <row r="347" spans="1:98" s="35" customFormat="1" ht="12" customHeight="1">
      <c r="A347" s="474"/>
      <c r="B347" s="474"/>
      <c r="C347" s="474"/>
      <c r="D347" s="474"/>
      <c r="E347" s="474"/>
      <c r="F347" s="474"/>
      <c r="G347" s="474"/>
      <c r="H347" s="474"/>
      <c r="J347" s="474"/>
      <c r="K347" s="474"/>
      <c r="L347" s="474"/>
      <c r="M347" s="474"/>
      <c r="N347" s="474"/>
      <c r="O347" s="474"/>
      <c r="P347" s="474"/>
      <c r="Q347" s="474"/>
      <c r="S347" s="474"/>
      <c r="T347" s="474"/>
      <c r="U347" s="474"/>
      <c r="V347" s="474"/>
      <c r="W347" s="474"/>
      <c r="X347" s="474"/>
      <c r="Y347" s="474"/>
      <c r="Z347" s="474"/>
      <c r="AB347" s="474"/>
      <c r="AC347" s="474"/>
      <c r="AD347" s="474"/>
      <c r="AE347" s="474"/>
      <c r="AF347" s="474"/>
      <c r="AG347" s="474"/>
      <c r="AH347" s="474"/>
      <c r="AI347" s="474"/>
      <c r="AK347" s="474"/>
      <c r="AL347" s="474"/>
      <c r="AM347" s="474"/>
      <c r="AN347" s="474"/>
      <c r="AO347" s="474"/>
      <c r="AP347" s="474"/>
      <c r="AQ347" s="474"/>
      <c r="AR347" s="474"/>
      <c r="AS347" s="474"/>
      <c r="AT347" s="474"/>
      <c r="AU347" s="474"/>
      <c r="AV347" s="474"/>
      <c r="AW347" s="474"/>
      <c r="AX347" s="474"/>
      <c r="AY347" s="474"/>
      <c r="AZ347" s="474"/>
      <c r="BA347" s="474"/>
      <c r="BC347" s="474"/>
      <c r="BD347" s="474"/>
      <c r="BE347" s="474"/>
      <c r="BF347" s="474"/>
      <c r="BG347" s="474"/>
      <c r="BH347" s="474"/>
      <c r="BI347" s="474"/>
      <c r="BJ347" s="474"/>
      <c r="CD347" s="474"/>
      <c r="CE347" s="474"/>
      <c r="CF347" s="474"/>
      <c r="CG347" s="474"/>
      <c r="CH347" s="474"/>
      <c r="CI347" s="474"/>
      <c r="CJ347" s="474"/>
      <c r="CK347" s="474"/>
      <c r="CM347" s="474"/>
      <c r="CN347" s="474"/>
      <c r="CO347" s="474"/>
      <c r="CP347" s="474"/>
      <c r="CQ347" s="474"/>
      <c r="CR347" s="474"/>
      <c r="CS347" s="474"/>
      <c r="CT347" s="474"/>
    </row>
    <row r="348" spans="1:98" s="35" customFormat="1" ht="12" customHeight="1">
      <c r="A348" s="474"/>
      <c r="B348" s="474"/>
      <c r="C348" s="474"/>
      <c r="D348" s="474"/>
      <c r="E348" s="474"/>
      <c r="F348" s="474"/>
      <c r="G348" s="474"/>
      <c r="H348" s="474"/>
      <c r="J348" s="474"/>
      <c r="K348" s="474"/>
      <c r="L348" s="474"/>
      <c r="M348" s="474"/>
      <c r="N348" s="474"/>
      <c r="O348" s="474"/>
      <c r="P348" s="474"/>
      <c r="Q348" s="474"/>
      <c r="S348" s="474"/>
      <c r="T348" s="474"/>
      <c r="U348" s="474"/>
      <c r="V348" s="474"/>
      <c r="W348" s="474"/>
      <c r="X348" s="474"/>
      <c r="Y348" s="474"/>
      <c r="Z348" s="474"/>
      <c r="AB348" s="474"/>
      <c r="AC348" s="474"/>
      <c r="AD348" s="474"/>
      <c r="AE348" s="474"/>
      <c r="AF348" s="474"/>
      <c r="AG348" s="474"/>
      <c r="AH348" s="474"/>
      <c r="AI348" s="474"/>
      <c r="AK348" s="474"/>
      <c r="AL348" s="474"/>
      <c r="AM348" s="474"/>
      <c r="AN348" s="474"/>
      <c r="AO348" s="474"/>
      <c r="AP348" s="474"/>
      <c r="AQ348" s="474"/>
      <c r="AR348" s="474"/>
      <c r="AS348" s="474"/>
      <c r="AT348" s="474"/>
      <c r="AU348" s="474"/>
      <c r="AV348" s="474"/>
      <c r="AW348" s="474"/>
      <c r="AX348" s="474"/>
      <c r="AY348" s="474"/>
      <c r="AZ348" s="474"/>
      <c r="BA348" s="474"/>
      <c r="BC348" s="474"/>
      <c r="BD348" s="474"/>
      <c r="BE348" s="474"/>
      <c r="BF348" s="474"/>
      <c r="BG348" s="474"/>
      <c r="BH348" s="474"/>
      <c r="BI348" s="474"/>
      <c r="BJ348" s="474"/>
      <c r="CD348" s="474"/>
      <c r="CE348" s="474"/>
      <c r="CF348" s="474"/>
      <c r="CG348" s="474"/>
      <c r="CH348" s="474"/>
      <c r="CI348" s="474"/>
      <c r="CJ348" s="474"/>
      <c r="CK348" s="474"/>
      <c r="CM348" s="474"/>
      <c r="CN348" s="474"/>
      <c r="CO348" s="474"/>
      <c r="CP348" s="474"/>
      <c r="CQ348" s="474"/>
      <c r="CR348" s="474"/>
      <c r="CS348" s="474"/>
      <c r="CT348" s="474"/>
    </row>
    <row r="349" spans="1:98" s="35" customFormat="1" ht="12" customHeight="1">
      <c r="A349" s="474"/>
      <c r="B349" s="474"/>
      <c r="C349" s="474"/>
      <c r="D349" s="474"/>
      <c r="E349" s="474"/>
      <c r="F349" s="474"/>
      <c r="G349" s="474"/>
      <c r="H349" s="474"/>
      <c r="J349" s="474"/>
      <c r="K349" s="474"/>
      <c r="L349" s="474"/>
      <c r="M349" s="474"/>
      <c r="N349" s="474"/>
      <c r="O349" s="474"/>
      <c r="P349" s="474"/>
      <c r="Q349" s="474"/>
      <c r="S349" s="474"/>
      <c r="T349" s="474"/>
      <c r="U349" s="474"/>
      <c r="V349" s="474"/>
      <c r="W349" s="474"/>
      <c r="X349" s="474"/>
      <c r="Y349" s="474"/>
      <c r="Z349" s="474"/>
      <c r="AB349" s="474"/>
      <c r="AC349" s="474"/>
      <c r="AD349" s="474"/>
      <c r="AE349" s="474"/>
      <c r="AF349" s="474"/>
      <c r="AG349" s="474"/>
      <c r="AH349" s="474"/>
      <c r="AI349" s="474"/>
      <c r="AK349" s="474"/>
      <c r="AL349" s="474"/>
      <c r="AM349" s="474"/>
      <c r="AN349" s="474"/>
      <c r="AO349" s="474"/>
      <c r="AP349" s="474"/>
      <c r="AQ349" s="474"/>
      <c r="AR349" s="474"/>
      <c r="AS349" s="474"/>
      <c r="AT349" s="474"/>
      <c r="AU349" s="474"/>
      <c r="AV349" s="474"/>
      <c r="AW349" s="474"/>
      <c r="AX349" s="474"/>
      <c r="AY349" s="474"/>
      <c r="AZ349" s="474"/>
      <c r="BA349" s="474"/>
      <c r="BC349" s="474"/>
      <c r="BD349" s="474"/>
      <c r="BE349" s="474"/>
      <c r="BF349" s="474"/>
      <c r="BG349" s="474"/>
      <c r="BH349" s="474"/>
      <c r="BI349" s="474"/>
      <c r="BJ349" s="474"/>
      <c r="CD349" s="474"/>
      <c r="CE349" s="474"/>
      <c r="CF349" s="474"/>
      <c r="CG349" s="474"/>
      <c r="CH349" s="474"/>
      <c r="CI349" s="474"/>
      <c r="CJ349" s="474"/>
      <c r="CK349" s="474"/>
      <c r="CM349" s="474"/>
      <c r="CN349" s="474"/>
      <c r="CO349" s="474"/>
      <c r="CP349" s="474"/>
      <c r="CQ349" s="474"/>
      <c r="CR349" s="474"/>
      <c r="CS349" s="474"/>
      <c r="CT349" s="474"/>
    </row>
    <row r="350" spans="1:98" s="35" customFormat="1" ht="12" customHeight="1">
      <c r="A350" s="474"/>
      <c r="B350" s="474"/>
      <c r="C350" s="474"/>
      <c r="D350" s="474"/>
      <c r="E350" s="474"/>
      <c r="F350" s="474"/>
      <c r="G350" s="474"/>
      <c r="H350" s="474"/>
      <c r="J350" s="474"/>
      <c r="K350" s="474"/>
      <c r="L350" s="474"/>
      <c r="M350" s="474"/>
      <c r="N350" s="474"/>
      <c r="O350" s="474"/>
      <c r="P350" s="474"/>
      <c r="Q350" s="474"/>
      <c r="S350" s="474"/>
      <c r="T350" s="474"/>
      <c r="U350" s="474"/>
      <c r="V350" s="474"/>
      <c r="W350" s="474"/>
      <c r="X350" s="474"/>
      <c r="Y350" s="474"/>
      <c r="Z350" s="474"/>
      <c r="AB350" s="474"/>
      <c r="AC350" s="474"/>
      <c r="AD350" s="474"/>
      <c r="AE350" s="474"/>
      <c r="AF350" s="474"/>
      <c r="AG350" s="474"/>
      <c r="AH350" s="474"/>
      <c r="AI350" s="474"/>
      <c r="AK350" s="474"/>
      <c r="AL350" s="474"/>
      <c r="AM350" s="474"/>
      <c r="AN350" s="474"/>
      <c r="AO350" s="474"/>
      <c r="AP350" s="474"/>
      <c r="AQ350" s="474"/>
      <c r="AR350" s="474"/>
      <c r="AS350" s="474"/>
      <c r="AT350" s="474"/>
      <c r="AU350" s="474"/>
      <c r="AV350" s="474"/>
      <c r="AW350" s="474"/>
      <c r="AX350" s="474"/>
      <c r="AY350" s="474"/>
      <c r="AZ350" s="474"/>
      <c r="BA350" s="474"/>
      <c r="BC350" s="474"/>
      <c r="BD350" s="474"/>
      <c r="BE350" s="474"/>
      <c r="BF350" s="474"/>
      <c r="BG350" s="474"/>
      <c r="BH350" s="474"/>
      <c r="BI350" s="474"/>
      <c r="BJ350" s="474"/>
      <c r="CD350" s="474"/>
      <c r="CE350" s="474"/>
      <c r="CF350" s="474"/>
      <c r="CG350" s="474"/>
      <c r="CH350" s="474"/>
      <c r="CI350" s="474"/>
      <c r="CJ350" s="474"/>
      <c r="CK350" s="474"/>
      <c r="CM350" s="474"/>
      <c r="CN350" s="474"/>
      <c r="CO350" s="474"/>
      <c r="CP350" s="474"/>
      <c r="CQ350" s="474"/>
      <c r="CR350" s="474"/>
      <c r="CS350" s="474"/>
      <c r="CT350" s="474"/>
    </row>
    <row r="351" spans="1:98" s="35" customFormat="1" ht="12" customHeight="1">
      <c r="A351" s="474"/>
      <c r="B351" s="474"/>
      <c r="C351" s="474"/>
      <c r="D351" s="474"/>
      <c r="E351" s="474"/>
      <c r="F351" s="474"/>
      <c r="G351" s="474"/>
      <c r="H351" s="474"/>
      <c r="J351" s="474"/>
      <c r="K351" s="474"/>
      <c r="L351" s="474"/>
      <c r="M351" s="474"/>
      <c r="N351" s="474"/>
      <c r="O351" s="474"/>
      <c r="P351" s="474"/>
      <c r="Q351" s="474"/>
      <c r="S351" s="474"/>
      <c r="T351" s="474"/>
      <c r="U351" s="474"/>
      <c r="V351" s="474"/>
      <c r="W351" s="474"/>
      <c r="X351" s="474"/>
      <c r="Y351" s="474"/>
      <c r="Z351" s="474"/>
      <c r="AB351" s="474"/>
      <c r="AC351" s="474"/>
      <c r="AD351" s="474"/>
      <c r="AE351" s="474"/>
      <c r="AF351" s="474"/>
      <c r="AG351" s="474"/>
      <c r="AH351" s="474"/>
      <c r="AI351" s="474"/>
      <c r="AK351" s="474"/>
      <c r="AL351" s="474"/>
      <c r="AM351" s="474"/>
      <c r="AN351" s="474"/>
      <c r="AO351" s="474"/>
      <c r="AP351" s="474"/>
      <c r="AQ351" s="474"/>
      <c r="AR351" s="474"/>
      <c r="AS351" s="474"/>
      <c r="AT351" s="474"/>
      <c r="AU351" s="474"/>
      <c r="AV351" s="474"/>
      <c r="AW351" s="474"/>
      <c r="AX351" s="474"/>
      <c r="AY351" s="474"/>
      <c r="AZ351" s="474"/>
      <c r="BA351" s="474"/>
      <c r="BC351" s="474"/>
      <c r="BD351" s="474"/>
      <c r="BE351" s="474"/>
      <c r="BF351" s="474"/>
      <c r="BG351" s="474"/>
      <c r="BH351" s="474"/>
      <c r="BI351" s="474"/>
      <c r="BJ351" s="474"/>
      <c r="CD351" s="474"/>
      <c r="CE351" s="474"/>
      <c r="CF351" s="474"/>
      <c r="CG351" s="474"/>
      <c r="CH351" s="474"/>
      <c r="CI351" s="474"/>
      <c r="CJ351" s="474"/>
      <c r="CK351" s="474"/>
      <c r="CM351" s="474"/>
      <c r="CN351" s="474"/>
      <c r="CO351" s="474"/>
      <c r="CP351" s="474"/>
      <c r="CQ351" s="474"/>
      <c r="CR351" s="474"/>
      <c r="CS351" s="474"/>
      <c r="CT351" s="474"/>
    </row>
    <row r="352" spans="1:98" s="35" customFormat="1" ht="12" customHeight="1">
      <c r="A352" s="474"/>
      <c r="B352" s="474"/>
      <c r="C352" s="474"/>
      <c r="D352" s="474"/>
      <c r="E352" s="474"/>
      <c r="F352" s="474"/>
      <c r="G352" s="474"/>
      <c r="H352" s="474"/>
      <c r="J352" s="474"/>
      <c r="K352" s="474"/>
      <c r="L352" s="474"/>
      <c r="M352" s="474"/>
      <c r="N352" s="474"/>
      <c r="O352" s="474"/>
      <c r="P352" s="474"/>
      <c r="Q352" s="474"/>
      <c r="S352" s="474"/>
      <c r="T352" s="474"/>
      <c r="U352" s="474"/>
      <c r="V352" s="474"/>
      <c r="W352" s="474"/>
      <c r="X352" s="474"/>
      <c r="Y352" s="474"/>
      <c r="Z352" s="474"/>
      <c r="AB352" s="474"/>
      <c r="AC352" s="474"/>
      <c r="AD352" s="474"/>
      <c r="AE352" s="474"/>
      <c r="AF352" s="474"/>
      <c r="AG352" s="474"/>
      <c r="AH352" s="474"/>
      <c r="AI352" s="474"/>
      <c r="AK352" s="474"/>
      <c r="AL352" s="474"/>
      <c r="AM352" s="474"/>
      <c r="AN352" s="474"/>
      <c r="AO352" s="474"/>
      <c r="AP352" s="474"/>
      <c r="AQ352" s="474"/>
      <c r="AR352" s="474"/>
      <c r="AS352" s="474"/>
      <c r="AT352" s="474"/>
      <c r="AU352" s="474"/>
      <c r="AV352" s="474"/>
      <c r="AW352" s="474"/>
      <c r="AX352" s="474"/>
      <c r="AY352" s="474"/>
      <c r="AZ352" s="474"/>
      <c r="BA352" s="474"/>
      <c r="BC352" s="474"/>
      <c r="BD352" s="474"/>
      <c r="BE352" s="474"/>
      <c r="BF352" s="474"/>
      <c r="BG352" s="474"/>
      <c r="BH352" s="474"/>
      <c r="BI352" s="474"/>
      <c r="BJ352" s="474"/>
      <c r="CD352" s="474"/>
      <c r="CE352" s="474"/>
      <c r="CF352" s="474"/>
      <c r="CG352" s="474"/>
      <c r="CH352" s="474"/>
      <c r="CI352" s="474"/>
      <c r="CJ352" s="474"/>
      <c r="CK352" s="474"/>
      <c r="CM352" s="474"/>
      <c r="CN352" s="474"/>
      <c r="CO352" s="474"/>
      <c r="CP352" s="474"/>
      <c r="CQ352" s="474"/>
      <c r="CR352" s="474"/>
      <c r="CS352" s="474"/>
      <c r="CT352" s="474"/>
    </row>
    <row r="353" spans="1:98" s="35" customFormat="1" ht="12" customHeight="1">
      <c r="A353" s="474"/>
      <c r="B353" s="474"/>
      <c r="C353" s="474"/>
      <c r="D353" s="474"/>
      <c r="E353" s="474"/>
      <c r="F353" s="474"/>
      <c r="G353" s="474"/>
      <c r="H353" s="474"/>
      <c r="J353" s="474"/>
      <c r="K353" s="474"/>
      <c r="L353" s="474"/>
      <c r="M353" s="474"/>
      <c r="N353" s="474"/>
      <c r="O353" s="474"/>
      <c r="P353" s="474"/>
      <c r="Q353" s="474"/>
      <c r="S353" s="474"/>
      <c r="T353" s="474"/>
      <c r="U353" s="474"/>
      <c r="V353" s="474"/>
      <c r="W353" s="474"/>
      <c r="X353" s="474"/>
      <c r="Y353" s="474"/>
      <c r="Z353" s="474"/>
      <c r="AB353" s="474"/>
      <c r="AC353" s="474"/>
      <c r="AD353" s="474"/>
      <c r="AE353" s="474"/>
      <c r="AF353" s="474"/>
      <c r="AG353" s="474"/>
      <c r="AH353" s="474"/>
      <c r="AI353" s="474"/>
      <c r="AK353" s="474"/>
      <c r="AL353" s="474"/>
      <c r="AM353" s="474"/>
      <c r="AN353" s="474"/>
      <c r="AO353" s="474"/>
      <c r="AP353" s="474"/>
      <c r="AQ353" s="474"/>
      <c r="AR353" s="474"/>
      <c r="AS353" s="474"/>
      <c r="AT353" s="474"/>
      <c r="AU353" s="474"/>
      <c r="AV353" s="474"/>
      <c r="AW353" s="474"/>
      <c r="AX353" s="474"/>
      <c r="AY353" s="474"/>
      <c r="AZ353" s="474"/>
      <c r="BA353" s="474"/>
      <c r="BC353" s="474"/>
      <c r="BD353" s="474"/>
      <c r="BE353" s="474"/>
      <c r="BF353" s="474"/>
      <c r="BG353" s="474"/>
      <c r="BH353" s="474"/>
      <c r="BI353" s="474"/>
      <c r="BJ353" s="474"/>
      <c r="CD353" s="474"/>
      <c r="CE353" s="474"/>
      <c r="CF353" s="474"/>
      <c r="CG353" s="474"/>
      <c r="CH353" s="474"/>
      <c r="CI353" s="474"/>
      <c r="CJ353" s="474"/>
      <c r="CK353" s="474"/>
      <c r="CM353" s="474"/>
      <c r="CN353" s="474"/>
      <c r="CO353" s="474"/>
      <c r="CP353" s="474"/>
      <c r="CQ353" s="474"/>
      <c r="CR353" s="474"/>
      <c r="CS353" s="474"/>
      <c r="CT353" s="474"/>
    </row>
    <row r="354" spans="1:98" s="35" customFormat="1" ht="12" customHeight="1">
      <c r="A354" s="474"/>
      <c r="B354" s="474"/>
      <c r="C354" s="474"/>
      <c r="D354" s="474"/>
      <c r="E354" s="474"/>
      <c r="F354" s="474"/>
      <c r="G354" s="474"/>
      <c r="H354" s="474"/>
      <c r="J354" s="474"/>
      <c r="K354" s="474"/>
      <c r="L354" s="474"/>
      <c r="M354" s="474"/>
      <c r="N354" s="474"/>
      <c r="O354" s="474"/>
      <c r="P354" s="474"/>
      <c r="Q354" s="474"/>
      <c r="S354" s="474"/>
      <c r="T354" s="474"/>
      <c r="U354" s="474"/>
      <c r="V354" s="474"/>
      <c r="W354" s="474"/>
      <c r="X354" s="474"/>
      <c r="Y354" s="474"/>
      <c r="Z354" s="474"/>
      <c r="AB354" s="474"/>
      <c r="AC354" s="474"/>
      <c r="AD354" s="474"/>
      <c r="AE354" s="474"/>
      <c r="AF354" s="474"/>
      <c r="AG354" s="474"/>
      <c r="AH354" s="474"/>
      <c r="AI354" s="474"/>
      <c r="AK354" s="474"/>
      <c r="AL354" s="474"/>
      <c r="AM354" s="474"/>
      <c r="AN354" s="474"/>
      <c r="AO354" s="474"/>
      <c r="AP354" s="474"/>
      <c r="AQ354" s="474"/>
      <c r="AR354" s="474"/>
      <c r="AS354" s="474"/>
      <c r="AT354" s="474"/>
      <c r="AU354" s="474"/>
      <c r="AV354" s="474"/>
      <c r="AW354" s="474"/>
      <c r="AX354" s="474"/>
      <c r="AY354" s="474"/>
      <c r="AZ354" s="474"/>
      <c r="BA354" s="474"/>
      <c r="BC354" s="474"/>
      <c r="BD354" s="474"/>
      <c r="BE354" s="474"/>
      <c r="BF354" s="474"/>
      <c r="BG354" s="474"/>
      <c r="BH354" s="474"/>
      <c r="BI354" s="474"/>
      <c r="BJ354" s="474"/>
      <c r="CD354" s="474"/>
      <c r="CE354" s="474"/>
      <c r="CF354" s="474"/>
      <c r="CG354" s="474"/>
      <c r="CH354" s="474"/>
      <c r="CI354" s="474"/>
      <c r="CJ354" s="474"/>
      <c r="CK354" s="474"/>
      <c r="CM354" s="474"/>
      <c r="CN354" s="474"/>
      <c r="CO354" s="474"/>
      <c r="CP354" s="474"/>
      <c r="CQ354" s="474"/>
      <c r="CR354" s="474"/>
      <c r="CS354" s="474"/>
      <c r="CT354" s="474"/>
    </row>
    <row r="355" spans="1:98" s="35" customFormat="1" ht="12" customHeight="1">
      <c r="A355" s="474"/>
      <c r="B355" s="474"/>
      <c r="C355" s="474"/>
      <c r="D355" s="474"/>
      <c r="E355" s="474"/>
      <c r="F355" s="474"/>
      <c r="G355" s="474"/>
      <c r="H355" s="474"/>
      <c r="J355" s="474"/>
      <c r="K355" s="474"/>
      <c r="L355" s="474"/>
      <c r="M355" s="474"/>
      <c r="N355" s="474"/>
      <c r="O355" s="474"/>
      <c r="P355" s="474"/>
      <c r="Q355" s="474"/>
      <c r="S355" s="474"/>
      <c r="T355" s="474"/>
      <c r="U355" s="474"/>
      <c r="V355" s="474"/>
      <c r="W355" s="474"/>
      <c r="X355" s="474"/>
      <c r="Y355" s="474"/>
      <c r="Z355" s="474"/>
      <c r="AB355" s="474"/>
      <c r="AC355" s="474"/>
      <c r="AD355" s="474"/>
      <c r="AE355" s="474"/>
      <c r="AF355" s="474"/>
      <c r="AG355" s="474"/>
      <c r="AH355" s="474"/>
      <c r="AI355" s="474"/>
      <c r="AK355" s="474"/>
      <c r="AL355" s="474"/>
      <c r="AM355" s="474"/>
      <c r="AN355" s="474"/>
      <c r="AO355" s="474"/>
      <c r="AP355" s="474"/>
      <c r="AQ355" s="474"/>
      <c r="AR355" s="474"/>
      <c r="AS355" s="474"/>
      <c r="AT355" s="474"/>
      <c r="AU355" s="474"/>
      <c r="AV355" s="474"/>
      <c r="AW355" s="474"/>
      <c r="AX355" s="474"/>
      <c r="AY355" s="474"/>
      <c r="AZ355" s="474"/>
      <c r="BA355" s="474"/>
      <c r="BC355" s="474"/>
      <c r="BD355" s="474"/>
      <c r="BE355" s="474"/>
      <c r="BF355" s="474"/>
      <c r="BG355" s="474"/>
      <c r="BH355" s="474"/>
      <c r="BI355" s="474"/>
      <c r="BJ355" s="474"/>
      <c r="CD355" s="474"/>
      <c r="CE355" s="474"/>
      <c r="CF355" s="474"/>
      <c r="CG355" s="474"/>
      <c r="CH355" s="474"/>
      <c r="CI355" s="474"/>
      <c r="CJ355" s="474"/>
      <c r="CK355" s="474"/>
      <c r="CM355" s="474"/>
      <c r="CN355" s="474"/>
      <c r="CO355" s="474"/>
      <c r="CP355" s="474"/>
      <c r="CQ355" s="474"/>
      <c r="CR355" s="474"/>
      <c r="CS355" s="474"/>
      <c r="CT355" s="474"/>
    </row>
    <row r="356" spans="1:98" s="35" customFormat="1" ht="12" customHeight="1">
      <c r="A356" s="474"/>
      <c r="B356" s="474"/>
      <c r="C356" s="474"/>
      <c r="D356" s="474"/>
      <c r="E356" s="474"/>
      <c r="F356" s="474"/>
      <c r="G356" s="474"/>
      <c r="H356" s="474"/>
      <c r="J356" s="474"/>
      <c r="K356" s="474"/>
      <c r="L356" s="474"/>
      <c r="M356" s="474"/>
      <c r="N356" s="474"/>
      <c r="O356" s="474"/>
      <c r="P356" s="474"/>
      <c r="Q356" s="474"/>
      <c r="S356" s="474"/>
      <c r="T356" s="474"/>
      <c r="U356" s="474"/>
      <c r="V356" s="474"/>
      <c r="W356" s="474"/>
      <c r="X356" s="474"/>
      <c r="Y356" s="474"/>
      <c r="Z356" s="474"/>
      <c r="AB356" s="474"/>
      <c r="AC356" s="474"/>
      <c r="AD356" s="474"/>
      <c r="AE356" s="474"/>
      <c r="AF356" s="474"/>
      <c r="AG356" s="474"/>
      <c r="AH356" s="474"/>
      <c r="AI356" s="474"/>
      <c r="AK356" s="474"/>
      <c r="AL356" s="474"/>
      <c r="AM356" s="474"/>
      <c r="AN356" s="474"/>
      <c r="AO356" s="474"/>
      <c r="AP356" s="474"/>
      <c r="AQ356" s="474"/>
      <c r="AR356" s="474"/>
      <c r="AS356" s="474"/>
      <c r="AT356" s="474"/>
      <c r="AU356" s="474"/>
      <c r="AV356" s="474"/>
      <c r="AW356" s="474"/>
      <c r="AX356" s="474"/>
      <c r="AY356" s="474"/>
      <c r="AZ356" s="474"/>
      <c r="BA356" s="474"/>
      <c r="BC356" s="474"/>
      <c r="BD356" s="474"/>
      <c r="BE356" s="474"/>
      <c r="BF356" s="474"/>
      <c r="BG356" s="474"/>
      <c r="BH356" s="474"/>
      <c r="BI356" s="474"/>
      <c r="BJ356" s="474"/>
      <c r="CD356" s="474"/>
      <c r="CE356" s="474"/>
      <c r="CF356" s="474"/>
      <c r="CG356" s="474"/>
      <c r="CH356" s="474"/>
      <c r="CI356" s="474"/>
      <c r="CJ356" s="474"/>
      <c r="CK356" s="474"/>
      <c r="CM356" s="474"/>
      <c r="CN356" s="474"/>
      <c r="CO356" s="474"/>
      <c r="CP356" s="474"/>
      <c r="CQ356" s="474"/>
      <c r="CR356" s="474"/>
      <c r="CS356" s="474"/>
      <c r="CT356" s="474"/>
    </row>
    <row r="357" spans="1:98" s="35" customFormat="1" ht="12" customHeight="1">
      <c r="A357" s="474"/>
      <c r="B357" s="474"/>
      <c r="C357" s="474"/>
      <c r="D357" s="474"/>
      <c r="E357" s="474"/>
      <c r="F357" s="474"/>
      <c r="G357" s="474"/>
      <c r="H357" s="474"/>
      <c r="J357" s="474"/>
      <c r="K357" s="474"/>
      <c r="L357" s="474"/>
      <c r="M357" s="474"/>
      <c r="N357" s="474"/>
      <c r="O357" s="474"/>
      <c r="P357" s="474"/>
      <c r="Q357" s="474"/>
      <c r="S357" s="474"/>
      <c r="T357" s="474"/>
      <c r="U357" s="474"/>
      <c r="V357" s="474"/>
      <c r="W357" s="474"/>
      <c r="X357" s="474"/>
      <c r="Y357" s="474"/>
      <c r="Z357" s="474"/>
      <c r="AB357" s="474"/>
      <c r="AC357" s="474"/>
      <c r="AD357" s="474"/>
      <c r="AE357" s="474"/>
      <c r="AF357" s="474"/>
      <c r="AG357" s="474"/>
      <c r="AH357" s="474"/>
      <c r="AI357" s="474"/>
      <c r="AK357" s="474"/>
      <c r="AL357" s="474"/>
      <c r="AM357" s="474"/>
      <c r="AN357" s="474"/>
      <c r="AO357" s="474"/>
      <c r="AP357" s="474"/>
      <c r="AQ357" s="474"/>
      <c r="AR357" s="474"/>
      <c r="AS357" s="474"/>
      <c r="AT357" s="474"/>
      <c r="AU357" s="474"/>
      <c r="AV357" s="474"/>
      <c r="AW357" s="474"/>
      <c r="AX357" s="474"/>
      <c r="AY357" s="474"/>
      <c r="AZ357" s="474"/>
      <c r="BA357" s="474"/>
      <c r="BC357" s="474"/>
      <c r="BD357" s="474"/>
      <c r="BE357" s="474"/>
      <c r="BF357" s="474"/>
      <c r="BG357" s="474"/>
      <c r="BH357" s="474"/>
      <c r="BI357" s="474"/>
      <c r="BJ357" s="474"/>
      <c r="CD357" s="474"/>
      <c r="CE357" s="474"/>
      <c r="CF357" s="474"/>
      <c r="CG357" s="474"/>
      <c r="CH357" s="474"/>
      <c r="CI357" s="474"/>
      <c r="CJ357" s="474"/>
      <c r="CK357" s="474"/>
      <c r="CM357" s="474"/>
      <c r="CN357" s="474"/>
      <c r="CO357" s="474"/>
      <c r="CP357" s="474"/>
      <c r="CQ357" s="474"/>
      <c r="CR357" s="474"/>
      <c r="CS357" s="474"/>
      <c r="CT357" s="474"/>
    </row>
    <row r="358" spans="1:98" s="35" customFormat="1" ht="12" customHeight="1">
      <c r="A358" s="474"/>
      <c r="B358" s="474"/>
      <c r="C358" s="474"/>
      <c r="D358" s="474"/>
      <c r="E358" s="474"/>
      <c r="F358" s="474"/>
      <c r="G358" s="474"/>
      <c r="H358" s="474"/>
      <c r="J358" s="474"/>
      <c r="K358" s="474"/>
      <c r="L358" s="474"/>
      <c r="M358" s="474"/>
      <c r="N358" s="474"/>
      <c r="O358" s="474"/>
      <c r="P358" s="474"/>
      <c r="Q358" s="474"/>
      <c r="S358" s="474"/>
      <c r="T358" s="474"/>
      <c r="U358" s="474"/>
      <c r="V358" s="474"/>
      <c r="W358" s="474"/>
      <c r="X358" s="474"/>
      <c r="Y358" s="474"/>
      <c r="Z358" s="474"/>
      <c r="AB358" s="474"/>
      <c r="AC358" s="474"/>
      <c r="AD358" s="474"/>
      <c r="AE358" s="474"/>
      <c r="AF358" s="474"/>
      <c r="AG358" s="474"/>
      <c r="AH358" s="474"/>
      <c r="AI358" s="474"/>
      <c r="AK358" s="474"/>
      <c r="AL358" s="474"/>
      <c r="AM358" s="474"/>
      <c r="AN358" s="474"/>
      <c r="AO358" s="474"/>
      <c r="AP358" s="474"/>
      <c r="AQ358" s="474"/>
      <c r="AR358" s="474"/>
      <c r="AS358" s="474"/>
      <c r="AT358" s="474"/>
      <c r="AU358" s="474"/>
      <c r="AV358" s="474"/>
      <c r="AW358" s="474"/>
      <c r="AX358" s="474"/>
      <c r="AY358" s="474"/>
      <c r="AZ358" s="474"/>
      <c r="BA358" s="474"/>
      <c r="BC358" s="474"/>
      <c r="BD358" s="474"/>
      <c r="BE358" s="474"/>
      <c r="BF358" s="474"/>
      <c r="BG358" s="474"/>
      <c r="BH358" s="474"/>
      <c r="BI358" s="474"/>
      <c r="BJ358" s="474"/>
      <c r="CD358" s="474"/>
      <c r="CE358" s="474"/>
      <c r="CF358" s="474"/>
      <c r="CG358" s="474"/>
      <c r="CH358" s="474"/>
      <c r="CI358" s="474"/>
      <c r="CJ358" s="474"/>
      <c r="CK358" s="474"/>
      <c r="CM358" s="474"/>
      <c r="CN358" s="474"/>
      <c r="CO358" s="474"/>
      <c r="CP358" s="474"/>
      <c r="CQ358" s="474"/>
      <c r="CR358" s="474"/>
      <c r="CS358" s="474"/>
      <c r="CT358" s="474"/>
    </row>
    <row r="359" spans="1:98" s="35" customFormat="1" ht="12" customHeight="1">
      <c r="A359" s="474"/>
      <c r="B359" s="474"/>
      <c r="C359" s="474"/>
      <c r="D359" s="474"/>
      <c r="E359" s="474"/>
      <c r="F359" s="474"/>
      <c r="G359" s="474"/>
      <c r="H359" s="474"/>
      <c r="J359" s="474"/>
      <c r="K359" s="474"/>
      <c r="L359" s="474"/>
      <c r="M359" s="474"/>
      <c r="N359" s="474"/>
      <c r="O359" s="474"/>
      <c r="P359" s="474"/>
      <c r="Q359" s="474"/>
      <c r="S359" s="474"/>
      <c r="T359" s="474"/>
      <c r="U359" s="474"/>
      <c r="V359" s="474"/>
      <c r="W359" s="474"/>
      <c r="X359" s="474"/>
      <c r="Y359" s="474"/>
      <c r="Z359" s="474"/>
      <c r="AB359" s="474"/>
      <c r="AC359" s="474"/>
      <c r="AD359" s="474"/>
      <c r="AE359" s="474"/>
      <c r="AF359" s="474"/>
      <c r="AG359" s="474"/>
      <c r="AH359" s="474"/>
      <c r="AI359" s="474"/>
      <c r="AK359" s="474"/>
      <c r="AL359" s="474"/>
      <c r="AM359" s="474"/>
      <c r="AN359" s="474"/>
      <c r="AO359" s="474"/>
      <c r="AP359" s="474"/>
      <c r="AQ359" s="474"/>
      <c r="AR359" s="474"/>
      <c r="AS359" s="474"/>
      <c r="AT359" s="474"/>
      <c r="AU359" s="474"/>
      <c r="AV359" s="474"/>
      <c r="AW359" s="474"/>
      <c r="AX359" s="474"/>
      <c r="AY359" s="474"/>
      <c r="AZ359" s="474"/>
      <c r="BA359" s="474"/>
      <c r="BC359" s="474"/>
      <c r="BD359" s="474"/>
      <c r="BE359" s="474"/>
      <c r="BF359" s="474"/>
      <c r="BG359" s="474"/>
      <c r="BH359" s="474"/>
      <c r="BI359" s="474"/>
      <c r="BJ359" s="474"/>
      <c r="CD359" s="474"/>
      <c r="CE359" s="474"/>
      <c r="CF359" s="474"/>
      <c r="CG359" s="474"/>
      <c r="CH359" s="474"/>
      <c r="CI359" s="474"/>
      <c r="CJ359" s="474"/>
      <c r="CK359" s="474"/>
      <c r="CM359" s="474"/>
      <c r="CN359" s="474"/>
      <c r="CO359" s="474"/>
      <c r="CP359" s="474"/>
      <c r="CQ359" s="474"/>
      <c r="CR359" s="474"/>
      <c r="CS359" s="474"/>
      <c r="CT359" s="474"/>
    </row>
    <row r="360" spans="1:98" s="35" customFormat="1" ht="12" customHeight="1">
      <c r="A360" s="474"/>
      <c r="B360" s="474"/>
      <c r="C360" s="474"/>
      <c r="D360" s="474"/>
      <c r="E360" s="474"/>
      <c r="F360" s="474"/>
      <c r="G360" s="474"/>
      <c r="H360" s="474"/>
      <c r="J360" s="474"/>
      <c r="K360" s="474"/>
      <c r="L360" s="474"/>
      <c r="M360" s="474"/>
      <c r="N360" s="474"/>
      <c r="O360" s="474"/>
      <c r="P360" s="474"/>
      <c r="Q360" s="474"/>
      <c r="S360" s="474"/>
      <c r="T360" s="474"/>
      <c r="U360" s="474"/>
      <c r="V360" s="474"/>
      <c r="W360" s="474"/>
      <c r="X360" s="474"/>
      <c r="Y360" s="474"/>
      <c r="Z360" s="474"/>
      <c r="AB360" s="474"/>
      <c r="AC360" s="474"/>
      <c r="AD360" s="474"/>
      <c r="AE360" s="474"/>
      <c r="AF360" s="474"/>
      <c r="AG360" s="474"/>
      <c r="AH360" s="474"/>
      <c r="AI360" s="474"/>
      <c r="AK360" s="474"/>
      <c r="AL360" s="474"/>
      <c r="AM360" s="474"/>
      <c r="AN360" s="474"/>
      <c r="AO360" s="474"/>
      <c r="AP360" s="474"/>
      <c r="AQ360" s="474"/>
      <c r="AR360" s="474"/>
      <c r="AS360" s="474"/>
      <c r="AT360" s="474"/>
      <c r="AU360" s="474"/>
      <c r="AV360" s="474"/>
      <c r="AW360" s="474"/>
      <c r="AX360" s="474"/>
      <c r="AY360" s="474"/>
      <c r="AZ360" s="474"/>
      <c r="BA360" s="474"/>
      <c r="BC360" s="474"/>
      <c r="BD360" s="474"/>
      <c r="BE360" s="474"/>
      <c r="BF360" s="474"/>
      <c r="BG360" s="474"/>
      <c r="BH360" s="474"/>
      <c r="BI360" s="474"/>
      <c r="BJ360" s="474"/>
      <c r="CD360" s="474"/>
      <c r="CE360" s="474"/>
      <c r="CF360" s="474"/>
      <c r="CG360" s="474"/>
      <c r="CH360" s="474"/>
      <c r="CI360" s="474"/>
      <c r="CJ360" s="474"/>
      <c r="CK360" s="474"/>
      <c r="CM360" s="474"/>
      <c r="CN360" s="474"/>
      <c r="CO360" s="474"/>
      <c r="CP360" s="474"/>
      <c r="CQ360" s="474"/>
      <c r="CR360" s="474"/>
      <c r="CS360" s="474"/>
      <c r="CT360" s="474"/>
    </row>
    <row r="361" spans="1:98" s="35" customFormat="1" ht="12" customHeight="1">
      <c r="A361" s="474"/>
      <c r="B361" s="474"/>
      <c r="C361" s="474"/>
      <c r="D361" s="474"/>
      <c r="E361" s="474"/>
      <c r="F361" s="474"/>
      <c r="G361" s="474"/>
      <c r="H361" s="474"/>
      <c r="J361" s="474"/>
      <c r="K361" s="474"/>
      <c r="L361" s="474"/>
      <c r="M361" s="474"/>
      <c r="N361" s="474"/>
      <c r="O361" s="474"/>
      <c r="P361" s="474"/>
      <c r="Q361" s="474"/>
      <c r="S361" s="474"/>
      <c r="T361" s="474"/>
      <c r="U361" s="474"/>
      <c r="V361" s="474"/>
      <c r="W361" s="474"/>
      <c r="X361" s="474"/>
      <c r="Y361" s="474"/>
      <c r="Z361" s="474"/>
      <c r="AB361" s="474"/>
      <c r="AC361" s="474"/>
      <c r="AD361" s="474"/>
      <c r="AE361" s="474"/>
      <c r="AF361" s="474"/>
      <c r="AG361" s="474"/>
      <c r="AH361" s="474"/>
      <c r="AI361" s="474"/>
      <c r="AK361" s="474"/>
      <c r="AL361" s="474"/>
      <c r="AM361" s="474"/>
      <c r="AN361" s="474"/>
      <c r="AO361" s="474"/>
      <c r="AP361" s="474"/>
      <c r="AQ361" s="474"/>
      <c r="AR361" s="474"/>
      <c r="AS361" s="474"/>
      <c r="AT361" s="474"/>
      <c r="AU361" s="474"/>
      <c r="AV361" s="474"/>
      <c r="AW361" s="474"/>
      <c r="AX361" s="474"/>
      <c r="AY361" s="474"/>
      <c r="AZ361" s="474"/>
      <c r="BA361" s="474"/>
      <c r="BC361" s="474"/>
      <c r="BD361" s="474"/>
      <c r="BE361" s="474"/>
      <c r="BF361" s="474"/>
      <c r="BG361" s="474"/>
      <c r="BH361" s="474"/>
      <c r="BI361" s="474"/>
      <c r="BJ361" s="474"/>
      <c r="CD361" s="474"/>
      <c r="CE361" s="474"/>
      <c r="CF361" s="474"/>
      <c r="CG361" s="474"/>
      <c r="CH361" s="474"/>
      <c r="CI361" s="474"/>
      <c r="CJ361" s="474"/>
      <c r="CK361" s="474"/>
      <c r="CM361" s="474"/>
      <c r="CN361" s="474"/>
      <c r="CO361" s="474"/>
      <c r="CP361" s="474"/>
      <c r="CQ361" s="474"/>
      <c r="CR361" s="474"/>
      <c r="CS361" s="474"/>
      <c r="CT361" s="474"/>
    </row>
    <row r="362" spans="1:98" s="35" customFormat="1" ht="12" customHeight="1">
      <c r="A362" s="474"/>
      <c r="B362" s="474"/>
      <c r="C362" s="474"/>
      <c r="D362" s="474"/>
      <c r="E362" s="474"/>
      <c r="F362" s="474"/>
      <c r="G362" s="474"/>
      <c r="H362" s="474"/>
      <c r="J362" s="474"/>
      <c r="K362" s="474"/>
      <c r="L362" s="474"/>
      <c r="M362" s="474"/>
      <c r="N362" s="474"/>
      <c r="O362" s="474"/>
      <c r="P362" s="474"/>
      <c r="Q362" s="474"/>
      <c r="S362" s="474"/>
      <c r="T362" s="474"/>
      <c r="U362" s="474"/>
      <c r="V362" s="474"/>
      <c r="W362" s="474"/>
      <c r="X362" s="474"/>
      <c r="Y362" s="474"/>
      <c r="Z362" s="474"/>
      <c r="AB362" s="474"/>
      <c r="AC362" s="474"/>
      <c r="AD362" s="474"/>
      <c r="AE362" s="474"/>
      <c r="AF362" s="474"/>
      <c r="AG362" s="474"/>
      <c r="AH362" s="474"/>
      <c r="AI362" s="474"/>
      <c r="AK362" s="474"/>
      <c r="AL362" s="474"/>
      <c r="AM362" s="474"/>
      <c r="AN362" s="474"/>
      <c r="AO362" s="474"/>
      <c r="AP362" s="474"/>
      <c r="AQ362" s="474"/>
      <c r="AR362" s="474"/>
      <c r="AS362" s="474"/>
      <c r="AT362" s="474"/>
      <c r="AU362" s="474"/>
      <c r="AV362" s="474"/>
      <c r="AW362" s="474"/>
      <c r="AX362" s="474"/>
      <c r="AY362" s="474"/>
      <c r="AZ362" s="474"/>
      <c r="BA362" s="474"/>
      <c r="BC362" s="474"/>
      <c r="BD362" s="474"/>
      <c r="BE362" s="474"/>
      <c r="BF362" s="474"/>
      <c r="BG362" s="474"/>
      <c r="BH362" s="474"/>
      <c r="BI362" s="474"/>
      <c r="BJ362" s="474"/>
      <c r="CD362" s="474"/>
      <c r="CE362" s="474"/>
      <c r="CF362" s="474"/>
      <c r="CG362" s="474"/>
      <c r="CH362" s="474"/>
      <c r="CI362" s="474"/>
      <c r="CJ362" s="474"/>
      <c r="CK362" s="474"/>
      <c r="CM362" s="474"/>
      <c r="CN362" s="474"/>
      <c r="CO362" s="474"/>
      <c r="CP362" s="474"/>
      <c r="CQ362" s="474"/>
      <c r="CR362" s="474"/>
      <c r="CS362" s="474"/>
      <c r="CT362" s="474"/>
    </row>
    <row r="363" spans="1:98" s="35" customFormat="1" ht="12" customHeight="1">
      <c r="A363" s="474"/>
      <c r="B363" s="474"/>
      <c r="C363" s="474"/>
      <c r="D363" s="474"/>
      <c r="E363" s="474"/>
      <c r="F363" s="474"/>
      <c r="G363" s="474"/>
      <c r="H363" s="474"/>
      <c r="J363" s="474"/>
      <c r="K363" s="474"/>
      <c r="L363" s="474"/>
      <c r="M363" s="474"/>
      <c r="N363" s="474"/>
      <c r="O363" s="474"/>
      <c r="P363" s="474"/>
      <c r="Q363" s="474"/>
      <c r="S363" s="474"/>
      <c r="T363" s="474"/>
      <c r="U363" s="474"/>
      <c r="V363" s="474"/>
      <c r="W363" s="474"/>
      <c r="X363" s="474"/>
      <c r="Y363" s="474"/>
      <c r="Z363" s="474"/>
      <c r="AB363" s="474"/>
      <c r="AC363" s="474"/>
      <c r="AD363" s="474"/>
      <c r="AE363" s="474"/>
      <c r="AF363" s="474"/>
      <c r="AG363" s="474"/>
      <c r="AH363" s="474"/>
      <c r="AI363" s="474"/>
      <c r="AK363" s="474"/>
      <c r="AL363" s="474"/>
      <c r="AM363" s="474"/>
      <c r="AN363" s="474"/>
      <c r="AO363" s="474"/>
      <c r="AP363" s="474"/>
      <c r="AQ363" s="474"/>
      <c r="AR363" s="474"/>
      <c r="AS363" s="474"/>
      <c r="AT363" s="474"/>
      <c r="AU363" s="474"/>
      <c r="AV363" s="474"/>
      <c r="AW363" s="474"/>
      <c r="AX363" s="474"/>
      <c r="AY363" s="474"/>
      <c r="AZ363" s="474"/>
      <c r="BA363" s="474"/>
      <c r="BC363" s="474"/>
      <c r="BD363" s="474"/>
      <c r="BE363" s="474"/>
      <c r="BF363" s="474"/>
      <c r="BG363" s="474"/>
      <c r="BH363" s="474"/>
      <c r="BI363" s="474"/>
      <c r="BJ363" s="474"/>
      <c r="CD363" s="474"/>
      <c r="CE363" s="474"/>
      <c r="CF363" s="474"/>
      <c r="CG363" s="474"/>
      <c r="CH363" s="474"/>
      <c r="CI363" s="474"/>
      <c r="CJ363" s="474"/>
      <c r="CK363" s="474"/>
      <c r="CM363" s="474"/>
      <c r="CN363" s="474"/>
      <c r="CO363" s="474"/>
      <c r="CP363" s="474"/>
      <c r="CQ363" s="474"/>
      <c r="CR363" s="474"/>
      <c r="CS363" s="474"/>
      <c r="CT363" s="474"/>
    </row>
    <row r="364" spans="1:98" s="35" customFormat="1" ht="12" customHeight="1">
      <c r="A364" s="474"/>
      <c r="B364" s="474"/>
      <c r="C364" s="474"/>
      <c r="D364" s="474"/>
      <c r="E364" s="474"/>
      <c r="F364" s="474"/>
      <c r="G364" s="474"/>
      <c r="H364" s="474"/>
      <c r="J364" s="474"/>
      <c r="K364" s="474"/>
      <c r="L364" s="474"/>
      <c r="M364" s="474"/>
      <c r="N364" s="474"/>
      <c r="O364" s="474"/>
      <c r="P364" s="474"/>
      <c r="Q364" s="474"/>
      <c r="S364" s="474"/>
      <c r="T364" s="474"/>
      <c r="U364" s="474"/>
      <c r="V364" s="474"/>
      <c r="W364" s="474"/>
      <c r="X364" s="474"/>
      <c r="Y364" s="474"/>
      <c r="Z364" s="474"/>
      <c r="AB364" s="474"/>
      <c r="AC364" s="474"/>
      <c r="AD364" s="474"/>
      <c r="AE364" s="474"/>
      <c r="AF364" s="474"/>
      <c r="AG364" s="474"/>
      <c r="AH364" s="474"/>
      <c r="AI364" s="474"/>
      <c r="AK364" s="474"/>
      <c r="AL364" s="474"/>
      <c r="AM364" s="474"/>
      <c r="AN364" s="474"/>
      <c r="AO364" s="474"/>
      <c r="AP364" s="474"/>
      <c r="AQ364" s="474"/>
      <c r="AR364" s="474"/>
      <c r="AS364" s="474"/>
      <c r="AT364" s="474"/>
      <c r="AU364" s="474"/>
      <c r="AV364" s="474"/>
      <c r="AW364" s="474"/>
      <c r="AX364" s="474"/>
      <c r="AY364" s="474"/>
      <c r="AZ364" s="474"/>
      <c r="BA364" s="474"/>
      <c r="BC364" s="474"/>
      <c r="BD364" s="474"/>
      <c r="BE364" s="474"/>
      <c r="BF364" s="474"/>
      <c r="BG364" s="474"/>
      <c r="BH364" s="474"/>
      <c r="BI364" s="474"/>
      <c r="BJ364" s="474"/>
      <c r="CD364" s="474"/>
      <c r="CE364" s="474"/>
      <c r="CF364" s="474"/>
      <c r="CG364" s="474"/>
      <c r="CH364" s="474"/>
      <c r="CI364" s="474"/>
      <c r="CJ364" s="474"/>
      <c r="CK364" s="474"/>
      <c r="CM364" s="474"/>
      <c r="CN364" s="474"/>
      <c r="CO364" s="474"/>
      <c r="CP364" s="474"/>
      <c r="CQ364" s="474"/>
      <c r="CR364" s="474"/>
      <c r="CS364" s="474"/>
      <c r="CT364" s="474"/>
    </row>
    <row r="365" spans="1:98" s="35" customFormat="1" ht="12" customHeight="1">
      <c r="A365" s="474"/>
      <c r="B365" s="474"/>
      <c r="C365" s="474"/>
      <c r="D365" s="474"/>
      <c r="E365" s="474"/>
      <c r="F365" s="474"/>
      <c r="G365" s="474"/>
      <c r="H365" s="474"/>
      <c r="J365" s="474"/>
      <c r="K365" s="474"/>
      <c r="L365" s="474"/>
      <c r="M365" s="474"/>
      <c r="N365" s="474"/>
      <c r="O365" s="474"/>
      <c r="P365" s="474"/>
      <c r="Q365" s="474"/>
      <c r="S365" s="474"/>
      <c r="T365" s="474"/>
      <c r="U365" s="474"/>
      <c r="V365" s="474"/>
      <c r="W365" s="474"/>
      <c r="X365" s="474"/>
      <c r="Y365" s="474"/>
      <c r="Z365" s="474"/>
      <c r="AB365" s="474"/>
      <c r="AC365" s="474"/>
      <c r="AD365" s="474"/>
      <c r="AE365" s="474"/>
      <c r="AF365" s="474"/>
      <c r="AG365" s="474"/>
      <c r="AH365" s="474"/>
      <c r="AI365" s="474"/>
      <c r="AK365" s="474"/>
      <c r="AL365" s="474"/>
      <c r="AM365" s="474"/>
      <c r="AN365" s="474"/>
      <c r="AO365" s="474"/>
      <c r="AP365" s="474"/>
      <c r="AQ365" s="474"/>
      <c r="AR365" s="474"/>
      <c r="AS365" s="474"/>
      <c r="AT365" s="474"/>
      <c r="AU365" s="474"/>
      <c r="AV365" s="474"/>
      <c r="AW365" s="474"/>
      <c r="AX365" s="474"/>
      <c r="AY365" s="474"/>
      <c r="AZ365" s="474"/>
      <c r="BA365" s="474"/>
      <c r="BC365" s="474"/>
      <c r="BD365" s="474"/>
      <c r="BE365" s="474"/>
      <c r="BF365" s="474"/>
      <c r="BG365" s="474"/>
      <c r="BH365" s="474"/>
      <c r="BI365" s="474"/>
      <c r="BJ365" s="474"/>
      <c r="CD365" s="474"/>
      <c r="CE365" s="474"/>
      <c r="CF365" s="474"/>
      <c r="CG365" s="474"/>
      <c r="CH365" s="474"/>
      <c r="CI365" s="474"/>
      <c r="CJ365" s="474"/>
      <c r="CK365" s="474"/>
      <c r="CM365" s="474"/>
      <c r="CN365" s="474"/>
      <c r="CO365" s="474"/>
      <c r="CP365" s="474"/>
      <c r="CQ365" s="474"/>
      <c r="CR365" s="474"/>
      <c r="CS365" s="474"/>
      <c r="CT365" s="474"/>
    </row>
    <row r="366" spans="1:98" s="35" customFormat="1" ht="12" customHeight="1">
      <c r="A366" s="474"/>
      <c r="B366" s="474"/>
      <c r="C366" s="474"/>
      <c r="D366" s="474"/>
      <c r="E366" s="474"/>
      <c r="F366" s="474"/>
      <c r="G366" s="474"/>
      <c r="H366" s="474"/>
      <c r="J366" s="474"/>
      <c r="K366" s="474"/>
      <c r="L366" s="474"/>
      <c r="M366" s="474"/>
      <c r="N366" s="474"/>
      <c r="O366" s="474"/>
      <c r="P366" s="474"/>
      <c r="Q366" s="474"/>
      <c r="S366" s="474"/>
      <c r="T366" s="474"/>
      <c r="U366" s="474"/>
      <c r="V366" s="474"/>
      <c r="W366" s="474"/>
      <c r="X366" s="474"/>
      <c r="Y366" s="474"/>
      <c r="Z366" s="474"/>
      <c r="AB366" s="474"/>
      <c r="AC366" s="474"/>
      <c r="AD366" s="474"/>
      <c r="AE366" s="474"/>
      <c r="AF366" s="474"/>
      <c r="AG366" s="474"/>
      <c r="AH366" s="474"/>
      <c r="AI366" s="474"/>
      <c r="AK366" s="474"/>
      <c r="AL366" s="474"/>
      <c r="AM366" s="474"/>
      <c r="AN366" s="474"/>
      <c r="AO366" s="474"/>
      <c r="AP366" s="474"/>
      <c r="AQ366" s="474"/>
      <c r="AR366" s="474"/>
      <c r="AS366" s="474"/>
      <c r="AT366" s="474"/>
      <c r="AU366" s="474"/>
      <c r="AV366" s="474"/>
      <c r="AW366" s="474"/>
      <c r="AX366" s="474"/>
      <c r="AY366" s="474"/>
      <c r="AZ366" s="474"/>
      <c r="BA366" s="474"/>
      <c r="BC366" s="474"/>
      <c r="BD366" s="474"/>
      <c r="BE366" s="474"/>
      <c r="BF366" s="474"/>
      <c r="BG366" s="474"/>
      <c r="BH366" s="474"/>
      <c r="BI366" s="474"/>
      <c r="BJ366" s="474"/>
      <c r="CD366" s="474"/>
      <c r="CE366" s="474"/>
      <c r="CF366" s="474"/>
      <c r="CG366" s="474"/>
      <c r="CH366" s="474"/>
      <c r="CI366" s="474"/>
      <c r="CJ366" s="474"/>
      <c r="CK366" s="474"/>
      <c r="CM366" s="474"/>
      <c r="CN366" s="474"/>
      <c r="CO366" s="474"/>
      <c r="CP366" s="474"/>
      <c r="CQ366" s="474"/>
      <c r="CR366" s="474"/>
      <c r="CS366" s="474"/>
      <c r="CT366" s="474"/>
    </row>
    <row r="367" spans="1:98" s="35" customFormat="1" ht="12" customHeight="1">
      <c r="A367" s="474"/>
      <c r="B367" s="474"/>
      <c r="C367" s="474"/>
      <c r="D367" s="474"/>
      <c r="E367" s="474"/>
      <c r="F367" s="474"/>
      <c r="G367" s="474"/>
      <c r="H367" s="474"/>
      <c r="J367" s="474"/>
      <c r="K367" s="474"/>
      <c r="L367" s="474"/>
      <c r="M367" s="474"/>
      <c r="N367" s="474"/>
      <c r="O367" s="474"/>
      <c r="P367" s="474"/>
      <c r="Q367" s="474"/>
      <c r="S367" s="474"/>
      <c r="T367" s="474"/>
      <c r="U367" s="474"/>
      <c r="V367" s="474"/>
      <c r="W367" s="474"/>
      <c r="X367" s="474"/>
      <c r="Y367" s="474"/>
      <c r="Z367" s="474"/>
      <c r="AB367" s="474"/>
      <c r="AC367" s="474"/>
      <c r="AD367" s="474"/>
      <c r="AE367" s="474"/>
      <c r="AF367" s="474"/>
      <c r="AG367" s="474"/>
      <c r="AH367" s="474"/>
      <c r="AI367" s="474"/>
      <c r="AK367" s="474"/>
      <c r="AL367" s="474"/>
      <c r="AM367" s="474"/>
      <c r="AN367" s="474"/>
      <c r="AO367" s="474"/>
      <c r="AP367" s="474"/>
      <c r="AQ367" s="474"/>
      <c r="AR367" s="474"/>
      <c r="AS367" s="474"/>
      <c r="AT367" s="474"/>
      <c r="AU367" s="474"/>
      <c r="AV367" s="474"/>
      <c r="AW367" s="474"/>
      <c r="AX367" s="474"/>
      <c r="AY367" s="474"/>
      <c r="AZ367" s="474"/>
      <c r="BA367" s="474"/>
      <c r="BC367" s="474"/>
      <c r="BD367" s="474"/>
      <c r="BE367" s="474"/>
      <c r="BF367" s="474"/>
      <c r="BG367" s="474"/>
      <c r="BH367" s="474"/>
      <c r="BI367" s="474"/>
      <c r="BJ367" s="474"/>
      <c r="CD367" s="474"/>
      <c r="CE367" s="474"/>
      <c r="CF367" s="474"/>
      <c r="CG367" s="474"/>
      <c r="CH367" s="474"/>
      <c r="CI367" s="474"/>
      <c r="CJ367" s="474"/>
      <c r="CK367" s="474"/>
      <c r="CM367" s="474"/>
      <c r="CN367" s="474"/>
      <c r="CO367" s="474"/>
      <c r="CP367" s="474"/>
      <c r="CQ367" s="474"/>
      <c r="CR367" s="474"/>
      <c r="CS367" s="474"/>
      <c r="CT367" s="474"/>
    </row>
    <row r="368" spans="1:98" s="35" customFormat="1" ht="12" customHeight="1">
      <c r="A368" s="474"/>
      <c r="B368" s="474"/>
      <c r="C368" s="474"/>
      <c r="D368" s="474"/>
      <c r="E368" s="474"/>
      <c r="F368" s="474"/>
      <c r="G368" s="474"/>
      <c r="H368" s="474"/>
      <c r="J368" s="474"/>
      <c r="K368" s="474"/>
      <c r="L368" s="474"/>
      <c r="M368" s="474"/>
      <c r="N368" s="474"/>
      <c r="O368" s="474"/>
      <c r="P368" s="474"/>
      <c r="Q368" s="474"/>
      <c r="S368" s="474"/>
      <c r="T368" s="474"/>
      <c r="U368" s="474"/>
      <c r="V368" s="474"/>
      <c r="W368" s="474"/>
      <c r="X368" s="474"/>
      <c r="Y368" s="474"/>
      <c r="Z368" s="474"/>
      <c r="AB368" s="474"/>
      <c r="AC368" s="474"/>
      <c r="AD368" s="474"/>
      <c r="AE368" s="474"/>
      <c r="AF368" s="474"/>
      <c r="AG368" s="474"/>
      <c r="AH368" s="474"/>
      <c r="AI368" s="474"/>
      <c r="AK368" s="474"/>
      <c r="AL368" s="474"/>
      <c r="AM368" s="474"/>
      <c r="AN368" s="474"/>
      <c r="AO368" s="474"/>
      <c r="AP368" s="474"/>
      <c r="AQ368" s="474"/>
      <c r="AR368" s="474"/>
      <c r="AS368" s="474"/>
      <c r="AT368" s="474"/>
      <c r="AU368" s="474"/>
      <c r="AV368" s="474"/>
      <c r="AW368" s="474"/>
      <c r="AX368" s="474"/>
      <c r="AY368" s="474"/>
      <c r="AZ368" s="474"/>
      <c r="BA368" s="474"/>
      <c r="BC368" s="474"/>
      <c r="BD368" s="474"/>
      <c r="BE368" s="474"/>
      <c r="BF368" s="474"/>
      <c r="BG368" s="474"/>
      <c r="BH368" s="474"/>
      <c r="BI368" s="474"/>
      <c r="BJ368" s="474"/>
      <c r="CD368" s="474"/>
      <c r="CE368" s="474"/>
      <c r="CF368" s="474"/>
      <c r="CG368" s="474"/>
      <c r="CH368" s="474"/>
      <c r="CI368" s="474"/>
      <c r="CJ368" s="474"/>
      <c r="CK368" s="474"/>
      <c r="CM368" s="474"/>
      <c r="CN368" s="474"/>
      <c r="CO368" s="474"/>
      <c r="CP368" s="474"/>
      <c r="CQ368" s="474"/>
      <c r="CR368" s="474"/>
      <c r="CS368" s="474"/>
      <c r="CT368" s="474"/>
    </row>
    <row r="369" spans="1:98" s="35" customFormat="1" ht="12" customHeight="1">
      <c r="A369" s="474"/>
      <c r="B369" s="474"/>
      <c r="C369" s="474"/>
      <c r="D369" s="474"/>
      <c r="E369" s="474"/>
      <c r="F369" s="474"/>
      <c r="G369" s="474"/>
      <c r="H369" s="474"/>
      <c r="J369" s="474"/>
      <c r="K369" s="474"/>
      <c r="L369" s="474"/>
      <c r="M369" s="474"/>
      <c r="N369" s="474"/>
      <c r="O369" s="474"/>
      <c r="P369" s="474"/>
      <c r="Q369" s="474"/>
      <c r="S369" s="474"/>
      <c r="T369" s="474"/>
      <c r="U369" s="474"/>
      <c r="V369" s="474"/>
      <c r="W369" s="474"/>
      <c r="X369" s="474"/>
      <c r="Y369" s="474"/>
      <c r="Z369" s="474"/>
      <c r="AB369" s="474"/>
      <c r="AC369" s="474"/>
      <c r="AD369" s="474"/>
      <c r="AE369" s="474"/>
      <c r="AF369" s="474"/>
      <c r="AG369" s="474"/>
      <c r="AH369" s="474"/>
      <c r="AI369" s="474"/>
      <c r="AK369" s="474"/>
      <c r="AL369" s="474"/>
      <c r="AM369" s="474"/>
      <c r="AN369" s="474"/>
      <c r="AO369" s="474"/>
      <c r="AP369" s="474"/>
      <c r="AQ369" s="474"/>
      <c r="AR369" s="474"/>
      <c r="AS369" s="474"/>
      <c r="AT369" s="474"/>
      <c r="AU369" s="474"/>
      <c r="AV369" s="474"/>
      <c r="AW369" s="474"/>
      <c r="AX369" s="474"/>
      <c r="AY369" s="474"/>
      <c r="AZ369" s="474"/>
      <c r="BA369" s="474"/>
      <c r="BC369" s="474"/>
      <c r="BD369" s="474"/>
      <c r="BE369" s="474"/>
      <c r="BF369" s="474"/>
      <c r="BG369" s="474"/>
      <c r="BH369" s="474"/>
      <c r="BI369" s="474"/>
      <c r="BJ369" s="474"/>
      <c r="CD369" s="474"/>
      <c r="CE369" s="474"/>
      <c r="CF369" s="474"/>
      <c r="CG369" s="474"/>
      <c r="CH369" s="474"/>
      <c r="CI369" s="474"/>
      <c r="CJ369" s="474"/>
      <c r="CK369" s="474"/>
      <c r="CM369" s="474"/>
      <c r="CN369" s="474"/>
      <c r="CO369" s="474"/>
      <c r="CP369" s="474"/>
      <c r="CQ369" s="474"/>
      <c r="CR369" s="474"/>
      <c r="CS369" s="474"/>
      <c r="CT369" s="474"/>
    </row>
    <row r="370" spans="1:98" s="35" customFormat="1" ht="12" customHeight="1">
      <c r="A370" s="474"/>
      <c r="B370" s="474"/>
      <c r="C370" s="474"/>
      <c r="D370" s="474"/>
      <c r="E370" s="474"/>
      <c r="F370" s="474"/>
      <c r="G370" s="474"/>
      <c r="H370" s="474"/>
      <c r="J370" s="474"/>
      <c r="K370" s="474"/>
      <c r="L370" s="474"/>
      <c r="M370" s="474"/>
      <c r="N370" s="474"/>
      <c r="O370" s="474"/>
      <c r="P370" s="474"/>
      <c r="Q370" s="474"/>
      <c r="S370" s="474"/>
      <c r="T370" s="474"/>
      <c r="U370" s="474"/>
      <c r="V370" s="474"/>
      <c r="W370" s="474"/>
      <c r="X370" s="474"/>
      <c r="Y370" s="474"/>
      <c r="Z370" s="474"/>
      <c r="AB370" s="474"/>
      <c r="AC370" s="474"/>
      <c r="AD370" s="474"/>
      <c r="AE370" s="474"/>
      <c r="AF370" s="474"/>
      <c r="AG370" s="474"/>
      <c r="AH370" s="474"/>
      <c r="AI370" s="474"/>
      <c r="AK370" s="474"/>
      <c r="AL370" s="474"/>
      <c r="AM370" s="474"/>
      <c r="AN370" s="474"/>
      <c r="AO370" s="474"/>
      <c r="AP370" s="474"/>
      <c r="AQ370" s="474"/>
      <c r="AR370" s="474"/>
      <c r="AS370" s="474"/>
      <c r="AT370" s="474"/>
      <c r="AU370" s="474"/>
      <c r="AV370" s="474"/>
      <c r="AW370" s="474"/>
      <c r="AX370" s="474"/>
      <c r="AY370" s="474"/>
      <c r="AZ370" s="474"/>
      <c r="BA370" s="474"/>
      <c r="BC370" s="474"/>
      <c r="BD370" s="474"/>
      <c r="BE370" s="474"/>
      <c r="BF370" s="474"/>
      <c r="BG370" s="474"/>
      <c r="BH370" s="474"/>
      <c r="BI370" s="474"/>
      <c r="BJ370" s="474"/>
      <c r="CD370" s="474"/>
      <c r="CE370" s="474"/>
      <c r="CF370" s="474"/>
      <c r="CG370" s="474"/>
      <c r="CH370" s="474"/>
      <c r="CI370" s="474"/>
      <c r="CJ370" s="474"/>
      <c r="CK370" s="474"/>
      <c r="CM370" s="474"/>
      <c r="CN370" s="474"/>
      <c r="CO370" s="474"/>
      <c r="CP370" s="474"/>
      <c r="CQ370" s="474"/>
      <c r="CR370" s="474"/>
      <c r="CS370" s="474"/>
      <c r="CT370" s="474"/>
    </row>
    <row r="371" spans="1:98" s="35" customFormat="1" ht="12" customHeight="1">
      <c r="A371" s="474"/>
      <c r="B371" s="474"/>
      <c r="C371" s="474"/>
      <c r="D371" s="474"/>
      <c r="E371" s="474"/>
      <c r="F371" s="474"/>
      <c r="G371" s="474"/>
      <c r="H371" s="474"/>
      <c r="J371" s="474"/>
      <c r="K371" s="474"/>
      <c r="L371" s="474"/>
      <c r="M371" s="474"/>
      <c r="N371" s="474"/>
      <c r="O371" s="474"/>
      <c r="P371" s="474"/>
      <c r="Q371" s="474"/>
      <c r="S371" s="474"/>
      <c r="T371" s="474"/>
      <c r="U371" s="474"/>
      <c r="V371" s="474"/>
      <c r="W371" s="474"/>
      <c r="X371" s="474"/>
      <c r="Y371" s="474"/>
      <c r="Z371" s="474"/>
      <c r="AB371" s="474"/>
      <c r="AC371" s="474"/>
      <c r="AD371" s="474"/>
      <c r="AE371" s="474"/>
      <c r="AF371" s="474"/>
      <c r="AG371" s="474"/>
      <c r="AH371" s="474"/>
      <c r="AI371" s="474"/>
      <c r="AK371" s="474"/>
      <c r="AL371" s="474"/>
      <c r="AM371" s="474"/>
      <c r="AN371" s="474"/>
      <c r="AO371" s="474"/>
      <c r="AP371" s="474"/>
      <c r="AQ371" s="474"/>
      <c r="AR371" s="474"/>
      <c r="AS371" s="474"/>
      <c r="AT371" s="474"/>
      <c r="AU371" s="474"/>
      <c r="AV371" s="474"/>
      <c r="AW371" s="474"/>
      <c r="AX371" s="474"/>
      <c r="AY371" s="474"/>
      <c r="AZ371" s="474"/>
      <c r="BA371" s="474"/>
      <c r="BC371" s="474"/>
      <c r="BD371" s="474"/>
      <c r="BE371" s="474"/>
      <c r="BF371" s="474"/>
      <c r="BG371" s="474"/>
      <c r="BH371" s="474"/>
      <c r="BI371" s="474"/>
      <c r="BJ371" s="474"/>
      <c r="CD371" s="474"/>
      <c r="CE371" s="474"/>
      <c r="CF371" s="474"/>
      <c r="CG371" s="474"/>
      <c r="CH371" s="474"/>
      <c r="CI371" s="474"/>
      <c r="CJ371" s="474"/>
      <c r="CK371" s="474"/>
      <c r="CM371" s="474"/>
      <c r="CN371" s="474"/>
      <c r="CO371" s="474"/>
      <c r="CP371" s="474"/>
      <c r="CQ371" s="474"/>
      <c r="CR371" s="474"/>
      <c r="CS371" s="474"/>
      <c r="CT371" s="474"/>
    </row>
    <row r="372" spans="1:98" s="35" customFormat="1" ht="12" customHeight="1">
      <c r="A372" s="474"/>
      <c r="B372" s="474"/>
      <c r="C372" s="474"/>
      <c r="D372" s="474"/>
      <c r="E372" s="474"/>
      <c r="F372" s="474"/>
      <c r="G372" s="474"/>
      <c r="H372" s="474"/>
      <c r="J372" s="474"/>
      <c r="K372" s="474"/>
      <c r="L372" s="474"/>
      <c r="M372" s="474"/>
      <c r="N372" s="474"/>
      <c r="O372" s="474"/>
      <c r="P372" s="474"/>
      <c r="Q372" s="474"/>
      <c r="S372" s="474"/>
      <c r="T372" s="474"/>
      <c r="U372" s="474"/>
      <c r="V372" s="474"/>
      <c r="W372" s="474"/>
      <c r="X372" s="474"/>
      <c r="Y372" s="474"/>
      <c r="Z372" s="474"/>
      <c r="AB372" s="474"/>
      <c r="AC372" s="474"/>
      <c r="AD372" s="474"/>
      <c r="AE372" s="474"/>
      <c r="AF372" s="474"/>
      <c r="AG372" s="474"/>
      <c r="AH372" s="474"/>
      <c r="AI372" s="474"/>
      <c r="AK372" s="474"/>
      <c r="AL372" s="474"/>
      <c r="AM372" s="474"/>
      <c r="AN372" s="474"/>
      <c r="AO372" s="474"/>
      <c r="AP372" s="474"/>
      <c r="AQ372" s="474"/>
      <c r="AR372" s="474"/>
      <c r="AS372" s="474"/>
      <c r="AT372" s="474"/>
      <c r="AU372" s="474"/>
      <c r="AV372" s="474"/>
      <c r="AW372" s="474"/>
      <c r="AX372" s="474"/>
      <c r="AY372" s="474"/>
      <c r="AZ372" s="474"/>
      <c r="BA372" s="474"/>
      <c r="BC372" s="474"/>
      <c r="BD372" s="474"/>
      <c r="BE372" s="474"/>
      <c r="BF372" s="474"/>
      <c r="BG372" s="474"/>
      <c r="BH372" s="474"/>
      <c r="BI372" s="474"/>
      <c r="BJ372" s="474"/>
      <c r="CD372" s="474"/>
      <c r="CE372" s="474"/>
      <c r="CF372" s="474"/>
      <c r="CG372" s="474"/>
      <c r="CH372" s="474"/>
      <c r="CI372" s="474"/>
      <c r="CJ372" s="474"/>
      <c r="CK372" s="474"/>
      <c r="CM372" s="474"/>
      <c r="CN372" s="474"/>
      <c r="CO372" s="474"/>
      <c r="CP372" s="474"/>
      <c r="CQ372" s="474"/>
      <c r="CR372" s="474"/>
      <c r="CS372" s="474"/>
      <c r="CT372" s="474"/>
    </row>
    <row r="373" spans="1:98" s="35" customFormat="1" ht="12" customHeight="1">
      <c r="A373" s="474"/>
      <c r="B373" s="474"/>
      <c r="C373" s="474"/>
      <c r="D373" s="474"/>
      <c r="E373" s="474"/>
      <c r="F373" s="474"/>
      <c r="G373" s="474"/>
      <c r="H373" s="474"/>
      <c r="J373" s="474"/>
      <c r="K373" s="474"/>
      <c r="L373" s="474"/>
      <c r="M373" s="474"/>
      <c r="N373" s="474"/>
      <c r="O373" s="474"/>
      <c r="P373" s="474"/>
      <c r="Q373" s="474"/>
      <c r="S373" s="474"/>
      <c r="T373" s="474"/>
      <c r="U373" s="474"/>
      <c r="V373" s="474"/>
      <c r="W373" s="474"/>
      <c r="X373" s="474"/>
      <c r="Y373" s="474"/>
      <c r="Z373" s="474"/>
      <c r="AB373" s="474"/>
      <c r="AC373" s="474"/>
      <c r="AD373" s="474"/>
      <c r="AE373" s="474"/>
      <c r="AF373" s="474"/>
      <c r="AG373" s="474"/>
      <c r="AH373" s="474"/>
      <c r="AI373" s="474"/>
      <c r="AK373" s="474"/>
      <c r="AL373" s="474"/>
      <c r="AM373" s="474"/>
      <c r="AN373" s="474"/>
      <c r="AO373" s="474"/>
      <c r="AP373" s="474"/>
      <c r="AQ373" s="474"/>
      <c r="AR373" s="474"/>
      <c r="AS373" s="474"/>
      <c r="AT373" s="474"/>
      <c r="AU373" s="474"/>
      <c r="AV373" s="474"/>
      <c r="AW373" s="474"/>
      <c r="AX373" s="474"/>
      <c r="AY373" s="474"/>
      <c r="AZ373" s="474"/>
      <c r="BA373" s="474"/>
      <c r="BC373" s="474"/>
      <c r="BD373" s="474"/>
      <c r="BE373" s="474"/>
      <c r="BF373" s="474"/>
      <c r="BG373" s="474"/>
      <c r="BH373" s="474"/>
      <c r="BI373" s="474"/>
      <c r="BJ373" s="474"/>
      <c r="CD373" s="474"/>
      <c r="CE373" s="474"/>
      <c r="CF373" s="474"/>
      <c r="CG373" s="474"/>
      <c r="CH373" s="474"/>
      <c r="CI373" s="474"/>
      <c r="CJ373" s="474"/>
      <c r="CK373" s="474"/>
      <c r="CM373" s="474"/>
      <c r="CN373" s="474"/>
      <c r="CO373" s="474"/>
      <c r="CP373" s="474"/>
      <c r="CQ373" s="474"/>
      <c r="CR373" s="474"/>
      <c r="CS373" s="474"/>
      <c r="CT373" s="474"/>
    </row>
    <row r="374" spans="1:98" s="35" customFormat="1" ht="12" customHeight="1">
      <c r="A374" s="474"/>
      <c r="B374" s="474"/>
      <c r="C374" s="474"/>
      <c r="D374" s="474"/>
      <c r="E374" s="474"/>
      <c r="F374" s="474"/>
      <c r="G374" s="474"/>
      <c r="H374" s="474"/>
      <c r="J374" s="474"/>
      <c r="K374" s="474"/>
      <c r="L374" s="474"/>
      <c r="M374" s="474"/>
      <c r="N374" s="474"/>
      <c r="O374" s="474"/>
      <c r="P374" s="474"/>
      <c r="Q374" s="474"/>
      <c r="S374" s="474"/>
      <c r="T374" s="474"/>
      <c r="U374" s="474"/>
      <c r="V374" s="474"/>
      <c r="W374" s="474"/>
      <c r="X374" s="474"/>
      <c r="Y374" s="474"/>
      <c r="Z374" s="474"/>
      <c r="AB374" s="474"/>
      <c r="AC374" s="474"/>
      <c r="AD374" s="474"/>
      <c r="AE374" s="474"/>
      <c r="AF374" s="474"/>
      <c r="AG374" s="474"/>
      <c r="AH374" s="474"/>
      <c r="AI374" s="474"/>
      <c r="AK374" s="474"/>
      <c r="AL374" s="474"/>
      <c r="AM374" s="474"/>
      <c r="AN374" s="474"/>
      <c r="AO374" s="474"/>
      <c r="AP374" s="474"/>
      <c r="AQ374" s="474"/>
      <c r="AR374" s="474"/>
      <c r="AS374" s="474"/>
      <c r="AT374" s="474"/>
      <c r="AU374" s="474"/>
      <c r="AV374" s="474"/>
      <c r="AW374" s="474"/>
      <c r="AX374" s="474"/>
      <c r="AY374" s="474"/>
      <c r="AZ374" s="474"/>
      <c r="BA374" s="474"/>
      <c r="BC374" s="474"/>
      <c r="BD374" s="474"/>
      <c r="BE374" s="474"/>
      <c r="BF374" s="474"/>
      <c r="BG374" s="474"/>
      <c r="BH374" s="474"/>
      <c r="BI374" s="474"/>
      <c r="BJ374" s="474"/>
      <c r="CD374" s="474"/>
      <c r="CE374" s="474"/>
      <c r="CF374" s="474"/>
      <c r="CG374" s="474"/>
      <c r="CH374" s="474"/>
      <c r="CI374" s="474"/>
      <c r="CJ374" s="474"/>
      <c r="CK374" s="474"/>
      <c r="CM374" s="474"/>
      <c r="CN374" s="474"/>
      <c r="CO374" s="474"/>
      <c r="CP374" s="474"/>
      <c r="CQ374" s="474"/>
      <c r="CR374" s="474"/>
      <c r="CS374" s="474"/>
      <c r="CT374" s="474"/>
    </row>
    <row r="375" spans="1:98" s="35" customFormat="1" ht="12" customHeight="1">
      <c r="A375" s="474"/>
      <c r="B375" s="474"/>
      <c r="C375" s="474"/>
      <c r="D375" s="474"/>
      <c r="E375" s="474"/>
      <c r="F375" s="474"/>
      <c r="G375" s="474"/>
      <c r="H375" s="474"/>
      <c r="J375" s="474"/>
      <c r="K375" s="474"/>
      <c r="L375" s="474"/>
      <c r="M375" s="474"/>
      <c r="N375" s="474"/>
      <c r="O375" s="474"/>
      <c r="P375" s="474"/>
      <c r="Q375" s="474"/>
      <c r="S375" s="474"/>
      <c r="T375" s="474"/>
      <c r="U375" s="474"/>
      <c r="V375" s="474"/>
      <c r="W375" s="474"/>
      <c r="X375" s="474"/>
      <c r="Y375" s="474"/>
      <c r="Z375" s="474"/>
      <c r="AB375" s="474"/>
      <c r="AC375" s="474"/>
      <c r="AD375" s="474"/>
      <c r="AE375" s="474"/>
      <c r="AF375" s="474"/>
      <c r="AG375" s="474"/>
      <c r="AH375" s="474"/>
      <c r="AI375" s="474"/>
      <c r="AK375" s="474"/>
      <c r="AL375" s="474"/>
      <c r="AM375" s="474"/>
      <c r="AN375" s="474"/>
      <c r="AO375" s="474"/>
      <c r="AP375" s="474"/>
      <c r="AQ375" s="474"/>
      <c r="AR375" s="474"/>
      <c r="AS375" s="474"/>
      <c r="AT375" s="474"/>
      <c r="AU375" s="474"/>
      <c r="AV375" s="474"/>
      <c r="AW375" s="474"/>
      <c r="AX375" s="474"/>
      <c r="AY375" s="474"/>
      <c r="AZ375" s="474"/>
      <c r="BA375" s="474"/>
      <c r="BC375" s="474"/>
      <c r="BD375" s="474"/>
      <c r="BE375" s="474"/>
      <c r="BF375" s="474"/>
      <c r="BG375" s="474"/>
      <c r="BH375" s="474"/>
      <c r="BI375" s="474"/>
      <c r="BJ375" s="474"/>
      <c r="CD375" s="474"/>
      <c r="CE375" s="474"/>
      <c r="CF375" s="474"/>
      <c r="CG375" s="474"/>
      <c r="CH375" s="474"/>
      <c r="CI375" s="474"/>
      <c r="CJ375" s="474"/>
      <c r="CK375" s="474"/>
      <c r="CM375" s="474"/>
      <c r="CN375" s="474"/>
      <c r="CO375" s="474"/>
      <c r="CP375" s="474"/>
      <c r="CQ375" s="474"/>
      <c r="CR375" s="474"/>
      <c r="CS375" s="474"/>
      <c r="CT375" s="474"/>
    </row>
    <row r="376" spans="1:98" s="35" customFormat="1" ht="12" customHeight="1">
      <c r="A376" s="474"/>
      <c r="B376" s="474"/>
      <c r="C376" s="474"/>
      <c r="D376" s="474"/>
      <c r="E376" s="474"/>
      <c r="F376" s="474"/>
      <c r="G376" s="474"/>
      <c r="H376" s="474"/>
      <c r="J376" s="474"/>
      <c r="K376" s="474"/>
      <c r="L376" s="474"/>
      <c r="M376" s="474"/>
      <c r="N376" s="474"/>
      <c r="O376" s="474"/>
      <c r="P376" s="474"/>
      <c r="Q376" s="474"/>
      <c r="S376" s="474"/>
      <c r="T376" s="474"/>
      <c r="U376" s="474"/>
      <c r="V376" s="474"/>
      <c r="W376" s="474"/>
      <c r="X376" s="474"/>
      <c r="Y376" s="474"/>
      <c r="Z376" s="474"/>
      <c r="AB376" s="474"/>
      <c r="AC376" s="474"/>
      <c r="AD376" s="474"/>
      <c r="AE376" s="474"/>
      <c r="AF376" s="474"/>
      <c r="AG376" s="474"/>
      <c r="AH376" s="474"/>
      <c r="AI376" s="474"/>
      <c r="AK376" s="474"/>
      <c r="AL376" s="474"/>
      <c r="AM376" s="474"/>
      <c r="AN376" s="474"/>
      <c r="AO376" s="474"/>
      <c r="AP376" s="474"/>
      <c r="AQ376" s="474"/>
      <c r="AR376" s="474"/>
      <c r="AS376" s="474"/>
      <c r="AT376" s="474"/>
      <c r="AU376" s="474"/>
      <c r="AV376" s="474"/>
      <c r="AW376" s="474"/>
      <c r="AX376" s="474"/>
      <c r="AY376" s="474"/>
      <c r="AZ376" s="474"/>
      <c r="BA376" s="474"/>
      <c r="BC376" s="474"/>
      <c r="BD376" s="474"/>
      <c r="BE376" s="474"/>
      <c r="BF376" s="474"/>
      <c r="BG376" s="474"/>
      <c r="BH376" s="474"/>
      <c r="BI376" s="474"/>
      <c r="BJ376" s="474"/>
      <c r="CD376" s="474"/>
      <c r="CE376" s="474"/>
      <c r="CF376" s="474"/>
      <c r="CG376" s="474"/>
      <c r="CH376" s="474"/>
      <c r="CI376" s="474"/>
      <c r="CJ376" s="474"/>
      <c r="CK376" s="474"/>
      <c r="CM376" s="474"/>
      <c r="CN376" s="474"/>
      <c r="CO376" s="474"/>
      <c r="CP376" s="474"/>
      <c r="CQ376" s="474"/>
      <c r="CR376" s="474"/>
      <c r="CS376" s="474"/>
      <c r="CT376" s="474"/>
    </row>
    <row r="377" spans="1:98" s="35" customFormat="1" ht="12" customHeight="1">
      <c r="A377" s="474"/>
      <c r="B377" s="474"/>
      <c r="C377" s="474"/>
      <c r="D377" s="474"/>
      <c r="E377" s="474"/>
      <c r="F377" s="474"/>
      <c r="G377" s="474"/>
      <c r="H377" s="474"/>
      <c r="J377" s="474"/>
      <c r="K377" s="474"/>
      <c r="L377" s="474"/>
      <c r="M377" s="474"/>
      <c r="N377" s="474"/>
      <c r="O377" s="474"/>
      <c r="P377" s="474"/>
      <c r="Q377" s="474"/>
      <c r="S377" s="474"/>
      <c r="T377" s="474"/>
      <c r="U377" s="474"/>
      <c r="V377" s="474"/>
      <c r="W377" s="474"/>
      <c r="X377" s="474"/>
      <c r="Y377" s="474"/>
      <c r="Z377" s="474"/>
      <c r="AB377" s="474"/>
      <c r="AC377" s="474"/>
      <c r="AD377" s="474"/>
      <c r="AE377" s="474"/>
      <c r="AF377" s="474"/>
      <c r="AG377" s="474"/>
      <c r="AH377" s="474"/>
      <c r="AI377" s="474"/>
      <c r="AK377" s="474"/>
      <c r="AL377" s="474"/>
      <c r="AM377" s="474"/>
      <c r="AN377" s="474"/>
      <c r="AO377" s="474"/>
      <c r="AP377" s="474"/>
      <c r="AQ377" s="474"/>
      <c r="AR377" s="474"/>
      <c r="AS377" s="474"/>
      <c r="AT377" s="474"/>
      <c r="AU377" s="474"/>
      <c r="AV377" s="474"/>
      <c r="AW377" s="474"/>
      <c r="AX377" s="474"/>
      <c r="AY377" s="474"/>
      <c r="AZ377" s="474"/>
      <c r="BA377" s="474"/>
      <c r="BC377" s="474"/>
      <c r="BD377" s="474"/>
      <c r="BE377" s="474"/>
      <c r="BF377" s="474"/>
      <c r="BG377" s="474"/>
      <c r="BH377" s="474"/>
      <c r="BI377" s="474"/>
      <c r="BJ377" s="474"/>
      <c r="CD377" s="474"/>
      <c r="CE377" s="474"/>
      <c r="CF377" s="474"/>
      <c r="CG377" s="474"/>
      <c r="CH377" s="474"/>
      <c r="CI377" s="474"/>
      <c r="CJ377" s="474"/>
      <c r="CK377" s="474"/>
      <c r="CM377" s="474"/>
      <c r="CN377" s="474"/>
      <c r="CO377" s="474"/>
      <c r="CP377" s="474"/>
      <c r="CQ377" s="474"/>
      <c r="CR377" s="474"/>
      <c r="CS377" s="474"/>
      <c r="CT377" s="474"/>
    </row>
    <row r="378" spans="1:98" s="35" customFormat="1" ht="12" customHeight="1">
      <c r="A378" s="474"/>
      <c r="B378" s="474"/>
      <c r="C378" s="474"/>
      <c r="D378" s="474"/>
      <c r="E378" s="474"/>
      <c r="F378" s="474"/>
      <c r="G378" s="474"/>
      <c r="H378" s="474"/>
      <c r="J378" s="474"/>
      <c r="K378" s="474"/>
      <c r="L378" s="474"/>
      <c r="M378" s="474"/>
      <c r="N378" s="474"/>
      <c r="O378" s="474"/>
      <c r="P378" s="474"/>
      <c r="Q378" s="474"/>
      <c r="S378" s="474"/>
      <c r="T378" s="474"/>
      <c r="U378" s="474"/>
      <c r="V378" s="474"/>
      <c r="W378" s="474"/>
      <c r="X378" s="474"/>
      <c r="Y378" s="474"/>
      <c r="Z378" s="474"/>
      <c r="AB378" s="474"/>
      <c r="AC378" s="474"/>
      <c r="AD378" s="474"/>
      <c r="AE378" s="474"/>
      <c r="AF378" s="474"/>
      <c r="AG378" s="474"/>
      <c r="AH378" s="474"/>
      <c r="AI378" s="474"/>
      <c r="AK378" s="474"/>
      <c r="AL378" s="474"/>
      <c r="AM378" s="474"/>
      <c r="AN378" s="474"/>
      <c r="AO378" s="474"/>
      <c r="AP378" s="474"/>
      <c r="AQ378" s="474"/>
      <c r="AR378" s="474"/>
      <c r="AS378" s="474"/>
      <c r="AT378" s="474"/>
      <c r="AU378" s="474"/>
      <c r="AV378" s="474"/>
      <c r="AW378" s="474"/>
      <c r="AX378" s="474"/>
      <c r="AY378" s="474"/>
      <c r="AZ378" s="474"/>
      <c r="BA378" s="474"/>
      <c r="BC378" s="474"/>
      <c r="BD378" s="474"/>
      <c r="BE378" s="474"/>
      <c r="BF378" s="474"/>
      <c r="BG378" s="474"/>
      <c r="BH378" s="474"/>
      <c r="BI378" s="474"/>
      <c r="BJ378" s="474"/>
      <c r="CD378" s="474"/>
      <c r="CE378" s="474"/>
      <c r="CF378" s="474"/>
      <c r="CG378" s="474"/>
      <c r="CH378" s="474"/>
      <c r="CI378" s="474"/>
      <c r="CJ378" s="474"/>
      <c r="CK378" s="474"/>
      <c r="CM378" s="474"/>
      <c r="CN378" s="474"/>
      <c r="CO378" s="474"/>
      <c r="CP378" s="474"/>
      <c r="CQ378" s="474"/>
      <c r="CR378" s="474"/>
      <c r="CS378" s="474"/>
      <c r="CT378" s="474"/>
    </row>
    <row r="379" spans="1:98" s="35" customFormat="1" ht="12" customHeight="1">
      <c r="A379" s="474"/>
      <c r="B379" s="474"/>
      <c r="C379" s="474"/>
      <c r="D379" s="474"/>
      <c r="E379" s="474"/>
      <c r="F379" s="474"/>
      <c r="G379" s="474"/>
      <c r="H379" s="474"/>
      <c r="J379" s="474"/>
      <c r="K379" s="474"/>
      <c r="L379" s="474"/>
      <c r="M379" s="474"/>
      <c r="N379" s="474"/>
      <c r="O379" s="474"/>
      <c r="P379" s="474"/>
      <c r="Q379" s="474"/>
      <c r="S379" s="474"/>
      <c r="T379" s="474"/>
      <c r="U379" s="474"/>
      <c r="V379" s="474"/>
      <c r="W379" s="474"/>
      <c r="X379" s="474"/>
      <c r="Y379" s="474"/>
      <c r="Z379" s="474"/>
      <c r="AB379" s="474"/>
      <c r="AC379" s="474"/>
      <c r="AD379" s="474"/>
      <c r="AE379" s="474"/>
      <c r="AF379" s="474"/>
      <c r="AG379" s="474"/>
      <c r="AH379" s="474"/>
      <c r="AI379" s="474"/>
      <c r="AK379" s="474"/>
      <c r="AL379" s="474"/>
      <c r="AM379" s="474"/>
      <c r="AN379" s="474"/>
      <c r="AO379" s="474"/>
      <c r="AP379" s="474"/>
      <c r="AQ379" s="474"/>
      <c r="AR379" s="474"/>
      <c r="AS379" s="474"/>
      <c r="AT379" s="474"/>
      <c r="AU379" s="474"/>
      <c r="AV379" s="474"/>
      <c r="AW379" s="474"/>
      <c r="AX379" s="474"/>
      <c r="AY379" s="474"/>
      <c r="AZ379" s="474"/>
      <c r="BA379" s="474"/>
      <c r="BC379" s="474"/>
      <c r="BD379" s="474"/>
      <c r="BE379" s="474"/>
      <c r="BF379" s="474"/>
      <c r="BG379" s="474"/>
      <c r="BH379" s="474"/>
      <c r="BI379" s="474"/>
      <c r="BJ379" s="474"/>
      <c r="CD379" s="474"/>
      <c r="CE379" s="474"/>
      <c r="CF379" s="474"/>
      <c r="CG379" s="474"/>
      <c r="CH379" s="474"/>
      <c r="CI379" s="474"/>
      <c r="CJ379" s="474"/>
      <c r="CK379" s="474"/>
      <c r="CM379" s="474"/>
      <c r="CN379" s="474"/>
      <c r="CO379" s="474"/>
      <c r="CP379" s="474"/>
      <c r="CQ379" s="474"/>
      <c r="CR379" s="474"/>
      <c r="CS379" s="474"/>
      <c r="CT379" s="474"/>
    </row>
    <row r="380" spans="1:98" s="35" customFormat="1" ht="12" customHeight="1">
      <c r="A380" s="474"/>
      <c r="B380" s="474"/>
      <c r="C380" s="474"/>
      <c r="D380" s="474"/>
      <c r="E380" s="474"/>
      <c r="F380" s="474"/>
      <c r="G380" s="474"/>
      <c r="H380" s="474"/>
      <c r="J380" s="474"/>
      <c r="K380" s="474"/>
      <c r="L380" s="474"/>
      <c r="M380" s="474"/>
      <c r="N380" s="474"/>
      <c r="O380" s="474"/>
      <c r="P380" s="474"/>
      <c r="Q380" s="474"/>
      <c r="S380" s="474"/>
      <c r="T380" s="474"/>
      <c r="U380" s="474"/>
      <c r="V380" s="474"/>
      <c r="W380" s="474"/>
      <c r="X380" s="474"/>
      <c r="Y380" s="474"/>
      <c r="Z380" s="474"/>
      <c r="AB380" s="474"/>
      <c r="AC380" s="474"/>
      <c r="AD380" s="474"/>
      <c r="AE380" s="474"/>
      <c r="AF380" s="474"/>
      <c r="AG380" s="474"/>
      <c r="AH380" s="474"/>
      <c r="AI380" s="474"/>
      <c r="AK380" s="474"/>
      <c r="AL380" s="474"/>
      <c r="AM380" s="474"/>
      <c r="AN380" s="474"/>
      <c r="AO380" s="474"/>
      <c r="AP380" s="474"/>
      <c r="AQ380" s="474"/>
      <c r="AR380" s="474"/>
      <c r="AS380" s="474"/>
      <c r="AT380" s="474"/>
      <c r="AU380" s="474"/>
      <c r="AV380" s="474"/>
      <c r="AW380" s="474"/>
      <c r="AX380" s="474"/>
      <c r="AY380" s="474"/>
      <c r="AZ380" s="474"/>
      <c r="BA380" s="474"/>
      <c r="BC380" s="474"/>
      <c r="BD380" s="474"/>
      <c r="BE380" s="474"/>
      <c r="BF380" s="474"/>
      <c r="BG380" s="474"/>
      <c r="BH380" s="474"/>
      <c r="BI380" s="474"/>
      <c r="BJ380" s="474"/>
      <c r="CD380" s="474"/>
      <c r="CE380" s="474"/>
      <c r="CF380" s="474"/>
      <c r="CG380" s="474"/>
      <c r="CH380" s="474"/>
      <c r="CI380" s="474"/>
      <c r="CJ380" s="474"/>
      <c r="CK380" s="474"/>
      <c r="CM380" s="474"/>
      <c r="CN380" s="474"/>
      <c r="CO380" s="474"/>
      <c r="CP380" s="474"/>
      <c r="CQ380" s="474"/>
      <c r="CR380" s="474"/>
      <c r="CS380" s="474"/>
      <c r="CT380" s="474"/>
    </row>
    <row r="381" spans="1:98" s="35" customFormat="1" ht="12" customHeight="1">
      <c r="A381" s="474"/>
      <c r="B381" s="474"/>
      <c r="C381" s="474"/>
      <c r="D381" s="474"/>
      <c r="E381" s="474"/>
      <c r="F381" s="474"/>
      <c r="G381" s="474"/>
      <c r="H381" s="474"/>
      <c r="J381" s="474"/>
      <c r="K381" s="474"/>
      <c r="L381" s="474"/>
      <c r="M381" s="474"/>
      <c r="N381" s="474"/>
      <c r="O381" s="474"/>
      <c r="P381" s="474"/>
      <c r="Q381" s="474"/>
      <c r="S381" s="474"/>
      <c r="T381" s="474"/>
      <c r="U381" s="474"/>
      <c r="V381" s="474"/>
      <c r="W381" s="474"/>
      <c r="X381" s="474"/>
      <c r="Y381" s="474"/>
      <c r="Z381" s="474"/>
      <c r="AB381" s="474"/>
      <c r="AC381" s="474"/>
      <c r="AD381" s="474"/>
      <c r="AE381" s="474"/>
      <c r="AF381" s="474"/>
      <c r="AG381" s="474"/>
      <c r="AH381" s="474"/>
      <c r="AI381" s="474"/>
      <c r="AK381" s="474"/>
      <c r="AL381" s="474"/>
      <c r="AM381" s="474"/>
      <c r="AN381" s="474"/>
      <c r="AO381" s="474"/>
      <c r="AP381" s="474"/>
      <c r="AQ381" s="474"/>
      <c r="AR381" s="474"/>
      <c r="AS381" s="474"/>
      <c r="AT381" s="474"/>
      <c r="AU381" s="474"/>
      <c r="AV381" s="474"/>
      <c r="AW381" s="474"/>
      <c r="AX381" s="474"/>
      <c r="AY381" s="474"/>
      <c r="AZ381" s="474"/>
      <c r="BA381" s="474"/>
      <c r="BC381" s="474"/>
      <c r="BD381" s="474"/>
      <c r="BE381" s="474"/>
      <c r="BF381" s="474"/>
      <c r="BG381" s="474"/>
      <c r="BH381" s="474"/>
      <c r="BI381" s="474"/>
      <c r="BJ381" s="474"/>
      <c r="CD381" s="474"/>
      <c r="CE381" s="474"/>
      <c r="CF381" s="474"/>
      <c r="CG381" s="474"/>
      <c r="CH381" s="474"/>
      <c r="CI381" s="474"/>
      <c r="CJ381" s="474"/>
      <c r="CK381" s="474"/>
      <c r="CM381" s="474"/>
      <c r="CN381" s="474"/>
      <c r="CO381" s="474"/>
      <c r="CP381" s="474"/>
      <c r="CQ381" s="474"/>
      <c r="CR381" s="474"/>
      <c r="CS381" s="474"/>
      <c r="CT381" s="474"/>
    </row>
    <row r="382" spans="1:98" s="35" customFormat="1" ht="12" customHeight="1">
      <c r="A382" s="474"/>
      <c r="B382" s="474"/>
      <c r="C382" s="474"/>
      <c r="D382" s="474"/>
      <c r="E382" s="474"/>
      <c r="F382" s="474"/>
      <c r="G382" s="474"/>
      <c r="H382" s="474"/>
      <c r="J382" s="474"/>
      <c r="K382" s="474"/>
      <c r="L382" s="474"/>
      <c r="M382" s="474"/>
      <c r="N382" s="474"/>
      <c r="O382" s="474"/>
      <c r="P382" s="474"/>
      <c r="Q382" s="474"/>
      <c r="S382" s="474"/>
      <c r="T382" s="474"/>
      <c r="U382" s="474"/>
      <c r="V382" s="474"/>
      <c r="W382" s="474"/>
      <c r="X382" s="474"/>
      <c r="Y382" s="474"/>
      <c r="Z382" s="474"/>
      <c r="AB382" s="474"/>
      <c r="AC382" s="474"/>
      <c r="AD382" s="474"/>
      <c r="AE382" s="474"/>
      <c r="AF382" s="474"/>
      <c r="AG382" s="474"/>
      <c r="AH382" s="474"/>
      <c r="AI382" s="474"/>
      <c r="AK382" s="474"/>
      <c r="AL382" s="474"/>
      <c r="AM382" s="474"/>
      <c r="AN382" s="474"/>
      <c r="AO382" s="474"/>
      <c r="AP382" s="474"/>
      <c r="AQ382" s="474"/>
      <c r="AR382" s="474"/>
      <c r="AS382" s="474"/>
      <c r="AT382" s="474"/>
      <c r="AU382" s="474"/>
      <c r="AV382" s="474"/>
      <c r="AW382" s="474"/>
      <c r="AX382" s="474"/>
      <c r="AY382" s="474"/>
      <c r="AZ382" s="474"/>
      <c r="BA382" s="474"/>
      <c r="BC382" s="474"/>
      <c r="BD382" s="474"/>
      <c r="BE382" s="474"/>
      <c r="BF382" s="474"/>
      <c r="BG382" s="474"/>
      <c r="BH382" s="474"/>
      <c r="BI382" s="474"/>
      <c r="BJ382" s="474"/>
      <c r="CD382" s="474"/>
      <c r="CE382" s="474"/>
      <c r="CF382" s="474"/>
      <c r="CG382" s="474"/>
      <c r="CH382" s="474"/>
      <c r="CI382" s="474"/>
      <c r="CJ382" s="474"/>
      <c r="CK382" s="474"/>
      <c r="CM382" s="474"/>
      <c r="CN382" s="474"/>
      <c r="CO382" s="474"/>
      <c r="CP382" s="474"/>
      <c r="CQ382" s="474"/>
      <c r="CR382" s="474"/>
      <c r="CS382" s="474"/>
      <c r="CT382" s="474"/>
    </row>
    <row r="383" spans="1:98" s="35" customFormat="1" ht="12" customHeight="1">
      <c r="A383" s="474"/>
      <c r="B383" s="474"/>
      <c r="C383" s="474"/>
      <c r="D383" s="474"/>
      <c r="E383" s="474"/>
      <c r="F383" s="474"/>
      <c r="G383" s="474"/>
      <c r="H383" s="474"/>
      <c r="J383" s="474"/>
      <c r="K383" s="474"/>
      <c r="L383" s="474"/>
      <c r="M383" s="474"/>
      <c r="N383" s="474"/>
      <c r="O383" s="474"/>
      <c r="P383" s="474"/>
      <c r="Q383" s="474"/>
      <c r="S383" s="474"/>
      <c r="T383" s="474"/>
      <c r="U383" s="474"/>
      <c r="V383" s="474"/>
      <c r="W383" s="474"/>
      <c r="X383" s="474"/>
      <c r="Y383" s="474"/>
      <c r="Z383" s="474"/>
      <c r="AB383" s="474"/>
      <c r="AC383" s="474"/>
      <c r="AD383" s="474"/>
      <c r="AE383" s="474"/>
      <c r="AF383" s="474"/>
      <c r="AG383" s="474"/>
      <c r="AH383" s="474"/>
      <c r="AI383" s="474"/>
      <c r="AK383" s="474"/>
      <c r="AL383" s="474"/>
      <c r="AM383" s="474"/>
      <c r="AN383" s="474"/>
      <c r="AO383" s="474"/>
      <c r="AP383" s="474"/>
      <c r="AQ383" s="474"/>
      <c r="AR383" s="474"/>
      <c r="AS383" s="474"/>
      <c r="AT383" s="474"/>
      <c r="AU383" s="474"/>
      <c r="AV383" s="474"/>
      <c r="AW383" s="474"/>
      <c r="AX383" s="474"/>
      <c r="AY383" s="474"/>
      <c r="AZ383" s="474"/>
      <c r="BA383" s="474"/>
      <c r="BC383" s="474"/>
      <c r="BD383" s="474"/>
      <c r="BE383" s="474"/>
      <c r="BF383" s="474"/>
      <c r="BG383" s="474"/>
      <c r="BH383" s="474"/>
      <c r="BI383" s="474"/>
      <c r="BJ383" s="474"/>
      <c r="CD383" s="474"/>
      <c r="CE383" s="474"/>
      <c r="CF383" s="474"/>
      <c r="CG383" s="474"/>
      <c r="CH383" s="474"/>
      <c r="CI383" s="474"/>
      <c r="CJ383" s="474"/>
      <c r="CK383" s="474"/>
      <c r="CM383" s="474"/>
      <c r="CN383" s="474"/>
      <c r="CO383" s="474"/>
      <c r="CP383" s="474"/>
      <c r="CQ383" s="474"/>
      <c r="CR383" s="474"/>
      <c r="CS383" s="474"/>
      <c r="CT383" s="474"/>
    </row>
    <row r="384" spans="1:98" s="35" customFormat="1" ht="12" customHeight="1">
      <c r="A384" s="474"/>
      <c r="B384" s="474"/>
      <c r="C384" s="474"/>
      <c r="D384" s="474"/>
      <c r="E384" s="474"/>
      <c r="F384" s="474"/>
      <c r="G384" s="474"/>
      <c r="H384" s="474"/>
      <c r="J384" s="474"/>
      <c r="K384" s="474"/>
      <c r="L384" s="474"/>
      <c r="M384" s="474"/>
      <c r="N384" s="474"/>
      <c r="O384" s="474"/>
      <c r="P384" s="474"/>
      <c r="Q384" s="474"/>
      <c r="S384" s="474"/>
      <c r="T384" s="474"/>
      <c r="U384" s="474"/>
      <c r="V384" s="474"/>
      <c r="W384" s="474"/>
      <c r="X384" s="474"/>
      <c r="Y384" s="474"/>
      <c r="Z384" s="474"/>
      <c r="AB384" s="474"/>
      <c r="AC384" s="474"/>
      <c r="AD384" s="474"/>
      <c r="AE384" s="474"/>
      <c r="AF384" s="474"/>
      <c r="AG384" s="474"/>
      <c r="AH384" s="474"/>
      <c r="AI384" s="474"/>
      <c r="AK384" s="474"/>
      <c r="AL384" s="474"/>
      <c r="AM384" s="474"/>
      <c r="AN384" s="474"/>
      <c r="AO384" s="474"/>
      <c r="AP384" s="474"/>
      <c r="AQ384" s="474"/>
      <c r="AR384" s="474"/>
      <c r="AS384" s="474"/>
      <c r="AT384" s="474"/>
      <c r="AU384" s="474"/>
      <c r="AV384" s="474"/>
      <c r="AW384" s="474"/>
      <c r="AX384" s="474"/>
      <c r="AY384" s="474"/>
      <c r="AZ384" s="474"/>
      <c r="BA384" s="474"/>
      <c r="BC384" s="474"/>
      <c r="BD384" s="474"/>
      <c r="BE384" s="474"/>
      <c r="BF384" s="474"/>
      <c r="BG384" s="474"/>
      <c r="BH384" s="474"/>
      <c r="BI384" s="474"/>
      <c r="BJ384" s="474"/>
      <c r="CD384" s="474"/>
      <c r="CE384" s="474"/>
      <c r="CF384" s="474"/>
      <c r="CG384" s="474"/>
      <c r="CH384" s="474"/>
      <c r="CI384" s="474"/>
      <c r="CJ384" s="474"/>
      <c r="CK384" s="474"/>
      <c r="CM384" s="474"/>
      <c r="CN384" s="474"/>
      <c r="CO384" s="474"/>
      <c r="CP384" s="474"/>
      <c r="CQ384" s="474"/>
      <c r="CR384" s="474"/>
      <c r="CS384" s="474"/>
      <c r="CT384" s="474"/>
    </row>
    <row r="385" spans="1:98" s="35" customFormat="1" ht="12" customHeight="1">
      <c r="A385" s="474"/>
      <c r="B385" s="474"/>
      <c r="C385" s="474"/>
      <c r="D385" s="474"/>
      <c r="E385" s="474"/>
      <c r="F385" s="474"/>
      <c r="G385" s="474"/>
      <c r="H385" s="474"/>
      <c r="J385" s="474"/>
      <c r="K385" s="474"/>
      <c r="L385" s="474"/>
      <c r="M385" s="474"/>
      <c r="N385" s="474"/>
      <c r="O385" s="474"/>
      <c r="P385" s="474"/>
      <c r="Q385" s="474"/>
      <c r="S385" s="474"/>
      <c r="T385" s="474"/>
      <c r="U385" s="474"/>
      <c r="V385" s="474"/>
      <c r="W385" s="474"/>
      <c r="X385" s="474"/>
      <c r="Y385" s="474"/>
      <c r="Z385" s="474"/>
      <c r="AB385" s="474"/>
      <c r="AC385" s="474"/>
      <c r="AD385" s="474"/>
      <c r="AE385" s="474"/>
      <c r="AF385" s="474"/>
      <c r="AG385" s="474"/>
      <c r="AH385" s="474"/>
      <c r="AI385" s="474"/>
      <c r="AK385" s="474"/>
      <c r="AL385" s="474"/>
      <c r="AM385" s="474"/>
      <c r="AN385" s="474"/>
      <c r="AO385" s="474"/>
      <c r="AP385" s="474"/>
      <c r="AQ385" s="474"/>
      <c r="AR385" s="474"/>
      <c r="AS385" s="474"/>
      <c r="AT385" s="474"/>
      <c r="AU385" s="474"/>
      <c r="AV385" s="474"/>
      <c r="AW385" s="474"/>
      <c r="AX385" s="474"/>
      <c r="AY385" s="474"/>
      <c r="AZ385" s="474"/>
      <c r="BA385" s="474"/>
      <c r="BC385" s="474"/>
      <c r="BD385" s="474"/>
      <c r="BE385" s="474"/>
      <c r="BF385" s="474"/>
      <c r="BG385" s="474"/>
      <c r="BH385" s="474"/>
      <c r="BI385" s="474"/>
      <c r="BJ385" s="474"/>
      <c r="CD385" s="474"/>
      <c r="CE385" s="474"/>
      <c r="CF385" s="474"/>
      <c r="CG385" s="474"/>
      <c r="CH385" s="474"/>
      <c r="CI385" s="474"/>
      <c r="CJ385" s="474"/>
      <c r="CK385" s="474"/>
      <c r="CM385" s="474"/>
      <c r="CN385" s="474"/>
      <c r="CO385" s="474"/>
      <c r="CP385" s="474"/>
      <c r="CQ385" s="474"/>
      <c r="CR385" s="474"/>
      <c r="CS385" s="474"/>
      <c r="CT385" s="474"/>
    </row>
    <row r="386" spans="1:98" s="35" customFormat="1" ht="12" customHeight="1">
      <c r="A386" s="474"/>
      <c r="B386" s="474"/>
      <c r="C386" s="474"/>
      <c r="D386" s="474"/>
      <c r="E386" s="474"/>
      <c r="F386" s="474"/>
      <c r="G386" s="474"/>
      <c r="H386" s="474"/>
      <c r="J386" s="474"/>
      <c r="K386" s="474"/>
      <c r="L386" s="474"/>
      <c r="M386" s="474"/>
      <c r="N386" s="474"/>
      <c r="O386" s="474"/>
      <c r="P386" s="474"/>
      <c r="Q386" s="474"/>
      <c r="S386" s="474"/>
      <c r="T386" s="474"/>
      <c r="U386" s="474"/>
      <c r="V386" s="474"/>
      <c r="W386" s="474"/>
      <c r="X386" s="474"/>
      <c r="Y386" s="474"/>
      <c r="Z386" s="474"/>
      <c r="AB386" s="474"/>
      <c r="AC386" s="474"/>
      <c r="AD386" s="474"/>
      <c r="AE386" s="474"/>
      <c r="AF386" s="474"/>
      <c r="AG386" s="474"/>
      <c r="AH386" s="474"/>
      <c r="AI386" s="474"/>
      <c r="AK386" s="474"/>
      <c r="AL386" s="474"/>
      <c r="AM386" s="474"/>
      <c r="AN386" s="474"/>
      <c r="AO386" s="474"/>
      <c r="AP386" s="474"/>
      <c r="AQ386" s="474"/>
      <c r="AR386" s="474"/>
      <c r="AS386" s="474"/>
      <c r="AT386" s="474"/>
      <c r="AU386" s="474"/>
      <c r="AV386" s="474"/>
      <c r="AW386" s="474"/>
      <c r="AX386" s="474"/>
      <c r="AY386" s="474"/>
      <c r="AZ386" s="474"/>
      <c r="BA386" s="474"/>
      <c r="BC386" s="474"/>
      <c r="BD386" s="474"/>
      <c r="BE386" s="474"/>
      <c r="BF386" s="474"/>
      <c r="BG386" s="474"/>
      <c r="BH386" s="474"/>
      <c r="BI386" s="474"/>
      <c r="BJ386" s="474"/>
      <c r="CD386" s="474"/>
      <c r="CE386" s="474"/>
      <c r="CF386" s="474"/>
      <c r="CG386" s="474"/>
      <c r="CH386" s="474"/>
      <c r="CI386" s="474"/>
      <c r="CJ386" s="474"/>
      <c r="CK386" s="474"/>
      <c r="CM386" s="474"/>
      <c r="CN386" s="474"/>
      <c r="CO386" s="474"/>
      <c r="CP386" s="474"/>
      <c r="CQ386" s="474"/>
      <c r="CR386" s="474"/>
      <c r="CS386" s="474"/>
      <c r="CT386" s="474"/>
    </row>
    <row r="387" spans="1:98" s="35" customFormat="1" ht="12" customHeight="1">
      <c r="A387" s="474"/>
      <c r="B387" s="474"/>
      <c r="C387" s="474"/>
      <c r="D387" s="474"/>
      <c r="E387" s="474"/>
      <c r="F387" s="474"/>
      <c r="G387" s="474"/>
      <c r="H387" s="474"/>
      <c r="J387" s="474"/>
      <c r="K387" s="474"/>
      <c r="L387" s="474"/>
      <c r="M387" s="474"/>
      <c r="N387" s="474"/>
      <c r="O387" s="474"/>
      <c r="P387" s="474"/>
      <c r="Q387" s="474"/>
      <c r="S387" s="474"/>
      <c r="T387" s="474"/>
      <c r="U387" s="474"/>
      <c r="V387" s="474"/>
      <c r="W387" s="474"/>
      <c r="X387" s="474"/>
      <c r="Y387" s="474"/>
      <c r="Z387" s="474"/>
      <c r="AB387" s="474"/>
      <c r="AC387" s="474"/>
      <c r="AD387" s="474"/>
      <c r="AE387" s="474"/>
      <c r="AF387" s="474"/>
      <c r="AG387" s="474"/>
      <c r="AH387" s="474"/>
      <c r="AI387" s="474"/>
      <c r="AK387" s="474"/>
      <c r="AL387" s="474"/>
      <c r="AM387" s="474"/>
      <c r="AN387" s="474"/>
      <c r="AO387" s="474"/>
      <c r="AP387" s="474"/>
      <c r="AQ387" s="474"/>
      <c r="AR387" s="474"/>
      <c r="AS387" s="474"/>
      <c r="AT387" s="474"/>
      <c r="AU387" s="474"/>
      <c r="AV387" s="474"/>
      <c r="AW387" s="474"/>
      <c r="AX387" s="474"/>
      <c r="AY387" s="474"/>
      <c r="AZ387" s="474"/>
      <c r="BA387" s="474"/>
      <c r="BC387" s="474"/>
      <c r="BD387" s="474"/>
      <c r="BE387" s="474"/>
      <c r="BF387" s="474"/>
      <c r="BG387" s="474"/>
      <c r="BH387" s="474"/>
      <c r="BI387" s="474"/>
      <c r="BJ387" s="474"/>
      <c r="CD387" s="474"/>
      <c r="CE387" s="474"/>
      <c r="CF387" s="474"/>
      <c r="CG387" s="474"/>
      <c r="CH387" s="474"/>
      <c r="CI387" s="474"/>
      <c r="CJ387" s="474"/>
      <c r="CK387" s="474"/>
      <c r="CM387" s="474"/>
      <c r="CN387" s="474"/>
      <c r="CO387" s="474"/>
      <c r="CP387" s="474"/>
      <c r="CQ387" s="474"/>
      <c r="CR387" s="474"/>
      <c r="CS387" s="474"/>
      <c r="CT387" s="474"/>
    </row>
    <row r="388" spans="1:98" s="35" customFormat="1" ht="12" customHeight="1">
      <c r="A388" s="474"/>
      <c r="B388" s="474"/>
      <c r="C388" s="474"/>
      <c r="D388" s="474"/>
      <c r="E388" s="474"/>
      <c r="F388" s="474"/>
      <c r="G388" s="474"/>
      <c r="H388" s="474"/>
      <c r="J388" s="474"/>
      <c r="K388" s="474"/>
      <c r="L388" s="474"/>
      <c r="M388" s="474"/>
      <c r="N388" s="474"/>
      <c r="O388" s="474"/>
      <c r="P388" s="474"/>
      <c r="Q388" s="474"/>
      <c r="S388" s="474"/>
      <c r="T388" s="474"/>
      <c r="U388" s="474"/>
      <c r="V388" s="474"/>
      <c r="W388" s="474"/>
      <c r="X388" s="474"/>
      <c r="Y388" s="474"/>
      <c r="Z388" s="474"/>
      <c r="AB388" s="474"/>
      <c r="AC388" s="474"/>
      <c r="AD388" s="474"/>
      <c r="AE388" s="474"/>
      <c r="AF388" s="474"/>
      <c r="AG388" s="474"/>
      <c r="AH388" s="474"/>
      <c r="AI388" s="474"/>
      <c r="AK388" s="474"/>
      <c r="AL388" s="474"/>
      <c r="AM388" s="474"/>
      <c r="AN388" s="474"/>
      <c r="AO388" s="474"/>
      <c r="AP388" s="474"/>
      <c r="AQ388" s="474"/>
      <c r="AR388" s="474"/>
      <c r="AS388" s="474"/>
      <c r="AT388" s="474"/>
      <c r="AU388" s="474"/>
      <c r="AV388" s="474"/>
      <c r="AW388" s="474"/>
      <c r="AX388" s="474"/>
      <c r="AY388" s="474"/>
      <c r="AZ388" s="474"/>
      <c r="BA388" s="474"/>
      <c r="BC388" s="474"/>
      <c r="BD388" s="474"/>
      <c r="BE388" s="474"/>
      <c r="BF388" s="474"/>
      <c r="BG388" s="474"/>
      <c r="BH388" s="474"/>
      <c r="BI388" s="474"/>
      <c r="BJ388" s="474"/>
      <c r="CD388" s="474"/>
      <c r="CE388" s="474"/>
      <c r="CF388" s="474"/>
      <c r="CG388" s="474"/>
      <c r="CH388" s="474"/>
      <c r="CI388" s="474"/>
      <c r="CJ388" s="474"/>
      <c r="CK388" s="474"/>
      <c r="CM388" s="474"/>
      <c r="CN388" s="474"/>
      <c r="CO388" s="474"/>
      <c r="CP388" s="474"/>
      <c r="CQ388" s="474"/>
      <c r="CR388" s="474"/>
      <c r="CS388" s="474"/>
      <c r="CT388" s="474"/>
    </row>
    <row r="389" spans="1:98" s="35" customFormat="1" ht="12" customHeight="1">
      <c r="A389" s="474"/>
      <c r="B389" s="474"/>
      <c r="C389" s="474"/>
      <c r="D389" s="474"/>
      <c r="E389" s="474"/>
      <c r="F389" s="474"/>
      <c r="G389" s="474"/>
      <c r="H389" s="474"/>
      <c r="J389" s="474"/>
      <c r="K389" s="474"/>
      <c r="L389" s="474"/>
      <c r="M389" s="474"/>
      <c r="N389" s="474"/>
      <c r="O389" s="474"/>
      <c r="P389" s="474"/>
      <c r="Q389" s="474"/>
      <c r="S389" s="474"/>
      <c r="T389" s="474"/>
      <c r="U389" s="474"/>
      <c r="V389" s="474"/>
      <c r="W389" s="474"/>
      <c r="X389" s="474"/>
      <c r="Y389" s="474"/>
      <c r="Z389" s="474"/>
      <c r="AB389" s="474"/>
      <c r="AC389" s="474"/>
      <c r="AD389" s="474"/>
      <c r="AE389" s="474"/>
      <c r="AF389" s="474"/>
      <c r="AG389" s="474"/>
      <c r="AH389" s="474"/>
      <c r="AI389" s="474"/>
      <c r="AK389" s="474"/>
      <c r="AL389" s="474"/>
      <c r="AM389" s="474"/>
      <c r="AN389" s="474"/>
      <c r="AO389" s="474"/>
      <c r="AP389" s="474"/>
      <c r="AQ389" s="474"/>
      <c r="AR389" s="474"/>
      <c r="AS389" s="474"/>
      <c r="AT389" s="474"/>
      <c r="AU389" s="474"/>
      <c r="AV389" s="474"/>
      <c r="AW389" s="474"/>
      <c r="AX389" s="474"/>
      <c r="AY389" s="474"/>
      <c r="AZ389" s="474"/>
      <c r="BA389" s="474"/>
      <c r="BC389" s="474"/>
      <c r="BD389" s="474"/>
      <c r="BE389" s="474"/>
      <c r="BF389" s="474"/>
      <c r="BG389" s="474"/>
      <c r="BH389" s="474"/>
      <c r="BI389" s="474"/>
      <c r="BJ389" s="474"/>
      <c r="CD389" s="474"/>
      <c r="CE389" s="474"/>
      <c r="CF389" s="474"/>
      <c r="CG389" s="474"/>
      <c r="CH389" s="474"/>
      <c r="CI389" s="474"/>
      <c r="CJ389" s="474"/>
      <c r="CK389" s="474"/>
      <c r="CM389" s="474"/>
      <c r="CN389" s="474"/>
      <c r="CO389" s="474"/>
      <c r="CP389" s="474"/>
      <c r="CQ389" s="474"/>
      <c r="CR389" s="474"/>
      <c r="CS389" s="474"/>
      <c r="CT389" s="474"/>
    </row>
    <row r="390" spans="1:98" s="35" customFormat="1" ht="12" customHeight="1">
      <c r="A390" s="474"/>
      <c r="B390" s="474"/>
      <c r="C390" s="474"/>
      <c r="D390" s="474"/>
      <c r="E390" s="474"/>
      <c r="F390" s="474"/>
      <c r="G390" s="474"/>
      <c r="H390" s="474"/>
      <c r="J390" s="474"/>
      <c r="K390" s="474"/>
      <c r="L390" s="474"/>
      <c r="M390" s="474"/>
      <c r="N390" s="474"/>
      <c r="O390" s="474"/>
      <c r="P390" s="474"/>
      <c r="Q390" s="474"/>
      <c r="S390" s="474"/>
      <c r="T390" s="474"/>
      <c r="U390" s="474"/>
      <c r="V390" s="474"/>
      <c r="W390" s="474"/>
      <c r="X390" s="474"/>
      <c r="Y390" s="474"/>
      <c r="Z390" s="474"/>
      <c r="AB390" s="474"/>
      <c r="AC390" s="474"/>
      <c r="AD390" s="474"/>
      <c r="AE390" s="474"/>
      <c r="AF390" s="474"/>
      <c r="AG390" s="474"/>
      <c r="AH390" s="474"/>
      <c r="AI390" s="474"/>
      <c r="AK390" s="474"/>
      <c r="AL390" s="474"/>
      <c r="AM390" s="474"/>
      <c r="AN390" s="474"/>
      <c r="AO390" s="474"/>
      <c r="AP390" s="474"/>
      <c r="AQ390" s="474"/>
      <c r="AR390" s="474"/>
      <c r="AS390" s="474"/>
      <c r="AT390" s="474"/>
      <c r="AU390" s="474"/>
      <c r="AV390" s="474"/>
      <c r="AW390" s="474"/>
      <c r="AX390" s="474"/>
      <c r="AY390" s="474"/>
      <c r="AZ390" s="474"/>
      <c r="BA390" s="474"/>
      <c r="BC390" s="474"/>
      <c r="BD390" s="474"/>
      <c r="BE390" s="474"/>
      <c r="BF390" s="474"/>
      <c r="BG390" s="474"/>
      <c r="BH390" s="474"/>
      <c r="BI390" s="474"/>
      <c r="BJ390" s="474"/>
      <c r="CD390" s="474"/>
      <c r="CE390" s="474"/>
      <c r="CF390" s="474"/>
      <c r="CG390" s="474"/>
      <c r="CH390" s="474"/>
      <c r="CI390" s="474"/>
      <c r="CJ390" s="474"/>
      <c r="CK390" s="474"/>
      <c r="CM390" s="474"/>
      <c r="CN390" s="474"/>
      <c r="CO390" s="474"/>
      <c r="CP390" s="474"/>
      <c r="CQ390" s="474"/>
      <c r="CR390" s="474"/>
      <c r="CS390" s="474"/>
      <c r="CT390" s="474"/>
    </row>
    <row r="391" spans="1:98" s="35" customFormat="1" ht="12" customHeight="1">
      <c r="A391" s="474"/>
      <c r="B391" s="474"/>
      <c r="C391" s="474"/>
      <c r="D391" s="474"/>
      <c r="E391" s="474"/>
      <c r="F391" s="474"/>
      <c r="G391" s="474"/>
      <c r="H391" s="474"/>
      <c r="J391" s="474"/>
      <c r="K391" s="474"/>
      <c r="L391" s="474"/>
      <c r="M391" s="474"/>
      <c r="N391" s="474"/>
      <c r="O391" s="474"/>
      <c r="P391" s="474"/>
      <c r="Q391" s="474"/>
      <c r="S391" s="474"/>
      <c r="T391" s="474"/>
      <c r="U391" s="474"/>
      <c r="V391" s="474"/>
      <c r="W391" s="474"/>
      <c r="X391" s="474"/>
      <c r="Y391" s="474"/>
      <c r="Z391" s="474"/>
      <c r="AB391" s="474"/>
      <c r="AC391" s="474"/>
      <c r="AD391" s="474"/>
      <c r="AE391" s="474"/>
      <c r="AF391" s="474"/>
      <c r="AG391" s="474"/>
      <c r="AH391" s="474"/>
      <c r="AI391" s="474"/>
      <c r="AK391" s="474"/>
      <c r="AL391" s="474"/>
      <c r="AM391" s="474"/>
      <c r="AN391" s="474"/>
      <c r="AO391" s="474"/>
      <c r="AP391" s="474"/>
      <c r="AQ391" s="474"/>
      <c r="AR391" s="474"/>
      <c r="AS391" s="474"/>
      <c r="AT391" s="474"/>
      <c r="AU391" s="474"/>
      <c r="AV391" s="474"/>
      <c r="AW391" s="474"/>
      <c r="AX391" s="474"/>
      <c r="AY391" s="474"/>
      <c r="AZ391" s="474"/>
      <c r="BA391" s="474"/>
      <c r="BC391" s="474"/>
      <c r="BD391" s="474"/>
      <c r="BE391" s="474"/>
      <c r="BF391" s="474"/>
      <c r="BG391" s="474"/>
      <c r="BH391" s="474"/>
      <c r="BI391" s="474"/>
      <c r="BJ391" s="474"/>
      <c r="CD391" s="474"/>
      <c r="CE391" s="474"/>
      <c r="CF391" s="474"/>
      <c r="CG391" s="474"/>
      <c r="CH391" s="474"/>
      <c r="CI391" s="474"/>
      <c r="CJ391" s="474"/>
      <c r="CK391" s="474"/>
      <c r="CM391" s="474"/>
      <c r="CN391" s="474"/>
      <c r="CO391" s="474"/>
      <c r="CP391" s="474"/>
      <c r="CQ391" s="474"/>
      <c r="CR391" s="474"/>
      <c r="CS391" s="474"/>
      <c r="CT391" s="474"/>
    </row>
    <row r="392" spans="1:98" s="35" customFormat="1" ht="12" customHeight="1">
      <c r="A392" s="474"/>
      <c r="B392" s="474"/>
      <c r="C392" s="474"/>
      <c r="D392" s="474"/>
      <c r="E392" s="474"/>
      <c r="F392" s="474"/>
      <c r="G392" s="474"/>
      <c r="H392" s="474"/>
      <c r="J392" s="474"/>
      <c r="K392" s="474"/>
      <c r="L392" s="474"/>
      <c r="M392" s="474"/>
      <c r="N392" s="474"/>
      <c r="O392" s="474"/>
      <c r="P392" s="474"/>
      <c r="Q392" s="474"/>
      <c r="S392" s="474"/>
      <c r="T392" s="474"/>
      <c r="U392" s="474"/>
      <c r="V392" s="474"/>
      <c r="W392" s="474"/>
      <c r="X392" s="474"/>
      <c r="Y392" s="474"/>
      <c r="Z392" s="474"/>
      <c r="AB392" s="474"/>
      <c r="AC392" s="474"/>
      <c r="AD392" s="474"/>
      <c r="AE392" s="474"/>
      <c r="AF392" s="474"/>
      <c r="AG392" s="474"/>
      <c r="AH392" s="474"/>
      <c r="AI392" s="474"/>
      <c r="AK392" s="474"/>
      <c r="AL392" s="474"/>
      <c r="AM392" s="474"/>
      <c r="AN392" s="474"/>
      <c r="AO392" s="474"/>
      <c r="AP392" s="474"/>
      <c r="AQ392" s="474"/>
      <c r="AR392" s="474"/>
      <c r="AS392" s="474"/>
      <c r="AT392" s="474"/>
      <c r="AU392" s="474"/>
      <c r="AV392" s="474"/>
      <c r="AW392" s="474"/>
      <c r="AX392" s="474"/>
      <c r="AY392" s="474"/>
      <c r="AZ392" s="474"/>
      <c r="BA392" s="474"/>
      <c r="BC392" s="474"/>
      <c r="BD392" s="474"/>
      <c r="BE392" s="474"/>
      <c r="BF392" s="474"/>
      <c r="BG392" s="474"/>
      <c r="BH392" s="474"/>
      <c r="BI392" s="474"/>
      <c r="BJ392" s="474"/>
      <c r="CD392" s="474"/>
      <c r="CE392" s="474"/>
      <c r="CF392" s="474"/>
      <c r="CG392" s="474"/>
      <c r="CH392" s="474"/>
      <c r="CI392" s="474"/>
      <c r="CJ392" s="474"/>
      <c r="CK392" s="474"/>
      <c r="CM392" s="474"/>
      <c r="CN392" s="474"/>
      <c r="CO392" s="474"/>
      <c r="CP392" s="474"/>
      <c r="CQ392" s="474"/>
      <c r="CR392" s="474"/>
      <c r="CS392" s="474"/>
      <c r="CT392" s="474"/>
    </row>
    <row r="393" spans="1:98" s="35" customFormat="1" ht="12" customHeight="1">
      <c r="A393" s="474"/>
      <c r="B393" s="474"/>
      <c r="C393" s="474"/>
      <c r="D393" s="474"/>
      <c r="E393" s="474"/>
      <c r="F393" s="474"/>
      <c r="G393" s="474"/>
      <c r="H393" s="474"/>
      <c r="J393" s="474"/>
      <c r="K393" s="474"/>
      <c r="L393" s="474"/>
      <c r="M393" s="474"/>
      <c r="N393" s="474"/>
      <c r="O393" s="474"/>
      <c r="P393" s="474"/>
      <c r="Q393" s="474"/>
      <c r="S393" s="474"/>
      <c r="T393" s="474"/>
      <c r="U393" s="474"/>
      <c r="V393" s="474"/>
      <c r="W393" s="474"/>
      <c r="X393" s="474"/>
      <c r="Y393" s="474"/>
      <c r="Z393" s="474"/>
      <c r="AB393" s="474"/>
      <c r="AC393" s="474"/>
      <c r="AD393" s="474"/>
      <c r="AE393" s="474"/>
      <c r="AF393" s="474"/>
      <c r="AG393" s="474"/>
      <c r="AH393" s="474"/>
      <c r="AI393" s="474"/>
      <c r="AK393" s="474"/>
      <c r="AL393" s="474"/>
      <c r="AM393" s="474"/>
      <c r="AN393" s="474"/>
      <c r="AO393" s="474"/>
      <c r="AP393" s="474"/>
      <c r="AQ393" s="474"/>
      <c r="AR393" s="474"/>
      <c r="AS393" s="474"/>
      <c r="AT393" s="474"/>
      <c r="AU393" s="474"/>
      <c r="AV393" s="474"/>
      <c r="AW393" s="474"/>
      <c r="AX393" s="474"/>
      <c r="AY393" s="474"/>
      <c r="AZ393" s="474"/>
      <c r="BA393" s="474"/>
      <c r="BC393" s="474"/>
      <c r="BD393" s="474"/>
      <c r="BE393" s="474"/>
      <c r="BF393" s="474"/>
      <c r="BG393" s="474"/>
      <c r="BH393" s="474"/>
      <c r="BI393" s="474"/>
      <c r="BJ393" s="474"/>
      <c r="CD393" s="474"/>
      <c r="CE393" s="474"/>
      <c r="CF393" s="474"/>
      <c r="CG393" s="474"/>
      <c r="CH393" s="474"/>
      <c r="CI393" s="474"/>
      <c r="CJ393" s="474"/>
      <c r="CK393" s="474"/>
      <c r="CM393" s="474"/>
      <c r="CN393" s="474"/>
      <c r="CO393" s="474"/>
      <c r="CP393" s="474"/>
      <c r="CQ393" s="474"/>
      <c r="CR393" s="474"/>
      <c r="CS393" s="474"/>
      <c r="CT393" s="474"/>
    </row>
    <row r="394" spans="1:98" s="35" customFormat="1" ht="12" customHeight="1">
      <c r="A394" s="474"/>
      <c r="B394" s="474"/>
      <c r="C394" s="474"/>
      <c r="D394" s="474"/>
      <c r="E394" s="474"/>
      <c r="F394" s="474"/>
      <c r="G394" s="474"/>
      <c r="H394" s="474"/>
      <c r="J394" s="474"/>
      <c r="K394" s="474"/>
      <c r="L394" s="474"/>
      <c r="M394" s="474"/>
      <c r="N394" s="474"/>
      <c r="O394" s="474"/>
      <c r="P394" s="474"/>
      <c r="Q394" s="474"/>
      <c r="S394" s="474"/>
      <c r="T394" s="474"/>
      <c r="U394" s="474"/>
      <c r="V394" s="474"/>
      <c r="W394" s="474"/>
      <c r="X394" s="474"/>
      <c r="Y394" s="474"/>
      <c r="Z394" s="474"/>
      <c r="AB394" s="474"/>
      <c r="AC394" s="474"/>
      <c r="AD394" s="474"/>
      <c r="AE394" s="474"/>
      <c r="AF394" s="474"/>
      <c r="AG394" s="474"/>
      <c r="AH394" s="474"/>
      <c r="AI394" s="474"/>
      <c r="AK394" s="474"/>
      <c r="AL394" s="474"/>
      <c r="AM394" s="474"/>
      <c r="AN394" s="474"/>
      <c r="AO394" s="474"/>
      <c r="AP394" s="474"/>
      <c r="AQ394" s="474"/>
      <c r="AR394" s="474"/>
      <c r="AS394" s="474"/>
      <c r="AT394" s="474"/>
      <c r="AU394" s="474"/>
      <c r="AV394" s="474"/>
      <c r="AW394" s="474"/>
      <c r="AX394" s="474"/>
      <c r="AY394" s="474"/>
      <c r="AZ394" s="474"/>
      <c r="BA394" s="474"/>
      <c r="BC394" s="474"/>
      <c r="BD394" s="474"/>
      <c r="BE394" s="474"/>
      <c r="BF394" s="474"/>
      <c r="BG394" s="474"/>
      <c r="BH394" s="474"/>
      <c r="BI394" s="474"/>
      <c r="BJ394" s="474"/>
      <c r="CD394" s="474"/>
      <c r="CE394" s="474"/>
      <c r="CF394" s="474"/>
      <c r="CG394" s="474"/>
      <c r="CH394" s="474"/>
      <c r="CI394" s="474"/>
      <c r="CJ394" s="474"/>
      <c r="CK394" s="474"/>
      <c r="CM394" s="474"/>
      <c r="CN394" s="474"/>
      <c r="CO394" s="474"/>
      <c r="CP394" s="474"/>
      <c r="CQ394" s="474"/>
      <c r="CR394" s="474"/>
      <c r="CS394" s="474"/>
      <c r="CT394" s="474"/>
    </row>
    <row r="395" spans="1:98" s="35" customFormat="1" ht="12" customHeight="1">
      <c r="A395" s="474"/>
      <c r="B395" s="474"/>
      <c r="C395" s="474"/>
      <c r="D395" s="474"/>
      <c r="E395" s="474"/>
      <c r="F395" s="474"/>
      <c r="G395" s="474"/>
      <c r="H395" s="474"/>
      <c r="J395" s="474"/>
      <c r="K395" s="474"/>
      <c r="L395" s="474"/>
      <c r="M395" s="474"/>
      <c r="N395" s="474"/>
      <c r="O395" s="474"/>
      <c r="P395" s="474"/>
      <c r="Q395" s="474"/>
      <c r="S395" s="474"/>
      <c r="T395" s="474"/>
      <c r="U395" s="474"/>
      <c r="V395" s="474"/>
      <c r="W395" s="474"/>
      <c r="X395" s="474"/>
      <c r="Y395" s="474"/>
      <c r="Z395" s="474"/>
      <c r="AB395" s="474"/>
      <c r="AC395" s="474"/>
      <c r="AD395" s="474"/>
      <c r="AE395" s="474"/>
      <c r="AF395" s="474"/>
      <c r="AG395" s="474"/>
      <c r="AH395" s="474"/>
      <c r="AI395" s="474"/>
      <c r="AK395" s="474"/>
      <c r="AL395" s="474"/>
      <c r="AM395" s="474"/>
      <c r="AN395" s="474"/>
      <c r="AO395" s="474"/>
      <c r="AP395" s="474"/>
      <c r="AQ395" s="474"/>
      <c r="AR395" s="474"/>
      <c r="AS395" s="474"/>
      <c r="AT395" s="474"/>
      <c r="AU395" s="474"/>
      <c r="AV395" s="474"/>
      <c r="AW395" s="474"/>
      <c r="AX395" s="474"/>
      <c r="AY395" s="474"/>
      <c r="AZ395" s="474"/>
      <c r="BA395" s="474"/>
      <c r="BC395" s="474"/>
      <c r="BD395" s="474"/>
      <c r="BE395" s="474"/>
      <c r="BF395" s="474"/>
      <c r="BG395" s="474"/>
      <c r="BH395" s="474"/>
      <c r="BI395" s="474"/>
      <c r="BJ395" s="474"/>
      <c r="CD395" s="474"/>
      <c r="CE395" s="474"/>
      <c r="CF395" s="474"/>
      <c r="CG395" s="474"/>
      <c r="CH395" s="474"/>
      <c r="CI395" s="474"/>
      <c r="CJ395" s="474"/>
      <c r="CK395" s="474"/>
      <c r="CM395" s="474"/>
      <c r="CN395" s="474"/>
      <c r="CO395" s="474"/>
      <c r="CP395" s="474"/>
      <c r="CQ395" s="474"/>
      <c r="CR395" s="474"/>
      <c r="CS395" s="474"/>
      <c r="CT395" s="474"/>
    </row>
    <row r="396" spans="1:98" s="35" customFormat="1" ht="12" customHeight="1">
      <c r="A396" s="474"/>
      <c r="B396" s="474"/>
      <c r="C396" s="474"/>
      <c r="D396" s="474"/>
      <c r="E396" s="474"/>
      <c r="F396" s="474"/>
      <c r="G396" s="474"/>
      <c r="H396" s="474"/>
      <c r="J396" s="474"/>
      <c r="K396" s="474"/>
      <c r="L396" s="474"/>
      <c r="M396" s="474"/>
      <c r="N396" s="474"/>
      <c r="O396" s="474"/>
      <c r="P396" s="474"/>
      <c r="Q396" s="474"/>
      <c r="S396" s="474"/>
      <c r="T396" s="474"/>
      <c r="U396" s="474"/>
      <c r="V396" s="474"/>
      <c r="W396" s="474"/>
      <c r="X396" s="474"/>
      <c r="Y396" s="474"/>
      <c r="Z396" s="474"/>
      <c r="AB396" s="474"/>
      <c r="AC396" s="474"/>
      <c r="AD396" s="474"/>
      <c r="AE396" s="474"/>
      <c r="AF396" s="474"/>
      <c r="AG396" s="474"/>
      <c r="AH396" s="474"/>
      <c r="AI396" s="474"/>
      <c r="AK396" s="474"/>
      <c r="AL396" s="474"/>
      <c r="AM396" s="474"/>
      <c r="AN396" s="474"/>
      <c r="AO396" s="474"/>
      <c r="AP396" s="474"/>
      <c r="AQ396" s="474"/>
      <c r="AR396" s="474"/>
      <c r="AS396" s="474"/>
      <c r="AT396" s="474"/>
      <c r="AU396" s="474"/>
      <c r="AV396" s="474"/>
      <c r="AW396" s="474"/>
      <c r="AX396" s="474"/>
      <c r="AY396" s="474"/>
      <c r="AZ396" s="474"/>
      <c r="BA396" s="474"/>
      <c r="BC396" s="474"/>
      <c r="BD396" s="474"/>
      <c r="BE396" s="474"/>
      <c r="BF396" s="474"/>
      <c r="BG396" s="474"/>
      <c r="BH396" s="474"/>
      <c r="BI396" s="474"/>
      <c r="BJ396" s="474"/>
      <c r="CD396" s="474"/>
      <c r="CE396" s="474"/>
      <c r="CF396" s="474"/>
      <c r="CG396" s="474"/>
      <c r="CH396" s="474"/>
      <c r="CI396" s="474"/>
      <c r="CJ396" s="474"/>
      <c r="CK396" s="474"/>
      <c r="CM396" s="474"/>
      <c r="CN396" s="474"/>
      <c r="CO396" s="474"/>
      <c r="CP396" s="474"/>
      <c r="CQ396" s="474"/>
      <c r="CR396" s="474"/>
      <c r="CS396" s="474"/>
      <c r="CT396" s="474"/>
    </row>
    <row r="397" spans="1:98" s="35" customFormat="1" ht="12" customHeight="1">
      <c r="A397" s="474"/>
      <c r="B397" s="474"/>
      <c r="C397" s="474"/>
      <c r="D397" s="474"/>
      <c r="E397" s="474"/>
      <c r="F397" s="474"/>
      <c r="G397" s="474"/>
      <c r="H397" s="474"/>
      <c r="J397" s="474"/>
      <c r="K397" s="474"/>
      <c r="L397" s="474"/>
      <c r="M397" s="474"/>
      <c r="N397" s="474"/>
      <c r="O397" s="474"/>
      <c r="P397" s="474"/>
      <c r="Q397" s="474"/>
      <c r="S397" s="474"/>
      <c r="T397" s="474"/>
      <c r="U397" s="474"/>
      <c r="V397" s="474"/>
      <c r="W397" s="474"/>
      <c r="X397" s="474"/>
      <c r="Y397" s="474"/>
      <c r="Z397" s="474"/>
      <c r="AB397" s="474"/>
      <c r="AC397" s="474"/>
      <c r="AD397" s="474"/>
      <c r="AE397" s="474"/>
      <c r="AF397" s="474"/>
      <c r="AG397" s="474"/>
      <c r="AH397" s="474"/>
      <c r="AI397" s="474"/>
      <c r="AK397" s="474"/>
      <c r="AL397" s="474"/>
      <c r="AM397" s="474"/>
      <c r="AN397" s="474"/>
      <c r="AO397" s="474"/>
      <c r="AP397" s="474"/>
      <c r="AQ397" s="474"/>
      <c r="AR397" s="474"/>
      <c r="AS397" s="474"/>
      <c r="AT397" s="474"/>
      <c r="AU397" s="474"/>
      <c r="AV397" s="474"/>
      <c r="AW397" s="474"/>
      <c r="AX397" s="474"/>
      <c r="AY397" s="474"/>
      <c r="AZ397" s="474"/>
      <c r="BA397" s="474"/>
      <c r="BC397" s="474"/>
      <c r="BD397" s="474"/>
      <c r="BE397" s="474"/>
      <c r="BF397" s="474"/>
      <c r="BG397" s="474"/>
      <c r="BH397" s="474"/>
      <c r="BI397" s="474"/>
      <c r="BJ397" s="474"/>
      <c r="CD397" s="474"/>
      <c r="CE397" s="474"/>
      <c r="CF397" s="474"/>
      <c r="CG397" s="474"/>
      <c r="CH397" s="474"/>
      <c r="CI397" s="474"/>
      <c r="CJ397" s="474"/>
      <c r="CK397" s="474"/>
      <c r="CM397" s="474"/>
      <c r="CN397" s="474"/>
      <c r="CO397" s="474"/>
      <c r="CP397" s="474"/>
      <c r="CQ397" s="474"/>
      <c r="CR397" s="474"/>
      <c r="CS397" s="474"/>
      <c r="CT397" s="474"/>
    </row>
    <row r="398" spans="1:98" s="35" customFormat="1" ht="12" customHeight="1">
      <c r="A398" s="474"/>
      <c r="B398" s="474"/>
      <c r="C398" s="474"/>
      <c r="D398" s="474"/>
      <c r="E398" s="474"/>
      <c r="F398" s="474"/>
      <c r="G398" s="474"/>
      <c r="H398" s="474"/>
      <c r="J398" s="474"/>
      <c r="K398" s="474"/>
      <c r="L398" s="474"/>
      <c r="M398" s="474"/>
      <c r="N398" s="474"/>
      <c r="O398" s="474"/>
      <c r="P398" s="474"/>
      <c r="Q398" s="474"/>
      <c r="S398" s="474"/>
      <c r="T398" s="474"/>
      <c r="U398" s="474"/>
      <c r="V398" s="474"/>
      <c r="W398" s="474"/>
      <c r="X398" s="474"/>
      <c r="Y398" s="474"/>
      <c r="Z398" s="474"/>
      <c r="AB398" s="474"/>
      <c r="AC398" s="474"/>
      <c r="AD398" s="474"/>
      <c r="AE398" s="474"/>
      <c r="AF398" s="474"/>
      <c r="AG398" s="474"/>
      <c r="AH398" s="474"/>
      <c r="AI398" s="474"/>
      <c r="AK398" s="474"/>
      <c r="AL398" s="474"/>
      <c r="AM398" s="474"/>
      <c r="AN398" s="474"/>
      <c r="AO398" s="474"/>
      <c r="AP398" s="474"/>
      <c r="AQ398" s="474"/>
      <c r="AR398" s="474"/>
      <c r="AS398" s="474"/>
      <c r="AT398" s="474"/>
      <c r="AU398" s="474"/>
      <c r="AV398" s="474"/>
      <c r="AW398" s="474"/>
      <c r="AX398" s="474"/>
      <c r="AY398" s="474"/>
      <c r="AZ398" s="474"/>
      <c r="BA398" s="474"/>
      <c r="BC398" s="474"/>
      <c r="BD398" s="474"/>
      <c r="BE398" s="474"/>
      <c r="BF398" s="474"/>
      <c r="BG398" s="474"/>
      <c r="BH398" s="474"/>
      <c r="BI398" s="474"/>
      <c r="BJ398" s="474"/>
      <c r="CD398" s="474"/>
      <c r="CE398" s="474"/>
      <c r="CF398" s="474"/>
      <c r="CG398" s="474"/>
      <c r="CH398" s="474"/>
      <c r="CI398" s="474"/>
      <c r="CJ398" s="474"/>
      <c r="CK398" s="474"/>
      <c r="CM398" s="474"/>
      <c r="CN398" s="474"/>
      <c r="CO398" s="474"/>
      <c r="CP398" s="474"/>
      <c r="CQ398" s="474"/>
      <c r="CR398" s="474"/>
      <c r="CS398" s="474"/>
      <c r="CT398" s="474"/>
    </row>
    <row r="399" spans="1:98" s="35" customFormat="1" ht="12" customHeight="1">
      <c r="A399" s="474"/>
      <c r="B399" s="474"/>
      <c r="C399" s="474"/>
      <c r="D399" s="474"/>
      <c r="E399" s="474"/>
      <c r="F399" s="474"/>
      <c r="G399" s="474"/>
      <c r="H399" s="474"/>
      <c r="J399" s="474"/>
      <c r="K399" s="474"/>
      <c r="L399" s="474"/>
      <c r="M399" s="474"/>
      <c r="N399" s="474"/>
      <c r="O399" s="474"/>
      <c r="P399" s="474"/>
      <c r="Q399" s="474"/>
      <c r="S399" s="474"/>
      <c r="T399" s="474"/>
      <c r="U399" s="474"/>
      <c r="V399" s="474"/>
      <c r="W399" s="474"/>
      <c r="X399" s="474"/>
      <c r="Y399" s="474"/>
      <c r="Z399" s="474"/>
      <c r="AB399" s="474"/>
      <c r="AC399" s="474"/>
      <c r="AD399" s="474"/>
      <c r="AE399" s="474"/>
      <c r="AF399" s="474"/>
      <c r="AG399" s="474"/>
      <c r="AH399" s="474"/>
      <c r="AI399" s="474"/>
      <c r="AK399" s="474"/>
      <c r="AL399" s="474"/>
      <c r="AM399" s="474"/>
      <c r="AN399" s="474"/>
      <c r="AO399" s="474"/>
      <c r="AP399" s="474"/>
      <c r="AQ399" s="474"/>
      <c r="AR399" s="474"/>
      <c r="AS399" s="474"/>
      <c r="AT399" s="474"/>
      <c r="AU399" s="474"/>
      <c r="AV399" s="474"/>
      <c r="AW399" s="474"/>
      <c r="AX399" s="474"/>
      <c r="AY399" s="474"/>
      <c r="AZ399" s="474"/>
      <c r="BA399" s="474"/>
      <c r="BC399" s="474"/>
      <c r="BD399" s="474"/>
      <c r="BE399" s="474"/>
      <c r="BF399" s="474"/>
      <c r="BG399" s="474"/>
      <c r="BH399" s="474"/>
      <c r="BI399" s="474"/>
      <c r="BJ399" s="474"/>
      <c r="CD399" s="474"/>
      <c r="CE399" s="474"/>
      <c r="CF399" s="474"/>
      <c r="CG399" s="474"/>
      <c r="CH399" s="474"/>
      <c r="CI399" s="474"/>
      <c r="CJ399" s="474"/>
      <c r="CK399" s="474"/>
      <c r="CM399" s="474"/>
      <c r="CN399" s="474"/>
      <c r="CO399" s="474"/>
      <c r="CP399" s="474"/>
      <c r="CQ399" s="474"/>
      <c r="CR399" s="474"/>
      <c r="CS399" s="474"/>
      <c r="CT399" s="474"/>
    </row>
    <row r="400" spans="1:98" s="35" customFormat="1" ht="12" customHeight="1">
      <c r="A400" s="474"/>
      <c r="B400" s="474"/>
      <c r="C400" s="474"/>
      <c r="D400" s="474"/>
      <c r="E400" s="474"/>
      <c r="F400" s="474"/>
      <c r="G400" s="474"/>
      <c r="H400" s="474"/>
      <c r="J400" s="474"/>
      <c r="K400" s="474"/>
      <c r="L400" s="474"/>
      <c r="M400" s="474"/>
      <c r="N400" s="474"/>
      <c r="O400" s="474"/>
      <c r="P400" s="474"/>
      <c r="Q400" s="474"/>
      <c r="S400" s="474"/>
      <c r="T400" s="474"/>
      <c r="U400" s="474"/>
      <c r="V400" s="474"/>
      <c r="W400" s="474"/>
      <c r="X400" s="474"/>
      <c r="Y400" s="474"/>
      <c r="Z400" s="474"/>
      <c r="AB400" s="474"/>
      <c r="AC400" s="474"/>
      <c r="AD400" s="474"/>
      <c r="AE400" s="474"/>
      <c r="AF400" s="474"/>
      <c r="AG400" s="474"/>
      <c r="AH400" s="474"/>
      <c r="AI400" s="474"/>
      <c r="AK400" s="474"/>
      <c r="AL400" s="474"/>
      <c r="AM400" s="474"/>
      <c r="AN400" s="474"/>
      <c r="AO400" s="474"/>
      <c r="AP400" s="474"/>
      <c r="AQ400" s="474"/>
      <c r="AR400" s="474"/>
      <c r="AS400" s="474"/>
      <c r="AT400" s="474"/>
      <c r="AU400" s="474"/>
      <c r="AV400" s="474"/>
      <c r="AW400" s="474"/>
      <c r="AX400" s="474"/>
      <c r="AY400" s="474"/>
      <c r="AZ400" s="474"/>
      <c r="BA400" s="474"/>
      <c r="BC400" s="474"/>
      <c r="BD400" s="474"/>
      <c r="BE400" s="474"/>
      <c r="BF400" s="474"/>
      <c r="BG400" s="474"/>
      <c r="BH400" s="474"/>
      <c r="BI400" s="474"/>
      <c r="BJ400" s="474"/>
      <c r="CD400" s="474"/>
      <c r="CE400" s="474"/>
      <c r="CF400" s="474"/>
      <c r="CG400" s="474"/>
      <c r="CH400" s="474"/>
      <c r="CI400" s="474"/>
      <c r="CJ400" s="474"/>
      <c r="CK400" s="474"/>
      <c r="CM400" s="474"/>
      <c r="CN400" s="474"/>
      <c r="CO400" s="474"/>
      <c r="CP400" s="474"/>
      <c r="CQ400" s="474"/>
      <c r="CR400" s="474"/>
      <c r="CS400" s="474"/>
      <c r="CT400" s="474"/>
    </row>
    <row r="401" spans="1:98" s="35" customFormat="1" ht="12" customHeight="1">
      <c r="A401" s="474"/>
      <c r="B401" s="474"/>
      <c r="C401" s="474"/>
      <c r="D401" s="474"/>
      <c r="E401" s="474"/>
      <c r="F401" s="474"/>
      <c r="G401" s="474"/>
      <c r="H401" s="474"/>
      <c r="J401" s="474"/>
      <c r="K401" s="474"/>
      <c r="L401" s="474"/>
      <c r="M401" s="474"/>
      <c r="N401" s="474"/>
      <c r="O401" s="474"/>
      <c r="P401" s="474"/>
      <c r="Q401" s="474"/>
      <c r="S401" s="474"/>
      <c r="T401" s="474"/>
      <c r="U401" s="474"/>
      <c r="V401" s="474"/>
      <c r="W401" s="474"/>
      <c r="X401" s="474"/>
      <c r="Y401" s="474"/>
      <c r="Z401" s="474"/>
      <c r="AB401" s="474"/>
      <c r="AC401" s="474"/>
      <c r="AD401" s="474"/>
      <c r="AE401" s="474"/>
      <c r="AF401" s="474"/>
      <c r="AG401" s="474"/>
      <c r="AH401" s="474"/>
      <c r="AI401" s="474"/>
      <c r="AK401" s="474"/>
      <c r="AL401" s="474"/>
      <c r="AM401" s="474"/>
      <c r="AN401" s="474"/>
      <c r="AO401" s="474"/>
      <c r="AP401" s="474"/>
      <c r="AQ401" s="474"/>
      <c r="AR401" s="474"/>
      <c r="AS401" s="474"/>
      <c r="AT401" s="474"/>
      <c r="AU401" s="474"/>
      <c r="AV401" s="474"/>
      <c r="AW401" s="474"/>
      <c r="AX401" s="474"/>
      <c r="AY401" s="474"/>
      <c r="AZ401" s="474"/>
      <c r="BA401" s="474"/>
      <c r="BC401" s="474"/>
      <c r="BD401" s="474"/>
      <c r="BE401" s="474"/>
      <c r="BF401" s="474"/>
      <c r="BG401" s="474"/>
      <c r="BH401" s="474"/>
      <c r="BI401" s="474"/>
      <c r="BJ401" s="474"/>
      <c r="CD401" s="474"/>
      <c r="CE401" s="474"/>
      <c r="CF401" s="474"/>
      <c r="CG401" s="474"/>
      <c r="CH401" s="474"/>
      <c r="CI401" s="474"/>
      <c r="CJ401" s="474"/>
      <c r="CK401" s="474"/>
      <c r="CM401" s="474"/>
      <c r="CN401" s="474"/>
      <c r="CO401" s="474"/>
      <c r="CP401" s="474"/>
      <c r="CQ401" s="474"/>
      <c r="CR401" s="474"/>
      <c r="CS401" s="474"/>
      <c r="CT401" s="474"/>
    </row>
    <row r="402" spans="1:98" s="35" customFormat="1" ht="12" customHeight="1">
      <c r="A402" s="474"/>
      <c r="B402" s="474"/>
      <c r="C402" s="474"/>
      <c r="D402" s="474"/>
      <c r="E402" s="474"/>
      <c r="F402" s="474"/>
      <c r="G402" s="474"/>
      <c r="H402" s="474"/>
      <c r="J402" s="474"/>
      <c r="K402" s="474"/>
      <c r="L402" s="474"/>
      <c r="M402" s="474"/>
      <c r="N402" s="474"/>
      <c r="O402" s="474"/>
      <c r="P402" s="474"/>
      <c r="Q402" s="474"/>
      <c r="S402" s="474"/>
      <c r="T402" s="474"/>
      <c r="U402" s="474"/>
      <c r="V402" s="474"/>
      <c r="W402" s="474"/>
      <c r="X402" s="474"/>
      <c r="Y402" s="474"/>
      <c r="Z402" s="474"/>
      <c r="AB402" s="474"/>
      <c r="AC402" s="474"/>
      <c r="AD402" s="474"/>
      <c r="AE402" s="474"/>
      <c r="AF402" s="474"/>
      <c r="AG402" s="474"/>
      <c r="AH402" s="474"/>
      <c r="AI402" s="474"/>
      <c r="AK402" s="474"/>
      <c r="AL402" s="474"/>
      <c r="AM402" s="474"/>
      <c r="AN402" s="474"/>
      <c r="AO402" s="474"/>
      <c r="AP402" s="474"/>
      <c r="AQ402" s="474"/>
      <c r="AR402" s="474"/>
      <c r="AS402" s="474"/>
      <c r="AT402" s="474"/>
      <c r="AU402" s="474"/>
      <c r="AV402" s="474"/>
      <c r="AW402" s="474"/>
      <c r="AX402" s="474"/>
      <c r="AY402" s="474"/>
      <c r="AZ402" s="474"/>
      <c r="BA402" s="474"/>
      <c r="BC402" s="474"/>
      <c r="BD402" s="474"/>
      <c r="BE402" s="474"/>
      <c r="BF402" s="474"/>
      <c r="BG402" s="474"/>
      <c r="BH402" s="474"/>
      <c r="BI402" s="474"/>
      <c r="BJ402" s="474"/>
      <c r="CD402" s="474"/>
      <c r="CE402" s="474"/>
      <c r="CF402" s="474"/>
      <c r="CG402" s="474"/>
      <c r="CH402" s="474"/>
      <c r="CI402" s="474"/>
      <c r="CJ402" s="474"/>
      <c r="CK402" s="474"/>
      <c r="CM402" s="474"/>
      <c r="CN402" s="474"/>
      <c r="CO402" s="474"/>
      <c r="CP402" s="474"/>
      <c r="CQ402" s="474"/>
      <c r="CR402" s="474"/>
      <c r="CS402" s="474"/>
      <c r="CT402" s="474"/>
    </row>
    <row r="403" spans="1:98" s="35" customFormat="1" ht="12" customHeight="1">
      <c r="A403" s="474"/>
      <c r="B403" s="474"/>
      <c r="C403" s="474"/>
      <c r="D403" s="474"/>
      <c r="E403" s="474"/>
      <c r="F403" s="474"/>
      <c r="G403" s="474"/>
      <c r="H403" s="474"/>
      <c r="J403" s="474"/>
      <c r="K403" s="474"/>
      <c r="L403" s="474"/>
      <c r="M403" s="474"/>
      <c r="N403" s="474"/>
      <c r="O403" s="474"/>
      <c r="P403" s="474"/>
      <c r="Q403" s="474"/>
      <c r="S403" s="474"/>
      <c r="T403" s="474"/>
      <c r="U403" s="474"/>
      <c r="V403" s="474"/>
      <c r="W403" s="474"/>
      <c r="X403" s="474"/>
      <c r="Y403" s="474"/>
      <c r="Z403" s="474"/>
      <c r="AB403" s="474"/>
      <c r="AC403" s="474"/>
      <c r="AD403" s="474"/>
      <c r="AE403" s="474"/>
      <c r="AF403" s="474"/>
      <c r="AG403" s="474"/>
      <c r="AH403" s="474"/>
      <c r="AI403" s="474"/>
      <c r="AK403" s="474"/>
      <c r="AL403" s="474"/>
      <c r="AM403" s="474"/>
      <c r="AN403" s="474"/>
      <c r="AO403" s="474"/>
      <c r="AP403" s="474"/>
      <c r="AQ403" s="474"/>
      <c r="AR403" s="474"/>
      <c r="AS403" s="474"/>
      <c r="AT403" s="474"/>
      <c r="AU403" s="474"/>
      <c r="AV403" s="474"/>
      <c r="AW403" s="474"/>
      <c r="AX403" s="474"/>
      <c r="AY403" s="474"/>
      <c r="AZ403" s="474"/>
      <c r="BA403" s="474"/>
      <c r="BC403" s="474"/>
      <c r="BD403" s="474"/>
      <c r="BE403" s="474"/>
      <c r="BF403" s="474"/>
      <c r="BG403" s="474"/>
      <c r="BH403" s="474"/>
      <c r="BI403" s="474"/>
      <c r="BJ403" s="474"/>
      <c r="CD403" s="474"/>
      <c r="CE403" s="474"/>
      <c r="CF403" s="474"/>
      <c r="CG403" s="474"/>
      <c r="CH403" s="474"/>
      <c r="CI403" s="474"/>
      <c r="CJ403" s="474"/>
      <c r="CK403" s="474"/>
      <c r="CM403" s="474"/>
      <c r="CN403" s="474"/>
      <c r="CO403" s="474"/>
      <c r="CP403" s="474"/>
      <c r="CQ403" s="474"/>
      <c r="CR403" s="474"/>
      <c r="CS403" s="474"/>
      <c r="CT403" s="474"/>
    </row>
    <row r="404" spans="1:98" s="35" customFormat="1" ht="12" customHeight="1">
      <c r="A404" s="474"/>
      <c r="B404" s="474"/>
      <c r="C404" s="474"/>
      <c r="D404" s="474"/>
      <c r="E404" s="474"/>
      <c r="F404" s="474"/>
      <c r="G404" s="474"/>
      <c r="H404" s="474"/>
      <c r="J404" s="474"/>
      <c r="K404" s="474"/>
      <c r="L404" s="474"/>
      <c r="M404" s="474"/>
      <c r="N404" s="474"/>
      <c r="O404" s="474"/>
      <c r="P404" s="474"/>
      <c r="Q404" s="474"/>
      <c r="S404" s="474"/>
      <c r="T404" s="474"/>
      <c r="U404" s="474"/>
      <c r="V404" s="474"/>
      <c r="W404" s="474"/>
      <c r="X404" s="474"/>
      <c r="Y404" s="474"/>
      <c r="Z404" s="474"/>
      <c r="AB404" s="474"/>
      <c r="AC404" s="474"/>
      <c r="AD404" s="474"/>
      <c r="AE404" s="474"/>
      <c r="AF404" s="474"/>
      <c r="AG404" s="474"/>
      <c r="AH404" s="474"/>
      <c r="AI404" s="474"/>
      <c r="AK404" s="474"/>
      <c r="AL404" s="474"/>
      <c r="AM404" s="474"/>
      <c r="AN404" s="474"/>
      <c r="AO404" s="474"/>
      <c r="AP404" s="474"/>
      <c r="AQ404" s="474"/>
      <c r="AR404" s="474"/>
      <c r="AS404" s="474"/>
      <c r="AT404" s="474"/>
      <c r="AU404" s="474"/>
      <c r="AV404" s="474"/>
      <c r="AW404" s="474"/>
      <c r="AX404" s="474"/>
      <c r="AY404" s="474"/>
      <c r="AZ404" s="474"/>
      <c r="BA404" s="474"/>
      <c r="BC404" s="474"/>
      <c r="BD404" s="474"/>
      <c r="BE404" s="474"/>
      <c r="BF404" s="474"/>
      <c r="BG404" s="474"/>
      <c r="BH404" s="474"/>
      <c r="BI404" s="474"/>
      <c r="BJ404" s="474"/>
      <c r="CD404" s="474"/>
      <c r="CE404" s="474"/>
      <c r="CF404" s="474"/>
      <c r="CG404" s="474"/>
      <c r="CH404" s="474"/>
      <c r="CI404" s="474"/>
      <c r="CJ404" s="474"/>
      <c r="CK404" s="474"/>
      <c r="CM404" s="474"/>
      <c r="CN404" s="474"/>
      <c r="CO404" s="474"/>
      <c r="CP404" s="474"/>
      <c r="CQ404" s="474"/>
      <c r="CR404" s="474"/>
      <c r="CS404" s="474"/>
      <c r="CT404" s="474"/>
    </row>
    <row r="405" spans="1:98" s="35" customFormat="1" ht="12" customHeight="1">
      <c r="A405" s="474"/>
      <c r="B405" s="474"/>
      <c r="C405" s="474"/>
      <c r="D405" s="474"/>
      <c r="E405" s="474"/>
      <c r="F405" s="474"/>
      <c r="G405" s="474"/>
      <c r="H405" s="474"/>
      <c r="J405" s="474"/>
      <c r="K405" s="474"/>
      <c r="L405" s="474"/>
      <c r="M405" s="474"/>
      <c r="N405" s="474"/>
      <c r="O405" s="474"/>
      <c r="P405" s="474"/>
      <c r="Q405" s="474"/>
      <c r="S405" s="474"/>
      <c r="T405" s="474"/>
      <c r="U405" s="474"/>
      <c r="V405" s="474"/>
      <c r="W405" s="474"/>
      <c r="X405" s="474"/>
      <c r="Y405" s="474"/>
      <c r="Z405" s="474"/>
      <c r="AB405" s="474"/>
      <c r="AC405" s="474"/>
      <c r="AD405" s="474"/>
      <c r="AE405" s="474"/>
      <c r="AF405" s="474"/>
      <c r="AG405" s="474"/>
      <c r="AH405" s="474"/>
      <c r="AI405" s="474"/>
      <c r="AK405" s="474"/>
      <c r="AL405" s="474"/>
      <c r="AM405" s="474"/>
      <c r="AN405" s="474"/>
      <c r="AO405" s="474"/>
      <c r="AP405" s="474"/>
      <c r="AQ405" s="474"/>
      <c r="AR405" s="474"/>
      <c r="AS405" s="474"/>
      <c r="AT405" s="474"/>
      <c r="AU405" s="474"/>
      <c r="AV405" s="474"/>
      <c r="AW405" s="474"/>
      <c r="AX405" s="474"/>
      <c r="AY405" s="474"/>
      <c r="AZ405" s="474"/>
      <c r="BA405" s="474"/>
      <c r="BC405" s="474"/>
      <c r="BD405" s="474"/>
      <c r="BE405" s="474"/>
      <c r="BF405" s="474"/>
      <c r="BG405" s="474"/>
      <c r="BH405" s="474"/>
      <c r="BI405" s="474"/>
      <c r="BJ405" s="474"/>
      <c r="CD405" s="474"/>
      <c r="CE405" s="474"/>
      <c r="CF405" s="474"/>
      <c r="CG405" s="474"/>
      <c r="CH405" s="474"/>
      <c r="CI405" s="474"/>
      <c r="CJ405" s="474"/>
      <c r="CK405" s="474"/>
      <c r="CM405" s="474"/>
      <c r="CN405" s="474"/>
      <c r="CO405" s="474"/>
      <c r="CP405" s="474"/>
      <c r="CQ405" s="474"/>
      <c r="CR405" s="474"/>
      <c r="CS405" s="474"/>
      <c r="CT405" s="474"/>
    </row>
    <row r="406" spans="1:98" s="35" customFormat="1" ht="12" customHeight="1">
      <c r="A406" s="474"/>
      <c r="B406" s="474"/>
      <c r="C406" s="474"/>
      <c r="D406" s="474"/>
      <c r="E406" s="474"/>
      <c r="F406" s="474"/>
      <c r="G406" s="474"/>
      <c r="H406" s="474"/>
      <c r="J406" s="474"/>
      <c r="K406" s="474"/>
      <c r="L406" s="474"/>
      <c r="M406" s="474"/>
      <c r="N406" s="474"/>
      <c r="O406" s="474"/>
      <c r="P406" s="474"/>
      <c r="Q406" s="474"/>
      <c r="S406" s="474"/>
      <c r="T406" s="474"/>
      <c r="U406" s="474"/>
      <c r="V406" s="474"/>
      <c r="W406" s="474"/>
      <c r="X406" s="474"/>
      <c r="Y406" s="474"/>
      <c r="Z406" s="474"/>
      <c r="AB406" s="474"/>
      <c r="AC406" s="474"/>
      <c r="AD406" s="474"/>
      <c r="AE406" s="474"/>
      <c r="AF406" s="474"/>
      <c r="AG406" s="474"/>
      <c r="AH406" s="474"/>
      <c r="AI406" s="474"/>
      <c r="AK406" s="474"/>
      <c r="AL406" s="474"/>
      <c r="AM406" s="474"/>
      <c r="AN406" s="474"/>
      <c r="AO406" s="474"/>
      <c r="AP406" s="474"/>
      <c r="AQ406" s="474"/>
      <c r="AR406" s="474"/>
      <c r="AS406" s="474"/>
      <c r="AT406" s="474"/>
      <c r="AU406" s="474"/>
      <c r="AV406" s="474"/>
      <c r="AW406" s="474"/>
      <c r="AX406" s="474"/>
      <c r="AY406" s="474"/>
      <c r="AZ406" s="474"/>
      <c r="BA406" s="474"/>
      <c r="BC406" s="474"/>
      <c r="BD406" s="474"/>
      <c r="BE406" s="474"/>
      <c r="BF406" s="474"/>
      <c r="BG406" s="474"/>
      <c r="BH406" s="474"/>
      <c r="BI406" s="474"/>
      <c r="BJ406" s="474"/>
      <c r="CD406" s="474"/>
      <c r="CE406" s="474"/>
      <c r="CF406" s="474"/>
      <c r="CG406" s="474"/>
      <c r="CH406" s="474"/>
      <c r="CI406" s="474"/>
      <c r="CJ406" s="474"/>
      <c r="CK406" s="474"/>
      <c r="CM406" s="474"/>
      <c r="CN406" s="474"/>
      <c r="CO406" s="474"/>
      <c r="CP406" s="474"/>
      <c r="CQ406" s="474"/>
      <c r="CR406" s="474"/>
      <c r="CS406" s="474"/>
      <c r="CT406" s="474"/>
    </row>
    <row r="407" spans="1:98" s="35" customFormat="1" ht="12" customHeight="1">
      <c r="A407" s="474"/>
      <c r="B407" s="474"/>
      <c r="C407" s="474"/>
      <c r="D407" s="474"/>
      <c r="E407" s="474"/>
      <c r="F407" s="474"/>
      <c r="G407" s="474"/>
      <c r="H407" s="474"/>
      <c r="J407" s="474"/>
      <c r="K407" s="474"/>
      <c r="L407" s="474"/>
      <c r="M407" s="474"/>
      <c r="N407" s="474"/>
      <c r="O407" s="474"/>
      <c r="P407" s="474"/>
      <c r="Q407" s="474"/>
      <c r="S407" s="474"/>
      <c r="T407" s="474"/>
      <c r="U407" s="474"/>
      <c r="V407" s="474"/>
      <c r="W407" s="474"/>
      <c r="X407" s="474"/>
      <c r="Y407" s="474"/>
      <c r="Z407" s="474"/>
      <c r="AB407" s="474"/>
      <c r="AC407" s="474"/>
      <c r="AD407" s="474"/>
      <c r="AE407" s="474"/>
      <c r="AF407" s="474"/>
      <c r="AG407" s="474"/>
      <c r="AH407" s="474"/>
      <c r="AI407" s="474"/>
      <c r="AK407" s="474"/>
      <c r="AL407" s="474"/>
      <c r="AM407" s="474"/>
      <c r="AN407" s="474"/>
      <c r="AO407" s="474"/>
      <c r="AP407" s="474"/>
      <c r="AQ407" s="474"/>
      <c r="AR407" s="474"/>
      <c r="AS407" s="474"/>
      <c r="AT407" s="474"/>
      <c r="AU407" s="474"/>
      <c r="AV407" s="474"/>
      <c r="AW407" s="474"/>
      <c r="AX407" s="474"/>
      <c r="AY407" s="474"/>
      <c r="AZ407" s="474"/>
      <c r="BA407" s="474"/>
      <c r="BC407" s="474"/>
      <c r="BD407" s="474"/>
      <c r="BE407" s="474"/>
      <c r="BF407" s="474"/>
      <c r="BG407" s="474"/>
      <c r="BH407" s="474"/>
      <c r="BI407" s="474"/>
      <c r="BJ407" s="474"/>
      <c r="CD407" s="474"/>
      <c r="CE407" s="474"/>
      <c r="CF407" s="474"/>
      <c r="CG407" s="474"/>
      <c r="CH407" s="474"/>
      <c r="CI407" s="474"/>
      <c r="CJ407" s="474"/>
      <c r="CK407" s="474"/>
      <c r="CM407" s="474"/>
      <c r="CN407" s="474"/>
      <c r="CO407" s="474"/>
      <c r="CP407" s="474"/>
      <c r="CQ407" s="474"/>
      <c r="CR407" s="474"/>
      <c r="CS407" s="474"/>
      <c r="CT407" s="474"/>
    </row>
    <row r="408" spans="1:98" s="35" customFormat="1" ht="12" customHeight="1">
      <c r="A408" s="474"/>
      <c r="B408" s="474"/>
      <c r="C408" s="474"/>
      <c r="D408" s="474"/>
      <c r="E408" s="474"/>
      <c r="F408" s="474"/>
      <c r="G408" s="474"/>
      <c r="H408" s="474"/>
      <c r="J408" s="474"/>
      <c r="K408" s="474"/>
      <c r="L408" s="474"/>
      <c r="M408" s="474"/>
      <c r="N408" s="474"/>
      <c r="O408" s="474"/>
      <c r="P408" s="474"/>
      <c r="Q408" s="474"/>
      <c r="S408" s="474"/>
      <c r="T408" s="474"/>
      <c r="U408" s="474"/>
      <c r="V408" s="474"/>
      <c r="W408" s="474"/>
      <c r="X408" s="474"/>
      <c r="Y408" s="474"/>
      <c r="Z408" s="474"/>
      <c r="AB408" s="474"/>
      <c r="AC408" s="474"/>
      <c r="AD408" s="474"/>
      <c r="AE408" s="474"/>
      <c r="AF408" s="474"/>
      <c r="AG408" s="474"/>
      <c r="AH408" s="474"/>
      <c r="AI408" s="474"/>
      <c r="AK408" s="474"/>
      <c r="AL408" s="474"/>
      <c r="AM408" s="474"/>
      <c r="AN408" s="474"/>
      <c r="AO408" s="474"/>
      <c r="AP408" s="474"/>
      <c r="AQ408" s="474"/>
      <c r="AR408" s="474"/>
      <c r="AS408" s="474"/>
      <c r="AT408" s="474"/>
      <c r="AU408" s="474"/>
      <c r="AV408" s="474"/>
      <c r="AW408" s="474"/>
      <c r="AX408" s="474"/>
      <c r="AY408" s="474"/>
      <c r="AZ408" s="474"/>
      <c r="BA408" s="474"/>
      <c r="BC408" s="474"/>
      <c r="BD408" s="474"/>
      <c r="BE408" s="474"/>
      <c r="BF408" s="474"/>
      <c r="BG408" s="474"/>
      <c r="BH408" s="474"/>
      <c r="BI408" s="474"/>
      <c r="BJ408" s="474"/>
      <c r="CD408" s="474"/>
      <c r="CE408" s="474"/>
      <c r="CF408" s="474"/>
      <c r="CG408" s="474"/>
      <c r="CH408" s="474"/>
      <c r="CI408" s="474"/>
      <c r="CJ408" s="474"/>
      <c r="CK408" s="474"/>
      <c r="CM408" s="474"/>
      <c r="CN408" s="474"/>
      <c r="CO408" s="474"/>
      <c r="CP408" s="474"/>
      <c r="CQ408" s="474"/>
      <c r="CR408" s="474"/>
      <c r="CS408" s="474"/>
      <c r="CT408" s="474"/>
    </row>
    <row r="409" spans="1:98" s="35" customFormat="1" ht="12" customHeight="1">
      <c r="A409" s="474"/>
      <c r="B409" s="474"/>
      <c r="C409" s="474"/>
      <c r="D409" s="474"/>
      <c r="E409" s="474"/>
      <c r="F409" s="474"/>
      <c r="G409" s="474"/>
      <c r="H409" s="474"/>
      <c r="J409" s="474"/>
      <c r="K409" s="474"/>
      <c r="L409" s="474"/>
      <c r="M409" s="474"/>
      <c r="N409" s="474"/>
      <c r="O409" s="474"/>
      <c r="P409" s="474"/>
      <c r="Q409" s="474"/>
      <c r="S409" s="474"/>
      <c r="T409" s="474"/>
      <c r="U409" s="474"/>
      <c r="V409" s="474"/>
      <c r="W409" s="474"/>
      <c r="X409" s="474"/>
      <c r="Y409" s="474"/>
      <c r="Z409" s="474"/>
      <c r="AB409" s="474"/>
      <c r="AC409" s="474"/>
      <c r="AD409" s="474"/>
      <c r="AE409" s="474"/>
      <c r="AF409" s="474"/>
      <c r="AG409" s="474"/>
      <c r="AH409" s="474"/>
      <c r="AI409" s="474"/>
      <c r="AK409" s="474"/>
      <c r="AL409" s="474"/>
      <c r="AM409" s="474"/>
      <c r="AN409" s="474"/>
      <c r="AO409" s="474"/>
      <c r="AP409" s="474"/>
      <c r="AQ409" s="474"/>
      <c r="AR409" s="474"/>
      <c r="AS409" s="474"/>
      <c r="AT409" s="474"/>
      <c r="AU409" s="474"/>
      <c r="AV409" s="474"/>
      <c r="AW409" s="474"/>
      <c r="AX409" s="474"/>
      <c r="AY409" s="474"/>
      <c r="AZ409" s="474"/>
      <c r="BA409" s="474"/>
      <c r="BC409" s="474"/>
      <c r="BD409" s="474"/>
      <c r="BE409" s="474"/>
      <c r="BF409" s="474"/>
      <c r="BG409" s="474"/>
      <c r="BH409" s="474"/>
      <c r="BI409" s="474"/>
      <c r="BJ409" s="474"/>
      <c r="CD409" s="474"/>
      <c r="CE409" s="474"/>
      <c r="CF409" s="474"/>
      <c r="CG409" s="474"/>
      <c r="CH409" s="474"/>
      <c r="CI409" s="474"/>
      <c r="CJ409" s="474"/>
      <c r="CK409" s="474"/>
      <c r="CM409" s="474"/>
      <c r="CN409" s="474"/>
      <c r="CO409" s="474"/>
      <c r="CP409" s="474"/>
      <c r="CQ409" s="474"/>
      <c r="CR409" s="474"/>
      <c r="CS409" s="474"/>
      <c r="CT409" s="474"/>
    </row>
    <row r="410" spans="1:98" s="35" customFormat="1" ht="12" customHeight="1">
      <c r="A410" s="474"/>
      <c r="B410" s="474"/>
      <c r="C410" s="474"/>
      <c r="D410" s="474"/>
      <c r="E410" s="474"/>
      <c r="F410" s="474"/>
      <c r="G410" s="474"/>
      <c r="H410" s="474"/>
      <c r="J410" s="474"/>
      <c r="K410" s="474"/>
      <c r="L410" s="474"/>
      <c r="M410" s="474"/>
      <c r="N410" s="474"/>
      <c r="O410" s="474"/>
      <c r="P410" s="474"/>
      <c r="Q410" s="474"/>
      <c r="S410" s="474"/>
      <c r="T410" s="474"/>
      <c r="U410" s="474"/>
      <c r="V410" s="474"/>
      <c r="W410" s="474"/>
      <c r="X410" s="474"/>
      <c r="Y410" s="474"/>
      <c r="Z410" s="474"/>
      <c r="AB410" s="474"/>
      <c r="AC410" s="474"/>
      <c r="AD410" s="474"/>
      <c r="AE410" s="474"/>
      <c r="AF410" s="474"/>
      <c r="AG410" s="474"/>
      <c r="AH410" s="474"/>
      <c r="AI410" s="474"/>
      <c r="AK410" s="474"/>
      <c r="AL410" s="474"/>
      <c r="AM410" s="474"/>
      <c r="AN410" s="474"/>
      <c r="AO410" s="474"/>
      <c r="AP410" s="474"/>
      <c r="AQ410" s="474"/>
      <c r="AR410" s="474"/>
      <c r="AS410" s="474"/>
      <c r="AT410" s="474"/>
      <c r="AU410" s="474"/>
      <c r="AV410" s="474"/>
      <c r="AW410" s="474"/>
      <c r="AX410" s="474"/>
      <c r="AY410" s="474"/>
      <c r="AZ410" s="474"/>
      <c r="BA410" s="474"/>
      <c r="BC410" s="474"/>
      <c r="BD410" s="474"/>
      <c r="BE410" s="474"/>
      <c r="BF410" s="474"/>
      <c r="BG410" s="474"/>
      <c r="BH410" s="474"/>
      <c r="BI410" s="474"/>
      <c r="BJ410" s="474"/>
      <c r="CD410" s="474"/>
      <c r="CE410" s="474"/>
      <c r="CF410" s="474"/>
      <c r="CG410" s="474"/>
      <c r="CH410" s="474"/>
      <c r="CI410" s="474"/>
      <c r="CJ410" s="474"/>
      <c r="CK410" s="474"/>
      <c r="CM410" s="474"/>
      <c r="CN410" s="474"/>
      <c r="CO410" s="474"/>
      <c r="CP410" s="474"/>
      <c r="CQ410" s="474"/>
      <c r="CR410" s="474"/>
      <c r="CS410" s="474"/>
      <c r="CT410" s="474"/>
    </row>
    <row r="411" spans="1:98" s="35" customFormat="1" ht="12" customHeight="1">
      <c r="A411" s="474"/>
      <c r="B411" s="474"/>
      <c r="C411" s="474"/>
      <c r="D411" s="474"/>
      <c r="E411" s="474"/>
      <c r="F411" s="474"/>
      <c r="G411" s="474"/>
      <c r="H411" s="474"/>
      <c r="J411" s="474"/>
      <c r="K411" s="474"/>
      <c r="L411" s="474"/>
      <c r="M411" s="474"/>
      <c r="N411" s="474"/>
      <c r="O411" s="474"/>
      <c r="P411" s="474"/>
      <c r="Q411" s="474"/>
      <c r="S411" s="474"/>
      <c r="T411" s="474"/>
      <c r="U411" s="474"/>
      <c r="V411" s="474"/>
      <c r="W411" s="474"/>
      <c r="X411" s="474"/>
      <c r="Y411" s="474"/>
      <c r="Z411" s="474"/>
      <c r="AB411" s="474"/>
      <c r="AC411" s="474"/>
      <c r="AD411" s="474"/>
      <c r="AE411" s="474"/>
      <c r="AF411" s="474"/>
      <c r="AG411" s="474"/>
      <c r="AH411" s="474"/>
      <c r="AI411" s="474"/>
      <c r="AK411" s="474"/>
      <c r="AL411" s="474"/>
      <c r="AM411" s="474"/>
      <c r="AN411" s="474"/>
      <c r="AO411" s="474"/>
      <c r="AP411" s="474"/>
      <c r="AQ411" s="474"/>
      <c r="AR411" s="474"/>
      <c r="AS411" s="474"/>
      <c r="AT411" s="474"/>
      <c r="AU411" s="474"/>
      <c r="AV411" s="474"/>
      <c r="AW411" s="474"/>
      <c r="AX411" s="474"/>
      <c r="AY411" s="474"/>
      <c r="AZ411" s="474"/>
      <c r="BA411" s="474"/>
      <c r="BC411" s="474"/>
      <c r="BD411" s="474"/>
      <c r="BE411" s="474"/>
      <c r="BF411" s="474"/>
      <c r="BG411" s="474"/>
      <c r="BH411" s="474"/>
      <c r="BI411" s="474"/>
      <c r="BJ411" s="474"/>
      <c r="CD411" s="474"/>
      <c r="CE411" s="474"/>
      <c r="CF411" s="474"/>
      <c r="CG411" s="474"/>
      <c r="CH411" s="474"/>
      <c r="CI411" s="474"/>
      <c r="CJ411" s="474"/>
      <c r="CK411" s="474"/>
      <c r="CM411" s="474"/>
      <c r="CN411" s="474"/>
      <c r="CO411" s="474"/>
      <c r="CP411" s="474"/>
      <c r="CQ411" s="474"/>
      <c r="CR411" s="474"/>
      <c r="CS411" s="474"/>
      <c r="CT411" s="474"/>
    </row>
    <row r="412" spans="1:98" s="35" customFormat="1" ht="12" customHeight="1">
      <c r="A412" s="474"/>
      <c r="B412" s="474"/>
      <c r="C412" s="474"/>
      <c r="D412" s="474"/>
      <c r="E412" s="474"/>
      <c r="F412" s="474"/>
      <c r="G412" s="474"/>
      <c r="H412" s="474"/>
      <c r="J412" s="474"/>
      <c r="K412" s="474"/>
      <c r="L412" s="474"/>
      <c r="M412" s="474"/>
      <c r="N412" s="474"/>
      <c r="O412" s="474"/>
      <c r="P412" s="474"/>
      <c r="Q412" s="474"/>
      <c r="S412" s="474"/>
      <c r="T412" s="474"/>
      <c r="U412" s="474"/>
      <c r="V412" s="474"/>
      <c r="W412" s="474"/>
      <c r="X412" s="474"/>
      <c r="Y412" s="474"/>
      <c r="Z412" s="474"/>
      <c r="AB412" s="474"/>
      <c r="AC412" s="474"/>
      <c r="AD412" s="474"/>
      <c r="AE412" s="474"/>
      <c r="AF412" s="474"/>
      <c r="AG412" s="474"/>
      <c r="AH412" s="474"/>
      <c r="AI412" s="474"/>
      <c r="AK412" s="474"/>
      <c r="AL412" s="474"/>
      <c r="AM412" s="474"/>
      <c r="AN412" s="474"/>
      <c r="AO412" s="474"/>
      <c r="AP412" s="474"/>
      <c r="AQ412" s="474"/>
      <c r="AR412" s="474"/>
      <c r="AS412" s="474"/>
      <c r="AT412" s="474"/>
      <c r="AU412" s="474"/>
      <c r="AV412" s="474"/>
      <c r="AW412" s="474"/>
      <c r="AX412" s="474"/>
      <c r="AY412" s="474"/>
      <c r="AZ412" s="474"/>
      <c r="BA412" s="474"/>
      <c r="BC412" s="474"/>
      <c r="BD412" s="474"/>
      <c r="BE412" s="474"/>
      <c r="BF412" s="474"/>
      <c r="BG412" s="474"/>
      <c r="BH412" s="474"/>
      <c r="BI412" s="474"/>
      <c r="BJ412" s="474"/>
      <c r="CD412" s="474"/>
      <c r="CE412" s="474"/>
      <c r="CF412" s="474"/>
      <c r="CG412" s="474"/>
      <c r="CH412" s="474"/>
      <c r="CI412" s="474"/>
      <c r="CJ412" s="474"/>
      <c r="CK412" s="474"/>
      <c r="CM412" s="474"/>
      <c r="CN412" s="474"/>
      <c r="CO412" s="474"/>
      <c r="CP412" s="474"/>
      <c r="CQ412" s="474"/>
      <c r="CR412" s="474"/>
      <c r="CS412" s="474"/>
      <c r="CT412" s="474"/>
    </row>
    <row r="413" spans="1:98" s="35" customFormat="1" ht="12" customHeight="1">
      <c r="A413" s="474"/>
      <c r="B413" s="474"/>
      <c r="C413" s="474"/>
      <c r="D413" s="474"/>
      <c r="E413" s="474"/>
      <c r="F413" s="474"/>
      <c r="G413" s="474"/>
      <c r="H413" s="474"/>
      <c r="J413" s="474"/>
      <c r="K413" s="474"/>
      <c r="L413" s="474"/>
      <c r="M413" s="474"/>
      <c r="N413" s="474"/>
      <c r="O413" s="474"/>
      <c r="P413" s="474"/>
      <c r="Q413" s="474"/>
      <c r="S413" s="474"/>
      <c r="T413" s="474"/>
      <c r="U413" s="474"/>
      <c r="V413" s="474"/>
      <c r="W413" s="474"/>
      <c r="X413" s="474"/>
      <c r="Y413" s="474"/>
      <c r="Z413" s="474"/>
      <c r="AB413" s="474"/>
      <c r="AC413" s="474"/>
      <c r="AD413" s="474"/>
      <c r="AE413" s="474"/>
      <c r="AF413" s="474"/>
      <c r="AG413" s="474"/>
      <c r="AH413" s="474"/>
      <c r="AI413" s="474"/>
      <c r="AK413" s="474"/>
      <c r="AL413" s="474"/>
      <c r="AM413" s="474"/>
      <c r="AN413" s="474"/>
      <c r="AO413" s="474"/>
      <c r="AP413" s="474"/>
      <c r="AQ413" s="474"/>
      <c r="AR413" s="474"/>
      <c r="AS413" s="474"/>
      <c r="AT413" s="474"/>
      <c r="AU413" s="474"/>
      <c r="AV413" s="474"/>
      <c r="AW413" s="474"/>
      <c r="AX413" s="474"/>
      <c r="AY413" s="474"/>
      <c r="AZ413" s="474"/>
      <c r="BA413" s="474"/>
      <c r="BC413" s="474"/>
      <c r="BD413" s="474"/>
      <c r="BE413" s="474"/>
      <c r="BF413" s="474"/>
      <c r="BG413" s="474"/>
      <c r="BH413" s="474"/>
      <c r="BI413" s="474"/>
      <c r="BJ413" s="474"/>
      <c r="CD413" s="474"/>
      <c r="CE413" s="474"/>
      <c r="CF413" s="474"/>
      <c r="CG413" s="474"/>
      <c r="CH413" s="474"/>
      <c r="CI413" s="474"/>
      <c r="CJ413" s="474"/>
      <c r="CK413" s="474"/>
      <c r="CM413" s="474"/>
      <c r="CN413" s="474"/>
      <c r="CO413" s="474"/>
      <c r="CP413" s="474"/>
      <c r="CQ413" s="474"/>
      <c r="CR413" s="474"/>
      <c r="CS413" s="474"/>
      <c r="CT413" s="474"/>
    </row>
    <row r="414" spans="1:98" s="35" customFormat="1" ht="12" customHeight="1">
      <c r="A414" s="474"/>
      <c r="B414" s="474"/>
      <c r="C414" s="474"/>
      <c r="D414" s="474"/>
      <c r="E414" s="474"/>
      <c r="F414" s="474"/>
      <c r="G414" s="474"/>
      <c r="H414" s="474"/>
      <c r="J414" s="474"/>
      <c r="K414" s="474"/>
      <c r="L414" s="474"/>
      <c r="M414" s="474"/>
      <c r="N414" s="474"/>
      <c r="O414" s="474"/>
      <c r="P414" s="474"/>
      <c r="Q414" s="474"/>
      <c r="S414" s="474"/>
      <c r="T414" s="474"/>
      <c r="U414" s="474"/>
      <c r="V414" s="474"/>
      <c r="W414" s="474"/>
      <c r="X414" s="474"/>
      <c r="Y414" s="474"/>
      <c r="Z414" s="474"/>
      <c r="AB414" s="474"/>
      <c r="AC414" s="474"/>
      <c r="AD414" s="474"/>
      <c r="AE414" s="474"/>
      <c r="AF414" s="474"/>
      <c r="AG414" s="474"/>
      <c r="AH414" s="474"/>
      <c r="AI414" s="474"/>
      <c r="AK414" s="474"/>
      <c r="AL414" s="474"/>
      <c r="AM414" s="474"/>
      <c r="AN414" s="474"/>
      <c r="AO414" s="474"/>
      <c r="AP414" s="474"/>
      <c r="AQ414" s="474"/>
      <c r="AR414" s="474"/>
      <c r="AS414" s="474"/>
      <c r="AT414" s="474"/>
      <c r="AU414" s="474"/>
      <c r="AV414" s="474"/>
      <c r="AW414" s="474"/>
      <c r="AX414" s="474"/>
      <c r="AY414" s="474"/>
      <c r="AZ414" s="474"/>
      <c r="BA414" s="474"/>
      <c r="BC414" s="474"/>
      <c r="BD414" s="474"/>
      <c r="BE414" s="474"/>
      <c r="BF414" s="474"/>
      <c r="BG414" s="474"/>
      <c r="BH414" s="474"/>
      <c r="BI414" s="474"/>
      <c r="BJ414" s="474"/>
      <c r="CD414" s="474"/>
      <c r="CE414" s="474"/>
      <c r="CF414" s="474"/>
      <c r="CG414" s="474"/>
      <c r="CH414" s="474"/>
      <c r="CI414" s="474"/>
      <c r="CJ414" s="474"/>
      <c r="CK414" s="474"/>
      <c r="CM414" s="474"/>
      <c r="CN414" s="474"/>
      <c r="CO414" s="474"/>
      <c r="CP414" s="474"/>
      <c r="CQ414" s="474"/>
      <c r="CR414" s="474"/>
      <c r="CS414" s="474"/>
      <c r="CT414" s="474"/>
    </row>
    <row r="415" spans="1:98" s="35" customFormat="1" ht="12" customHeight="1">
      <c r="A415" s="474"/>
      <c r="B415" s="474"/>
      <c r="C415" s="474"/>
      <c r="D415" s="474"/>
      <c r="E415" s="474"/>
      <c r="F415" s="474"/>
      <c r="G415" s="474"/>
      <c r="H415" s="474"/>
      <c r="J415" s="474"/>
      <c r="K415" s="474"/>
      <c r="L415" s="474"/>
      <c r="M415" s="474"/>
      <c r="N415" s="474"/>
      <c r="O415" s="474"/>
      <c r="P415" s="474"/>
      <c r="Q415" s="474"/>
      <c r="S415" s="474"/>
      <c r="T415" s="474"/>
      <c r="U415" s="474"/>
      <c r="V415" s="474"/>
      <c r="W415" s="474"/>
      <c r="X415" s="474"/>
      <c r="Y415" s="474"/>
      <c r="Z415" s="474"/>
      <c r="AB415" s="474"/>
      <c r="AC415" s="474"/>
      <c r="AD415" s="474"/>
      <c r="AE415" s="474"/>
      <c r="AF415" s="474"/>
      <c r="AG415" s="474"/>
      <c r="AH415" s="474"/>
      <c r="AI415" s="474"/>
      <c r="AK415" s="474"/>
      <c r="AL415" s="474"/>
      <c r="AM415" s="474"/>
      <c r="AN415" s="474"/>
      <c r="AO415" s="474"/>
      <c r="AP415" s="474"/>
      <c r="AQ415" s="474"/>
      <c r="AR415" s="474"/>
      <c r="AS415" s="474"/>
      <c r="AT415" s="474"/>
      <c r="AU415" s="474"/>
      <c r="AV415" s="474"/>
      <c r="AW415" s="474"/>
      <c r="AX415" s="474"/>
      <c r="AY415" s="474"/>
      <c r="AZ415" s="474"/>
      <c r="BA415" s="474"/>
      <c r="BC415" s="474"/>
      <c r="BD415" s="474"/>
      <c r="BE415" s="474"/>
      <c r="BF415" s="474"/>
      <c r="BG415" s="474"/>
      <c r="BH415" s="474"/>
      <c r="BI415" s="474"/>
      <c r="BJ415" s="474"/>
      <c r="CD415" s="474"/>
      <c r="CE415" s="474"/>
      <c r="CF415" s="474"/>
      <c r="CG415" s="474"/>
      <c r="CH415" s="474"/>
      <c r="CI415" s="474"/>
      <c r="CJ415" s="474"/>
      <c r="CK415" s="474"/>
      <c r="CM415" s="474"/>
      <c r="CN415" s="474"/>
      <c r="CO415" s="474"/>
      <c r="CP415" s="474"/>
      <c r="CQ415" s="474"/>
      <c r="CR415" s="474"/>
      <c r="CS415" s="474"/>
      <c r="CT415" s="474"/>
    </row>
    <row r="416" spans="1:98" s="35" customFormat="1" ht="12" customHeight="1">
      <c r="A416" s="474"/>
      <c r="B416" s="474"/>
      <c r="C416" s="474"/>
      <c r="D416" s="474"/>
      <c r="E416" s="474"/>
      <c r="F416" s="474"/>
      <c r="G416" s="474"/>
      <c r="H416" s="474"/>
      <c r="J416" s="474"/>
      <c r="K416" s="474"/>
      <c r="L416" s="474"/>
      <c r="M416" s="474"/>
      <c r="N416" s="474"/>
      <c r="O416" s="474"/>
      <c r="P416" s="474"/>
      <c r="Q416" s="474"/>
      <c r="S416" s="474"/>
      <c r="T416" s="474"/>
      <c r="U416" s="474"/>
      <c r="V416" s="474"/>
      <c r="W416" s="474"/>
      <c r="X416" s="474"/>
      <c r="Y416" s="474"/>
      <c r="Z416" s="474"/>
      <c r="AB416" s="474"/>
      <c r="AC416" s="474"/>
      <c r="AD416" s="474"/>
      <c r="AE416" s="474"/>
      <c r="AF416" s="474"/>
      <c r="AG416" s="474"/>
      <c r="AH416" s="474"/>
      <c r="AI416" s="474"/>
      <c r="AK416" s="474"/>
      <c r="AL416" s="474"/>
      <c r="AM416" s="474"/>
      <c r="AN416" s="474"/>
      <c r="AO416" s="474"/>
      <c r="AP416" s="474"/>
      <c r="AQ416" s="474"/>
      <c r="AR416" s="474"/>
      <c r="AS416" s="474"/>
      <c r="AT416" s="474"/>
      <c r="AU416" s="474"/>
      <c r="AV416" s="474"/>
      <c r="AW416" s="474"/>
      <c r="AX416" s="474"/>
      <c r="AY416" s="474"/>
      <c r="AZ416" s="474"/>
      <c r="BA416" s="474"/>
      <c r="BC416" s="474"/>
      <c r="BD416" s="474"/>
      <c r="BE416" s="474"/>
      <c r="BF416" s="474"/>
      <c r="BG416" s="474"/>
      <c r="BH416" s="474"/>
      <c r="BI416" s="474"/>
      <c r="BJ416" s="474"/>
      <c r="CD416" s="474"/>
      <c r="CE416" s="474"/>
      <c r="CF416" s="474"/>
      <c r="CG416" s="474"/>
      <c r="CH416" s="474"/>
      <c r="CI416" s="474"/>
      <c r="CJ416" s="474"/>
      <c r="CK416" s="474"/>
      <c r="CM416" s="474"/>
      <c r="CN416" s="474"/>
      <c r="CO416" s="474"/>
      <c r="CP416" s="474"/>
      <c r="CQ416" s="474"/>
      <c r="CR416" s="474"/>
      <c r="CS416" s="474"/>
      <c r="CT416" s="474"/>
    </row>
    <row r="417" spans="1:98" s="35" customFormat="1" ht="12" customHeight="1">
      <c r="A417" s="474"/>
      <c r="B417" s="474"/>
      <c r="C417" s="474"/>
      <c r="D417" s="474"/>
      <c r="E417" s="474"/>
      <c r="F417" s="474"/>
      <c r="G417" s="474"/>
      <c r="H417" s="474"/>
      <c r="J417" s="474"/>
      <c r="K417" s="474"/>
      <c r="L417" s="474"/>
      <c r="M417" s="474"/>
      <c r="N417" s="474"/>
      <c r="O417" s="474"/>
      <c r="P417" s="474"/>
      <c r="Q417" s="474"/>
      <c r="S417" s="474"/>
      <c r="T417" s="474"/>
      <c r="U417" s="474"/>
      <c r="V417" s="474"/>
      <c r="W417" s="474"/>
      <c r="X417" s="474"/>
      <c r="Y417" s="474"/>
      <c r="Z417" s="474"/>
      <c r="AB417" s="474"/>
      <c r="AC417" s="474"/>
      <c r="AD417" s="474"/>
      <c r="AE417" s="474"/>
      <c r="AF417" s="474"/>
      <c r="AG417" s="474"/>
      <c r="AH417" s="474"/>
      <c r="AI417" s="474"/>
      <c r="AK417" s="474"/>
      <c r="AL417" s="474"/>
      <c r="AM417" s="474"/>
      <c r="AN417" s="474"/>
      <c r="AO417" s="474"/>
      <c r="AP417" s="474"/>
      <c r="AQ417" s="474"/>
      <c r="AR417" s="474"/>
      <c r="AS417" s="474"/>
      <c r="AT417" s="474"/>
      <c r="AU417" s="474"/>
      <c r="AV417" s="474"/>
      <c r="AW417" s="474"/>
      <c r="AX417" s="474"/>
      <c r="AY417" s="474"/>
      <c r="AZ417" s="474"/>
      <c r="BA417" s="474"/>
      <c r="BC417" s="474"/>
      <c r="BD417" s="474"/>
      <c r="BE417" s="474"/>
      <c r="BF417" s="474"/>
      <c r="BG417" s="474"/>
      <c r="BH417" s="474"/>
      <c r="BI417" s="474"/>
      <c r="BJ417" s="474"/>
      <c r="CD417" s="474"/>
      <c r="CE417" s="474"/>
      <c r="CF417" s="474"/>
      <c r="CG417" s="474"/>
      <c r="CH417" s="474"/>
      <c r="CI417" s="474"/>
      <c r="CJ417" s="474"/>
      <c r="CK417" s="474"/>
      <c r="CM417" s="474"/>
      <c r="CN417" s="474"/>
      <c r="CO417" s="474"/>
      <c r="CP417" s="474"/>
      <c r="CQ417" s="474"/>
      <c r="CR417" s="474"/>
      <c r="CS417" s="474"/>
      <c r="CT417" s="474"/>
    </row>
    <row r="418" spans="1:98" s="35" customFormat="1" ht="12" customHeight="1">
      <c r="A418" s="474"/>
      <c r="B418" s="474"/>
      <c r="C418" s="474"/>
      <c r="D418" s="474"/>
      <c r="E418" s="474"/>
      <c r="F418" s="474"/>
      <c r="G418" s="474"/>
      <c r="H418" s="474"/>
      <c r="J418" s="474"/>
      <c r="K418" s="474"/>
      <c r="L418" s="474"/>
      <c r="M418" s="474"/>
      <c r="N418" s="474"/>
      <c r="O418" s="474"/>
      <c r="P418" s="474"/>
      <c r="Q418" s="474"/>
      <c r="S418" s="474"/>
      <c r="T418" s="474"/>
      <c r="U418" s="474"/>
      <c r="V418" s="474"/>
      <c r="W418" s="474"/>
      <c r="X418" s="474"/>
      <c r="Y418" s="474"/>
      <c r="Z418" s="474"/>
      <c r="AB418" s="474"/>
      <c r="AC418" s="474"/>
      <c r="AD418" s="474"/>
      <c r="AE418" s="474"/>
      <c r="AF418" s="474"/>
      <c r="AG418" s="474"/>
      <c r="AH418" s="474"/>
      <c r="AI418" s="474"/>
      <c r="AK418" s="474"/>
      <c r="AL418" s="474"/>
      <c r="AM418" s="474"/>
      <c r="AN418" s="474"/>
      <c r="AO418" s="474"/>
      <c r="AP418" s="474"/>
      <c r="AQ418" s="474"/>
      <c r="AR418" s="474"/>
      <c r="AS418" s="474"/>
      <c r="AT418" s="474"/>
      <c r="AU418" s="474"/>
      <c r="AV418" s="474"/>
      <c r="AW418" s="474"/>
      <c r="AX418" s="474"/>
      <c r="AY418" s="474"/>
      <c r="AZ418" s="474"/>
      <c r="BA418" s="474"/>
      <c r="BC418" s="474"/>
      <c r="BD418" s="474"/>
      <c r="BE418" s="474"/>
      <c r="BF418" s="474"/>
      <c r="BG418" s="474"/>
      <c r="BH418" s="474"/>
      <c r="BI418" s="474"/>
      <c r="BJ418" s="474"/>
      <c r="CD418" s="474"/>
      <c r="CE418" s="474"/>
      <c r="CF418" s="474"/>
      <c r="CG418" s="474"/>
      <c r="CH418" s="474"/>
      <c r="CI418" s="474"/>
      <c r="CJ418" s="474"/>
      <c r="CK418" s="474"/>
      <c r="CM418" s="474"/>
      <c r="CN418" s="474"/>
      <c r="CO418" s="474"/>
      <c r="CP418" s="474"/>
      <c r="CQ418" s="474"/>
      <c r="CR418" s="474"/>
      <c r="CS418" s="474"/>
      <c r="CT418" s="474"/>
    </row>
    <row r="419" spans="1:98" s="35" customFormat="1" ht="12" customHeight="1">
      <c r="A419" s="474"/>
      <c r="B419" s="474"/>
      <c r="C419" s="474"/>
      <c r="D419" s="474"/>
      <c r="E419" s="474"/>
      <c r="F419" s="474"/>
      <c r="G419" s="474"/>
      <c r="H419" s="474"/>
      <c r="J419" s="474"/>
      <c r="K419" s="474"/>
      <c r="L419" s="474"/>
      <c r="M419" s="474"/>
      <c r="N419" s="474"/>
      <c r="O419" s="474"/>
      <c r="P419" s="474"/>
      <c r="Q419" s="474"/>
      <c r="S419" s="474"/>
      <c r="T419" s="474"/>
      <c r="U419" s="474"/>
      <c r="V419" s="474"/>
      <c r="W419" s="474"/>
      <c r="X419" s="474"/>
      <c r="Y419" s="474"/>
      <c r="Z419" s="474"/>
      <c r="AB419" s="474"/>
      <c r="AC419" s="474"/>
      <c r="AD419" s="474"/>
      <c r="AE419" s="474"/>
      <c r="AF419" s="474"/>
      <c r="AG419" s="474"/>
      <c r="AH419" s="474"/>
      <c r="AI419" s="474"/>
      <c r="AK419" s="474"/>
      <c r="AL419" s="474"/>
      <c r="AM419" s="474"/>
      <c r="AN419" s="474"/>
      <c r="AO419" s="474"/>
      <c r="AP419" s="474"/>
      <c r="AQ419" s="474"/>
      <c r="AR419" s="474"/>
      <c r="AS419" s="474"/>
      <c r="AT419" s="474"/>
      <c r="AU419" s="474"/>
      <c r="AV419" s="474"/>
      <c r="AW419" s="474"/>
      <c r="AX419" s="474"/>
      <c r="AY419" s="474"/>
      <c r="AZ419" s="474"/>
      <c r="BA419" s="474"/>
      <c r="BC419" s="474"/>
      <c r="BD419" s="474"/>
      <c r="BE419" s="474"/>
      <c r="BF419" s="474"/>
      <c r="BG419" s="474"/>
      <c r="BH419" s="474"/>
      <c r="BI419" s="474"/>
      <c r="BJ419" s="474"/>
      <c r="CD419" s="474"/>
      <c r="CE419" s="474"/>
      <c r="CF419" s="474"/>
      <c r="CG419" s="474"/>
      <c r="CH419" s="474"/>
      <c r="CI419" s="474"/>
      <c r="CJ419" s="474"/>
      <c r="CK419" s="474"/>
      <c r="CM419" s="474"/>
      <c r="CN419" s="474"/>
      <c r="CO419" s="474"/>
      <c r="CP419" s="474"/>
      <c r="CQ419" s="474"/>
      <c r="CR419" s="474"/>
      <c r="CS419" s="474"/>
      <c r="CT419" s="474"/>
    </row>
    <row r="420" spans="1:98" s="35" customFormat="1" ht="12" customHeight="1">
      <c r="A420" s="474"/>
      <c r="B420" s="474"/>
      <c r="C420" s="474"/>
      <c r="D420" s="474"/>
      <c r="E420" s="474"/>
      <c r="F420" s="474"/>
      <c r="G420" s="474"/>
      <c r="H420" s="474"/>
      <c r="J420" s="474"/>
      <c r="K420" s="474"/>
      <c r="L420" s="474"/>
      <c r="M420" s="474"/>
      <c r="N420" s="474"/>
      <c r="O420" s="474"/>
      <c r="P420" s="474"/>
      <c r="Q420" s="474"/>
      <c r="S420" s="474"/>
      <c r="T420" s="474"/>
      <c r="U420" s="474"/>
      <c r="V420" s="474"/>
      <c r="W420" s="474"/>
      <c r="X420" s="474"/>
      <c r="Y420" s="474"/>
      <c r="Z420" s="474"/>
      <c r="AB420" s="474"/>
      <c r="AC420" s="474"/>
      <c r="AD420" s="474"/>
      <c r="AE420" s="474"/>
      <c r="AF420" s="474"/>
      <c r="AG420" s="474"/>
      <c r="AH420" s="474"/>
      <c r="AI420" s="474"/>
      <c r="AK420" s="474"/>
      <c r="AL420" s="474"/>
      <c r="AM420" s="474"/>
      <c r="AN420" s="474"/>
      <c r="AO420" s="474"/>
      <c r="AP420" s="474"/>
      <c r="AQ420" s="474"/>
      <c r="AR420" s="474"/>
      <c r="AS420" s="474"/>
      <c r="AT420" s="474"/>
      <c r="AU420" s="474"/>
      <c r="AV420" s="474"/>
      <c r="AW420" s="474"/>
      <c r="AX420" s="474"/>
      <c r="AY420" s="474"/>
      <c r="AZ420" s="474"/>
      <c r="BA420" s="474"/>
      <c r="BC420" s="474"/>
      <c r="BD420" s="474"/>
      <c r="BE420" s="474"/>
      <c r="BF420" s="474"/>
      <c r="BG420" s="474"/>
      <c r="BH420" s="474"/>
      <c r="BI420" s="474"/>
      <c r="BJ420" s="474"/>
      <c r="CD420" s="474"/>
      <c r="CE420" s="474"/>
      <c r="CF420" s="474"/>
      <c r="CG420" s="474"/>
      <c r="CH420" s="474"/>
      <c r="CI420" s="474"/>
      <c r="CJ420" s="474"/>
      <c r="CK420" s="474"/>
      <c r="CM420" s="474"/>
      <c r="CN420" s="474"/>
      <c r="CO420" s="474"/>
      <c r="CP420" s="474"/>
      <c r="CQ420" s="474"/>
      <c r="CR420" s="474"/>
      <c r="CS420" s="474"/>
      <c r="CT420" s="474"/>
    </row>
    <row r="421" spans="1:98" s="35" customFormat="1" ht="12" customHeight="1">
      <c r="A421" s="474"/>
      <c r="B421" s="474"/>
      <c r="C421" s="474"/>
      <c r="D421" s="474"/>
      <c r="E421" s="474"/>
      <c r="F421" s="474"/>
      <c r="G421" s="474"/>
      <c r="H421" s="474"/>
      <c r="J421" s="474"/>
      <c r="K421" s="474"/>
      <c r="L421" s="474"/>
      <c r="M421" s="474"/>
      <c r="N421" s="474"/>
      <c r="O421" s="474"/>
      <c r="P421" s="474"/>
      <c r="Q421" s="474"/>
      <c r="S421" s="474"/>
      <c r="T421" s="474"/>
      <c r="U421" s="474"/>
      <c r="V421" s="474"/>
      <c r="W421" s="474"/>
      <c r="X421" s="474"/>
      <c r="Y421" s="474"/>
      <c r="Z421" s="474"/>
      <c r="AB421" s="474"/>
      <c r="AC421" s="474"/>
      <c r="AD421" s="474"/>
      <c r="AE421" s="474"/>
      <c r="AF421" s="474"/>
      <c r="AG421" s="474"/>
      <c r="AH421" s="474"/>
      <c r="AI421" s="474"/>
      <c r="AK421" s="474"/>
      <c r="AL421" s="474"/>
      <c r="AM421" s="474"/>
      <c r="AN421" s="474"/>
      <c r="AO421" s="474"/>
      <c r="AP421" s="474"/>
      <c r="AQ421" s="474"/>
      <c r="AR421" s="474"/>
      <c r="AS421" s="474"/>
      <c r="AT421" s="474"/>
      <c r="AU421" s="474"/>
      <c r="AV421" s="474"/>
      <c r="AW421" s="474"/>
      <c r="AX421" s="474"/>
      <c r="AY421" s="474"/>
      <c r="AZ421" s="474"/>
      <c r="BA421" s="474"/>
      <c r="BC421" s="474"/>
      <c r="BD421" s="474"/>
      <c r="BE421" s="474"/>
      <c r="BF421" s="474"/>
      <c r="BG421" s="474"/>
      <c r="BH421" s="474"/>
      <c r="BI421" s="474"/>
      <c r="BJ421" s="474"/>
      <c r="CD421" s="474"/>
      <c r="CE421" s="474"/>
      <c r="CF421" s="474"/>
      <c r="CG421" s="474"/>
      <c r="CH421" s="474"/>
      <c r="CI421" s="474"/>
      <c r="CJ421" s="474"/>
      <c r="CK421" s="474"/>
      <c r="CM421" s="474"/>
      <c r="CN421" s="474"/>
      <c r="CO421" s="474"/>
      <c r="CP421" s="474"/>
      <c r="CQ421" s="474"/>
      <c r="CR421" s="474"/>
      <c r="CS421" s="474"/>
      <c r="CT421" s="474"/>
    </row>
    <row r="422" spans="1:98" s="35" customFormat="1" ht="12" customHeight="1">
      <c r="A422" s="474"/>
      <c r="B422" s="474"/>
      <c r="C422" s="474"/>
      <c r="D422" s="474"/>
      <c r="E422" s="474"/>
      <c r="F422" s="474"/>
      <c r="G422" s="474"/>
      <c r="H422" s="474"/>
      <c r="J422" s="474"/>
      <c r="K422" s="474"/>
      <c r="L422" s="474"/>
      <c r="M422" s="474"/>
      <c r="N422" s="474"/>
      <c r="O422" s="474"/>
      <c r="P422" s="474"/>
      <c r="Q422" s="474"/>
      <c r="S422" s="474"/>
      <c r="T422" s="474"/>
      <c r="U422" s="474"/>
      <c r="V422" s="474"/>
      <c r="W422" s="474"/>
      <c r="X422" s="474"/>
      <c r="Y422" s="474"/>
      <c r="Z422" s="474"/>
      <c r="AB422" s="474"/>
      <c r="AC422" s="474"/>
      <c r="AD422" s="474"/>
      <c r="AE422" s="474"/>
      <c r="AF422" s="474"/>
      <c r="AG422" s="474"/>
      <c r="AH422" s="474"/>
      <c r="AI422" s="474"/>
      <c r="AK422" s="474"/>
      <c r="AL422" s="474"/>
      <c r="AM422" s="474"/>
      <c r="AN422" s="474"/>
      <c r="AO422" s="474"/>
      <c r="AP422" s="474"/>
      <c r="AQ422" s="474"/>
      <c r="AR422" s="474"/>
      <c r="AS422" s="474"/>
      <c r="AT422" s="474"/>
      <c r="AU422" s="474"/>
      <c r="AV422" s="474"/>
      <c r="AW422" s="474"/>
      <c r="AX422" s="474"/>
      <c r="AY422" s="474"/>
      <c r="AZ422" s="474"/>
      <c r="BA422" s="474"/>
      <c r="BC422" s="474"/>
      <c r="BD422" s="474"/>
      <c r="BE422" s="474"/>
      <c r="BF422" s="474"/>
      <c r="BG422" s="474"/>
      <c r="BH422" s="474"/>
      <c r="BI422" s="474"/>
      <c r="BJ422" s="474"/>
      <c r="CD422" s="474"/>
      <c r="CE422" s="474"/>
      <c r="CF422" s="474"/>
      <c r="CG422" s="474"/>
      <c r="CH422" s="474"/>
      <c r="CI422" s="474"/>
      <c r="CJ422" s="474"/>
      <c r="CK422" s="474"/>
      <c r="CM422" s="474"/>
      <c r="CN422" s="474"/>
      <c r="CO422" s="474"/>
      <c r="CP422" s="474"/>
      <c r="CQ422" s="474"/>
      <c r="CR422" s="474"/>
      <c r="CS422" s="474"/>
      <c r="CT422" s="474"/>
    </row>
    <row r="423" spans="1:98" s="35" customFormat="1" ht="12" customHeight="1">
      <c r="A423" s="474"/>
      <c r="B423" s="474"/>
      <c r="C423" s="474"/>
      <c r="D423" s="474"/>
      <c r="E423" s="474"/>
      <c r="F423" s="474"/>
      <c r="G423" s="474"/>
      <c r="H423" s="474"/>
      <c r="J423" s="474"/>
      <c r="K423" s="474"/>
      <c r="L423" s="474"/>
      <c r="M423" s="474"/>
      <c r="N423" s="474"/>
      <c r="O423" s="474"/>
      <c r="P423" s="474"/>
      <c r="Q423" s="474"/>
      <c r="S423" s="474"/>
      <c r="T423" s="474"/>
      <c r="U423" s="474"/>
      <c r="V423" s="474"/>
      <c r="W423" s="474"/>
      <c r="X423" s="474"/>
      <c r="Y423" s="474"/>
      <c r="Z423" s="474"/>
      <c r="AB423" s="474"/>
      <c r="AC423" s="474"/>
      <c r="AD423" s="474"/>
      <c r="AE423" s="474"/>
      <c r="AF423" s="474"/>
      <c r="AG423" s="474"/>
      <c r="AH423" s="474"/>
      <c r="AI423" s="474"/>
      <c r="AK423" s="474"/>
      <c r="AL423" s="474"/>
      <c r="AM423" s="474"/>
      <c r="AN423" s="474"/>
      <c r="AO423" s="474"/>
      <c r="AP423" s="474"/>
      <c r="AQ423" s="474"/>
      <c r="AR423" s="474"/>
      <c r="AS423" s="474"/>
      <c r="AT423" s="474"/>
      <c r="AU423" s="474"/>
      <c r="AV423" s="474"/>
      <c r="AW423" s="474"/>
      <c r="AX423" s="474"/>
      <c r="AY423" s="474"/>
      <c r="AZ423" s="474"/>
      <c r="BA423" s="474"/>
      <c r="BC423" s="474"/>
      <c r="BD423" s="474"/>
      <c r="BE423" s="474"/>
      <c r="BF423" s="474"/>
      <c r="BG423" s="474"/>
      <c r="BH423" s="474"/>
      <c r="BI423" s="474"/>
      <c r="BJ423" s="474"/>
      <c r="CD423" s="474"/>
      <c r="CE423" s="474"/>
      <c r="CF423" s="474"/>
      <c r="CG423" s="474"/>
      <c r="CH423" s="474"/>
      <c r="CI423" s="474"/>
      <c r="CJ423" s="474"/>
      <c r="CK423" s="474"/>
      <c r="CM423" s="474"/>
      <c r="CN423" s="474"/>
      <c r="CO423" s="474"/>
      <c r="CP423" s="474"/>
      <c r="CQ423" s="474"/>
      <c r="CR423" s="474"/>
      <c r="CS423" s="474"/>
      <c r="CT423" s="474"/>
    </row>
    <row r="424" spans="1:98" s="35" customFormat="1" ht="12" customHeight="1">
      <c r="A424" s="474"/>
      <c r="B424" s="474"/>
      <c r="C424" s="474"/>
      <c r="D424" s="474"/>
      <c r="E424" s="474"/>
      <c r="F424" s="474"/>
      <c r="G424" s="474"/>
      <c r="H424" s="474"/>
      <c r="J424" s="474"/>
      <c r="K424" s="474"/>
      <c r="L424" s="474"/>
      <c r="M424" s="474"/>
      <c r="N424" s="474"/>
      <c r="O424" s="474"/>
      <c r="P424" s="474"/>
      <c r="Q424" s="474"/>
      <c r="S424" s="474"/>
      <c r="T424" s="474"/>
      <c r="U424" s="474"/>
      <c r="V424" s="474"/>
      <c r="W424" s="474"/>
      <c r="X424" s="474"/>
      <c r="Y424" s="474"/>
      <c r="Z424" s="474"/>
      <c r="AB424" s="474"/>
      <c r="AC424" s="474"/>
      <c r="AD424" s="474"/>
      <c r="AE424" s="474"/>
      <c r="AF424" s="474"/>
      <c r="AG424" s="474"/>
      <c r="AH424" s="474"/>
      <c r="AI424" s="474"/>
      <c r="AK424" s="474"/>
      <c r="AL424" s="474"/>
      <c r="AM424" s="474"/>
      <c r="AN424" s="474"/>
      <c r="AO424" s="474"/>
      <c r="AP424" s="474"/>
      <c r="AQ424" s="474"/>
      <c r="AR424" s="474"/>
      <c r="AS424" s="474"/>
      <c r="AT424" s="474"/>
      <c r="AU424" s="474"/>
      <c r="AV424" s="474"/>
      <c r="AW424" s="474"/>
      <c r="AX424" s="474"/>
      <c r="AY424" s="474"/>
      <c r="AZ424" s="474"/>
      <c r="BA424" s="474"/>
      <c r="BC424" s="474"/>
      <c r="BD424" s="474"/>
      <c r="BE424" s="474"/>
      <c r="BF424" s="474"/>
      <c r="BG424" s="474"/>
      <c r="BH424" s="474"/>
      <c r="BI424" s="474"/>
      <c r="BJ424" s="474"/>
      <c r="CD424" s="474"/>
      <c r="CE424" s="474"/>
      <c r="CF424" s="474"/>
      <c r="CG424" s="474"/>
      <c r="CH424" s="474"/>
      <c r="CI424" s="474"/>
      <c r="CJ424" s="474"/>
      <c r="CK424" s="474"/>
      <c r="CM424" s="474"/>
      <c r="CN424" s="474"/>
      <c r="CO424" s="474"/>
      <c r="CP424" s="474"/>
      <c r="CQ424" s="474"/>
      <c r="CR424" s="474"/>
      <c r="CS424" s="474"/>
      <c r="CT424" s="474"/>
    </row>
    <row r="425" spans="1:98" s="35" customFormat="1" ht="12" customHeight="1">
      <c r="A425" s="474"/>
      <c r="B425" s="474"/>
      <c r="C425" s="474"/>
      <c r="D425" s="474"/>
      <c r="E425" s="474"/>
      <c r="F425" s="474"/>
      <c r="G425" s="474"/>
      <c r="H425" s="474"/>
      <c r="J425" s="474"/>
      <c r="K425" s="474"/>
      <c r="L425" s="474"/>
      <c r="M425" s="474"/>
      <c r="N425" s="474"/>
      <c r="O425" s="474"/>
      <c r="P425" s="474"/>
      <c r="Q425" s="474"/>
      <c r="S425" s="474"/>
      <c r="T425" s="474"/>
      <c r="U425" s="474"/>
      <c r="V425" s="474"/>
      <c r="W425" s="474"/>
      <c r="X425" s="474"/>
      <c r="Y425" s="474"/>
      <c r="Z425" s="474"/>
      <c r="AB425" s="474"/>
      <c r="AC425" s="474"/>
      <c r="AD425" s="474"/>
      <c r="AE425" s="474"/>
      <c r="AF425" s="474"/>
      <c r="AG425" s="474"/>
      <c r="AH425" s="474"/>
      <c r="AI425" s="474"/>
      <c r="AK425" s="474"/>
      <c r="AL425" s="474"/>
      <c r="AM425" s="474"/>
      <c r="AN425" s="474"/>
      <c r="AO425" s="474"/>
      <c r="AP425" s="474"/>
      <c r="AQ425" s="474"/>
      <c r="AR425" s="474"/>
      <c r="AS425" s="474"/>
      <c r="AT425" s="474"/>
      <c r="AU425" s="474"/>
      <c r="AV425" s="474"/>
      <c r="AW425" s="474"/>
      <c r="AX425" s="474"/>
      <c r="AY425" s="474"/>
      <c r="AZ425" s="474"/>
      <c r="BA425" s="474"/>
      <c r="BC425" s="474"/>
      <c r="BD425" s="474"/>
      <c r="BE425" s="474"/>
      <c r="BF425" s="474"/>
      <c r="BG425" s="474"/>
      <c r="BH425" s="474"/>
      <c r="BI425" s="474"/>
      <c r="BJ425" s="474"/>
      <c r="CD425" s="474"/>
      <c r="CE425" s="474"/>
      <c r="CF425" s="474"/>
      <c r="CG425" s="474"/>
      <c r="CH425" s="474"/>
      <c r="CI425" s="474"/>
      <c r="CJ425" s="474"/>
      <c r="CK425" s="474"/>
      <c r="CM425" s="474"/>
      <c r="CN425" s="474"/>
      <c r="CO425" s="474"/>
      <c r="CP425" s="474"/>
      <c r="CQ425" s="474"/>
      <c r="CR425" s="474"/>
      <c r="CS425" s="474"/>
      <c r="CT425" s="474"/>
    </row>
    <row r="426" spans="1:98" s="35" customFormat="1" ht="12" customHeight="1">
      <c r="A426" s="474"/>
      <c r="B426" s="474"/>
      <c r="C426" s="474"/>
      <c r="D426" s="474"/>
      <c r="E426" s="474"/>
      <c r="F426" s="474"/>
      <c r="G426" s="474"/>
      <c r="H426" s="474"/>
      <c r="J426" s="474"/>
      <c r="K426" s="474"/>
      <c r="L426" s="474"/>
      <c r="M426" s="474"/>
      <c r="N426" s="474"/>
      <c r="O426" s="474"/>
      <c r="P426" s="474"/>
      <c r="Q426" s="474"/>
      <c r="S426" s="474"/>
      <c r="T426" s="474"/>
      <c r="U426" s="474"/>
      <c r="V426" s="474"/>
      <c r="W426" s="474"/>
      <c r="X426" s="474"/>
      <c r="Y426" s="474"/>
      <c r="Z426" s="474"/>
      <c r="AB426" s="474"/>
      <c r="AC426" s="474"/>
      <c r="AD426" s="474"/>
      <c r="AE426" s="474"/>
      <c r="AF426" s="474"/>
      <c r="AG426" s="474"/>
      <c r="AH426" s="474"/>
      <c r="AI426" s="474"/>
      <c r="AK426" s="474"/>
      <c r="AL426" s="474"/>
      <c r="AM426" s="474"/>
      <c r="AN426" s="474"/>
      <c r="AO426" s="474"/>
      <c r="AP426" s="474"/>
      <c r="AQ426" s="474"/>
      <c r="AR426" s="474"/>
      <c r="AS426" s="474"/>
      <c r="AT426" s="474"/>
      <c r="AU426" s="474"/>
      <c r="AV426" s="474"/>
      <c r="AW426" s="474"/>
      <c r="AX426" s="474"/>
      <c r="AY426" s="474"/>
      <c r="AZ426" s="474"/>
      <c r="BA426" s="474"/>
      <c r="BC426" s="474"/>
      <c r="BD426" s="474"/>
      <c r="BE426" s="474"/>
      <c r="BF426" s="474"/>
      <c r="BG426" s="474"/>
      <c r="BH426" s="474"/>
      <c r="BI426" s="474"/>
      <c r="BJ426" s="474"/>
      <c r="CD426" s="474"/>
      <c r="CE426" s="474"/>
      <c r="CF426" s="474"/>
      <c r="CG426" s="474"/>
      <c r="CH426" s="474"/>
      <c r="CI426" s="474"/>
      <c r="CJ426" s="474"/>
      <c r="CK426" s="474"/>
      <c r="CM426" s="474"/>
      <c r="CN426" s="474"/>
      <c r="CO426" s="474"/>
      <c r="CP426" s="474"/>
      <c r="CQ426" s="474"/>
      <c r="CR426" s="474"/>
      <c r="CS426" s="474"/>
      <c r="CT426" s="474"/>
    </row>
    <row r="427" spans="1:98" s="35" customFormat="1" ht="12" customHeight="1">
      <c r="A427" s="474"/>
      <c r="B427" s="474"/>
      <c r="C427" s="474"/>
      <c r="D427" s="474"/>
      <c r="E427" s="474"/>
      <c r="F427" s="474"/>
      <c r="G427" s="474"/>
      <c r="H427" s="474"/>
      <c r="J427" s="474"/>
      <c r="K427" s="474"/>
      <c r="L427" s="474"/>
      <c r="M427" s="474"/>
      <c r="N427" s="474"/>
      <c r="O427" s="474"/>
      <c r="P427" s="474"/>
      <c r="Q427" s="474"/>
      <c r="S427" s="474"/>
      <c r="T427" s="474"/>
      <c r="U427" s="474"/>
      <c r="V427" s="474"/>
      <c r="W427" s="474"/>
      <c r="X427" s="474"/>
      <c r="Y427" s="474"/>
      <c r="Z427" s="474"/>
      <c r="AB427" s="474"/>
      <c r="AC427" s="474"/>
      <c r="AD427" s="474"/>
      <c r="AE427" s="474"/>
      <c r="AF427" s="474"/>
      <c r="AG427" s="474"/>
      <c r="AH427" s="474"/>
      <c r="AI427" s="474"/>
      <c r="AK427" s="474"/>
      <c r="AL427" s="474"/>
      <c r="AM427" s="474"/>
      <c r="AN427" s="474"/>
      <c r="AO427" s="474"/>
      <c r="AP427" s="474"/>
      <c r="AQ427" s="474"/>
      <c r="AR427" s="474"/>
      <c r="AS427" s="474"/>
      <c r="AT427" s="474"/>
      <c r="AU427" s="474"/>
      <c r="AV427" s="474"/>
      <c r="AW427" s="474"/>
      <c r="AX427" s="474"/>
      <c r="AY427" s="474"/>
      <c r="AZ427" s="474"/>
      <c r="BA427" s="474"/>
      <c r="BC427" s="474"/>
      <c r="BD427" s="474"/>
      <c r="BE427" s="474"/>
      <c r="BF427" s="474"/>
      <c r="BG427" s="474"/>
      <c r="BH427" s="474"/>
      <c r="BI427" s="474"/>
      <c r="BJ427" s="474"/>
      <c r="CD427" s="474"/>
      <c r="CE427" s="474"/>
      <c r="CF427" s="474"/>
      <c r="CG427" s="474"/>
      <c r="CH427" s="474"/>
      <c r="CI427" s="474"/>
      <c r="CJ427" s="474"/>
      <c r="CK427" s="474"/>
      <c r="CM427" s="474"/>
      <c r="CN427" s="474"/>
      <c r="CO427" s="474"/>
      <c r="CP427" s="474"/>
      <c r="CQ427" s="474"/>
      <c r="CR427" s="474"/>
      <c r="CS427" s="474"/>
      <c r="CT427" s="474"/>
    </row>
    <row r="428" spans="1:98" s="35" customFormat="1" ht="12" customHeight="1">
      <c r="A428" s="474"/>
      <c r="B428" s="474"/>
      <c r="C428" s="474"/>
      <c r="D428" s="474"/>
      <c r="E428" s="474"/>
      <c r="F428" s="474"/>
      <c r="G428" s="474"/>
      <c r="H428" s="474"/>
      <c r="J428" s="474"/>
      <c r="K428" s="474"/>
      <c r="L428" s="474"/>
      <c r="M428" s="474"/>
      <c r="N428" s="474"/>
      <c r="O428" s="474"/>
      <c r="P428" s="474"/>
      <c r="Q428" s="474"/>
      <c r="S428" s="474"/>
      <c r="T428" s="474"/>
      <c r="U428" s="474"/>
      <c r="V428" s="474"/>
      <c r="W428" s="474"/>
      <c r="X428" s="474"/>
      <c r="Y428" s="474"/>
      <c r="Z428" s="474"/>
      <c r="AB428" s="474"/>
      <c r="AC428" s="474"/>
      <c r="AD428" s="474"/>
      <c r="AE428" s="474"/>
      <c r="AF428" s="474"/>
      <c r="AG428" s="474"/>
      <c r="AH428" s="474"/>
      <c r="AI428" s="474"/>
      <c r="AK428" s="474"/>
      <c r="AL428" s="474"/>
      <c r="AM428" s="474"/>
      <c r="AN428" s="474"/>
      <c r="AO428" s="474"/>
      <c r="AP428" s="474"/>
      <c r="AQ428" s="474"/>
      <c r="AR428" s="474"/>
      <c r="AS428" s="474"/>
      <c r="AT428" s="474"/>
      <c r="AU428" s="474"/>
      <c r="AV428" s="474"/>
      <c r="AW428" s="474"/>
      <c r="AX428" s="474"/>
      <c r="AY428" s="474"/>
      <c r="AZ428" s="474"/>
      <c r="BA428" s="474"/>
      <c r="BC428" s="474"/>
      <c r="BD428" s="474"/>
      <c r="BE428" s="474"/>
      <c r="BF428" s="474"/>
      <c r="BG428" s="474"/>
      <c r="BH428" s="474"/>
      <c r="BI428" s="474"/>
      <c r="BJ428" s="474"/>
      <c r="CD428" s="474"/>
      <c r="CE428" s="474"/>
      <c r="CF428" s="474"/>
      <c r="CG428" s="474"/>
      <c r="CH428" s="474"/>
      <c r="CI428" s="474"/>
      <c r="CJ428" s="474"/>
      <c r="CK428" s="474"/>
      <c r="CM428" s="474"/>
      <c r="CN428" s="474"/>
      <c r="CO428" s="474"/>
      <c r="CP428" s="474"/>
      <c r="CQ428" s="474"/>
      <c r="CR428" s="474"/>
      <c r="CS428" s="474"/>
      <c r="CT428" s="474"/>
    </row>
    <row r="429" spans="1:98" s="35" customFormat="1" ht="12" customHeight="1">
      <c r="A429" s="474"/>
      <c r="B429" s="474"/>
      <c r="C429" s="474"/>
      <c r="D429" s="474"/>
      <c r="E429" s="474"/>
      <c r="F429" s="474"/>
      <c r="G429" s="474"/>
      <c r="H429" s="474"/>
      <c r="J429" s="474"/>
      <c r="K429" s="474"/>
      <c r="L429" s="474"/>
      <c r="M429" s="474"/>
      <c r="N429" s="474"/>
      <c r="O429" s="474"/>
      <c r="P429" s="474"/>
      <c r="Q429" s="474"/>
      <c r="S429" s="474"/>
      <c r="T429" s="474"/>
      <c r="U429" s="474"/>
      <c r="V429" s="474"/>
      <c r="W429" s="474"/>
      <c r="X429" s="474"/>
      <c r="Y429" s="474"/>
      <c r="Z429" s="474"/>
      <c r="AB429" s="474"/>
      <c r="AC429" s="474"/>
      <c r="AD429" s="474"/>
      <c r="AE429" s="474"/>
      <c r="AF429" s="474"/>
      <c r="AG429" s="474"/>
      <c r="AH429" s="474"/>
      <c r="AI429" s="474"/>
      <c r="AK429" s="474"/>
      <c r="AL429" s="474"/>
      <c r="AM429" s="474"/>
      <c r="AN429" s="474"/>
      <c r="AO429" s="474"/>
      <c r="AP429" s="474"/>
      <c r="AQ429" s="474"/>
      <c r="AR429" s="474"/>
      <c r="AS429" s="474"/>
      <c r="AT429" s="474"/>
      <c r="AU429" s="474"/>
      <c r="AV429" s="474"/>
      <c r="AW429" s="474"/>
      <c r="AX429" s="474"/>
      <c r="AY429" s="474"/>
      <c r="AZ429" s="474"/>
      <c r="BA429" s="474"/>
      <c r="BC429" s="474"/>
      <c r="BD429" s="474"/>
      <c r="BE429" s="474"/>
      <c r="BF429" s="474"/>
      <c r="BG429" s="474"/>
      <c r="BH429" s="474"/>
      <c r="BI429" s="474"/>
      <c r="BJ429" s="474"/>
      <c r="CD429" s="474"/>
      <c r="CE429" s="474"/>
      <c r="CF429" s="474"/>
      <c r="CG429" s="474"/>
      <c r="CH429" s="474"/>
      <c r="CI429" s="474"/>
      <c r="CJ429" s="474"/>
      <c r="CK429" s="474"/>
      <c r="CM429" s="474"/>
      <c r="CN429" s="474"/>
      <c r="CO429" s="474"/>
      <c r="CP429" s="474"/>
      <c r="CQ429" s="474"/>
      <c r="CR429" s="474"/>
      <c r="CS429" s="474"/>
      <c r="CT429" s="474"/>
    </row>
    <row r="430" spans="1:98" s="35" customFormat="1" ht="12" customHeight="1">
      <c r="A430" s="474"/>
      <c r="B430" s="474"/>
      <c r="C430" s="474"/>
      <c r="D430" s="474"/>
      <c r="E430" s="474"/>
      <c r="F430" s="474"/>
      <c r="G430" s="474"/>
      <c r="H430" s="474"/>
      <c r="J430" s="474"/>
      <c r="K430" s="474"/>
      <c r="L430" s="474"/>
      <c r="M430" s="474"/>
      <c r="N430" s="474"/>
      <c r="O430" s="474"/>
      <c r="P430" s="474"/>
      <c r="Q430" s="474"/>
      <c r="S430" s="474"/>
      <c r="T430" s="474"/>
      <c r="U430" s="474"/>
      <c r="V430" s="474"/>
      <c r="W430" s="474"/>
      <c r="X430" s="474"/>
      <c r="Y430" s="474"/>
      <c r="Z430" s="474"/>
      <c r="AB430" s="474"/>
      <c r="AC430" s="474"/>
      <c r="AD430" s="474"/>
      <c r="AE430" s="474"/>
      <c r="AF430" s="474"/>
      <c r="AG430" s="474"/>
      <c r="AH430" s="474"/>
      <c r="AI430" s="474"/>
      <c r="AK430" s="474"/>
      <c r="AL430" s="474"/>
      <c r="AM430" s="474"/>
      <c r="AN430" s="474"/>
      <c r="AO430" s="474"/>
      <c r="AP430" s="474"/>
      <c r="AQ430" s="474"/>
      <c r="AR430" s="474"/>
      <c r="AS430" s="474"/>
      <c r="AT430" s="474"/>
      <c r="AU430" s="474"/>
      <c r="AV430" s="474"/>
      <c r="AW430" s="474"/>
      <c r="AX430" s="474"/>
      <c r="AY430" s="474"/>
      <c r="AZ430" s="474"/>
      <c r="BA430" s="474"/>
      <c r="BC430" s="474"/>
      <c r="BD430" s="474"/>
      <c r="BE430" s="474"/>
      <c r="BF430" s="474"/>
      <c r="BG430" s="474"/>
      <c r="BH430" s="474"/>
      <c r="BI430" s="474"/>
      <c r="BJ430" s="474"/>
      <c r="CD430" s="474"/>
      <c r="CE430" s="474"/>
      <c r="CF430" s="474"/>
      <c r="CG430" s="474"/>
      <c r="CH430" s="474"/>
      <c r="CI430" s="474"/>
      <c r="CJ430" s="474"/>
      <c r="CK430" s="474"/>
      <c r="CM430" s="474"/>
      <c r="CN430" s="474"/>
      <c r="CO430" s="474"/>
      <c r="CP430" s="474"/>
      <c r="CQ430" s="474"/>
      <c r="CR430" s="474"/>
      <c r="CS430" s="474"/>
      <c r="CT430" s="474"/>
    </row>
    <row r="431" spans="1:98" s="35" customFormat="1" ht="12" customHeight="1">
      <c r="A431" s="474"/>
      <c r="B431" s="474"/>
      <c r="C431" s="474"/>
      <c r="D431" s="474"/>
      <c r="E431" s="474"/>
      <c r="F431" s="474"/>
      <c r="G431" s="474"/>
      <c r="H431" s="474"/>
      <c r="J431" s="474"/>
      <c r="K431" s="474"/>
      <c r="L431" s="474"/>
      <c r="M431" s="474"/>
      <c r="N431" s="474"/>
      <c r="O431" s="474"/>
      <c r="P431" s="474"/>
      <c r="Q431" s="474"/>
      <c r="S431" s="474"/>
      <c r="T431" s="474"/>
      <c r="U431" s="474"/>
      <c r="V431" s="474"/>
      <c r="W431" s="474"/>
      <c r="X431" s="474"/>
      <c r="Y431" s="474"/>
      <c r="Z431" s="474"/>
      <c r="AB431" s="474"/>
      <c r="AC431" s="474"/>
      <c r="AD431" s="474"/>
      <c r="AE431" s="474"/>
      <c r="AF431" s="474"/>
      <c r="AG431" s="474"/>
      <c r="AH431" s="474"/>
      <c r="AI431" s="474"/>
      <c r="AK431" s="474"/>
      <c r="AL431" s="474"/>
      <c r="AM431" s="474"/>
      <c r="AN431" s="474"/>
      <c r="AO431" s="474"/>
      <c r="AP431" s="474"/>
      <c r="AQ431" s="474"/>
      <c r="AR431" s="474"/>
      <c r="AS431" s="474"/>
      <c r="AT431" s="474"/>
      <c r="AU431" s="474"/>
      <c r="AV431" s="474"/>
      <c r="AW431" s="474"/>
      <c r="AX431" s="474"/>
      <c r="AY431" s="474"/>
      <c r="AZ431" s="474"/>
      <c r="BA431" s="474"/>
      <c r="BC431" s="474"/>
      <c r="BD431" s="474"/>
      <c r="BE431" s="474"/>
      <c r="BF431" s="474"/>
      <c r="BG431" s="474"/>
      <c r="BH431" s="474"/>
      <c r="BI431" s="474"/>
      <c r="BJ431" s="474"/>
      <c r="CD431" s="474"/>
      <c r="CE431" s="474"/>
      <c r="CF431" s="474"/>
      <c r="CG431" s="474"/>
      <c r="CH431" s="474"/>
      <c r="CI431" s="474"/>
      <c r="CJ431" s="474"/>
      <c r="CK431" s="474"/>
      <c r="CM431" s="474"/>
      <c r="CN431" s="474"/>
      <c r="CO431" s="474"/>
      <c r="CP431" s="474"/>
      <c r="CQ431" s="474"/>
      <c r="CR431" s="474"/>
      <c r="CS431" s="474"/>
      <c r="CT431" s="474"/>
    </row>
    <row r="432" spans="1:98" s="35" customFormat="1" ht="12" customHeight="1">
      <c r="A432" s="474"/>
      <c r="B432" s="474"/>
      <c r="C432" s="474"/>
      <c r="D432" s="474"/>
      <c r="E432" s="474"/>
      <c r="F432" s="474"/>
      <c r="G432" s="474"/>
      <c r="H432" s="474"/>
      <c r="J432" s="474"/>
      <c r="K432" s="474"/>
      <c r="L432" s="474"/>
      <c r="M432" s="474"/>
      <c r="N432" s="474"/>
      <c r="O432" s="474"/>
      <c r="P432" s="474"/>
      <c r="Q432" s="474"/>
      <c r="S432" s="474"/>
      <c r="T432" s="474"/>
      <c r="U432" s="474"/>
      <c r="V432" s="474"/>
      <c r="W432" s="474"/>
      <c r="X432" s="474"/>
      <c r="Y432" s="474"/>
      <c r="Z432" s="474"/>
      <c r="AB432" s="474"/>
      <c r="AC432" s="474"/>
      <c r="AD432" s="474"/>
      <c r="AE432" s="474"/>
      <c r="AF432" s="474"/>
      <c r="AG432" s="474"/>
      <c r="AH432" s="474"/>
      <c r="AI432" s="474"/>
      <c r="AK432" s="474"/>
      <c r="AL432" s="474"/>
      <c r="AM432" s="474"/>
      <c r="AN432" s="474"/>
      <c r="AO432" s="474"/>
      <c r="AP432" s="474"/>
      <c r="AQ432" s="474"/>
      <c r="AR432" s="474"/>
      <c r="AS432" s="474"/>
      <c r="AT432" s="474"/>
      <c r="AU432" s="474"/>
      <c r="AV432" s="474"/>
      <c r="AW432" s="474"/>
      <c r="AX432" s="474"/>
      <c r="AY432" s="474"/>
      <c r="AZ432" s="474"/>
      <c r="BA432" s="474"/>
      <c r="BC432" s="474"/>
      <c r="BD432" s="474"/>
      <c r="BE432" s="474"/>
      <c r="BF432" s="474"/>
      <c r="BG432" s="474"/>
      <c r="BH432" s="474"/>
      <c r="BI432" s="474"/>
      <c r="BJ432" s="474"/>
      <c r="CD432" s="474"/>
      <c r="CE432" s="474"/>
      <c r="CF432" s="474"/>
      <c r="CG432" s="474"/>
      <c r="CH432" s="474"/>
      <c r="CI432" s="474"/>
      <c r="CJ432" s="474"/>
      <c r="CK432" s="474"/>
      <c r="CM432" s="474"/>
      <c r="CN432" s="474"/>
      <c r="CO432" s="474"/>
      <c r="CP432" s="474"/>
      <c r="CQ432" s="474"/>
      <c r="CR432" s="474"/>
      <c r="CS432" s="474"/>
      <c r="CT432" s="474"/>
    </row>
    <row r="433" spans="1:98" s="35" customFormat="1" ht="12" customHeight="1">
      <c r="A433" s="474"/>
      <c r="B433" s="474"/>
      <c r="C433" s="474"/>
      <c r="D433" s="474"/>
      <c r="E433" s="474"/>
      <c r="F433" s="474"/>
      <c r="G433" s="474"/>
      <c r="H433" s="474"/>
      <c r="J433" s="474"/>
      <c r="K433" s="474"/>
      <c r="L433" s="474"/>
      <c r="M433" s="474"/>
      <c r="N433" s="474"/>
      <c r="O433" s="474"/>
      <c r="P433" s="474"/>
      <c r="Q433" s="474"/>
      <c r="S433" s="474"/>
      <c r="T433" s="474"/>
      <c r="U433" s="474"/>
      <c r="V433" s="474"/>
      <c r="W433" s="474"/>
      <c r="X433" s="474"/>
      <c r="Y433" s="474"/>
      <c r="Z433" s="474"/>
      <c r="AB433" s="474"/>
      <c r="AC433" s="474"/>
      <c r="AD433" s="474"/>
      <c r="AE433" s="474"/>
      <c r="AF433" s="474"/>
      <c r="AG433" s="474"/>
      <c r="AH433" s="474"/>
      <c r="AI433" s="474"/>
      <c r="AK433" s="474"/>
      <c r="AL433" s="474"/>
      <c r="AM433" s="474"/>
      <c r="AN433" s="474"/>
      <c r="AO433" s="474"/>
      <c r="AP433" s="474"/>
      <c r="AQ433" s="474"/>
      <c r="AR433" s="474"/>
      <c r="AS433" s="474"/>
      <c r="AT433" s="474"/>
      <c r="AU433" s="474"/>
      <c r="AV433" s="474"/>
      <c r="AW433" s="474"/>
      <c r="AX433" s="474"/>
      <c r="AY433" s="474"/>
      <c r="AZ433" s="474"/>
      <c r="BA433" s="474"/>
      <c r="BC433" s="474"/>
      <c r="BD433" s="474"/>
      <c r="BE433" s="474"/>
      <c r="BF433" s="474"/>
      <c r="BG433" s="474"/>
      <c r="BH433" s="474"/>
      <c r="BI433" s="474"/>
      <c r="BJ433" s="474"/>
      <c r="CD433" s="474"/>
      <c r="CE433" s="474"/>
      <c r="CF433" s="474"/>
      <c r="CG433" s="474"/>
      <c r="CH433" s="474"/>
      <c r="CI433" s="474"/>
      <c r="CJ433" s="474"/>
      <c r="CK433" s="474"/>
      <c r="CM433" s="474"/>
      <c r="CN433" s="474"/>
      <c r="CO433" s="474"/>
      <c r="CP433" s="474"/>
      <c r="CQ433" s="474"/>
      <c r="CR433" s="474"/>
      <c r="CS433" s="474"/>
      <c r="CT433" s="474"/>
    </row>
    <row r="434" spans="1:98" s="35" customFormat="1" ht="12" customHeight="1">
      <c r="A434" s="474"/>
      <c r="B434" s="474"/>
      <c r="C434" s="474"/>
      <c r="D434" s="474"/>
      <c r="E434" s="474"/>
      <c r="F434" s="474"/>
      <c r="G434" s="474"/>
      <c r="H434" s="474"/>
      <c r="J434" s="474"/>
      <c r="K434" s="474"/>
      <c r="L434" s="474"/>
      <c r="M434" s="474"/>
      <c r="N434" s="474"/>
      <c r="O434" s="474"/>
      <c r="P434" s="474"/>
      <c r="Q434" s="474"/>
      <c r="S434" s="474"/>
      <c r="T434" s="474"/>
      <c r="U434" s="474"/>
      <c r="V434" s="474"/>
      <c r="W434" s="474"/>
      <c r="X434" s="474"/>
      <c r="Y434" s="474"/>
      <c r="Z434" s="474"/>
      <c r="AB434" s="474"/>
      <c r="AC434" s="474"/>
      <c r="AD434" s="474"/>
      <c r="AE434" s="474"/>
      <c r="AF434" s="474"/>
      <c r="AG434" s="474"/>
      <c r="AH434" s="474"/>
      <c r="AI434" s="474"/>
      <c r="AK434" s="474"/>
      <c r="AL434" s="474"/>
      <c r="AM434" s="474"/>
      <c r="AN434" s="474"/>
      <c r="AO434" s="474"/>
      <c r="AP434" s="474"/>
      <c r="AQ434" s="474"/>
      <c r="AR434" s="474"/>
      <c r="AS434" s="474"/>
      <c r="AT434" s="474"/>
      <c r="AU434" s="474"/>
      <c r="AV434" s="474"/>
      <c r="AW434" s="474"/>
      <c r="AX434" s="474"/>
      <c r="AY434" s="474"/>
      <c r="AZ434" s="474"/>
      <c r="BA434" s="474"/>
      <c r="BC434" s="474"/>
      <c r="BD434" s="474"/>
      <c r="BE434" s="474"/>
      <c r="BF434" s="474"/>
      <c r="BG434" s="474"/>
      <c r="BH434" s="474"/>
      <c r="BI434" s="474"/>
      <c r="BJ434" s="474"/>
      <c r="CD434" s="474"/>
      <c r="CE434" s="474"/>
      <c r="CF434" s="474"/>
      <c r="CG434" s="474"/>
      <c r="CH434" s="474"/>
      <c r="CI434" s="474"/>
      <c r="CJ434" s="474"/>
      <c r="CK434" s="474"/>
      <c r="CM434" s="474"/>
      <c r="CN434" s="474"/>
      <c r="CO434" s="474"/>
      <c r="CP434" s="474"/>
      <c r="CQ434" s="474"/>
      <c r="CR434" s="474"/>
      <c r="CS434" s="474"/>
      <c r="CT434" s="474"/>
    </row>
    <row r="435" spans="1:98" s="35" customFormat="1" ht="12" customHeight="1">
      <c r="A435" s="474"/>
      <c r="B435" s="474"/>
      <c r="C435" s="474"/>
      <c r="D435" s="474"/>
      <c r="E435" s="474"/>
      <c r="F435" s="474"/>
      <c r="G435" s="474"/>
      <c r="H435" s="474"/>
      <c r="J435" s="474"/>
      <c r="K435" s="474"/>
      <c r="L435" s="474"/>
      <c r="M435" s="474"/>
      <c r="N435" s="474"/>
      <c r="O435" s="474"/>
      <c r="P435" s="474"/>
      <c r="Q435" s="474"/>
      <c r="S435" s="474"/>
      <c r="T435" s="474"/>
      <c r="U435" s="474"/>
      <c r="V435" s="474"/>
      <c r="W435" s="474"/>
      <c r="X435" s="474"/>
      <c r="Y435" s="474"/>
      <c r="Z435" s="474"/>
      <c r="AB435" s="474"/>
      <c r="AC435" s="474"/>
      <c r="AD435" s="474"/>
      <c r="AE435" s="474"/>
      <c r="AF435" s="474"/>
      <c r="AG435" s="474"/>
      <c r="AH435" s="474"/>
      <c r="AI435" s="474"/>
      <c r="AK435" s="474"/>
      <c r="AL435" s="474"/>
      <c r="AM435" s="474"/>
      <c r="AN435" s="474"/>
      <c r="AO435" s="474"/>
      <c r="AP435" s="474"/>
      <c r="AQ435" s="474"/>
      <c r="AR435" s="474"/>
      <c r="AS435" s="474"/>
      <c r="AT435" s="474"/>
      <c r="AU435" s="474"/>
      <c r="AV435" s="474"/>
      <c r="AW435" s="474"/>
      <c r="AX435" s="474"/>
      <c r="AY435" s="474"/>
      <c r="AZ435" s="474"/>
      <c r="BA435" s="474"/>
      <c r="BC435" s="474"/>
      <c r="BD435" s="474"/>
      <c r="BE435" s="474"/>
      <c r="BF435" s="474"/>
      <c r="BG435" s="474"/>
      <c r="BH435" s="474"/>
      <c r="BI435" s="474"/>
      <c r="BJ435" s="474"/>
      <c r="CD435" s="474"/>
      <c r="CE435" s="474"/>
      <c r="CF435" s="474"/>
      <c r="CG435" s="474"/>
      <c r="CH435" s="474"/>
      <c r="CI435" s="474"/>
      <c r="CJ435" s="474"/>
      <c r="CK435" s="474"/>
      <c r="CM435" s="474"/>
      <c r="CN435" s="474"/>
      <c r="CO435" s="474"/>
      <c r="CP435" s="474"/>
      <c r="CQ435" s="474"/>
      <c r="CR435" s="474"/>
      <c r="CS435" s="474"/>
      <c r="CT435" s="474"/>
    </row>
    <row r="436" spans="1:98" s="35" customFormat="1" ht="12" customHeight="1">
      <c r="A436" s="474"/>
      <c r="B436" s="474"/>
      <c r="C436" s="474"/>
      <c r="D436" s="474"/>
      <c r="E436" s="474"/>
      <c r="F436" s="474"/>
      <c r="G436" s="474"/>
      <c r="H436" s="474"/>
      <c r="J436" s="474"/>
      <c r="K436" s="474"/>
      <c r="L436" s="474"/>
      <c r="M436" s="474"/>
      <c r="N436" s="474"/>
      <c r="O436" s="474"/>
      <c r="P436" s="474"/>
      <c r="Q436" s="474"/>
      <c r="S436" s="474"/>
      <c r="T436" s="474"/>
      <c r="U436" s="474"/>
      <c r="V436" s="474"/>
      <c r="W436" s="474"/>
      <c r="X436" s="474"/>
      <c r="Y436" s="474"/>
      <c r="Z436" s="474"/>
      <c r="AB436" s="474"/>
      <c r="AC436" s="474"/>
      <c r="AD436" s="474"/>
      <c r="AE436" s="474"/>
      <c r="AF436" s="474"/>
      <c r="AG436" s="474"/>
      <c r="AH436" s="474"/>
      <c r="AI436" s="474"/>
      <c r="AK436" s="474"/>
      <c r="AL436" s="474"/>
      <c r="AM436" s="474"/>
      <c r="AN436" s="474"/>
      <c r="AO436" s="474"/>
      <c r="AP436" s="474"/>
      <c r="AQ436" s="474"/>
      <c r="AR436" s="474"/>
      <c r="AS436" s="474"/>
      <c r="AT436" s="474"/>
      <c r="AU436" s="474"/>
      <c r="AV436" s="474"/>
      <c r="AW436" s="474"/>
      <c r="AX436" s="474"/>
      <c r="AY436" s="474"/>
      <c r="AZ436" s="474"/>
      <c r="BA436" s="474"/>
      <c r="BC436" s="474"/>
      <c r="BD436" s="474"/>
      <c r="BE436" s="474"/>
      <c r="BF436" s="474"/>
      <c r="BG436" s="474"/>
      <c r="BH436" s="474"/>
      <c r="BI436" s="474"/>
      <c r="BJ436" s="474"/>
      <c r="CD436" s="474"/>
      <c r="CE436" s="474"/>
      <c r="CF436" s="474"/>
      <c r="CG436" s="474"/>
      <c r="CH436" s="474"/>
      <c r="CI436" s="474"/>
      <c r="CJ436" s="474"/>
      <c r="CK436" s="474"/>
      <c r="CM436" s="474"/>
      <c r="CN436" s="474"/>
      <c r="CO436" s="474"/>
      <c r="CP436" s="474"/>
      <c r="CQ436" s="474"/>
      <c r="CR436" s="474"/>
      <c r="CS436" s="474"/>
      <c r="CT436" s="474"/>
    </row>
    <row r="437" spans="1:98" s="35" customFormat="1" ht="12" customHeight="1">
      <c r="A437" s="474"/>
      <c r="B437" s="474"/>
      <c r="C437" s="474"/>
      <c r="D437" s="474"/>
      <c r="E437" s="474"/>
      <c r="F437" s="474"/>
      <c r="G437" s="474"/>
      <c r="H437" s="474"/>
      <c r="J437" s="474"/>
      <c r="K437" s="474"/>
      <c r="L437" s="474"/>
      <c r="M437" s="474"/>
      <c r="N437" s="474"/>
      <c r="O437" s="474"/>
      <c r="P437" s="474"/>
      <c r="Q437" s="474"/>
      <c r="S437" s="474"/>
      <c r="T437" s="474"/>
      <c r="U437" s="474"/>
      <c r="V437" s="474"/>
      <c r="W437" s="474"/>
      <c r="X437" s="474"/>
      <c r="Y437" s="474"/>
      <c r="Z437" s="474"/>
      <c r="AB437" s="474"/>
      <c r="AC437" s="474"/>
      <c r="AD437" s="474"/>
      <c r="AE437" s="474"/>
      <c r="AF437" s="474"/>
      <c r="AG437" s="474"/>
      <c r="AH437" s="474"/>
      <c r="AI437" s="474"/>
      <c r="AK437" s="474"/>
      <c r="AL437" s="474"/>
      <c r="AM437" s="474"/>
      <c r="AN437" s="474"/>
      <c r="AO437" s="474"/>
      <c r="AP437" s="474"/>
      <c r="AQ437" s="474"/>
      <c r="AR437" s="474"/>
      <c r="AS437" s="474"/>
      <c r="AT437" s="474"/>
      <c r="AU437" s="474"/>
      <c r="AV437" s="474"/>
      <c r="AW437" s="474"/>
      <c r="AX437" s="474"/>
      <c r="AY437" s="474"/>
      <c r="AZ437" s="474"/>
      <c r="BA437" s="474"/>
      <c r="BC437" s="474"/>
      <c r="BD437" s="474"/>
      <c r="BE437" s="474"/>
      <c r="BF437" s="474"/>
      <c r="BG437" s="474"/>
      <c r="BH437" s="474"/>
      <c r="BI437" s="474"/>
      <c r="BJ437" s="474"/>
      <c r="CD437" s="474"/>
      <c r="CE437" s="474"/>
      <c r="CF437" s="474"/>
      <c r="CG437" s="474"/>
      <c r="CH437" s="474"/>
      <c r="CI437" s="474"/>
      <c r="CJ437" s="474"/>
      <c r="CK437" s="474"/>
      <c r="CM437" s="474"/>
      <c r="CN437" s="474"/>
      <c r="CO437" s="474"/>
      <c r="CP437" s="474"/>
      <c r="CQ437" s="474"/>
      <c r="CR437" s="474"/>
      <c r="CS437" s="474"/>
      <c r="CT437" s="474"/>
    </row>
    <row r="438" spans="1:98" s="35" customFormat="1" ht="12" customHeight="1">
      <c r="A438" s="474"/>
      <c r="B438" s="474"/>
      <c r="C438" s="474"/>
      <c r="D438" s="474"/>
      <c r="E438" s="474"/>
      <c r="F438" s="474"/>
      <c r="G438" s="474"/>
      <c r="H438" s="474"/>
      <c r="J438" s="474"/>
      <c r="K438" s="474"/>
      <c r="L438" s="474"/>
      <c r="M438" s="474"/>
      <c r="N438" s="474"/>
      <c r="O438" s="474"/>
      <c r="P438" s="474"/>
      <c r="Q438" s="474"/>
      <c r="S438" s="474"/>
      <c r="T438" s="474"/>
      <c r="U438" s="474"/>
      <c r="V438" s="474"/>
      <c r="W438" s="474"/>
      <c r="X438" s="474"/>
      <c r="Y438" s="474"/>
      <c r="Z438" s="474"/>
      <c r="AB438" s="474"/>
      <c r="AC438" s="474"/>
      <c r="AD438" s="474"/>
      <c r="AE438" s="474"/>
      <c r="AF438" s="474"/>
      <c r="AG438" s="474"/>
      <c r="AH438" s="474"/>
      <c r="AI438" s="474"/>
      <c r="AK438" s="474"/>
      <c r="AL438" s="474"/>
      <c r="AM438" s="474"/>
      <c r="AN438" s="474"/>
      <c r="AO438" s="474"/>
      <c r="AP438" s="474"/>
      <c r="AQ438" s="474"/>
      <c r="AR438" s="474"/>
      <c r="AS438" s="474"/>
      <c r="AT438" s="474"/>
      <c r="AU438" s="474"/>
      <c r="AV438" s="474"/>
      <c r="AW438" s="474"/>
      <c r="AX438" s="474"/>
      <c r="AY438" s="474"/>
      <c r="AZ438" s="474"/>
      <c r="BA438" s="474"/>
      <c r="BC438" s="474"/>
      <c r="BD438" s="474"/>
      <c r="BE438" s="474"/>
      <c r="BF438" s="474"/>
      <c r="BG438" s="474"/>
      <c r="BH438" s="474"/>
      <c r="BI438" s="474"/>
      <c r="BJ438" s="474"/>
      <c r="CD438" s="474"/>
      <c r="CE438" s="474"/>
      <c r="CF438" s="474"/>
      <c r="CG438" s="474"/>
      <c r="CH438" s="474"/>
      <c r="CI438" s="474"/>
      <c r="CJ438" s="474"/>
      <c r="CK438" s="474"/>
      <c r="CM438" s="474"/>
      <c r="CN438" s="474"/>
      <c r="CO438" s="474"/>
      <c r="CP438" s="474"/>
      <c r="CQ438" s="474"/>
      <c r="CR438" s="474"/>
      <c r="CS438" s="474"/>
      <c r="CT438" s="474"/>
    </row>
    <row r="439" spans="1:98" s="35" customFormat="1" ht="12" customHeight="1">
      <c r="A439" s="474"/>
      <c r="B439" s="474"/>
      <c r="C439" s="474"/>
      <c r="D439" s="474"/>
      <c r="E439" s="474"/>
      <c r="F439" s="474"/>
      <c r="G439" s="474"/>
      <c r="H439" s="474"/>
      <c r="J439" s="474"/>
      <c r="K439" s="474"/>
      <c r="L439" s="474"/>
      <c r="M439" s="474"/>
      <c r="N439" s="474"/>
      <c r="O439" s="474"/>
      <c r="P439" s="474"/>
      <c r="Q439" s="474"/>
      <c r="S439" s="474"/>
      <c r="T439" s="474"/>
      <c r="U439" s="474"/>
      <c r="V439" s="474"/>
      <c r="W439" s="474"/>
      <c r="X439" s="474"/>
      <c r="Y439" s="474"/>
      <c r="Z439" s="474"/>
      <c r="AB439" s="474"/>
      <c r="AC439" s="474"/>
      <c r="AD439" s="474"/>
      <c r="AE439" s="474"/>
      <c r="AF439" s="474"/>
      <c r="AG439" s="474"/>
      <c r="AH439" s="474"/>
      <c r="AI439" s="474"/>
      <c r="AK439" s="474"/>
      <c r="AL439" s="474"/>
      <c r="AM439" s="474"/>
      <c r="AN439" s="474"/>
      <c r="AO439" s="474"/>
      <c r="AP439" s="474"/>
      <c r="AQ439" s="474"/>
      <c r="AR439" s="474"/>
      <c r="AS439" s="474"/>
      <c r="AT439" s="474"/>
      <c r="AU439" s="474"/>
      <c r="AV439" s="474"/>
      <c r="AW439" s="474"/>
      <c r="AX439" s="474"/>
      <c r="AY439" s="474"/>
      <c r="AZ439" s="474"/>
      <c r="BA439" s="474"/>
      <c r="BC439" s="474"/>
      <c r="BD439" s="474"/>
      <c r="BE439" s="474"/>
      <c r="BF439" s="474"/>
      <c r="BG439" s="474"/>
      <c r="BH439" s="474"/>
      <c r="BI439" s="474"/>
      <c r="BJ439" s="474"/>
      <c r="CD439" s="474"/>
      <c r="CE439" s="474"/>
      <c r="CF439" s="474"/>
      <c r="CG439" s="474"/>
      <c r="CH439" s="474"/>
      <c r="CI439" s="474"/>
      <c r="CJ439" s="474"/>
      <c r="CK439" s="474"/>
      <c r="CM439" s="474"/>
      <c r="CN439" s="474"/>
      <c r="CO439" s="474"/>
      <c r="CP439" s="474"/>
      <c r="CQ439" s="474"/>
      <c r="CR439" s="474"/>
      <c r="CS439" s="474"/>
      <c r="CT439" s="474"/>
    </row>
    <row r="440" spans="1:98" s="35" customFormat="1" ht="12" customHeight="1">
      <c r="A440" s="474"/>
      <c r="B440" s="474"/>
      <c r="C440" s="474"/>
      <c r="D440" s="474"/>
      <c r="E440" s="474"/>
      <c r="F440" s="474"/>
      <c r="G440" s="474"/>
      <c r="H440" s="474"/>
      <c r="J440" s="474"/>
      <c r="K440" s="474"/>
      <c r="L440" s="474"/>
      <c r="M440" s="474"/>
      <c r="N440" s="474"/>
      <c r="O440" s="474"/>
      <c r="P440" s="474"/>
      <c r="Q440" s="474"/>
      <c r="S440" s="474"/>
      <c r="T440" s="474"/>
      <c r="U440" s="474"/>
      <c r="V440" s="474"/>
      <c r="W440" s="474"/>
      <c r="X440" s="474"/>
      <c r="Y440" s="474"/>
      <c r="Z440" s="474"/>
      <c r="AB440" s="474"/>
      <c r="AC440" s="474"/>
      <c r="AD440" s="474"/>
      <c r="AE440" s="474"/>
      <c r="AF440" s="474"/>
      <c r="AG440" s="474"/>
      <c r="AH440" s="474"/>
      <c r="AI440" s="474"/>
      <c r="AK440" s="474"/>
      <c r="AL440" s="474"/>
      <c r="AM440" s="474"/>
      <c r="AN440" s="474"/>
      <c r="AO440" s="474"/>
      <c r="AP440" s="474"/>
      <c r="AQ440" s="474"/>
      <c r="AR440" s="474"/>
      <c r="AS440" s="474"/>
      <c r="AT440" s="474"/>
      <c r="AU440" s="474"/>
      <c r="AV440" s="474"/>
      <c r="AW440" s="474"/>
      <c r="AX440" s="474"/>
      <c r="AY440" s="474"/>
      <c r="AZ440" s="474"/>
      <c r="BA440" s="474"/>
      <c r="BC440" s="474"/>
      <c r="BD440" s="474"/>
      <c r="BE440" s="474"/>
      <c r="BF440" s="474"/>
      <c r="BG440" s="474"/>
      <c r="BH440" s="474"/>
      <c r="BI440" s="474"/>
      <c r="BJ440" s="474"/>
      <c r="CD440" s="474"/>
      <c r="CE440" s="474"/>
      <c r="CF440" s="474"/>
      <c r="CG440" s="474"/>
      <c r="CH440" s="474"/>
      <c r="CI440" s="474"/>
      <c r="CJ440" s="474"/>
      <c r="CK440" s="474"/>
      <c r="CM440" s="474"/>
      <c r="CN440" s="474"/>
      <c r="CO440" s="474"/>
      <c r="CP440" s="474"/>
      <c r="CQ440" s="474"/>
      <c r="CR440" s="474"/>
      <c r="CS440" s="474"/>
      <c r="CT440" s="474"/>
    </row>
    <row r="441" spans="1:98" s="35" customFormat="1" ht="12" customHeight="1">
      <c r="A441" s="474"/>
      <c r="B441" s="474"/>
      <c r="C441" s="474"/>
      <c r="D441" s="474"/>
      <c r="E441" s="474"/>
      <c r="F441" s="474"/>
      <c r="G441" s="474"/>
      <c r="H441" s="474"/>
      <c r="J441" s="474"/>
      <c r="K441" s="474"/>
      <c r="L441" s="474"/>
      <c r="M441" s="474"/>
      <c r="N441" s="474"/>
      <c r="O441" s="474"/>
      <c r="P441" s="474"/>
      <c r="Q441" s="474"/>
      <c r="S441" s="474"/>
      <c r="T441" s="474"/>
      <c r="U441" s="474"/>
      <c r="V441" s="474"/>
      <c r="W441" s="474"/>
      <c r="X441" s="474"/>
      <c r="Y441" s="474"/>
      <c r="Z441" s="474"/>
      <c r="AB441" s="474"/>
      <c r="AC441" s="474"/>
      <c r="AD441" s="474"/>
      <c r="AE441" s="474"/>
      <c r="AF441" s="474"/>
      <c r="AG441" s="474"/>
      <c r="AH441" s="474"/>
      <c r="AI441" s="474"/>
      <c r="AK441" s="474"/>
      <c r="AL441" s="474"/>
      <c r="AM441" s="474"/>
      <c r="AN441" s="474"/>
      <c r="AO441" s="474"/>
      <c r="AP441" s="474"/>
      <c r="AQ441" s="474"/>
      <c r="AR441" s="474"/>
      <c r="AS441" s="474"/>
      <c r="AT441" s="474"/>
      <c r="AU441" s="474"/>
      <c r="AV441" s="474"/>
      <c r="AW441" s="474"/>
      <c r="AX441" s="474"/>
      <c r="AY441" s="474"/>
      <c r="AZ441" s="474"/>
      <c r="BA441" s="474"/>
      <c r="BC441" s="474"/>
      <c r="BD441" s="474"/>
      <c r="BE441" s="474"/>
      <c r="BF441" s="474"/>
      <c r="BG441" s="474"/>
      <c r="BH441" s="474"/>
      <c r="BI441" s="474"/>
      <c r="BJ441" s="474"/>
      <c r="CD441" s="474"/>
      <c r="CE441" s="474"/>
      <c r="CF441" s="474"/>
      <c r="CG441" s="474"/>
      <c r="CH441" s="474"/>
      <c r="CI441" s="474"/>
      <c r="CJ441" s="474"/>
      <c r="CK441" s="474"/>
      <c r="CM441" s="474"/>
      <c r="CN441" s="474"/>
      <c r="CO441" s="474"/>
      <c r="CP441" s="474"/>
      <c r="CQ441" s="474"/>
      <c r="CR441" s="474"/>
      <c r="CS441" s="474"/>
      <c r="CT441" s="474"/>
    </row>
    <row r="442" spans="1:98" s="35" customFormat="1" ht="12" customHeight="1">
      <c r="A442" s="474"/>
      <c r="B442" s="474"/>
      <c r="C442" s="474"/>
      <c r="D442" s="474"/>
      <c r="E442" s="474"/>
      <c r="F442" s="474"/>
      <c r="G442" s="474"/>
      <c r="H442" s="474"/>
      <c r="J442" s="474"/>
      <c r="K442" s="474"/>
      <c r="L442" s="474"/>
      <c r="M442" s="474"/>
      <c r="N442" s="474"/>
      <c r="O442" s="474"/>
      <c r="P442" s="474"/>
      <c r="Q442" s="474"/>
      <c r="S442" s="474"/>
      <c r="T442" s="474"/>
      <c r="U442" s="474"/>
      <c r="V442" s="474"/>
      <c r="W442" s="474"/>
      <c r="X442" s="474"/>
      <c r="Y442" s="474"/>
      <c r="Z442" s="474"/>
      <c r="AB442" s="474"/>
      <c r="AC442" s="474"/>
      <c r="AD442" s="474"/>
      <c r="AE442" s="474"/>
      <c r="AF442" s="474"/>
      <c r="AG442" s="474"/>
      <c r="AH442" s="474"/>
      <c r="AI442" s="474"/>
      <c r="AK442" s="474"/>
      <c r="AL442" s="474"/>
      <c r="AM442" s="474"/>
      <c r="AN442" s="474"/>
      <c r="AO442" s="474"/>
      <c r="AP442" s="474"/>
      <c r="AQ442" s="474"/>
      <c r="AR442" s="474"/>
      <c r="AS442" s="474"/>
      <c r="AT442" s="474"/>
      <c r="AU442" s="474"/>
      <c r="AV442" s="474"/>
      <c r="AW442" s="474"/>
      <c r="AX442" s="474"/>
      <c r="AY442" s="474"/>
      <c r="AZ442" s="474"/>
      <c r="BA442" s="474"/>
      <c r="BC442" s="474"/>
      <c r="BD442" s="474"/>
      <c r="BE442" s="474"/>
      <c r="BF442" s="474"/>
      <c r="BG442" s="474"/>
      <c r="BH442" s="474"/>
      <c r="BI442" s="474"/>
      <c r="BJ442" s="474"/>
      <c r="CD442" s="474"/>
      <c r="CE442" s="474"/>
      <c r="CF442" s="474"/>
      <c r="CG442" s="474"/>
      <c r="CH442" s="474"/>
      <c r="CI442" s="474"/>
      <c r="CJ442" s="474"/>
      <c r="CK442" s="474"/>
      <c r="CM442" s="474"/>
      <c r="CN442" s="474"/>
      <c r="CO442" s="474"/>
      <c r="CP442" s="474"/>
      <c r="CQ442" s="474"/>
      <c r="CR442" s="474"/>
      <c r="CS442" s="474"/>
      <c r="CT442" s="474"/>
    </row>
    <row r="443" spans="1:98" s="35" customFormat="1" ht="12" customHeight="1">
      <c r="A443" s="474"/>
      <c r="B443" s="474"/>
      <c r="C443" s="474"/>
      <c r="D443" s="474"/>
      <c r="E443" s="474"/>
      <c r="F443" s="474"/>
      <c r="G443" s="474"/>
      <c r="H443" s="474"/>
      <c r="J443" s="474"/>
      <c r="K443" s="474"/>
      <c r="L443" s="474"/>
      <c r="M443" s="474"/>
      <c r="N443" s="474"/>
      <c r="O443" s="474"/>
      <c r="P443" s="474"/>
      <c r="Q443" s="474"/>
      <c r="S443" s="474"/>
      <c r="T443" s="474"/>
      <c r="U443" s="474"/>
      <c r="V443" s="474"/>
      <c r="W443" s="474"/>
      <c r="X443" s="474"/>
      <c r="Y443" s="474"/>
      <c r="Z443" s="474"/>
      <c r="AB443" s="474"/>
      <c r="AC443" s="474"/>
      <c r="AD443" s="474"/>
      <c r="AE443" s="474"/>
      <c r="AF443" s="474"/>
      <c r="AG443" s="474"/>
      <c r="AH443" s="474"/>
      <c r="AI443" s="474"/>
      <c r="AK443" s="474"/>
      <c r="AL443" s="474"/>
      <c r="AM443" s="474"/>
      <c r="AN443" s="474"/>
      <c r="AO443" s="474"/>
      <c r="AP443" s="474"/>
      <c r="AQ443" s="474"/>
      <c r="AR443" s="474"/>
      <c r="AS443" s="474"/>
      <c r="AT443" s="474"/>
      <c r="AU443" s="474"/>
      <c r="AV443" s="474"/>
      <c r="AW443" s="474"/>
      <c r="AX443" s="474"/>
      <c r="AY443" s="474"/>
      <c r="AZ443" s="474"/>
      <c r="BA443" s="474"/>
      <c r="BC443" s="474"/>
      <c r="BD443" s="474"/>
      <c r="BE443" s="474"/>
      <c r="BF443" s="474"/>
      <c r="BG443" s="474"/>
      <c r="BH443" s="474"/>
      <c r="BI443" s="474"/>
      <c r="BJ443" s="474"/>
      <c r="CD443" s="474"/>
      <c r="CE443" s="474"/>
      <c r="CF443" s="474"/>
      <c r="CG443" s="474"/>
      <c r="CH443" s="474"/>
      <c r="CI443" s="474"/>
      <c r="CJ443" s="474"/>
      <c r="CK443" s="474"/>
      <c r="CM443" s="474"/>
      <c r="CN443" s="474"/>
      <c r="CO443" s="474"/>
      <c r="CP443" s="474"/>
      <c r="CQ443" s="474"/>
      <c r="CR443" s="474"/>
      <c r="CS443" s="474"/>
      <c r="CT443" s="474"/>
    </row>
    <row r="444" spans="1:98" s="35" customFormat="1" ht="12" customHeight="1">
      <c r="A444" s="474"/>
      <c r="B444" s="474"/>
      <c r="C444" s="474"/>
      <c r="D444" s="474"/>
      <c r="E444" s="474"/>
      <c r="F444" s="474"/>
      <c r="G444" s="474"/>
      <c r="H444" s="474"/>
      <c r="J444" s="474"/>
      <c r="K444" s="474"/>
      <c r="L444" s="474"/>
      <c r="M444" s="474"/>
      <c r="N444" s="474"/>
      <c r="O444" s="474"/>
      <c r="P444" s="474"/>
      <c r="Q444" s="474"/>
      <c r="S444" s="474"/>
      <c r="T444" s="474"/>
      <c r="U444" s="474"/>
      <c r="V444" s="474"/>
      <c r="W444" s="474"/>
      <c r="X444" s="474"/>
      <c r="Y444" s="474"/>
      <c r="Z444" s="474"/>
      <c r="AB444" s="474"/>
      <c r="AC444" s="474"/>
      <c r="AD444" s="474"/>
      <c r="AE444" s="474"/>
      <c r="AF444" s="474"/>
      <c r="AG444" s="474"/>
      <c r="AH444" s="474"/>
      <c r="AI444" s="474"/>
      <c r="AK444" s="474"/>
      <c r="AL444" s="474"/>
      <c r="AM444" s="474"/>
      <c r="AN444" s="474"/>
      <c r="AO444" s="474"/>
      <c r="AP444" s="474"/>
      <c r="AQ444" s="474"/>
      <c r="AR444" s="474"/>
      <c r="AS444" s="474"/>
      <c r="AT444" s="474"/>
      <c r="AU444" s="474"/>
      <c r="AV444" s="474"/>
      <c r="AW444" s="474"/>
      <c r="AX444" s="474"/>
      <c r="AY444" s="474"/>
      <c r="AZ444" s="474"/>
      <c r="BA444" s="474"/>
      <c r="BC444" s="474"/>
      <c r="BD444" s="474"/>
      <c r="BE444" s="474"/>
      <c r="BF444" s="474"/>
      <c r="BG444" s="474"/>
      <c r="BH444" s="474"/>
      <c r="BI444" s="474"/>
      <c r="BJ444" s="474"/>
      <c r="CD444" s="474"/>
      <c r="CE444" s="474"/>
      <c r="CF444" s="474"/>
      <c r="CG444" s="474"/>
      <c r="CH444" s="474"/>
      <c r="CI444" s="474"/>
      <c r="CJ444" s="474"/>
      <c r="CK444" s="474"/>
      <c r="CM444" s="474"/>
      <c r="CN444" s="474"/>
      <c r="CO444" s="474"/>
      <c r="CP444" s="474"/>
      <c r="CQ444" s="474"/>
      <c r="CR444" s="474"/>
      <c r="CS444" s="474"/>
      <c r="CT444" s="474"/>
    </row>
    <row r="445" spans="1:98" s="35" customFormat="1" ht="12" customHeight="1">
      <c r="A445" s="474"/>
      <c r="B445" s="474"/>
      <c r="C445" s="474"/>
      <c r="D445" s="474"/>
      <c r="E445" s="474"/>
      <c r="F445" s="474"/>
      <c r="G445" s="474"/>
      <c r="H445" s="474"/>
      <c r="J445" s="474"/>
      <c r="K445" s="474"/>
      <c r="L445" s="474"/>
      <c r="M445" s="474"/>
      <c r="N445" s="474"/>
      <c r="O445" s="474"/>
      <c r="P445" s="474"/>
      <c r="Q445" s="474"/>
      <c r="S445" s="474"/>
      <c r="T445" s="474"/>
      <c r="U445" s="474"/>
      <c r="V445" s="474"/>
      <c r="W445" s="474"/>
      <c r="X445" s="474"/>
      <c r="Y445" s="474"/>
      <c r="Z445" s="474"/>
      <c r="AB445" s="474"/>
      <c r="AC445" s="474"/>
      <c r="AD445" s="474"/>
      <c r="AE445" s="474"/>
      <c r="AF445" s="474"/>
      <c r="AG445" s="474"/>
      <c r="AH445" s="474"/>
      <c r="AI445" s="474"/>
      <c r="AK445" s="474"/>
      <c r="AL445" s="474"/>
      <c r="AM445" s="474"/>
      <c r="AN445" s="474"/>
      <c r="AO445" s="474"/>
      <c r="AP445" s="474"/>
      <c r="AQ445" s="474"/>
      <c r="AR445" s="474"/>
      <c r="AS445" s="474"/>
      <c r="AT445" s="474"/>
      <c r="AU445" s="474"/>
      <c r="AV445" s="474"/>
      <c r="AW445" s="474"/>
      <c r="AX445" s="474"/>
      <c r="AY445" s="474"/>
      <c r="AZ445" s="474"/>
      <c r="BA445" s="474"/>
      <c r="BC445" s="474"/>
      <c r="BD445" s="474"/>
      <c r="BE445" s="474"/>
      <c r="BF445" s="474"/>
      <c r="BG445" s="474"/>
      <c r="BH445" s="474"/>
      <c r="BI445" s="474"/>
      <c r="BJ445" s="474"/>
      <c r="CD445" s="474"/>
      <c r="CE445" s="474"/>
      <c r="CF445" s="474"/>
      <c r="CG445" s="474"/>
      <c r="CH445" s="474"/>
      <c r="CI445" s="474"/>
      <c r="CJ445" s="474"/>
      <c r="CK445" s="474"/>
      <c r="CM445" s="474"/>
      <c r="CN445" s="474"/>
      <c r="CO445" s="474"/>
      <c r="CP445" s="474"/>
      <c r="CQ445" s="474"/>
      <c r="CR445" s="474"/>
      <c r="CS445" s="474"/>
      <c r="CT445" s="474"/>
    </row>
    <row r="446" spans="1:98" s="35" customFormat="1" ht="12" customHeight="1">
      <c r="A446" s="474"/>
      <c r="B446" s="474"/>
      <c r="C446" s="474"/>
      <c r="D446" s="474"/>
      <c r="E446" s="474"/>
      <c r="F446" s="474"/>
      <c r="G446" s="474"/>
      <c r="H446" s="474"/>
      <c r="J446" s="474"/>
      <c r="K446" s="474"/>
      <c r="L446" s="474"/>
      <c r="M446" s="474"/>
      <c r="N446" s="474"/>
      <c r="O446" s="474"/>
      <c r="P446" s="474"/>
      <c r="Q446" s="474"/>
      <c r="S446" s="474"/>
      <c r="T446" s="474"/>
      <c r="U446" s="474"/>
      <c r="V446" s="474"/>
      <c r="W446" s="474"/>
      <c r="X446" s="474"/>
      <c r="Y446" s="474"/>
      <c r="Z446" s="474"/>
      <c r="AB446" s="474"/>
      <c r="AC446" s="474"/>
      <c r="AD446" s="474"/>
      <c r="AE446" s="474"/>
      <c r="AF446" s="474"/>
      <c r="AG446" s="474"/>
      <c r="AH446" s="474"/>
      <c r="AI446" s="474"/>
      <c r="AK446" s="474"/>
      <c r="AL446" s="474"/>
      <c r="AM446" s="474"/>
      <c r="AN446" s="474"/>
      <c r="AO446" s="474"/>
      <c r="AP446" s="474"/>
      <c r="AQ446" s="474"/>
      <c r="AR446" s="474"/>
      <c r="AS446" s="474"/>
      <c r="AT446" s="474"/>
      <c r="AU446" s="474"/>
      <c r="AV446" s="474"/>
      <c r="AW446" s="474"/>
      <c r="AX446" s="474"/>
      <c r="AY446" s="474"/>
      <c r="AZ446" s="474"/>
      <c r="BA446" s="474"/>
      <c r="BC446" s="474"/>
      <c r="BD446" s="474"/>
      <c r="BE446" s="474"/>
      <c r="BF446" s="474"/>
      <c r="BG446" s="474"/>
      <c r="BH446" s="474"/>
      <c r="BI446" s="474"/>
      <c r="BJ446" s="474"/>
      <c r="CD446" s="474"/>
      <c r="CE446" s="474"/>
      <c r="CF446" s="474"/>
      <c r="CG446" s="474"/>
      <c r="CH446" s="474"/>
      <c r="CI446" s="474"/>
      <c r="CJ446" s="474"/>
      <c r="CK446" s="474"/>
      <c r="CM446" s="474"/>
      <c r="CN446" s="474"/>
      <c r="CO446" s="474"/>
      <c r="CP446" s="474"/>
      <c r="CQ446" s="474"/>
      <c r="CR446" s="474"/>
      <c r="CS446" s="474"/>
      <c r="CT446" s="474"/>
    </row>
    <row r="447" spans="1:98" s="35" customFormat="1" ht="12" customHeight="1">
      <c r="A447" s="474"/>
      <c r="B447" s="474"/>
      <c r="C447" s="474"/>
      <c r="D447" s="474"/>
      <c r="E447" s="474"/>
      <c r="F447" s="474"/>
      <c r="G447" s="474"/>
      <c r="H447" s="474"/>
      <c r="J447" s="474"/>
      <c r="K447" s="474"/>
      <c r="L447" s="474"/>
      <c r="M447" s="474"/>
      <c r="N447" s="474"/>
      <c r="O447" s="474"/>
      <c r="P447" s="474"/>
      <c r="Q447" s="474"/>
      <c r="S447" s="474"/>
      <c r="T447" s="474"/>
      <c r="U447" s="474"/>
      <c r="V447" s="474"/>
      <c r="W447" s="474"/>
      <c r="X447" s="474"/>
      <c r="Y447" s="474"/>
      <c r="Z447" s="474"/>
      <c r="AB447" s="474"/>
      <c r="AC447" s="474"/>
      <c r="AD447" s="474"/>
      <c r="AE447" s="474"/>
      <c r="AF447" s="474"/>
      <c r="AG447" s="474"/>
      <c r="AH447" s="474"/>
      <c r="AI447" s="474"/>
      <c r="AK447" s="474"/>
      <c r="AL447" s="474"/>
      <c r="AM447" s="474"/>
      <c r="AN447" s="474"/>
      <c r="AO447" s="474"/>
      <c r="AP447" s="474"/>
      <c r="AQ447" s="474"/>
      <c r="AR447" s="474"/>
      <c r="AS447" s="474"/>
      <c r="AT447" s="474"/>
      <c r="AU447" s="474"/>
      <c r="AV447" s="474"/>
      <c r="AW447" s="474"/>
      <c r="AX447" s="474"/>
      <c r="AY447" s="474"/>
      <c r="AZ447" s="474"/>
      <c r="BA447" s="474"/>
      <c r="BC447" s="474"/>
      <c r="BD447" s="474"/>
      <c r="BE447" s="474"/>
      <c r="BF447" s="474"/>
      <c r="BG447" s="474"/>
      <c r="BH447" s="474"/>
      <c r="BI447" s="474"/>
      <c r="BJ447" s="474"/>
      <c r="CD447" s="474"/>
      <c r="CE447" s="474"/>
      <c r="CF447" s="474"/>
      <c r="CG447" s="474"/>
      <c r="CH447" s="474"/>
      <c r="CI447" s="474"/>
      <c r="CJ447" s="474"/>
      <c r="CK447" s="474"/>
      <c r="CM447" s="474"/>
      <c r="CN447" s="474"/>
      <c r="CO447" s="474"/>
      <c r="CP447" s="474"/>
      <c r="CQ447" s="474"/>
      <c r="CR447" s="474"/>
      <c r="CS447" s="474"/>
      <c r="CT447" s="474"/>
    </row>
    <row r="448" spans="1:98" s="35" customFormat="1" ht="12" customHeight="1">
      <c r="A448" s="474"/>
      <c r="B448" s="474"/>
      <c r="C448" s="474"/>
      <c r="D448" s="474"/>
      <c r="E448" s="474"/>
      <c r="F448" s="474"/>
      <c r="G448" s="474"/>
      <c r="H448" s="474"/>
      <c r="J448" s="474"/>
      <c r="K448" s="474"/>
      <c r="L448" s="474"/>
      <c r="M448" s="474"/>
      <c r="N448" s="474"/>
      <c r="O448" s="474"/>
      <c r="P448" s="474"/>
      <c r="Q448" s="474"/>
      <c r="S448" s="474"/>
      <c r="T448" s="474"/>
      <c r="U448" s="474"/>
      <c r="V448" s="474"/>
      <c r="W448" s="474"/>
      <c r="X448" s="474"/>
      <c r="Y448" s="474"/>
      <c r="Z448" s="474"/>
      <c r="AB448" s="474"/>
      <c r="AC448" s="474"/>
      <c r="AD448" s="474"/>
      <c r="AE448" s="474"/>
      <c r="AF448" s="474"/>
      <c r="AG448" s="474"/>
      <c r="AH448" s="474"/>
      <c r="AI448" s="474"/>
      <c r="AK448" s="474"/>
      <c r="AL448" s="474"/>
      <c r="AM448" s="474"/>
      <c r="AN448" s="474"/>
      <c r="AO448" s="474"/>
      <c r="AP448" s="474"/>
      <c r="AQ448" s="474"/>
      <c r="AR448" s="474"/>
      <c r="AS448" s="474"/>
      <c r="AT448" s="474"/>
      <c r="AU448" s="474"/>
      <c r="AV448" s="474"/>
      <c r="AW448" s="474"/>
      <c r="AX448" s="474"/>
      <c r="AY448" s="474"/>
      <c r="AZ448" s="474"/>
      <c r="BA448" s="474"/>
      <c r="BC448" s="474"/>
      <c r="BD448" s="474"/>
      <c r="BE448" s="474"/>
      <c r="BF448" s="474"/>
      <c r="BG448" s="474"/>
      <c r="BH448" s="474"/>
      <c r="BI448" s="474"/>
      <c r="BJ448" s="474"/>
      <c r="CD448" s="474"/>
      <c r="CE448" s="474"/>
      <c r="CF448" s="474"/>
      <c r="CG448" s="474"/>
      <c r="CH448" s="474"/>
      <c r="CI448" s="474"/>
      <c r="CJ448" s="474"/>
      <c r="CK448" s="474"/>
      <c r="CM448" s="474"/>
      <c r="CN448" s="474"/>
      <c r="CO448" s="474"/>
      <c r="CP448" s="474"/>
      <c r="CQ448" s="474"/>
      <c r="CR448" s="474"/>
      <c r="CS448" s="474"/>
      <c r="CT448" s="474"/>
    </row>
    <row r="449" spans="1:98" s="35" customFormat="1" ht="12" customHeight="1">
      <c r="A449" s="474"/>
      <c r="B449" s="474"/>
      <c r="C449" s="474"/>
      <c r="D449" s="474"/>
      <c r="E449" s="474"/>
      <c r="F449" s="474"/>
      <c r="G449" s="474"/>
      <c r="H449" s="474"/>
      <c r="J449" s="474"/>
      <c r="K449" s="474"/>
      <c r="L449" s="474"/>
      <c r="M449" s="474"/>
      <c r="N449" s="474"/>
      <c r="O449" s="474"/>
      <c r="P449" s="474"/>
      <c r="Q449" s="474"/>
      <c r="S449" s="474"/>
      <c r="T449" s="474"/>
      <c r="U449" s="474"/>
      <c r="V449" s="474"/>
      <c r="W449" s="474"/>
      <c r="X449" s="474"/>
      <c r="Y449" s="474"/>
      <c r="Z449" s="474"/>
      <c r="AB449" s="474"/>
      <c r="AC449" s="474"/>
      <c r="AD449" s="474"/>
      <c r="AE449" s="474"/>
      <c r="AF449" s="474"/>
      <c r="AG449" s="474"/>
      <c r="AH449" s="474"/>
      <c r="AI449" s="474"/>
      <c r="AK449" s="474"/>
      <c r="AL449" s="474"/>
      <c r="AM449" s="474"/>
      <c r="AN449" s="474"/>
      <c r="AO449" s="474"/>
      <c r="AP449" s="474"/>
      <c r="AQ449" s="474"/>
      <c r="AR449" s="474"/>
      <c r="AS449" s="474"/>
      <c r="AT449" s="474"/>
      <c r="AU449" s="474"/>
      <c r="AV449" s="474"/>
      <c r="AW449" s="474"/>
      <c r="AX449" s="474"/>
      <c r="AY449" s="474"/>
      <c r="AZ449" s="474"/>
      <c r="BA449" s="474"/>
      <c r="BC449" s="474"/>
      <c r="BD449" s="474"/>
      <c r="BE449" s="474"/>
      <c r="BF449" s="474"/>
      <c r="BG449" s="474"/>
      <c r="BH449" s="474"/>
      <c r="BI449" s="474"/>
      <c r="BJ449" s="474"/>
      <c r="CD449" s="474"/>
      <c r="CE449" s="474"/>
      <c r="CF449" s="474"/>
      <c r="CG449" s="474"/>
      <c r="CH449" s="474"/>
      <c r="CI449" s="474"/>
      <c r="CJ449" s="474"/>
      <c r="CK449" s="474"/>
      <c r="CM449" s="474"/>
      <c r="CN449" s="474"/>
      <c r="CO449" s="474"/>
      <c r="CP449" s="474"/>
      <c r="CQ449" s="474"/>
      <c r="CR449" s="474"/>
      <c r="CS449" s="474"/>
      <c r="CT449" s="474"/>
    </row>
    <row r="450" spans="1:98" s="35" customFormat="1" ht="12" customHeight="1">
      <c r="A450" s="474"/>
      <c r="B450" s="474"/>
      <c r="C450" s="474"/>
      <c r="D450" s="474"/>
      <c r="E450" s="474"/>
      <c r="F450" s="474"/>
      <c r="G450" s="474"/>
      <c r="H450" s="474"/>
      <c r="J450" s="474"/>
      <c r="K450" s="474"/>
      <c r="L450" s="474"/>
      <c r="M450" s="474"/>
      <c r="N450" s="474"/>
      <c r="O450" s="474"/>
      <c r="P450" s="474"/>
      <c r="Q450" s="474"/>
      <c r="S450" s="474"/>
      <c r="T450" s="474"/>
      <c r="U450" s="474"/>
      <c r="V450" s="474"/>
      <c r="W450" s="474"/>
      <c r="X450" s="474"/>
      <c r="Y450" s="474"/>
      <c r="Z450" s="474"/>
      <c r="AB450" s="474"/>
      <c r="AC450" s="474"/>
      <c r="AD450" s="474"/>
      <c r="AE450" s="474"/>
      <c r="AF450" s="474"/>
      <c r="AG450" s="474"/>
      <c r="AH450" s="474"/>
      <c r="AI450" s="474"/>
      <c r="AK450" s="474"/>
      <c r="AL450" s="474"/>
      <c r="AM450" s="474"/>
      <c r="AN450" s="474"/>
      <c r="AO450" s="474"/>
      <c r="AP450" s="474"/>
      <c r="AQ450" s="474"/>
      <c r="AR450" s="474"/>
      <c r="AS450" s="474"/>
      <c r="AT450" s="474"/>
      <c r="AU450" s="474"/>
      <c r="AV450" s="474"/>
      <c r="AW450" s="474"/>
      <c r="AX450" s="474"/>
      <c r="AY450" s="474"/>
      <c r="AZ450" s="474"/>
      <c r="BA450" s="474"/>
      <c r="BC450" s="474"/>
      <c r="BD450" s="474"/>
      <c r="BE450" s="474"/>
      <c r="BF450" s="474"/>
      <c r="BG450" s="474"/>
      <c r="BH450" s="474"/>
      <c r="BI450" s="474"/>
      <c r="BJ450" s="474"/>
      <c r="CD450" s="474"/>
      <c r="CE450" s="474"/>
      <c r="CF450" s="474"/>
      <c r="CG450" s="474"/>
      <c r="CH450" s="474"/>
      <c r="CI450" s="474"/>
      <c r="CJ450" s="474"/>
      <c r="CK450" s="474"/>
      <c r="CM450" s="474"/>
      <c r="CN450" s="474"/>
      <c r="CO450" s="474"/>
      <c r="CP450" s="474"/>
      <c r="CQ450" s="474"/>
      <c r="CR450" s="474"/>
      <c r="CS450" s="474"/>
      <c r="CT450" s="474"/>
    </row>
    <row r="451" spans="1:98" s="35" customFormat="1" ht="12" customHeight="1">
      <c r="A451" s="474"/>
      <c r="B451" s="474"/>
      <c r="C451" s="474"/>
      <c r="D451" s="474"/>
      <c r="E451" s="474"/>
      <c r="F451" s="474"/>
      <c r="G451" s="474"/>
      <c r="H451" s="474"/>
      <c r="J451" s="474"/>
      <c r="K451" s="474"/>
      <c r="L451" s="474"/>
      <c r="M451" s="474"/>
      <c r="N451" s="474"/>
      <c r="O451" s="474"/>
      <c r="P451" s="474"/>
      <c r="Q451" s="474"/>
      <c r="S451" s="474"/>
      <c r="T451" s="474"/>
      <c r="U451" s="474"/>
      <c r="V451" s="474"/>
      <c r="W451" s="474"/>
      <c r="X451" s="474"/>
      <c r="Y451" s="474"/>
      <c r="Z451" s="474"/>
      <c r="AB451" s="474"/>
      <c r="AC451" s="474"/>
      <c r="AD451" s="474"/>
      <c r="AE451" s="474"/>
      <c r="AF451" s="474"/>
      <c r="AG451" s="474"/>
      <c r="AH451" s="474"/>
      <c r="AI451" s="474"/>
      <c r="AK451" s="474"/>
      <c r="AL451" s="474"/>
      <c r="AM451" s="474"/>
      <c r="AN451" s="474"/>
      <c r="AO451" s="474"/>
      <c r="AP451" s="474"/>
      <c r="AQ451" s="474"/>
      <c r="AR451" s="474"/>
      <c r="AS451" s="474"/>
      <c r="AT451" s="474"/>
      <c r="AU451" s="474"/>
      <c r="AV451" s="474"/>
      <c r="AW451" s="474"/>
      <c r="AX451" s="474"/>
      <c r="AY451" s="474"/>
      <c r="AZ451" s="474"/>
      <c r="BA451" s="474"/>
      <c r="BC451" s="474"/>
      <c r="BD451" s="474"/>
      <c r="BE451" s="474"/>
      <c r="BF451" s="474"/>
      <c r="BG451" s="474"/>
      <c r="BH451" s="474"/>
      <c r="BI451" s="474"/>
      <c r="BJ451" s="474"/>
      <c r="CD451" s="474"/>
      <c r="CE451" s="474"/>
      <c r="CF451" s="474"/>
      <c r="CG451" s="474"/>
      <c r="CH451" s="474"/>
      <c r="CI451" s="474"/>
      <c r="CJ451" s="474"/>
      <c r="CK451" s="474"/>
      <c r="CM451" s="474"/>
      <c r="CN451" s="474"/>
      <c r="CO451" s="474"/>
      <c r="CP451" s="474"/>
      <c r="CQ451" s="474"/>
      <c r="CR451" s="474"/>
      <c r="CS451" s="474"/>
      <c r="CT451" s="474"/>
    </row>
    <row r="452" spans="1:98" s="35" customFormat="1" ht="12" customHeight="1">
      <c r="A452" s="474"/>
      <c r="B452" s="474"/>
      <c r="C452" s="474"/>
      <c r="D452" s="474"/>
      <c r="E452" s="474"/>
      <c r="F452" s="474"/>
      <c r="G452" s="474"/>
      <c r="H452" s="474"/>
      <c r="J452" s="474"/>
      <c r="K452" s="474"/>
      <c r="L452" s="474"/>
      <c r="M452" s="474"/>
      <c r="N452" s="474"/>
      <c r="O452" s="474"/>
      <c r="P452" s="474"/>
      <c r="Q452" s="474"/>
      <c r="S452" s="474"/>
      <c r="T452" s="474"/>
      <c r="U452" s="474"/>
      <c r="V452" s="474"/>
      <c r="W452" s="474"/>
      <c r="X452" s="474"/>
      <c r="Y452" s="474"/>
      <c r="Z452" s="474"/>
      <c r="AB452" s="474"/>
      <c r="AC452" s="474"/>
      <c r="AD452" s="474"/>
      <c r="AE452" s="474"/>
      <c r="AF452" s="474"/>
      <c r="AG452" s="474"/>
      <c r="AH452" s="474"/>
      <c r="AI452" s="474"/>
      <c r="AK452" s="474"/>
      <c r="AL452" s="474"/>
      <c r="AM452" s="474"/>
      <c r="AN452" s="474"/>
      <c r="AO452" s="474"/>
      <c r="AP452" s="474"/>
      <c r="AQ452" s="474"/>
      <c r="AR452" s="474"/>
      <c r="AS452" s="474"/>
      <c r="AT452" s="474"/>
      <c r="AU452" s="474"/>
      <c r="AV452" s="474"/>
      <c r="AW452" s="474"/>
      <c r="AX452" s="474"/>
      <c r="AY452" s="474"/>
      <c r="AZ452" s="474"/>
      <c r="BA452" s="474"/>
      <c r="BC452" s="474"/>
      <c r="BD452" s="474"/>
      <c r="BE452" s="474"/>
      <c r="BF452" s="474"/>
      <c r="BG452" s="474"/>
      <c r="BH452" s="474"/>
      <c r="BI452" s="474"/>
      <c r="BJ452" s="474"/>
      <c r="CD452" s="474"/>
      <c r="CE452" s="474"/>
      <c r="CF452" s="474"/>
      <c r="CG452" s="474"/>
      <c r="CH452" s="474"/>
      <c r="CI452" s="474"/>
      <c r="CJ452" s="474"/>
      <c r="CK452" s="474"/>
      <c r="CM452" s="474"/>
      <c r="CN452" s="474"/>
      <c r="CO452" s="474"/>
      <c r="CP452" s="474"/>
      <c r="CQ452" s="474"/>
      <c r="CR452" s="474"/>
      <c r="CS452" s="474"/>
      <c r="CT452" s="474"/>
    </row>
    <row r="453" spans="1:98" s="35" customFormat="1" ht="12" customHeight="1">
      <c r="A453" s="474"/>
      <c r="B453" s="474"/>
      <c r="C453" s="474"/>
      <c r="D453" s="474"/>
      <c r="E453" s="474"/>
      <c r="F453" s="474"/>
      <c r="G453" s="474"/>
      <c r="H453" s="474"/>
      <c r="J453" s="474"/>
      <c r="K453" s="474"/>
      <c r="L453" s="474"/>
      <c r="M453" s="474"/>
      <c r="N453" s="474"/>
      <c r="O453" s="474"/>
      <c r="P453" s="474"/>
      <c r="Q453" s="474"/>
      <c r="S453" s="474"/>
      <c r="T453" s="474"/>
      <c r="U453" s="474"/>
      <c r="V453" s="474"/>
      <c r="W453" s="474"/>
      <c r="X453" s="474"/>
      <c r="Y453" s="474"/>
      <c r="Z453" s="474"/>
      <c r="AB453" s="474"/>
      <c r="AC453" s="474"/>
      <c r="AD453" s="474"/>
      <c r="AE453" s="474"/>
      <c r="AF453" s="474"/>
      <c r="AG453" s="474"/>
      <c r="AH453" s="474"/>
      <c r="AI453" s="474"/>
      <c r="AK453" s="474"/>
      <c r="AL453" s="474"/>
      <c r="AM453" s="474"/>
      <c r="AN453" s="474"/>
      <c r="AO453" s="474"/>
      <c r="AP453" s="474"/>
      <c r="AQ453" s="474"/>
      <c r="AR453" s="474"/>
      <c r="AS453" s="474"/>
      <c r="AT453" s="474"/>
      <c r="AU453" s="474"/>
      <c r="AV453" s="474"/>
      <c r="AW453" s="474"/>
      <c r="AX453" s="474"/>
      <c r="AY453" s="474"/>
      <c r="AZ453" s="474"/>
      <c r="BA453" s="474"/>
      <c r="BC453" s="474"/>
      <c r="BD453" s="474"/>
      <c r="BE453" s="474"/>
      <c r="BF453" s="474"/>
      <c r="BG453" s="474"/>
      <c r="BH453" s="474"/>
      <c r="BI453" s="474"/>
      <c r="BJ453" s="474"/>
      <c r="CD453" s="474"/>
      <c r="CE453" s="474"/>
      <c r="CF453" s="474"/>
      <c r="CG453" s="474"/>
      <c r="CH453" s="474"/>
      <c r="CI453" s="474"/>
      <c r="CJ453" s="474"/>
      <c r="CK453" s="474"/>
      <c r="CM453" s="474"/>
      <c r="CN453" s="474"/>
      <c r="CO453" s="474"/>
      <c r="CP453" s="474"/>
      <c r="CQ453" s="474"/>
      <c r="CR453" s="474"/>
      <c r="CS453" s="474"/>
      <c r="CT453" s="474"/>
    </row>
    <row r="454" spans="1:98" s="35" customFormat="1" ht="12" customHeight="1">
      <c r="A454" s="474"/>
      <c r="B454" s="474"/>
      <c r="C454" s="474"/>
      <c r="D454" s="474"/>
      <c r="E454" s="474"/>
      <c r="F454" s="474"/>
      <c r="G454" s="474"/>
      <c r="H454" s="474"/>
      <c r="J454" s="474"/>
      <c r="K454" s="474"/>
      <c r="L454" s="474"/>
      <c r="M454" s="474"/>
      <c r="N454" s="474"/>
      <c r="O454" s="474"/>
      <c r="P454" s="474"/>
      <c r="Q454" s="474"/>
      <c r="S454" s="474"/>
      <c r="T454" s="474"/>
      <c r="U454" s="474"/>
      <c r="V454" s="474"/>
      <c r="W454" s="474"/>
      <c r="X454" s="474"/>
      <c r="Y454" s="474"/>
      <c r="Z454" s="474"/>
      <c r="AB454" s="474"/>
      <c r="AC454" s="474"/>
      <c r="AD454" s="474"/>
      <c r="AE454" s="474"/>
      <c r="AF454" s="474"/>
      <c r="AG454" s="474"/>
      <c r="AH454" s="474"/>
      <c r="AI454" s="474"/>
      <c r="AK454" s="474"/>
      <c r="AL454" s="474"/>
      <c r="AM454" s="474"/>
      <c r="AN454" s="474"/>
      <c r="AO454" s="474"/>
      <c r="AP454" s="474"/>
      <c r="AQ454" s="474"/>
      <c r="AR454" s="474"/>
      <c r="AS454" s="474"/>
      <c r="AT454" s="474"/>
      <c r="AU454" s="474"/>
      <c r="AV454" s="474"/>
      <c r="AW454" s="474"/>
      <c r="AX454" s="474"/>
      <c r="AY454" s="474"/>
      <c r="AZ454" s="474"/>
      <c r="BA454" s="474"/>
      <c r="BC454" s="474"/>
      <c r="BD454" s="474"/>
      <c r="BE454" s="474"/>
      <c r="BF454" s="474"/>
      <c r="BG454" s="474"/>
      <c r="BH454" s="474"/>
      <c r="BI454" s="474"/>
      <c r="BJ454" s="474"/>
      <c r="CD454" s="474"/>
      <c r="CE454" s="474"/>
      <c r="CF454" s="474"/>
      <c r="CG454" s="474"/>
      <c r="CH454" s="474"/>
      <c r="CI454" s="474"/>
      <c r="CJ454" s="474"/>
      <c r="CK454" s="474"/>
      <c r="CM454" s="474"/>
      <c r="CN454" s="474"/>
      <c r="CO454" s="474"/>
      <c r="CP454" s="474"/>
      <c r="CQ454" s="474"/>
      <c r="CR454" s="474"/>
      <c r="CS454" s="474"/>
      <c r="CT454" s="474"/>
    </row>
    <row r="455" spans="1:98" s="35" customFormat="1" ht="12" customHeight="1">
      <c r="A455" s="474"/>
      <c r="B455" s="474"/>
      <c r="C455" s="474"/>
      <c r="D455" s="474"/>
      <c r="E455" s="474"/>
      <c r="F455" s="474"/>
      <c r="G455" s="474"/>
      <c r="H455" s="474"/>
      <c r="J455" s="474"/>
      <c r="K455" s="474"/>
      <c r="L455" s="474"/>
      <c r="M455" s="474"/>
      <c r="N455" s="474"/>
      <c r="O455" s="474"/>
      <c r="P455" s="474"/>
      <c r="Q455" s="474"/>
      <c r="S455" s="474"/>
      <c r="T455" s="474"/>
      <c r="U455" s="474"/>
      <c r="V455" s="474"/>
      <c r="W455" s="474"/>
      <c r="X455" s="474"/>
      <c r="Y455" s="474"/>
      <c r="Z455" s="474"/>
      <c r="AB455" s="474"/>
      <c r="AC455" s="474"/>
      <c r="AD455" s="474"/>
      <c r="AE455" s="474"/>
      <c r="AF455" s="474"/>
      <c r="AG455" s="474"/>
      <c r="AH455" s="474"/>
      <c r="AI455" s="474"/>
      <c r="AK455" s="474"/>
      <c r="AL455" s="474"/>
      <c r="AM455" s="474"/>
      <c r="AN455" s="474"/>
      <c r="AO455" s="474"/>
      <c r="AP455" s="474"/>
      <c r="AQ455" s="474"/>
      <c r="AR455" s="474"/>
      <c r="AS455" s="474"/>
      <c r="AT455" s="474"/>
      <c r="AU455" s="474"/>
      <c r="AV455" s="474"/>
      <c r="AW455" s="474"/>
      <c r="AX455" s="474"/>
      <c r="AY455" s="474"/>
      <c r="AZ455" s="474"/>
      <c r="BA455" s="474"/>
      <c r="BC455" s="474"/>
      <c r="BD455" s="474"/>
      <c r="BE455" s="474"/>
      <c r="BF455" s="474"/>
      <c r="BG455" s="474"/>
      <c r="BH455" s="474"/>
      <c r="BI455" s="474"/>
      <c r="BJ455" s="474"/>
      <c r="CD455" s="474"/>
      <c r="CE455" s="474"/>
      <c r="CF455" s="474"/>
      <c r="CG455" s="474"/>
      <c r="CH455" s="474"/>
      <c r="CI455" s="474"/>
      <c r="CJ455" s="474"/>
      <c r="CK455" s="474"/>
      <c r="CM455" s="474"/>
      <c r="CN455" s="474"/>
      <c r="CO455" s="474"/>
      <c r="CP455" s="474"/>
      <c r="CQ455" s="474"/>
      <c r="CR455" s="474"/>
      <c r="CS455" s="474"/>
      <c r="CT455" s="474"/>
    </row>
    <row r="456" spans="1:98" s="35" customFormat="1" ht="12" customHeight="1">
      <c r="A456" s="474"/>
      <c r="B456" s="474"/>
      <c r="C456" s="474"/>
      <c r="D456" s="474"/>
      <c r="E456" s="474"/>
      <c r="F456" s="474"/>
      <c r="G456" s="474"/>
      <c r="H456" s="474"/>
      <c r="J456" s="474"/>
      <c r="K456" s="474"/>
      <c r="L456" s="474"/>
      <c r="M456" s="474"/>
      <c r="N456" s="474"/>
      <c r="O456" s="474"/>
      <c r="P456" s="474"/>
      <c r="Q456" s="474"/>
      <c r="S456" s="474"/>
      <c r="T456" s="474"/>
      <c r="U456" s="474"/>
      <c r="V456" s="474"/>
      <c r="W456" s="474"/>
      <c r="X456" s="474"/>
      <c r="Y456" s="474"/>
      <c r="Z456" s="474"/>
      <c r="AB456" s="474"/>
      <c r="AC456" s="474"/>
      <c r="AD456" s="474"/>
      <c r="AE456" s="474"/>
      <c r="AF456" s="474"/>
      <c r="AG456" s="474"/>
      <c r="AH456" s="474"/>
      <c r="AI456" s="474"/>
      <c r="AK456" s="474"/>
      <c r="AL456" s="474"/>
      <c r="AM456" s="474"/>
      <c r="AN456" s="474"/>
      <c r="AO456" s="474"/>
      <c r="AP456" s="474"/>
      <c r="AQ456" s="474"/>
      <c r="AR456" s="474"/>
      <c r="AS456" s="474"/>
      <c r="AT456" s="474"/>
      <c r="AU456" s="474"/>
      <c r="AV456" s="474"/>
      <c r="AW456" s="474"/>
      <c r="AX456" s="474"/>
      <c r="AY456" s="474"/>
      <c r="AZ456" s="474"/>
      <c r="BA456" s="474"/>
      <c r="BC456" s="474"/>
      <c r="BD456" s="474"/>
      <c r="BE456" s="474"/>
      <c r="BF456" s="474"/>
      <c r="BG456" s="474"/>
      <c r="BH456" s="474"/>
      <c r="BI456" s="474"/>
      <c r="BJ456" s="474"/>
      <c r="CD456" s="474"/>
      <c r="CE456" s="474"/>
      <c r="CF456" s="474"/>
      <c r="CG456" s="474"/>
      <c r="CH456" s="474"/>
      <c r="CI456" s="474"/>
      <c r="CJ456" s="474"/>
      <c r="CK456" s="474"/>
      <c r="CM456" s="474"/>
      <c r="CN456" s="474"/>
      <c r="CO456" s="474"/>
      <c r="CP456" s="474"/>
      <c r="CQ456" s="474"/>
      <c r="CR456" s="474"/>
      <c r="CS456" s="474"/>
      <c r="CT456" s="474"/>
    </row>
    <row r="457" spans="1:98" s="35" customFormat="1" ht="12" customHeight="1">
      <c r="A457" s="474"/>
      <c r="B457" s="474"/>
      <c r="C457" s="474"/>
      <c r="D457" s="474"/>
      <c r="E457" s="474"/>
      <c r="F457" s="474"/>
      <c r="G457" s="474"/>
      <c r="H457" s="474"/>
      <c r="J457" s="474"/>
      <c r="K457" s="474"/>
      <c r="L457" s="474"/>
      <c r="M457" s="474"/>
      <c r="N457" s="474"/>
      <c r="O457" s="474"/>
      <c r="P457" s="474"/>
      <c r="Q457" s="474"/>
      <c r="S457" s="474"/>
      <c r="T457" s="474"/>
      <c r="U457" s="474"/>
      <c r="V457" s="474"/>
      <c r="W457" s="474"/>
      <c r="X457" s="474"/>
      <c r="Y457" s="474"/>
      <c r="Z457" s="474"/>
      <c r="AB457" s="474"/>
      <c r="AC457" s="474"/>
      <c r="AD457" s="474"/>
      <c r="AE457" s="474"/>
      <c r="AF457" s="474"/>
      <c r="AG457" s="474"/>
      <c r="AH457" s="474"/>
      <c r="AI457" s="474"/>
      <c r="AK457" s="474"/>
      <c r="AL457" s="474"/>
      <c r="AM457" s="474"/>
      <c r="AN457" s="474"/>
      <c r="AO457" s="474"/>
      <c r="AP457" s="474"/>
      <c r="AQ457" s="474"/>
      <c r="AR457" s="474"/>
      <c r="AS457" s="474"/>
      <c r="AT457" s="474"/>
      <c r="AU457" s="474"/>
      <c r="AV457" s="474"/>
      <c r="AW457" s="474"/>
      <c r="AX457" s="474"/>
      <c r="AY457" s="474"/>
      <c r="AZ457" s="474"/>
      <c r="BA457" s="474"/>
      <c r="BC457" s="474"/>
      <c r="BD457" s="474"/>
      <c r="BE457" s="474"/>
      <c r="BF457" s="474"/>
      <c r="BG457" s="474"/>
      <c r="BH457" s="474"/>
      <c r="BI457" s="474"/>
      <c r="BJ457" s="474"/>
      <c r="CD457" s="474"/>
      <c r="CE457" s="474"/>
      <c r="CF457" s="474"/>
      <c r="CG457" s="474"/>
      <c r="CH457" s="474"/>
      <c r="CI457" s="474"/>
      <c r="CJ457" s="474"/>
      <c r="CK457" s="474"/>
      <c r="CM457" s="474"/>
      <c r="CN457" s="474"/>
      <c r="CO457" s="474"/>
      <c r="CP457" s="474"/>
      <c r="CQ457" s="474"/>
      <c r="CR457" s="474"/>
      <c r="CS457" s="474"/>
      <c r="CT457" s="474"/>
    </row>
    <row r="458" spans="1:98" s="35" customFormat="1" ht="12" customHeight="1">
      <c r="A458" s="474"/>
      <c r="B458" s="474"/>
      <c r="C458" s="474"/>
      <c r="D458" s="474"/>
      <c r="E458" s="474"/>
      <c r="F458" s="474"/>
      <c r="G458" s="474"/>
      <c r="H458" s="474"/>
      <c r="J458" s="474"/>
      <c r="K458" s="474"/>
      <c r="L458" s="474"/>
      <c r="M458" s="474"/>
      <c r="N458" s="474"/>
      <c r="O458" s="474"/>
      <c r="P458" s="474"/>
      <c r="Q458" s="474"/>
      <c r="S458" s="474"/>
      <c r="T458" s="474"/>
      <c r="U458" s="474"/>
      <c r="V458" s="474"/>
      <c r="W458" s="474"/>
      <c r="X458" s="474"/>
      <c r="Y458" s="474"/>
      <c r="Z458" s="474"/>
      <c r="AB458" s="474"/>
      <c r="AC458" s="474"/>
      <c r="AD458" s="474"/>
      <c r="AE458" s="474"/>
      <c r="AF458" s="474"/>
      <c r="AG458" s="474"/>
      <c r="AH458" s="474"/>
      <c r="AI458" s="474"/>
      <c r="AK458" s="474"/>
      <c r="AL458" s="474"/>
      <c r="AM458" s="474"/>
      <c r="AN458" s="474"/>
      <c r="AO458" s="474"/>
      <c r="AP458" s="474"/>
      <c r="AQ458" s="474"/>
      <c r="AR458" s="474"/>
      <c r="AS458" s="474"/>
      <c r="AT458" s="474"/>
      <c r="AU458" s="474"/>
      <c r="AV458" s="474"/>
      <c r="AW458" s="474"/>
      <c r="AX458" s="474"/>
      <c r="AY458" s="474"/>
      <c r="AZ458" s="474"/>
      <c r="BA458" s="474"/>
      <c r="BC458" s="474"/>
      <c r="BD458" s="474"/>
      <c r="BE458" s="474"/>
      <c r="BF458" s="474"/>
      <c r="BG458" s="474"/>
      <c r="BH458" s="474"/>
      <c r="BI458" s="474"/>
      <c r="BJ458" s="474"/>
      <c r="CD458" s="474"/>
      <c r="CE458" s="474"/>
      <c r="CF458" s="474"/>
      <c r="CG458" s="474"/>
      <c r="CH458" s="474"/>
      <c r="CI458" s="474"/>
      <c r="CJ458" s="474"/>
      <c r="CK458" s="474"/>
      <c r="CM458" s="474"/>
      <c r="CN458" s="474"/>
      <c r="CO458" s="474"/>
      <c r="CP458" s="474"/>
      <c r="CQ458" s="474"/>
      <c r="CR458" s="474"/>
      <c r="CS458" s="474"/>
      <c r="CT458" s="474"/>
    </row>
    <row r="459" spans="1:98" s="35" customFormat="1" ht="12" customHeight="1">
      <c r="A459" s="474"/>
      <c r="B459" s="474"/>
      <c r="C459" s="474"/>
      <c r="D459" s="474"/>
      <c r="E459" s="474"/>
      <c r="F459" s="474"/>
      <c r="G459" s="474"/>
      <c r="H459" s="474"/>
      <c r="J459" s="474"/>
      <c r="K459" s="474"/>
      <c r="L459" s="474"/>
      <c r="M459" s="474"/>
      <c r="N459" s="474"/>
      <c r="O459" s="474"/>
      <c r="P459" s="474"/>
      <c r="Q459" s="474"/>
      <c r="S459" s="474"/>
      <c r="T459" s="474"/>
      <c r="U459" s="474"/>
      <c r="V459" s="474"/>
      <c r="W459" s="474"/>
      <c r="X459" s="474"/>
      <c r="Y459" s="474"/>
      <c r="Z459" s="474"/>
      <c r="AB459" s="474"/>
      <c r="AC459" s="474"/>
      <c r="AD459" s="474"/>
      <c r="AE459" s="474"/>
      <c r="AF459" s="474"/>
      <c r="AG459" s="474"/>
      <c r="AH459" s="474"/>
      <c r="AI459" s="474"/>
      <c r="AK459" s="474"/>
      <c r="AL459" s="474"/>
      <c r="AM459" s="474"/>
      <c r="AN459" s="474"/>
      <c r="AO459" s="474"/>
      <c r="AP459" s="474"/>
      <c r="AQ459" s="474"/>
      <c r="AR459" s="474"/>
      <c r="AS459" s="474"/>
      <c r="AT459" s="474"/>
      <c r="AU459" s="474"/>
      <c r="AV459" s="474"/>
      <c r="AW459" s="474"/>
      <c r="AX459" s="474"/>
      <c r="AY459" s="474"/>
      <c r="AZ459" s="474"/>
      <c r="BA459" s="474"/>
      <c r="BC459" s="474"/>
      <c r="BD459" s="474"/>
      <c r="BE459" s="474"/>
      <c r="BF459" s="474"/>
      <c r="BG459" s="474"/>
      <c r="BH459" s="474"/>
      <c r="BI459" s="474"/>
      <c r="BJ459" s="474"/>
      <c r="CD459" s="474"/>
      <c r="CE459" s="474"/>
      <c r="CF459" s="474"/>
      <c r="CG459" s="474"/>
      <c r="CH459" s="474"/>
      <c r="CI459" s="474"/>
      <c r="CJ459" s="474"/>
      <c r="CK459" s="474"/>
      <c r="CM459" s="474"/>
      <c r="CN459" s="474"/>
      <c r="CO459" s="474"/>
      <c r="CP459" s="474"/>
      <c r="CQ459" s="474"/>
      <c r="CR459" s="474"/>
      <c r="CS459" s="474"/>
      <c r="CT459" s="474"/>
    </row>
    <row r="460" spans="1:98" s="35" customFormat="1" ht="12" customHeight="1">
      <c r="A460" s="474"/>
      <c r="B460" s="474"/>
      <c r="C460" s="474"/>
      <c r="D460" s="474"/>
      <c r="E460" s="474"/>
      <c r="F460" s="474"/>
      <c r="G460" s="474"/>
      <c r="H460" s="474"/>
      <c r="J460" s="474"/>
      <c r="K460" s="474"/>
      <c r="L460" s="474"/>
      <c r="M460" s="474"/>
      <c r="N460" s="474"/>
      <c r="O460" s="474"/>
      <c r="P460" s="474"/>
      <c r="Q460" s="474"/>
      <c r="S460" s="474"/>
      <c r="T460" s="474"/>
      <c r="U460" s="474"/>
      <c r="V460" s="474"/>
      <c r="W460" s="474"/>
      <c r="X460" s="474"/>
      <c r="Y460" s="474"/>
      <c r="Z460" s="474"/>
      <c r="AB460" s="474"/>
      <c r="AC460" s="474"/>
      <c r="AD460" s="474"/>
      <c r="AE460" s="474"/>
      <c r="AF460" s="474"/>
      <c r="AG460" s="474"/>
      <c r="AH460" s="474"/>
      <c r="AI460" s="474"/>
      <c r="AK460" s="474"/>
      <c r="AL460" s="474"/>
      <c r="AM460" s="474"/>
      <c r="AN460" s="474"/>
      <c r="AO460" s="474"/>
      <c r="AP460" s="474"/>
      <c r="AQ460" s="474"/>
      <c r="AR460" s="474"/>
      <c r="AS460" s="474"/>
      <c r="AT460" s="474"/>
      <c r="AU460" s="474"/>
      <c r="AV460" s="474"/>
      <c r="AW460" s="474"/>
      <c r="AX460" s="474"/>
      <c r="AY460" s="474"/>
      <c r="AZ460" s="474"/>
      <c r="BA460" s="474"/>
      <c r="BC460" s="474"/>
      <c r="BD460" s="474"/>
      <c r="BE460" s="474"/>
      <c r="BF460" s="474"/>
      <c r="BG460" s="474"/>
      <c r="BH460" s="474"/>
      <c r="BI460" s="474"/>
      <c r="BJ460" s="474"/>
      <c r="CD460" s="474"/>
      <c r="CE460" s="474"/>
      <c r="CF460" s="474"/>
      <c r="CG460" s="474"/>
      <c r="CH460" s="474"/>
      <c r="CI460" s="474"/>
      <c r="CJ460" s="474"/>
      <c r="CK460" s="474"/>
      <c r="CM460" s="474"/>
      <c r="CN460" s="474"/>
      <c r="CO460" s="474"/>
      <c r="CP460" s="474"/>
      <c r="CQ460" s="474"/>
      <c r="CR460" s="474"/>
      <c r="CS460" s="474"/>
      <c r="CT460" s="474"/>
    </row>
    <row r="461" spans="1:98" s="35" customFormat="1" ht="12" customHeight="1">
      <c r="A461" s="474"/>
      <c r="B461" s="474"/>
      <c r="C461" s="474"/>
      <c r="D461" s="474"/>
      <c r="E461" s="474"/>
      <c r="F461" s="474"/>
      <c r="G461" s="474"/>
      <c r="H461" s="474"/>
      <c r="J461" s="474"/>
      <c r="K461" s="474"/>
      <c r="L461" s="474"/>
      <c r="M461" s="474"/>
      <c r="N461" s="474"/>
      <c r="O461" s="474"/>
      <c r="P461" s="474"/>
      <c r="Q461" s="474"/>
      <c r="S461" s="474"/>
      <c r="T461" s="474"/>
      <c r="U461" s="474"/>
      <c r="V461" s="474"/>
      <c r="W461" s="474"/>
      <c r="X461" s="474"/>
      <c r="Y461" s="474"/>
      <c r="Z461" s="474"/>
      <c r="AB461" s="474"/>
      <c r="AC461" s="474"/>
      <c r="AD461" s="474"/>
      <c r="AE461" s="474"/>
      <c r="AF461" s="474"/>
      <c r="AG461" s="474"/>
      <c r="AH461" s="474"/>
      <c r="AI461" s="474"/>
      <c r="AK461" s="474"/>
      <c r="AL461" s="474"/>
      <c r="AM461" s="474"/>
      <c r="AN461" s="474"/>
      <c r="AO461" s="474"/>
      <c r="AP461" s="474"/>
      <c r="AQ461" s="474"/>
      <c r="AR461" s="474"/>
      <c r="AS461" s="474"/>
      <c r="AT461" s="474"/>
      <c r="AU461" s="474"/>
      <c r="AV461" s="474"/>
      <c r="AW461" s="474"/>
      <c r="AX461" s="474"/>
      <c r="AY461" s="474"/>
      <c r="AZ461" s="474"/>
      <c r="BA461" s="474"/>
      <c r="BC461" s="474"/>
      <c r="BD461" s="474"/>
      <c r="BE461" s="474"/>
      <c r="BF461" s="474"/>
      <c r="BG461" s="474"/>
      <c r="BH461" s="474"/>
      <c r="BI461" s="474"/>
      <c r="BJ461" s="474"/>
      <c r="CD461" s="474"/>
      <c r="CE461" s="474"/>
      <c r="CF461" s="474"/>
      <c r="CG461" s="474"/>
      <c r="CH461" s="474"/>
      <c r="CI461" s="474"/>
      <c r="CJ461" s="474"/>
      <c r="CK461" s="474"/>
      <c r="CM461" s="474"/>
      <c r="CN461" s="474"/>
      <c r="CO461" s="474"/>
      <c r="CP461" s="474"/>
      <c r="CQ461" s="474"/>
      <c r="CR461" s="474"/>
      <c r="CS461" s="474"/>
      <c r="CT461" s="474"/>
    </row>
    <row r="462" spans="1:98" s="35" customFormat="1" ht="12" customHeight="1">
      <c r="A462" s="474"/>
      <c r="B462" s="474"/>
      <c r="C462" s="474"/>
      <c r="D462" s="474"/>
      <c r="E462" s="474"/>
      <c r="F462" s="474"/>
      <c r="G462" s="474"/>
      <c r="H462" s="474"/>
      <c r="J462" s="474"/>
      <c r="K462" s="474"/>
      <c r="L462" s="474"/>
      <c r="M462" s="474"/>
      <c r="N462" s="474"/>
      <c r="O462" s="474"/>
      <c r="P462" s="474"/>
      <c r="Q462" s="474"/>
      <c r="S462" s="474"/>
      <c r="T462" s="474"/>
      <c r="U462" s="474"/>
      <c r="V462" s="474"/>
      <c r="W462" s="474"/>
      <c r="X462" s="474"/>
      <c r="Y462" s="474"/>
      <c r="Z462" s="474"/>
      <c r="AB462" s="474"/>
      <c r="AC462" s="474"/>
      <c r="AD462" s="474"/>
      <c r="AE462" s="474"/>
      <c r="AF462" s="474"/>
      <c r="AG462" s="474"/>
      <c r="AH462" s="474"/>
      <c r="AI462" s="474"/>
      <c r="AK462" s="474"/>
      <c r="AL462" s="474"/>
      <c r="AM462" s="474"/>
      <c r="AN462" s="474"/>
      <c r="AO462" s="474"/>
      <c r="AP462" s="474"/>
      <c r="AQ462" s="474"/>
      <c r="AR462" s="474"/>
      <c r="AS462" s="474"/>
      <c r="AT462" s="474"/>
      <c r="AU462" s="474"/>
      <c r="AV462" s="474"/>
      <c r="AW462" s="474"/>
      <c r="AX462" s="474"/>
      <c r="AY462" s="474"/>
      <c r="AZ462" s="474"/>
      <c r="BA462" s="474"/>
      <c r="BC462" s="474"/>
      <c r="BD462" s="474"/>
      <c r="BE462" s="474"/>
      <c r="BF462" s="474"/>
      <c r="BG462" s="474"/>
      <c r="BH462" s="474"/>
      <c r="BI462" s="474"/>
      <c r="BJ462" s="474"/>
      <c r="CD462" s="474"/>
      <c r="CE462" s="474"/>
      <c r="CF462" s="474"/>
      <c r="CG462" s="474"/>
      <c r="CH462" s="474"/>
      <c r="CI462" s="474"/>
      <c r="CJ462" s="474"/>
      <c r="CK462" s="474"/>
      <c r="CM462" s="474"/>
      <c r="CN462" s="474"/>
      <c r="CO462" s="474"/>
      <c r="CP462" s="474"/>
      <c r="CQ462" s="474"/>
      <c r="CR462" s="474"/>
      <c r="CS462" s="474"/>
      <c r="CT462" s="474"/>
    </row>
    <row r="463" spans="1:98" s="35" customFormat="1" ht="12" customHeight="1">
      <c r="A463" s="474"/>
      <c r="B463" s="474"/>
      <c r="C463" s="474"/>
      <c r="D463" s="474"/>
      <c r="E463" s="474"/>
      <c r="F463" s="474"/>
      <c r="G463" s="474"/>
      <c r="H463" s="474"/>
      <c r="J463" s="474"/>
      <c r="K463" s="474"/>
      <c r="L463" s="474"/>
      <c r="M463" s="474"/>
      <c r="N463" s="474"/>
      <c r="O463" s="474"/>
      <c r="P463" s="474"/>
      <c r="Q463" s="474"/>
      <c r="S463" s="474"/>
      <c r="T463" s="474"/>
      <c r="U463" s="474"/>
      <c r="V463" s="474"/>
      <c r="W463" s="474"/>
      <c r="X463" s="474"/>
      <c r="Y463" s="474"/>
      <c r="Z463" s="474"/>
      <c r="AB463" s="474"/>
      <c r="AC463" s="474"/>
      <c r="AD463" s="474"/>
      <c r="AE463" s="474"/>
      <c r="AF463" s="474"/>
      <c r="AG463" s="474"/>
      <c r="AH463" s="474"/>
      <c r="AI463" s="474"/>
      <c r="AK463" s="474"/>
      <c r="AL463" s="474"/>
      <c r="AM463" s="474"/>
      <c r="AN463" s="474"/>
      <c r="AO463" s="474"/>
      <c r="AP463" s="474"/>
      <c r="AQ463" s="474"/>
      <c r="AR463" s="474"/>
      <c r="AS463" s="474"/>
      <c r="AT463" s="474"/>
      <c r="AU463" s="474"/>
      <c r="AV463" s="474"/>
      <c r="AW463" s="474"/>
      <c r="AX463" s="474"/>
      <c r="AY463" s="474"/>
      <c r="AZ463" s="474"/>
      <c r="BA463" s="474"/>
      <c r="BC463" s="474"/>
      <c r="BD463" s="474"/>
      <c r="BE463" s="474"/>
      <c r="BF463" s="474"/>
      <c r="BG463" s="474"/>
      <c r="BH463" s="474"/>
      <c r="BI463" s="474"/>
      <c r="BJ463" s="474"/>
      <c r="CD463" s="474"/>
      <c r="CE463" s="474"/>
      <c r="CF463" s="474"/>
      <c r="CG463" s="474"/>
      <c r="CH463" s="474"/>
      <c r="CI463" s="474"/>
      <c r="CJ463" s="474"/>
      <c r="CK463" s="474"/>
      <c r="CM463" s="474"/>
      <c r="CN463" s="474"/>
      <c r="CO463" s="474"/>
      <c r="CP463" s="474"/>
      <c r="CQ463" s="474"/>
      <c r="CR463" s="474"/>
      <c r="CS463" s="474"/>
      <c r="CT463" s="474"/>
    </row>
    <row r="464" spans="1:98" s="35" customFormat="1" ht="12" customHeight="1">
      <c r="A464" s="474"/>
      <c r="B464" s="474"/>
      <c r="C464" s="474"/>
      <c r="D464" s="474"/>
      <c r="E464" s="474"/>
      <c r="F464" s="474"/>
      <c r="G464" s="474"/>
      <c r="H464" s="474"/>
      <c r="J464" s="474"/>
      <c r="K464" s="474"/>
      <c r="L464" s="474"/>
      <c r="M464" s="474"/>
      <c r="N464" s="474"/>
      <c r="O464" s="474"/>
      <c r="P464" s="474"/>
      <c r="Q464" s="474"/>
      <c r="S464" s="474"/>
      <c r="T464" s="474"/>
      <c r="U464" s="474"/>
      <c r="V464" s="474"/>
      <c r="W464" s="474"/>
      <c r="X464" s="474"/>
      <c r="Y464" s="474"/>
      <c r="Z464" s="474"/>
      <c r="AB464" s="474"/>
      <c r="AC464" s="474"/>
      <c r="AD464" s="474"/>
      <c r="AE464" s="474"/>
      <c r="AF464" s="474"/>
      <c r="AG464" s="474"/>
      <c r="AH464" s="474"/>
      <c r="AI464" s="474"/>
      <c r="AK464" s="474"/>
      <c r="AL464" s="474"/>
      <c r="AM464" s="474"/>
      <c r="AN464" s="474"/>
      <c r="AO464" s="474"/>
      <c r="AP464" s="474"/>
      <c r="AQ464" s="474"/>
      <c r="AR464" s="474"/>
      <c r="AS464" s="474"/>
      <c r="AT464" s="474"/>
      <c r="AU464" s="474"/>
      <c r="AV464" s="474"/>
      <c r="AW464" s="474"/>
      <c r="AX464" s="474"/>
      <c r="AY464" s="474"/>
      <c r="AZ464" s="474"/>
      <c r="BA464" s="474"/>
      <c r="BC464" s="474"/>
      <c r="BD464" s="474"/>
      <c r="BE464" s="474"/>
      <c r="BF464" s="474"/>
      <c r="BG464" s="474"/>
      <c r="BH464" s="474"/>
      <c r="BI464" s="474"/>
      <c r="BJ464" s="474"/>
      <c r="CD464" s="474"/>
      <c r="CE464" s="474"/>
      <c r="CF464" s="474"/>
      <c r="CG464" s="474"/>
      <c r="CH464" s="474"/>
      <c r="CI464" s="474"/>
      <c r="CJ464" s="474"/>
      <c r="CK464" s="474"/>
      <c r="CM464" s="474"/>
      <c r="CN464" s="474"/>
      <c r="CO464" s="474"/>
      <c r="CP464" s="474"/>
      <c r="CQ464" s="474"/>
      <c r="CR464" s="474"/>
      <c r="CS464" s="474"/>
      <c r="CT464" s="474"/>
    </row>
    <row r="465" spans="1:98" s="35" customFormat="1" ht="12" customHeight="1">
      <c r="A465" s="474"/>
      <c r="B465" s="474"/>
      <c r="C465" s="474"/>
      <c r="D465" s="474"/>
      <c r="E465" s="474"/>
      <c r="F465" s="474"/>
      <c r="G465" s="474"/>
      <c r="H465" s="474"/>
      <c r="J465" s="474"/>
      <c r="K465" s="474"/>
      <c r="L465" s="474"/>
      <c r="M465" s="474"/>
      <c r="N465" s="474"/>
      <c r="O465" s="474"/>
      <c r="P465" s="474"/>
      <c r="Q465" s="474"/>
      <c r="S465" s="474"/>
      <c r="T465" s="474"/>
      <c r="U465" s="474"/>
      <c r="V465" s="474"/>
      <c r="W465" s="474"/>
      <c r="X465" s="474"/>
      <c r="Y465" s="474"/>
      <c r="Z465" s="474"/>
      <c r="AB465" s="474"/>
      <c r="AC465" s="474"/>
      <c r="AD465" s="474"/>
      <c r="AE465" s="474"/>
      <c r="AF465" s="474"/>
      <c r="AG465" s="474"/>
      <c r="AH465" s="474"/>
      <c r="AI465" s="474"/>
      <c r="AK465" s="474"/>
      <c r="AL465" s="474"/>
      <c r="AM465" s="474"/>
      <c r="AN465" s="474"/>
      <c r="AO465" s="474"/>
      <c r="AP465" s="474"/>
      <c r="AQ465" s="474"/>
      <c r="AR465" s="474"/>
      <c r="AS465" s="474"/>
      <c r="AT465" s="474"/>
      <c r="AU465" s="474"/>
      <c r="AV465" s="474"/>
      <c r="AW465" s="474"/>
      <c r="AX465" s="474"/>
      <c r="AY465" s="474"/>
      <c r="AZ465" s="474"/>
      <c r="BA465" s="474"/>
      <c r="BC465" s="474"/>
      <c r="BD465" s="474"/>
      <c r="BE465" s="474"/>
      <c r="BF465" s="474"/>
      <c r="BG465" s="474"/>
      <c r="BH465" s="474"/>
      <c r="BI465" s="474"/>
      <c r="BJ465" s="474"/>
      <c r="CD465" s="474"/>
      <c r="CE465" s="474"/>
      <c r="CF465" s="474"/>
      <c r="CG465" s="474"/>
      <c r="CH465" s="474"/>
      <c r="CI465" s="474"/>
      <c r="CJ465" s="474"/>
      <c r="CK465" s="474"/>
      <c r="CM465" s="474"/>
      <c r="CN465" s="474"/>
      <c r="CO465" s="474"/>
      <c r="CP465" s="474"/>
      <c r="CQ465" s="474"/>
      <c r="CR465" s="474"/>
      <c r="CS465" s="474"/>
      <c r="CT465" s="474"/>
    </row>
    <row r="466" spans="1:98" s="35" customFormat="1" ht="12" customHeight="1">
      <c r="A466" s="474"/>
      <c r="B466" s="474"/>
      <c r="C466" s="474"/>
      <c r="D466" s="474"/>
      <c r="E466" s="474"/>
      <c r="F466" s="474"/>
      <c r="G466" s="474"/>
      <c r="H466" s="474"/>
      <c r="J466" s="474"/>
      <c r="K466" s="474"/>
      <c r="L466" s="474"/>
      <c r="M466" s="474"/>
      <c r="N466" s="474"/>
      <c r="O466" s="474"/>
      <c r="P466" s="474"/>
      <c r="Q466" s="474"/>
      <c r="S466" s="474"/>
      <c r="T466" s="474"/>
      <c r="U466" s="474"/>
      <c r="V466" s="474"/>
      <c r="W466" s="474"/>
      <c r="X466" s="474"/>
      <c r="Y466" s="474"/>
      <c r="Z466" s="474"/>
      <c r="AB466" s="474"/>
      <c r="AC466" s="474"/>
      <c r="AD466" s="474"/>
      <c r="AE466" s="474"/>
      <c r="AF466" s="474"/>
      <c r="AG466" s="474"/>
      <c r="AH466" s="474"/>
      <c r="AI466" s="474"/>
      <c r="AK466" s="474"/>
      <c r="AL466" s="474"/>
      <c r="AM466" s="474"/>
      <c r="AN466" s="474"/>
      <c r="AO466" s="474"/>
      <c r="AP466" s="474"/>
      <c r="AQ466" s="474"/>
      <c r="AR466" s="474"/>
      <c r="AS466" s="474"/>
      <c r="AT466" s="474"/>
      <c r="AU466" s="474"/>
      <c r="AV466" s="474"/>
      <c r="AW466" s="474"/>
      <c r="AX466" s="474"/>
      <c r="AY466" s="474"/>
      <c r="AZ466" s="474"/>
      <c r="BA466" s="474"/>
      <c r="BC466" s="474"/>
      <c r="BD466" s="474"/>
      <c r="BE466" s="474"/>
      <c r="BF466" s="474"/>
      <c r="BG466" s="474"/>
      <c r="BH466" s="474"/>
      <c r="BI466" s="474"/>
      <c r="BJ466" s="474"/>
      <c r="CD466" s="474"/>
      <c r="CE466" s="474"/>
      <c r="CF466" s="474"/>
      <c r="CG466" s="474"/>
      <c r="CH466" s="474"/>
      <c r="CI466" s="474"/>
      <c r="CJ466" s="474"/>
      <c r="CK466" s="474"/>
      <c r="CM466" s="474"/>
      <c r="CN466" s="474"/>
      <c r="CO466" s="474"/>
      <c r="CP466" s="474"/>
      <c r="CQ466" s="474"/>
      <c r="CR466" s="474"/>
      <c r="CS466" s="474"/>
      <c r="CT466" s="474"/>
    </row>
    <row r="467" spans="1:98" s="35" customFormat="1" ht="12" customHeight="1">
      <c r="A467" s="474"/>
      <c r="B467" s="474"/>
      <c r="C467" s="474"/>
      <c r="D467" s="474"/>
      <c r="E467" s="474"/>
      <c r="F467" s="474"/>
      <c r="G467" s="474"/>
      <c r="H467" s="474"/>
      <c r="J467" s="474"/>
      <c r="K467" s="474"/>
      <c r="L467" s="474"/>
      <c r="M467" s="474"/>
      <c r="N467" s="474"/>
      <c r="O467" s="474"/>
      <c r="P467" s="474"/>
      <c r="Q467" s="474"/>
      <c r="S467" s="474"/>
      <c r="T467" s="474"/>
      <c r="U467" s="474"/>
      <c r="V467" s="474"/>
      <c r="W467" s="474"/>
      <c r="X467" s="474"/>
      <c r="Y467" s="474"/>
      <c r="Z467" s="474"/>
      <c r="AB467" s="474"/>
      <c r="AC467" s="474"/>
      <c r="AD467" s="474"/>
      <c r="AE467" s="474"/>
      <c r="AF467" s="474"/>
      <c r="AG467" s="474"/>
      <c r="AH467" s="474"/>
      <c r="AI467" s="474"/>
      <c r="AK467" s="474"/>
      <c r="AL467" s="474"/>
      <c r="AM467" s="474"/>
      <c r="AN467" s="474"/>
      <c r="AO467" s="474"/>
      <c r="AP467" s="474"/>
      <c r="AQ467" s="474"/>
      <c r="AR467" s="474"/>
      <c r="AS467" s="474"/>
      <c r="AT467" s="474"/>
      <c r="AU467" s="474"/>
      <c r="AV467" s="474"/>
      <c r="AW467" s="474"/>
      <c r="AX467" s="474"/>
      <c r="AY467" s="474"/>
      <c r="AZ467" s="474"/>
      <c r="BA467" s="474"/>
      <c r="BC467" s="474"/>
      <c r="BD467" s="474"/>
      <c r="BE467" s="474"/>
      <c r="BF467" s="474"/>
      <c r="BG467" s="474"/>
      <c r="BH467" s="474"/>
      <c r="BI467" s="474"/>
      <c r="BJ467" s="474"/>
      <c r="CD467" s="474"/>
      <c r="CE467" s="474"/>
      <c r="CF467" s="474"/>
      <c r="CG467" s="474"/>
      <c r="CH467" s="474"/>
      <c r="CI467" s="474"/>
      <c r="CJ467" s="474"/>
      <c r="CK467" s="474"/>
      <c r="CM467" s="474"/>
      <c r="CN467" s="474"/>
      <c r="CO467" s="474"/>
      <c r="CP467" s="474"/>
      <c r="CQ467" s="474"/>
      <c r="CR467" s="474"/>
      <c r="CS467" s="474"/>
      <c r="CT467" s="474"/>
    </row>
    <row r="468" spans="1:98" s="35" customFormat="1" ht="12" customHeight="1">
      <c r="A468" s="474"/>
      <c r="B468" s="474"/>
      <c r="C468" s="474"/>
      <c r="D468" s="474"/>
      <c r="E468" s="474"/>
      <c r="F468" s="474"/>
      <c r="G468" s="474"/>
      <c r="H468" s="474"/>
      <c r="J468" s="474"/>
      <c r="K468" s="474"/>
      <c r="L468" s="474"/>
      <c r="M468" s="474"/>
      <c r="N468" s="474"/>
      <c r="O468" s="474"/>
      <c r="P468" s="474"/>
      <c r="Q468" s="474"/>
      <c r="S468" s="474"/>
      <c r="T468" s="474"/>
      <c r="U468" s="474"/>
      <c r="V468" s="474"/>
      <c r="W468" s="474"/>
      <c r="X468" s="474"/>
      <c r="Y468" s="474"/>
      <c r="Z468" s="474"/>
      <c r="AB468" s="474"/>
      <c r="AC468" s="474"/>
      <c r="AD468" s="474"/>
      <c r="AE468" s="474"/>
      <c r="AF468" s="474"/>
      <c r="AG468" s="474"/>
      <c r="AH468" s="474"/>
      <c r="AI468" s="474"/>
      <c r="AK468" s="474"/>
      <c r="AL468" s="474"/>
      <c r="AM468" s="474"/>
      <c r="AN468" s="474"/>
      <c r="AO468" s="474"/>
      <c r="AP468" s="474"/>
      <c r="AQ468" s="474"/>
      <c r="AR468" s="474"/>
      <c r="AS468" s="474"/>
      <c r="AT468" s="474"/>
      <c r="AU468" s="474"/>
      <c r="AV468" s="474"/>
      <c r="AW468" s="474"/>
      <c r="AX468" s="474"/>
      <c r="AY468" s="474"/>
      <c r="AZ468" s="474"/>
      <c r="BA468" s="474"/>
      <c r="BC468" s="474"/>
      <c r="BD468" s="474"/>
      <c r="BE468" s="474"/>
      <c r="BF468" s="474"/>
      <c r="BG468" s="474"/>
      <c r="BH468" s="474"/>
      <c r="BI468" s="474"/>
      <c r="BJ468" s="474"/>
      <c r="CD468" s="474"/>
      <c r="CE468" s="474"/>
      <c r="CF468" s="474"/>
      <c r="CG468" s="474"/>
      <c r="CH468" s="474"/>
      <c r="CI468" s="474"/>
      <c r="CJ468" s="474"/>
      <c r="CK468" s="474"/>
      <c r="CM468" s="474"/>
      <c r="CN468" s="474"/>
      <c r="CO468" s="474"/>
      <c r="CP468" s="474"/>
      <c r="CQ468" s="474"/>
      <c r="CR468" s="474"/>
      <c r="CS468" s="474"/>
      <c r="CT468" s="474"/>
    </row>
    <row r="469" spans="1:98" s="35" customFormat="1" ht="12" customHeight="1">
      <c r="A469" s="474"/>
      <c r="B469" s="474"/>
      <c r="C469" s="474"/>
      <c r="D469" s="474"/>
      <c r="E469" s="474"/>
      <c r="F469" s="474"/>
      <c r="G469" s="474"/>
      <c r="H469" s="474"/>
      <c r="J469" s="474"/>
      <c r="K469" s="474"/>
      <c r="L469" s="474"/>
      <c r="M469" s="474"/>
      <c r="N469" s="474"/>
      <c r="O469" s="474"/>
      <c r="P469" s="474"/>
      <c r="Q469" s="474"/>
      <c r="S469" s="474"/>
      <c r="T469" s="474"/>
      <c r="U469" s="474"/>
      <c r="V469" s="474"/>
      <c r="W469" s="474"/>
      <c r="X469" s="474"/>
      <c r="Y469" s="474"/>
      <c r="Z469" s="474"/>
      <c r="AB469" s="474"/>
      <c r="AC469" s="474"/>
      <c r="AD469" s="474"/>
      <c r="AE469" s="474"/>
      <c r="AF469" s="474"/>
      <c r="AG469" s="474"/>
      <c r="AH469" s="474"/>
      <c r="AI469" s="474"/>
      <c r="AK469" s="474"/>
      <c r="AL469" s="474"/>
      <c r="AM469" s="474"/>
      <c r="AN469" s="474"/>
      <c r="AO469" s="474"/>
      <c r="AP469" s="474"/>
      <c r="AQ469" s="474"/>
      <c r="AR469" s="474"/>
      <c r="AS469" s="474"/>
      <c r="AT469" s="474"/>
      <c r="AU469" s="474"/>
      <c r="AV469" s="474"/>
      <c r="AW469" s="474"/>
      <c r="AX469" s="474"/>
      <c r="AY469" s="474"/>
      <c r="AZ469" s="474"/>
      <c r="BA469" s="474"/>
      <c r="BC469" s="474"/>
      <c r="BD469" s="474"/>
      <c r="BE469" s="474"/>
      <c r="BF469" s="474"/>
      <c r="BG469" s="474"/>
      <c r="BH469" s="474"/>
      <c r="BI469" s="474"/>
      <c r="BJ469" s="474"/>
      <c r="CD469" s="474"/>
      <c r="CE469" s="474"/>
      <c r="CF469" s="474"/>
      <c r="CG469" s="474"/>
      <c r="CH469" s="474"/>
      <c r="CI469" s="474"/>
      <c r="CJ469" s="474"/>
      <c r="CK469" s="474"/>
      <c r="CM469" s="474"/>
      <c r="CN469" s="474"/>
      <c r="CO469" s="474"/>
      <c r="CP469" s="474"/>
      <c r="CQ469" s="474"/>
      <c r="CR469" s="474"/>
      <c r="CS469" s="474"/>
      <c r="CT469" s="474"/>
    </row>
    <row r="470" spans="1:98" s="35" customFormat="1" ht="12" customHeight="1">
      <c r="A470" s="474"/>
      <c r="B470" s="474"/>
      <c r="C470" s="474"/>
      <c r="D470" s="474"/>
      <c r="E470" s="474"/>
      <c r="F470" s="474"/>
      <c r="G470" s="474"/>
      <c r="H470" s="474"/>
      <c r="J470" s="474"/>
      <c r="K470" s="474"/>
      <c r="L470" s="474"/>
      <c r="M470" s="474"/>
      <c r="N470" s="474"/>
      <c r="O470" s="474"/>
      <c r="P470" s="474"/>
      <c r="Q470" s="474"/>
      <c r="S470" s="474"/>
      <c r="T470" s="474"/>
      <c r="U470" s="474"/>
      <c r="V470" s="474"/>
      <c r="W470" s="474"/>
      <c r="X470" s="474"/>
      <c r="Y470" s="474"/>
      <c r="Z470" s="474"/>
      <c r="AB470" s="474"/>
      <c r="AC470" s="474"/>
      <c r="AD470" s="474"/>
      <c r="AE470" s="474"/>
      <c r="AF470" s="474"/>
      <c r="AG470" s="474"/>
      <c r="AH470" s="474"/>
      <c r="AI470" s="474"/>
      <c r="AK470" s="474"/>
      <c r="AL470" s="474"/>
      <c r="AM470" s="474"/>
      <c r="AN470" s="474"/>
      <c r="AO470" s="474"/>
      <c r="AP470" s="474"/>
      <c r="AQ470" s="474"/>
      <c r="AR470" s="474"/>
      <c r="AS470" s="474"/>
      <c r="AT470" s="474"/>
      <c r="AU470" s="474"/>
      <c r="AV470" s="474"/>
      <c r="AW470" s="474"/>
      <c r="AX470" s="474"/>
      <c r="AY470" s="474"/>
      <c r="AZ470" s="474"/>
      <c r="BA470" s="474"/>
      <c r="BC470" s="474"/>
      <c r="BD470" s="474"/>
      <c r="BE470" s="474"/>
      <c r="BF470" s="474"/>
      <c r="BG470" s="474"/>
      <c r="BH470" s="474"/>
      <c r="BI470" s="474"/>
      <c r="BJ470" s="474"/>
      <c r="CD470" s="474"/>
      <c r="CE470" s="474"/>
      <c r="CF470" s="474"/>
      <c r="CG470" s="474"/>
      <c r="CH470" s="474"/>
      <c r="CI470" s="474"/>
      <c r="CJ470" s="474"/>
      <c r="CK470" s="474"/>
      <c r="CM470" s="474"/>
      <c r="CN470" s="474"/>
      <c r="CO470" s="474"/>
      <c r="CP470" s="474"/>
      <c r="CQ470" s="474"/>
      <c r="CR470" s="474"/>
      <c r="CS470" s="474"/>
      <c r="CT470" s="474"/>
    </row>
    <row r="471" spans="1:98" s="35" customFormat="1" ht="12" customHeight="1">
      <c r="A471" s="474"/>
      <c r="B471" s="474"/>
      <c r="C471" s="474"/>
      <c r="D471" s="474"/>
      <c r="E471" s="474"/>
      <c r="F471" s="474"/>
      <c r="G471" s="474"/>
      <c r="H471" s="474"/>
      <c r="J471" s="474"/>
      <c r="K471" s="474"/>
      <c r="L471" s="474"/>
      <c r="M471" s="474"/>
      <c r="N471" s="474"/>
      <c r="O471" s="474"/>
      <c r="P471" s="474"/>
      <c r="Q471" s="474"/>
      <c r="S471" s="474"/>
      <c r="T471" s="474"/>
      <c r="U471" s="474"/>
      <c r="V471" s="474"/>
      <c r="W471" s="474"/>
      <c r="X471" s="474"/>
      <c r="Y471" s="474"/>
      <c r="Z471" s="474"/>
      <c r="AB471" s="474"/>
      <c r="AC471" s="474"/>
      <c r="AD471" s="474"/>
      <c r="AE471" s="474"/>
      <c r="AF471" s="474"/>
      <c r="AG471" s="474"/>
      <c r="AH471" s="474"/>
      <c r="AI471" s="474"/>
      <c r="AK471" s="474"/>
      <c r="AL471" s="474"/>
      <c r="AM471" s="474"/>
      <c r="AN471" s="474"/>
      <c r="AO471" s="474"/>
      <c r="AP471" s="474"/>
      <c r="AQ471" s="474"/>
      <c r="AR471" s="474"/>
      <c r="AS471" s="474"/>
      <c r="AT471" s="474"/>
      <c r="AU471" s="474"/>
      <c r="AV471" s="474"/>
      <c r="AW471" s="474"/>
      <c r="AX471" s="474"/>
      <c r="AY471" s="474"/>
      <c r="AZ471" s="474"/>
      <c r="BA471" s="474"/>
      <c r="BC471" s="474"/>
      <c r="BD471" s="474"/>
      <c r="BE471" s="474"/>
      <c r="BF471" s="474"/>
      <c r="BG471" s="474"/>
      <c r="BH471" s="474"/>
      <c r="BI471" s="474"/>
      <c r="BJ471" s="474"/>
      <c r="CD471" s="474"/>
      <c r="CE471" s="474"/>
      <c r="CF471" s="474"/>
      <c r="CG471" s="474"/>
      <c r="CH471" s="474"/>
      <c r="CI471" s="474"/>
      <c r="CJ471" s="474"/>
      <c r="CK471" s="474"/>
      <c r="CM471" s="474"/>
      <c r="CN471" s="474"/>
      <c r="CO471" s="474"/>
      <c r="CP471" s="474"/>
      <c r="CQ471" s="474"/>
      <c r="CR471" s="474"/>
      <c r="CS471" s="474"/>
      <c r="CT471" s="474"/>
    </row>
    <row r="472" spans="1:98" s="35" customFormat="1" ht="12" customHeight="1">
      <c r="A472" s="474"/>
      <c r="B472" s="474"/>
      <c r="C472" s="474"/>
      <c r="D472" s="474"/>
      <c r="E472" s="474"/>
      <c r="F472" s="474"/>
      <c r="G472" s="474"/>
      <c r="H472" s="474"/>
      <c r="J472" s="474"/>
      <c r="K472" s="474"/>
      <c r="L472" s="474"/>
      <c r="M472" s="474"/>
      <c r="N472" s="474"/>
      <c r="O472" s="474"/>
      <c r="P472" s="474"/>
      <c r="Q472" s="474"/>
      <c r="S472" s="474"/>
      <c r="T472" s="474"/>
      <c r="U472" s="474"/>
      <c r="V472" s="474"/>
      <c r="W472" s="474"/>
      <c r="X472" s="474"/>
      <c r="Y472" s="474"/>
      <c r="Z472" s="474"/>
      <c r="AB472" s="474"/>
      <c r="AC472" s="474"/>
      <c r="AD472" s="474"/>
      <c r="AE472" s="474"/>
      <c r="AF472" s="474"/>
      <c r="AG472" s="474"/>
      <c r="AH472" s="474"/>
      <c r="AI472" s="474"/>
      <c r="AK472" s="474"/>
      <c r="AL472" s="474"/>
      <c r="AM472" s="474"/>
      <c r="AN472" s="474"/>
      <c r="AO472" s="474"/>
      <c r="AP472" s="474"/>
      <c r="AQ472" s="474"/>
      <c r="AR472" s="474"/>
      <c r="AS472" s="474"/>
      <c r="AT472" s="474"/>
      <c r="AU472" s="474"/>
      <c r="AV472" s="474"/>
      <c r="AW472" s="474"/>
      <c r="AX472" s="474"/>
      <c r="AY472" s="474"/>
      <c r="AZ472" s="474"/>
      <c r="BA472" s="474"/>
      <c r="BC472" s="474"/>
      <c r="BD472" s="474"/>
      <c r="BE472" s="474"/>
      <c r="BF472" s="474"/>
      <c r="BG472" s="474"/>
      <c r="BH472" s="474"/>
      <c r="BI472" s="474"/>
      <c r="BJ472" s="474"/>
      <c r="CD472" s="474"/>
      <c r="CE472" s="474"/>
      <c r="CF472" s="474"/>
      <c r="CG472" s="474"/>
      <c r="CH472" s="474"/>
      <c r="CI472" s="474"/>
      <c r="CJ472" s="474"/>
      <c r="CK472" s="474"/>
      <c r="CM472" s="474"/>
      <c r="CN472" s="474"/>
      <c r="CO472" s="474"/>
      <c r="CP472" s="474"/>
      <c r="CQ472" s="474"/>
      <c r="CR472" s="474"/>
      <c r="CS472" s="474"/>
      <c r="CT472" s="474"/>
    </row>
    <row r="473" spans="1:98" s="35" customFormat="1" ht="12" customHeight="1">
      <c r="A473" s="474"/>
      <c r="B473" s="474"/>
      <c r="C473" s="474"/>
      <c r="D473" s="474"/>
      <c r="E473" s="474"/>
      <c r="F473" s="474"/>
      <c r="G473" s="474"/>
      <c r="H473" s="474"/>
      <c r="J473" s="474"/>
      <c r="K473" s="474"/>
      <c r="L473" s="474"/>
      <c r="M473" s="474"/>
      <c r="N473" s="474"/>
      <c r="O473" s="474"/>
      <c r="P473" s="474"/>
      <c r="Q473" s="474"/>
      <c r="S473" s="474"/>
      <c r="T473" s="474"/>
      <c r="U473" s="474"/>
      <c r="V473" s="474"/>
      <c r="W473" s="474"/>
      <c r="X473" s="474"/>
      <c r="Y473" s="474"/>
      <c r="Z473" s="474"/>
      <c r="AB473" s="474"/>
      <c r="AC473" s="474"/>
      <c r="AD473" s="474"/>
      <c r="AE473" s="474"/>
      <c r="AF473" s="474"/>
      <c r="AG473" s="474"/>
      <c r="AH473" s="474"/>
      <c r="AI473" s="474"/>
      <c r="AK473" s="474"/>
      <c r="AL473" s="474"/>
      <c r="AM473" s="474"/>
      <c r="AN473" s="474"/>
      <c r="AO473" s="474"/>
      <c r="AP473" s="474"/>
      <c r="AQ473" s="474"/>
      <c r="AR473" s="474"/>
      <c r="AS473" s="474"/>
      <c r="AT473" s="474"/>
      <c r="AU473" s="474"/>
      <c r="AV473" s="474"/>
      <c r="AW473" s="474"/>
      <c r="AX473" s="474"/>
      <c r="AY473" s="474"/>
      <c r="AZ473" s="474"/>
      <c r="BA473" s="474"/>
      <c r="BC473" s="474"/>
      <c r="BD473" s="474"/>
      <c r="BE473" s="474"/>
      <c r="BF473" s="474"/>
      <c r="BG473" s="474"/>
      <c r="BH473" s="474"/>
      <c r="BI473" s="474"/>
      <c r="BJ473" s="474"/>
      <c r="CD473" s="474"/>
      <c r="CE473" s="474"/>
      <c r="CF473" s="474"/>
      <c r="CG473" s="474"/>
      <c r="CH473" s="474"/>
      <c r="CI473" s="474"/>
      <c r="CJ473" s="474"/>
      <c r="CK473" s="474"/>
      <c r="CM473" s="474"/>
      <c r="CN473" s="474"/>
      <c r="CO473" s="474"/>
      <c r="CP473" s="474"/>
      <c r="CQ473" s="474"/>
      <c r="CR473" s="474"/>
      <c r="CS473" s="474"/>
      <c r="CT473" s="474"/>
    </row>
    <row r="474" spans="1:98" s="35" customFormat="1" ht="12" customHeight="1">
      <c r="A474" s="474"/>
      <c r="B474" s="474"/>
      <c r="C474" s="474"/>
      <c r="D474" s="474"/>
      <c r="E474" s="474"/>
      <c r="F474" s="474"/>
      <c r="G474" s="474"/>
      <c r="H474" s="474"/>
      <c r="J474" s="474"/>
      <c r="K474" s="474"/>
      <c r="L474" s="474"/>
      <c r="M474" s="474"/>
      <c r="N474" s="474"/>
      <c r="O474" s="474"/>
      <c r="P474" s="474"/>
      <c r="Q474" s="474"/>
      <c r="S474" s="474"/>
      <c r="T474" s="474"/>
      <c r="U474" s="474"/>
      <c r="V474" s="474"/>
      <c r="W474" s="474"/>
      <c r="X474" s="474"/>
      <c r="Y474" s="474"/>
      <c r="Z474" s="474"/>
      <c r="AB474" s="474"/>
      <c r="AC474" s="474"/>
      <c r="AD474" s="474"/>
      <c r="AE474" s="474"/>
      <c r="AF474" s="474"/>
      <c r="AG474" s="474"/>
      <c r="AH474" s="474"/>
      <c r="AI474" s="474"/>
      <c r="AK474" s="474"/>
      <c r="AL474" s="474"/>
      <c r="AM474" s="474"/>
      <c r="AN474" s="474"/>
      <c r="AO474" s="474"/>
      <c r="AP474" s="474"/>
      <c r="AQ474" s="474"/>
      <c r="AR474" s="474"/>
      <c r="AS474" s="474"/>
      <c r="AT474" s="474"/>
      <c r="AU474" s="474"/>
      <c r="AV474" s="474"/>
      <c r="AW474" s="474"/>
      <c r="AX474" s="474"/>
      <c r="AY474" s="474"/>
      <c r="AZ474" s="474"/>
      <c r="BA474" s="474"/>
      <c r="BC474" s="474"/>
      <c r="BD474" s="474"/>
      <c r="BE474" s="474"/>
      <c r="BF474" s="474"/>
      <c r="BG474" s="474"/>
      <c r="BH474" s="474"/>
      <c r="BI474" s="474"/>
      <c r="BJ474" s="474"/>
      <c r="CD474" s="474"/>
      <c r="CE474" s="474"/>
      <c r="CF474" s="474"/>
      <c r="CG474" s="474"/>
      <c r="CH474" s="474"/>
      <c r="CI474" s="474"/>
      <c r="CJ474" s="474"/>
      <c r="CK474" s="474"/>
      <c r="CM474" s="474"/>
      <c r="CN474" s="474"/>
      <c r="CO474" s="474"/>
      <c r="CP474" s="474"/>
      <c r="CQ474" s="474"/>
      <c r="CR474" s="474"/>
      <c r="CS474" s="474"/>
      <c r="CT474" s="474"/>
    </row>
    <row r="475" spans="1:98" s="35" customFormat="1" ht="12" customHeight="1">
      <c r="A475" s="474"/>
      <c r="B475" s="474"/>
      <c r="C475" s="474"/>
      <c r="D475" s="474"/>
      <c r="E475" s="474"/>
      <c r="F475" s="474"/>
      <c r="G475" s="474"/>
      <c r="H475" s="474"/>
      <c r="J475" s="474"/>
      <c r="K475" s="474"/>
      <c r="L475" s="474"/>
      <c r="M475" s="474"/>
      <c r="N475" s="474"/>
      <c r="O475" s="474"/>
      <c r="P475" s="474"/>
      <c r="Q475" s="474"/>
      <c r="S475" s="474"/>
      <c r="T475" s="474"/>
      <c r="U475" s="474"/>
      <c r="V475" s="474"/>
      <c r="W475" s="474"/>
      <c r="X475" s="474"/>
      <c r="Y475" s="474"/>
      <c r="Z475" s="474"/>
      <c r="AB475" s="474"/>
      <c r="AC475" s="474"/>
      <c r="AD475" s="474"/>
      <c r="AE475" s="474"/>
      <c r="AF475" s="474"/>
      <c r="AG475" s="474"/>
      <c r="AH475" s="474"/>
      <c r="AI475" s="474"/>
      <c r="AK475" s="474"/>
      <c r="AL475" s="474"/>
      <c r="AM475" s="474"/>
      <c r="AN475" s="474"/>
      <c r="AO475" s="474"/>
      <c r="AP475" s="474"/>
      <c r="AQ475" s="474"/>
      <c r="AR475" s="474"/>
      <c r="AS475" s="474"/>
      <c r="AT475" s="474"/>
      <c r="AU475" s="474"/>
      <c r="AV475" s="474"/>
      <c r="AW475" s="474"/>
      <c r="AX475" s="474"/>
      <c r="AY475" s="474"/>
      <c r="AZ475" s="474"/>
      <c r="BA475" s="474"/>
      <c r="BC475" s="474"/>
      <c r="BD475" s="474"/>
      <c r="BE475" s="474"/>
      <c r="BF475" s="474"/>
      <c r="BG475" s="474"/>
      <c r="BH475" s="474"/>
      <c r="BI475" s="474"/>
      <c r="BJ475" s="474"/>
      <c r="CD475" s="474"/>
      <c r="CE475" s="474"/>
      <c r="CF475" s="474"/>
      <c r="CG475" s="474"/>
      <c r="CH475" s="474"/>
      <c r="CI475" s="474"/>
      <c r="CJ475" s="474"/>
      <c r="CK475" s="474"/>
      <c r="CM475" s="474"/>
      <c r="CN475" s="474"/>
      <c r="CO475" s="474"/>
      <c r="CP475" s="474"/>
      <c r="CQ475" s="474"/>
      <c r="CR475" s="474"/>
      <c r="CS475" s="474"/>
      <c r="CT475" s="474"/>
    </row>
    <row r="476" spans="1:98" s="35" customFormat="1" ht="12" customHeight="1">
      <c r="A476" s="474"/>
      <c r="B476" s="474"/>
      <c r="C476" s="474"/>
      <c r="D476" s="474"/>
      <c r="E476" s="474"/>
      <c r="F476" s="474"/>
      <c r="G476" s="474"/>
      <c r="H476" s="474"/>
      <c r="J476" s="474"/>
      <c r="K476" s="474"/>
      <c r="L476" s="474"/>
      <c r="M476" s="474"/>
      <c r="N476" s="474"/>
      <c r="O476" s="474"/>
      <c r="P476" s="474"/>
      <c r="Q476" s="474"/>
      <c r="S476" s="474"/>
      <c r="T476" s="474"/>
      <c r="U476" s="474"/>
      <c r="V476" s="474"/>
      <c r="W476" s="474"/>
      <c r="X476" s="474"/>
      <c r="Y476" s="474"/>
      <c r="Z476" s="474"/>
      <c r="AB476" s="474"/>
      <c r="AC476" s="474"/>
      <c r="AD476" s="474"/>
      <c r="AE476" s="474"/>
      <c r="AF476" s="474"/>
      <c r="AG476" s="474"/>
      <c r="AH476" s="474"/>
      <c r="AI476" s="474"/>
      <c r="AK476" s="474"/>
      <c r="AL476" s="474"/>
      <c r="AM476" s="474"/>
      <c r="AN476" s="474"/>
      <c r="AO476" s="474"/>
      <c r="AP476" s="474"/>
      <c r="AQ476" s="474"/>
      <c r="AR476" s="474"/>
      <c r="AS476" s="474"/>
      <c r="AT476" s="474"/>
      <c r="AU476" s="474"/>
      <c r="AV476" s="474"/>
      <c r="AW476" s="474"/>
      <c r="AX476" s="474"/>
      <c r="AY476" s="474"/>
      <c r="AZ476" s="474"/>
      <c r="BA476" s="474"/>
      <c r="BC476" s="474"/>
      <c r="BD476" s="474"/>
      <c r="BE476" s="474"/>
      <c r="BF476" s="474"/>
      <c r="BG476" s="474"/>
      <c r="BH476" s="474"/>
      <c r="BI476" s="474"/>
      <c r="BJ476" s="474"/>
      <c r="CD476" s="474"/>
      <c r="CE476" s="474"/>
      <c r="CF476" s="474"/>
      <c r="CG476" s="474"/>
      <c r="CH476" s="474"/>
      <c r="CI476" s="474"/>
      <c r="CJ476" s="474"/>
      <c r="CK476" s="474"/>
      <c r="CM476" s="474"/>
      <c r="CN476" s="474"/>
      <c r="CO476" s="474"/>
      <c r="CP476" s="474"/>
      <c r="CQ476" s="474"/>
      <c r="CR476" s="474"/>
      <c r="CS476" s="474"/>
      <c r="CT476" s="474"/>
    </row>
    <row r="477" spans="1:98" s="35" customFormat="1" ht="12" customHeight="1">
      <c r="A477" s="474"/>
      <c r="B477" s="474"/>
      <c r="C477" s="474"/>
      <c r="D477" s="474"/>
      <c r="E477" s="474"/>
      <c r="F477" s="474"/>
      <c r="G477" s="474"/>
      <c r="H477" s="474"/>
      <c r="J477" s="474"/>
      <c r="K477" s="474"/>
      <c r="L477" s="474"/>
      <c r="M477" s="474"/>
      <c r="N477" s="474"/>
      <c r="O477" s="474"/>
      <c r="P477" s="474"/>
      <c r="Q477" s="474"/>
      <c r="S477" s="474"/>
      <c r="T477" s="474"/>
      <c r="U477" s="474"/>
      <c r="V477" s="474"/>
      <c r="W477" s="474"/>
      <c r="X477" s="474"/>
      <c r="Y477" s="474"/>
      <c r="Z477" s="474"/>
      <c r="AB477" s="474"/>
      <c r="AC477" s="474"/>
      <c r="AD477" s="474"/>
      <c r="AE477" s="474"/>
      <c r="AF477" s="474"/>
      <c r="AG477" s="474"/>
      <c r="AH477" s="474"/>
      <c r="AI477" s="474"/>
      <c r="AK477" s="474"/>
      <c r="AL477" s="474"/>
      <c r="AM477" s="474"/>
      <c r="AN477" s="474"/>
      <c r="AO477" s="474"/>
      <c r="AP477" s="474"/>
      <c r="AQ477" s="474"/>
      <c r="AR477" s="474"/>
      <c r="AS477" s="474"/>
      <c r="AT477" s="474"/>
      <c r="AU477" s="474"/>
      <c r="AV477" s="474"/>
      <c r="AW477" s="474"/>
      <c r="AX477" s="474"/>
      <c r="AY477" s="474"/>
      <c r="AZ477" s="474"/>
      <c r="BA477" s="474"/>
      <c r="BC477" s="474"/>
      <c r="BD477" s="474"/>
      <c r="BE477" s="474"/>
      <c r="BF477" s="474"/>
      <c r="BG477" s="474"/>
      <c r="BH477" s="474"/>
      <c r="BI477" s="474"/>
      <c r="BJ477" s="474"/>
      <c r="CD477" s="474"/>
      <c r="CE477" s="474"/>
      <c r="CF477" s="474"/>
      <c r="CG477" s="474"/>
      <c r="CH477" s="474"/>
      <c r="CI477" s="474"/>
      <c r="CJ477" s="474"/>
      <c r="CK477" s="474"/>
      <c r="CM477" s="474"/>
      <c r="CN477" s="474"/>
      <c r="CO477" s="474"/>
      <c r="CP477" s="474"/>
      <c r="CQ477" s="474"/>
      <c r="CR477" s="474"/>
      <c r="CS477" s="474"/>
      <c r="CT477" s="474"/>
    </row>
    <row r="478" spans="1:98" s="35" customFormat="1" ht="12" customHeight="1">
      <c r="A478" s="474"/>
      <c r="B478" s="474"/>
      <c r="C478" s="474"/>
      <c r="D478" s="474"/>
      <c r="E478" s="474"/>
      <c r="F478" s="474"/>
      <c r="G478" s="474"/>
      <c r="H478" s="474"/>
      <c r="J478" s="474"/>
      <c r="K478" s="474"/>
      <c r="L478" s="474"/>
      <c r="M478" s="474"/>
      <c r="N478" s="474"/>
      <c r="O478" s="474"/>
      <c r="P478" s="474"/>
      <c r="Q478" s="474"/>
      <c r="S478" s="474"/>
      <c r="T478" s="474"/>
      <c r="U478" s="474"/>
      <c r="V478" s="474"/>
      <c r="W478" s="474"/>
      <c r="X478" s="474"/>
      <c r="Y478" s="474"/>
      <c r="Z478" s="474"/>
      <c r="AB478" s="474"/>
      <c r="AC478" s="474"/>
      <c r="AD478" s="474"/>
      <c r="AE478" s="474"/>
      <c r="AF478" s="474"/>
      <c r="AG478" s="474"/>
      <c r="AH478" s="474"/>
      <c r="AI478" s="474"/>
      <c r="AK478" s="474"/>
      <c r="AL478" s="474"/>
      <c r="AM478" s="474"/>
      <c r="AN478" s="474"/>
      <c r="AO478" s="474"/>
      <c r="AP478" s="474"/>
      <c r="AQ478" s="474"/>
      <c r="AR478" s="474"/>
      <c r="AS478" s="474"/>
      <c r="AT478" s="474"/>
      <c r="AU478" s="474"/>
      <c r="AV478" s="474"/>
      <c r="AW478" s="474"/>
      <c r="AX478" s="474"/>
      <c r="AY478" s="474"/>
      <c r="AZ478" s="474"/>
      <c r="BA478" s="474"/>
      <c r="BC478" s="474"/>
      <c r="BD478" s="474"/>
      <c r="BE478" s="474"/>
      <c r="BF478" s="474"/>
      <c r="BG478" s="474"/>
      <c r="BH478" s="474"/>
      <c r="BI478" s="474"/>
      <c r="BJ478" s="474"/>
      <c r="CD478" s="474"/>
      <c r="CE478" s="474"/>
      <c r="CF478" s="474"/>
      <c r="CG478" s="474"/>
      <c r="CH478" s="474"/>
      <c r="CI478" s="474"/>
      <c r="CJ478" s="474"/>
      <c r="CK478" s="474"/>
      <c r="CM478" s="474"/>
      <c r="CN478" s="474"/>
      <c r="CO478" s="474"/>
      <c r="CP478" s="474"/>
      <c r="CQ478" s="474"/>
      <c r="CR478" s="474"/>
      <c r="CS478" s="474"/>
      <c r="CT478" s="474"/>
    </row>
    <row r="479" spans="1:98" s="35" customFormat="1" ht="12" customHeight="1">
      <c r="A479" s="474"/>
      <c r="B479" s="474"/>
      <c r="C479" s="474"/>
      <c r="D479" s="474"/>
      <c r="E479" s="474"/>
      <c r="F479" s="474"/>
      <c r="G479" s="474"/>
      <c r="H479" s="474"/>
      <c r="J479" s="474"/>
      <c r="K479" s="474"/>
      <c r="L479" s="474"/>
      <c r="M479" s="474"/>
      <c r="N479" s="474"/>
      <c r="O479" s="474"/>
      <c r="P479" s="474"/>
      <c r="Q479" s="474"/>
      <c r="S479" s="474"/>
      <c r="T479" s="474"/>
      <c r="U479" s="474"/>
      <c r="V479" s="474"/>
      <c r="W479" s="474"/>
      <c r="X479" s="474"/>
      <c r="Y479" s="474"/>
      <c r="Z479" s="474"/>
      <c r="AB479" s="474"/>
      <c r="AC479" s="474"/>
      <c r="AD479" s="474"/>
      <c r="AE479" s="474"/>
      <c r="AF479" s="474"/>
      <c r="AG479" s="474"/>
      <c r="AH479" s="474"/>
      <c r="AI479" s="474"/>
      <c r="AK479" s="474"/>
      <c r="AL479" s="474"/>
      <c r="AM479" s="474"/>
      <c r="AN479" s="474"/>
      <c r="AO479" s="474"/>
      <c r="AP479" s="474"/>
      <c r="AQ479" s="474"/>
      <c r="AR479" s="474"/>
      <c r="AS479" s="474"/>
      <c r="AT479" s="474"/>
      <c r="AU479" s="474"/>
      <c r="AV479" s="474"/>
      <c r="AW479" s="474"/>
      <c r="AX479" s="474"/>
      <c r="AY479" s="474"/>
      <c r="AZ479" s="474"/>
      <c r="BA479" s="474"/>
      <c r="BC479" s="474"/>
      <c r="BD479" s="474"/>
      <c r="BE479" s="474"/>
      <c r="BF479" s="474"/>
      <c r="BG479" s="474"/>
      <c r="BH479" s="474"/>
      <c r="BI479" s="474"/>
      <c r="BJ479" s="474"/>
      <c r="CD479" s="474"/>
      <c r="CE479" s="474"/>
      <c r="CF479" s="474"/>
      <c r="CG479" s="474"/>
      <c r="CH479" s="474"/>
      <c r="CI479" s="474"/>
      <c r="CJ479" s="474"/>
      <c r="CK479" s="474"/>
      <c r="CM479" s="474"/>
      <c r="CN479" s="474"/>
      <c r="CO479" s="474"/>
      <c r="CP479" s="474"/>
      <c r="CQ479" s="474"/>
      <c r="CR479" s="474"/>
      <c r="CS479" s="474"/>
      <c r="CT479" s="474"/>
    </row>
    <row r="480" spans="1:98" s="35" customFormat="1" ht="12" customHeight="1">
      <c r="A480" s="474"/>
      <c r="B480" s="474"/>
      <c r="C480" s="474"/>
      <c r="D480" s="474"/>
      <c r="E480" s="474"/>
      <c r="F480" s="474"/>
      <c r="G480" s="474"/>
      <c r="H480" s="474"/>
      <c r="J480" s="474"/>
      <c r="K480" s="474"/>
      <c r="L480" s="474"/>
      <c r="M480" s="474"/>
      <c r="N480" s="474"/>
      <c r="O480" s="474"/>
      <c r="P480" s="474"/>
      <c r="Q480" s="474"/>
      <c r="S480" s="474"/>
      <c r="T480" s="474"/>
      <c r="U480" s="474"/>
      <c r="V480" s="474"/>
      <c r="W480" s="474"/>
      <c r="X480" s="474"/>
      <c r="Y480" s="474"/>
      <c r="Z480" s="474"/>
      <c r="AB480" s="474"/>
      <c r="AC480" s="474"/>
      <c r="AD480" s="474"/>
      <c r="AE480" s="474"/>
      <c r="AF480" s="474"/>
      <c r="AG480" s="474"/>
      <c r="AH480" s="474"/>
      <c r="AI480" s="474"/>
      <c r="AK480" s="474"/>
      <c r="AL480" s="474"/>
      <c r="AM480" s="474"/>
      <c r="AN480" s="474"/>
      <c r="AO480" s="474"/>
      <c r="AP480" s="474"/>
      <c r="AQ480" s="474"/>
      <c r="AR480" s="474"/>
      <c r="AS480" s="474"/>
      <c r="AT480" s="474"/>
      <c r="AU480" s="474"/>
      <c r="AV480" s="474"/>
      <c r="AW480" s="474"/>
      <c r="AX480" s="474"/>
      <c r="AY480" s="474"/>
      <c r="AZ480" s="474"/>
      <c r="BA480" s="474"/>
      <c r="BC480" s="474"/>
      <c r="BD480" s="474"/>
      <c r="BE480" s="474"/>
      <c r="BF480" s="474"/>
      <c r="BG480" s="474"/>
      <c r="BH480" s="474"/>
      <c r="BI480" s="474"/>
      <c r="BJ480" s="474"/>
      <c r="CD480" s="474"/>
      <c r="CE480" s="474"/>
      <c r="CF480" s="474"/>
      <c r="CG480" s="474"/>
      <c r="CH480" s="474"/>
      <c r="CI480" s="474"/>
      <c r="CJ480" s="474"/>
      <c r="CK480" s="474"/>
      <c r="CM480" s="474"/>
      <c r="CN480" s="474"/>
      <c r="CO480" s="474"/>
      <c r="CP480" s="474"/>
      <c r="CQ480" s="474"/>
      <c r="CR480" s="474"/>
      <c r="CS480" s="474"/>
      <c r="CT480" s="474"/>
    </row>
    <row r="481" spans="1:98" s="35" customFormat="1" ht="12" customHeight="1">
      <c r="A481" s="474"/>
      <c r="B481" s="474"/>
      <c r="C481" s="474"/>
      <c r="D481" s="474"/>
      <c r="E481" s="474"/>
      <c r="F481" s="474"/>
      <c r="G481" s="474"/>
      <c r="H481" s="474"/>
      <c r="J481" s="474"/>
      <c r="K481" s="474"/>
      <c r="L481" s="474"/>
      <c r="M481" s="474"/>
      <c r="N481" s="474"/>
      <c r="O481" s="474"/>
      <c r="P481" s="474"/>
      <c r="Q481" s="474"/>
      <c r="S481" s="474"/>
      <c r="T481" s="474"/>
      <c r="U481" s="474"/>
      <c r="V481" s="474"/>
      <c r="W481" s="474"/>
      <c r="X481" s="474"/>
      <c r="Y481" s="474"/>
      <c r="Z481" s="474"/>
      <c r="AB481" s="474"/>
      <c r="AC481" s="474"/>
      <c r="AD481" s="474"/>
      <c r="AE481" s="474"/>
      <c r="AF481" s="474"/>
      <c r="AG481" s="474"/>
      <c r="AH481" s="474"/>
      <c r="AI481" s="474"/>
      <c r="AK481" s="474"/>
      <c r="AL481" s="474"/>
      <c r="AM481" s="474"/>
      <c r="AN481" s="474"/>
      <c r="AO481" s="474"/>
      <c r="AP481" s="474"/>
      <c r="AQ481" s="474"/>
      <c r="AR481" s="474"/>
      <c r="AS481" s="474"/>
      <c r="AT481" s="474"/>
      <c r="AU481" s="474"/>
      <c r="AV481" s="474"/>
      <c r="AW481" s="474"/>
      <c r="AX481" s="474"/>
      <c r="AY481" s="474"/>
      <c r="AZ481" s="474"/>
      <c r="BA481" s="474"/>
      <c r="BC481" s="474"/>
      <c r="BD481" s="474"/>
      <c r="BE481" s="474"/>
      <c r="BF481" s="474"/>
      <c r="BG481" s="474"/>
      <c r="BH481" s="474"/>
      <c r="BI481" s="474"/>
      <c r="BJ481" s="474"/>
      <c r="CD481" s="474"/>
      <c r="CE481" s="474"/>
      <c r="CF481" s="474"/>
      <c r="CG481" s="474"/>
      <c r="CH481" s="474"/>
      <c r="CI481" s="474"/>
      <c r="CJ481" s="474"/>
      <c r="CK481" s="474"/>
      <c r="CM481" s="474"/>
      <c r="CN481" s="474"/>
      <c r="CO481" s="474"/>
      <c r="CP481" s="474"/>
      <c r="CQ481" s="474"/>
      <c r="CR481" s="474"/>
      <c r="CS481" s="474"/>
      <c r="CT481" s="474"/>
    </row>
    <row r="482" spans="1:98" s="35" customFormat="1" ht="12" customHeight="1">
      <c r="A482" s="474"/>
      <c r="B482" s="474"/>
      <c r="C482" s="474"/>
      <c r="D482" s="474"/>
      <c r="E482" s="474"/>
      <c r="F482" s="474"/>
      <c r="G482" s="474"/>
      <c r="H482" s="474"/>
      <c r="J482" s="474"/>
      <c r="K482" s="474"/>
      <c r="L482" s="474"/>
      <c r="M482" s="474"/>
      <c r="N482" s="474"/>
      <c r="O482" s="474"/>
      <c r="P482" s="474"/>
      <c r="Q482" s="474"/>
      <c r="S482" s="474"/>
      <c r="T482" s="474"/>
      <c r="U482" s="474"/>
      <c r="V482" s="474"/>
      <c r="W482" s="474"/>
      <c r="X482" s="474"/>
      <c r="Y482" s="474"/>
      <c r="Z482" s="474"/>
      <c r="AB482" s="474"/>
      <c r="AC482" s="474"/>
      <c r="AD482" s="474"/>
      <c r="AE482" s="474"/>
      <c r="AF482" s="474"/>
      <c r="AG482" s="474"/>
      <c r="AH482" s="474"/>
      <c r="AI482" s="474"/>
      <c r="AK482" s="474"/>
      <c r="AL482" s="474"/>
      <c r="AM482" s="474"/>
      <c r="AN482" s="474"/>
      <c r="AO482" s="474"/>
      <c r="AP482" s="474"/>
      <c r="AQ482" s="474"/>
      <c r="AR482" s="474"/>
      <c r="AS482" s="474"/>
      <c r="AT482" s="474"/>
      <c r="AU482" s="474"/>
      <c r="AV482" s="474"/>
      <c r="AW482" s="474"/>
      <c r="AX482" s="474"/>
      <c r="AY482" s="474"/>
      <c r="AZ482" s="474"/>
      <c r="BA482" s="474"/>
      <c r="BC482" s="474"/>
      <c r="BD482" s="474"/>
      <c r="BE482" s="474"/>
      <c r="BF482" s="474"/>
      <c r="BG482" s="474"/>
      <c r="BH482" s="474"/>
      <c r="BI482" s="474"/>
      <c r="BJ482" s="474"/>
      <c r="CD482" s="474"/>
      <c r="CE482" s="474"/>
      <c r="CF482" s="474"/>
      <c r="CG482" s="474"/>
      <c r="CH482" s="474"/>
      <c r="CI482" s="474"/>
      <c r="CJ482" s="474"/>
      <c r="CK482" s="474"/>
      <c r="CM482" s="474"/>
      <c r="CN482" s="474"/>
      <c r="CO482" s="474"/>
      <c r="CP482" s="474"/>
      <c r="CQ482" s="474"/>
      <c r="CR482" s="474"/>
      <c r="CS482" s="474"/>
      <c r="CT482" s="474"/>
    </row>
    <row r="483" spans="1:98" s="35" customFormat="1" ht="12" customHeight="1">
      <c r="A483" s="474"/>
      <c r="B483" s="474"/>
      <c r="C483" s="474"/>
      <c r="D483" s="474"/>
      <c r="E483" s="474"/>
      <c r="F483" s="474"/>
      <c r="G483" s="474"/>
      <c r="H483" s="474"/>
      <c r="J483" s="474"/>
      <c r="K483" s="474"/>
      <c r="L483" s="474"/>
      <c r="M483" s="474"/>
      <c r="N483" s="474"/>
      <c r="O483" s="474"/>
      <c r="P483" s="474"/>
      <c r="Q483" s="474"/>
      <c r="S483" s="474"/>
      <c r="T483" s="474"/>
      <c r="U483" s="474"/>
      <c r="V483" s="474"/>
      <c r="W483" s="474"/>
      <c r="X483" s="474"/>
      <c r="Y483" s="474"/>
      <c r="Z483" s="474"/>
      <c r="AB483" s="474"/>
      <c r="AC483" s="474"/>
      <c r="AD483" s="474"/>
      <c r="AE483" s="474"/>
      <c r="AF483" s="474"/>
      <c r="AG483" s="474"/>
      <c r="AH483" s="474"/>
      <c r="AI483" s="474"/>
      <c r="AK483" s="474"/>
      <c r="AL483" s="474"/>
      <c r="AM483" s="474"/>
      <c r="AN483" s="474"/>
      <c r="AO483" s="474"/>
      <c r="AP483" s="474"/>
      <c r="AQ483" s="474"/>
      <c r="AR483" s="474"/>
      <c r="AS483" s="474"/>
      <c r="AT483" s="474"/>
      <c r="AU483" s="474"/>
      <c r="AV483" s="474"/>
      <c r="AW483" s="474"/>
      <c r="AX483" s="474"/>
      <c r="AY483" s="474"/>
      <c r="AZ483" s="474"/>
      <c r="BA483" s="474"/>
      <c r="BC483" s="474"/>
      <c r="BD483" s="474"/>
      <c r="BE483" s="474"/>
      <c r="BF483" s="474"/>
      <c r="BG483" s="474"/>
      <c r="BH483" s="474"/>
      <c r="BI483" s="474"/>
      <c r="BJ483" s="474"/>
      <c r="CD483" s="474"/>
      <c r="CE483" s="474"/>
      <c r="CF483" s="474"/>
      <c r="CG483" s="474"/>
      <c r="CH483" s="474"/>
      <c r="CI483" s="474"/>
      <c r="CJ483" s="474"/>
      <c r="CK483" s="474"/>
      <c r="CM483" s="474"/>
      <c r="CN483" s="474"/>
      <c r="CO483" s="474"/>
      <c r="CP483" s="474"/>
      <c r="CQ483" s="474"/>
      <c r="CR483" s="474"/>
      <c r="CS483" s="474"/>
      <c r="CT483" s="474"/>
    </row>
    <row r="484" spans="1:98" s="35" customFormat="1" ht="12" customHeight="1">
      <c r="A484" s="474"/>
      <c r="B484" s="474"/>
      <c r="C484" s="474"/>
      <c r="D484" s="474"/>
      <c r="E484" s="474"/>
      <c r="F484" s="474"/>
      <c r="G484" s="474"/>
      <c r="H484" s="474"/>
      <c r="J484" s="474"/>
      <c r="K484" s="474"/>
      <c r="L484" s="474"/>
      <c r="M484" s="474"/>
      <c r="N484" s="474"/>
      <c r="O484" s="474"/>
      <c r="P484" s="474"/>
      <c r="Q484" s="474"/>
      <c r="S484" s="474"/>
      <c r="T484" s="474"/>
      <c r="U484" s="474"/>
      <c r="V484" s="474"/>
      <c r="W484" s="474"/>
      <c r="X484" s="474"/>
      <c r="Y484" s="474"/>
      <c r="Z484" s="474"/>
      <c r="AB484" s="474"/>
      <c r="AC484" s="474"/>
      <c r="AD484" s="474"/>
      <c r="AE484" s="474"/>
      <c r="AF484" s="474"/>
      <c r="AG484" s="474"/>
      <c r="AH484" s="474"/>
      <c r="AI484" s="474"/>
      <c r="AK484" s="474"/>
      <c r="AL484" s="474"/>
      <c r="AM484" s="474"/>
      <c r="AN484" s="474"/>
      <c r="AO484" s="474"/>
      <c r="AP484" s="474"/>
      <c r="AQ484" s="474"/>
      <c r="AR484" s="474"/>
      <c r="AS484" s="474"/>
      <c r="AT484" s="474"/>
      <c r="AU484" s="474"/>
      <c r="AV484" s="474"/>
      <c r="AW484" s="474"/>
      <c r="AX484" s="474"/>
      <c r="AY484" s="474"/>
      <c r="AZ484" s="474"/>
      <c r="BA484" s="474"/>
      <c r="BC484" s="474"/>
      <c r="BD484" s="474"/>
      <c r="BE484" s="474"/>
      <c r="BF484" s="474"/>
      <c r="BG484" s="474"/>
      <c r="BH484" s="474"/>
      <c r="BI484" s="474"/>
      <c r="BJ484" s="474"/>
      <c r="CD484" s="474"/>
      <c r="CE484" s="474"/>
      <c r="CF484" s="474"/>
      <c r="CG484" s="474"/>
      <c r="CH484" s="474"/>
      <c r="CI484" s="474"/>
      <c r="CJ484" s="474"/>
      <c r="CK484" s="474"/>
      <c r="CM484" s="474"/>
      <c r="CN484" s="474"/>
      <c r="CO484" s="474"/>
      <c r="CP484" s="474"/>
      <c r="CQ484" s="474"/>
      <c r="CR484" s="474"/>
      <c r="CS484" s="474"/>
      <c r="CT484" s="474"/>
    </row>
    <row r="485" spans="1:98" s="35" customFormat="1" ht="12" customHeight="1">
      <c r="A485" s="474"/>
      <c r="B485" s="474"/>
      <c r="C485" s="474"/>
      <c r="D485" s="474"/>
      <c r="E485" s="474"/>
      <c r="F485" s="474"/>
      <c r="G485" s="474"/>
      <c r="H485" s="474"/>
      <c r="J485" s="474"/>
      <c r="K485" s="474"/>
      <c r="L485" s="474"/>
      <c r="M485" s="474"/>
      <c r="N485" s="474"/>
      <c r="O485" s="474"/>
      <c r="P485" s="474"/>
      <c r="Q485" s="474"/>
      <c r="S485" s="474"/>
      <c r="T485" s="474"/>
      <c r="U485" s="474"/>
      <c r="V485" s="474"/>
      <c r="W485" s="474"/>
      <c r="X485" s="474"/>
      <c r="Y485" s="474"/>
      <c r="Z485" s="474"/>
      <c r="AB485" s="474"/>
      <c r="AC485" s="474"/>
      <c r="AD485" s="474"/>
      <c r="AE485" s="474"/>
      <c r="AF485" s="474"/>
      <c r="AG485" s="474"/>
      <c r="AH485" s="474"/>
      <c r="AI485" s="474"/>
      <c r="AK485" s="474"/>
      <c r="AL485" s="474"/>
      <c r="AM485" s="474"/>
      <c r="AN485" s="474"/>
      <c r="AO485" s="474"/>
      <c r="AP485" s="474"/>
      <c r="AQ485" s="474"/>
      <c r="AR485" s="474"/>
      <c r="AS485" s="474"/>
      <c r="AT485" s="474"/>
      <c r="AU485" s="474"/>
      <c r="AV485" s="474"/>
      <c r="AW485" s="474"/>
      <c r="AX485" s="474"/>
      <c r="AY485" s="474"/>
      <c r="AZ485" s="474"/>
      <c r="BA485" s="474"/>
      <c r="BC485" s="474"/>
      <c r="BD485" s="474"/>
      <c r="BE485" s="474"/>
      <c r="BF485" s="474"/>
      <c r="BG485" s="474"/>
      <c r="BH485" s="474"/>
      <c r="BI485" s="474"/>
      <c r="BJ485" s="474"/>
      <c r="CD485" s="474"/>
      <c r="CE485" s="474"/>
      <c r="CF485" s="474"/>
      <c r="CG485" s="474"/>
      <c r="CH485" s="474"/>
      <c r="CI485" s="474"/>
      <c r="CJ485" s="474"/>
      <c r="CK485" s="474"/>
      <c r="CM485" s="474"/>
      <c r="CN485" s="474"/>
      <c r="CO485" s="474"/>
      <c r="CP485" s="474"/>
      <c r="CQ485" s="474"/>
      <c r="CR485" s="474"/>
      <c r="CS485" s="474"/>
      <c r="CT485" s="474"/>
    </row>
    <row r="486" spans="1:98" s="35" customFormat="1" ht="12" customHeight="1">
      <c r="A486" s="474"/>
      <c r="B486" s="474"/>
      <c r="C486" s="474"/>
      <c r="D486" s="474"/>
      <c r="E486" s="474"/>
      <c r="F486" s="474"/>
      <c r="G486" s="474"/>
      <c r="H486" s="474"/>
      <c r="J486" s="474"/>
      <c r="K486" s="474"/>
      <c r="L486" s="474"/>
      <c r="M486" s="474"/>
      <c r="N486" s="474"/>
      <c r="O486" s="474"/>
      <c r="P486" s="474"/>
      <c r="Q486" s="474"/>
      <c r="S486" s="474"/>
      <c r="T486" s="474"/>
      <c r="U486" s="474"/>
      <c r="V486" s="474"/>
      <c r="W486" s="474"/>
      <c r="X486" s="474"/>
      <c r="Y486" s="474"/>
      <c r="Z486" s="474"/>
      <c r="AB486" s="474"/>
      <c r="AC486" s="474"/>
      <c r="AD486" s="474"/>
      <c r="AE486" s="474"/>
      <c r="AF486" s="474"/>
      <c r="AG486" s="474"/>
      <c r="AH486" s="474"/>
      <c r="AI486" s="474"/>
      <c r="AK486" s="474"/>
      <c r="AL486" s="474"/>
      <c r="AM486" s="474"/>
      <c r="AN486" s="474"/>
      <c r="AO486" s="474"/>
      <c r="AP486" s="474"/>
      <c r="AQ486" s="474"/>
      <c r="AR486" s="474"/>
      <c r="AS486" s="474"/>
      <c r="AT486" s="474"/>
      <c r="AU486" s="474"/>
      <c r="AV486" s="474"/>
      <c r="AW486" s="474"/>
      <c r="AX486" s="474"/>
      <c r="AY486" s="474"/>
      <c r="AZ486" s="474"/>
      <c r="BA486" s="474"/>
      <c r="BC486" s="474"/>
      <c r="BD486" s="474"/>
      <c r="BE486" s="474"/>
      <c r="BF486" s="474"/>
      <c r="BG486" s="474"/>
      <c r="BH486" s="474"/>
      <c r="BI486" s="474"/>
      <c r="BJ486" s="474"/>
      <c r="CD486" s="474"/>
      <c r="CE486" s="474"/>
      <c r="CF486" s="474"/>
      <c r="CG486" s="474"/>
      <c r="CH486" s="474"/>
      <c r="CI486" s="474"/>
      <c r="CJ486" s="474"/>
      <c r="CK486" s="474"/>
      <c r="CM486" s="474"/>
      <c r="CN486" s="474"/>
      <c r="CO486" s="474"/>
      <c r="CP486" s="474"/>
      <c r="CQ486" s="474"/>
      <c r="CR486" s="474"/>
      <c r="CS486" s="474"/>
      <c r="CT486" s="474"/>
    </row>
    <row r="487" spans="1:98" s="35" customFormat="1" ht="12" customHeight="1">
      <c r="A487" s="474"/>
      <c r="B487" s="474"/>
      <c r="C487" s="474"/>
      <c r="D487" s="474"/>
      <c r="E487" s="474"/>
      <c r="F487" s="474"/>
      <c r="G487" s="474"/>
      <c r="H487" s="474"/>
      <c r="J487" s="474"/>
      <c r="K487" s="474"/>
      <c r="L487" s="474"/>
      <c r="M487" s="474"/>
      <c r="N487" s="474"/>
      <c r="O487" s="474"/>
      <c r="P487" s="474"/>
      <c r="Q487" s="474"/>
      <c r="S487" s="474"/>
      <c r="T487" s="474"/>
      <c r="U487" s="474"/>
      <c r="V487" s="474"/>
      <c r="W487" s="474"/>
      <c r="X487" s="474"/>
      <c r="Y487" s="474"/>
      <c r="Z487" s="474"/>
      <c r="AB487" s="474"/>
      <c r="AC487" s="474"/>
      <c r="AD487" s="474"/>
      <c r="AE487" s="474"/>
      <c r="AF487" s="474"/>
      <c r="AG487" s="474"/>
      <c r="AH487" s="474"/>
      <c r="AI487" s="474"/>
      <c r="AK487" s="474"/>
      <c r="AL487" s="474"/>
      <c r="AM487" s="474"/>
      <c r="AN487" s="474"/>
      <c r="AO487" s="474"/>
      <c r="AP487" s="474"/>
      <c r="AQ487" s="474"/>
      <c r="AR487" s="474"/>
      <c r="AS487" s="474"/>
      <c r="AT487" s="474"/>
      <c r="AU487" s="474"/>
      <c r="AV487" s="474"/>
      <c r="AW487" s="474"/>
      <c r="AX487" s="474"/>
      <c r="AY487" s="474"/>
      <c r="AZ487" s="474"/>
      <c r="BA487" s="474"/>
      <c r="BC487" s="474"/>
      <c r="BD487" s="474"/>
      <c r="BE487" s="474"/>
      <c r="BF487" s="474"/>
      <c r="BG487" s="474"/>
      <c r="BH487" s="474"/>
      <c r="BI487" s="474"/>
      <c r="BJ487" s="474"/>
      <c r="CD487" s="474"/>
      <c r="CE487" s="474"/>
      <c r="CF487" s="474"/>
      <c r="CG487" s="474"/>
      <c r="CH487" s="474"/>
      <c r="CI487" s="474"/>
      <c r="CJ487" s="474"/>
      <c r="CK487" s="474"/>
      <c r="CM487" s="474"/>
      <c r="CN487" s="474"/>
      <c r="CO487" s="474"/>
      <c r="CP487" s="474"/>
      <c r="CQ487" s="474"/>
      <c r="CR487" s="474"/>
      <c r="CS487" s="474"/>
      <c r="CT487" s="474"/>
    </row>
    <row r="488" spans="1:98" s="35" customFormat="1" ht="12" customHeight="1">
      <c r="A488" s="474"/>
      <c r="B488" s="474"/>
      <c r="C488" s="474"/>
      <c r="D488" s="474"/>
      <c r="E488" s="474"/>
      <c r="F488" s="474"/>
      <c r="G488" s="474"/>
      <c r="H488" s="474"/>
      <c r="J488" s="474"/>
      <c r="K488" s="474"/>
      <c r="L488" s="474"/>
      <c r="M488" s="474"/>
      <c r="N488" s="474"/>
      <c r="O488" s="474"/>
      <c r="P488" s="474"/>
      <c r="Q488" s="474"/>
      <c r="S488" s="474"/>
      <c r="T488" s="474"/>
      <c r="U488" s="474"/>
      <c r="V488" s="474"/>
      <c r="W488" s="474"/>
      <c r="X488" s="474"/>
      <c r="Y488" s="474"/>
      <c r="Z488" s="474"/>
      <c r="AB488" s="474"/>
      <c r="AC488" s="474"/>
      <c r="AD488" s="474"/>
      <c r="AE488" s="474"/>
      <c r="AF488" s="474"/>
      <c r="AG488" s="474"/>
      <c r="AH488" s="474"/>
      <c r="AI488" s="474"/>
      <c r="AK488" s="474"/>
      <c r="AL488" s="474"/>
      <c r="AM488" s="474"/>
      <c r="AN488" s="474"/>
      <c r="AO488" s="474"/>
      <c r="AP488" s="474"/>
      <c r="AQ488" s="474"/>
      <c r="AR488" s="474"/>
      <c r="AS488" s="474"/>
      <c r="AT488" s="474"/>
      <c r="AU488" s="474"/>
      <c r="AV488" s="474"/>
      <c r="AW488" s="474"/>
      <c r="AX488" s="474"/>
      <c r="AY488" s="474"/>
      <c r="AZ488" s="474"/>
      <c r="BA488" s="474"/>
      <c r="BC488" s="474"/>
      <c r="BD488" s="474"/>
      <c r="BE488" s="474"/>
      <c r="BF488" s="474"/>
      <c r="BG488" s="474"/>
      <c r="BH488" s="474"/>
      <c r="BI488" s="474"/>
      <c r="BJ488" s="474"/>
      <c r="CD488" s="474"/>
      <c r="CE488" s="474"/>
      <c r="CF488" s="474"/>
      <c r="CG488" s="474"/>
      <c r="CH488" s="474"/>
      <c r="CI488" s="474"/>
      <c r="CJ488" s="474"/>
      <c r="CK488" s="474"/>
      <c r="CM488" s="474"/>
      <c r="CN488" s="474"/>
      <c r="CO488" s="474"/>
      <c r="CP488" s="474"/>
      <c r="CQ488" s="474"/>
      <c r="CR488" s="474"/>
      <c r="CS488" s="474"/>
      <c r="CT488" s="474"/>
    </row>
    <row r="489" spans="1:98" s="35" customFormat="1" ht="12" customHeight="1">
      <c r="A489" s="474"/>
      <c r="B489" s="474"/>
      <c r="C489" s="474"/>
      <c r="D489" s="474"/>
      <c r="E489" s="474"/>
      <c r="F489" s="474"/>
      <c r="G489" s="474"/>
      <c r="H489" s="474"/>
      <c r="J489" s="474"/>
      <c r="K489" s="474"/>
      <c r="L489" s="474"/>
      <c r="M489" s="474"/>
      <c r="N489" s="474"/>
      <c r="O489" s="474"/>
      <c r="P489" s="474"/>
      <c r="Q489" s="474"/>
      <c r="S489" s="474"/>
      <c r="T489" s="474"/>
      <c r="U489" s="474"/>
      <c r="V489" s="474"/>
      <c r="W489" s="474"/>
      <c r="X489" s="474"/>
      <c r="Y489" s="474"/>
      <c r="Z489" s="474"/>
      <c r="AB489" s="474"/>
      <c r="AC489" s="474"/>
      <c r="AD489" s="474"/>
      <c r="AE489" s="474"/>
      <c r="AF489" s="474"/>
      <c r="AG489" s="474"/>
      <c r="AH489" s="474"/>
      <c r="AI489" s="474"/>
      <c r="AK489" s="474"/>
      <c r="AL489" s="474"/>
      <c r="AM489" s="474"/>
      <c r="AN489" s="474"/>
      <c r="AO489" s="474"/>
      <c r="AP489" s="474"/>
      <c r="AQ489" s="474"/>
      <c r="AR489" s="474"/>
      <c r="AS489" s="474"/>
      <c r="AT489" s="474"/>
      <c r="AU489" s="474"/>
      <c r="AV489" s="474"/>
      <c r="AW489" s="474"/>
      <c r="AX489" s="474"/>
      <c r="AY489" s="474"/>
      <c r="AZ489" s="474"/>
      <c r="BA489" s="474"/>
      <c r="BC489" s="474"/>
      <c r="BD489" s="474"/>
      <c r="BE489" s="474"/>
      <c r="BF489" s="474"/>
      <c r="BG489" s="474"/>
      <c r="BH489" s="474"/>
      <c r="BI489" s="474"/>
      <c r="BJ489" s="474"/>
      <c r="CD489" s="474"/>
      <c r="CE489" s="474"/>
      <c r="CF489" s="474"/>
      <c r="CG489" s="474"/>
      <c r="CH489" s="474"/>
      <c r="CI489" s="474"/>
      <c r="CJ489" s="474"/>
      <c r="CK489" s="474"/>
      <c r="CM489" s="474"/>
      <c r="CN489" s="474"/>
      <c r="CO489" s="474"/>
      <c r="CP489" s="474"/>
      <c r="CQ489" s="474"/>
      <c r="CR489" s="474"/>
      <c r="CS489" s="474"/>
      <c r="CT489" s="474"/>
    </row>
    <row r="490" spans="1:98" s="35" customFormat="1" ht="12" customHeight="1">
      <c r="A490" s="474"/>
      <c r="B490" s="474"/>
      <c r="C490" s="474"/>
      <c r="D490" s="474"/>
      <c r="E490" s="474"/>
      <c r="F490" s="474"/>
      <c r="G490" s="474"/>
      <c r="H490" s="474"/>
      <c r="J490" s="474"/>
      <c r="K490" s="474"/>
      <c r="L490" s="474"/>
      <c r="M490" s="474"/>
      <c r="N490" s="474"/>
      <c r="O490" s="474"/>
      <c r="P490" s="474"/>
      <c r="Q490" s="474"/>
      <c r="S490" s="474"/>
      <c r="T490" s="474"/>
      <c r="U490" s="474"/>
      <c r="V490" s="474"/>
      <c r="W490" s="474"/>
      <c r="X490" s="474"/>
      <c r="Y490" s="474"/>
      <c r="Z490" s="474"/>
      <c r="AB490" s="474"/>
      <c r="AC490" s="474"/>
      <c r="AD490" s="474"/>
      <c r="AE490" s="474"/>
      <c r="AF490" s="474"/>
      <c r="AG490" s="474"/>
      <c r="AH490" s="474"/>
      <c r="AI490" s="474"/>
      <c r="AK490" s="474"/>
      <c r="AL490" s="474"/>
      <c r="AM490" s="474"/>
      <c r="AN490" s="474"/>
      <c r="AO490" s="474"/>
      <c r="AP490" s="474"/>
      <c r="AQ490" s="474"/>
      <c r="AR490" s="474"/>
      <c r="AS490" s="474"/>
      <c r="AT490" s="474"/>
      <c r="AU490" s="474"/>
      <c r="AV490" s="474"/>
      <c r="AW490" s="474"/>
      <c r="AX490" s="474"/>
      <c r="AY490" s="474"/>
      <c r="AZ490" s="474"/>
      <c r="BA490" s="474"/>
      <c r="BC490" s="474"/>
      <c r="BD490" s="474"/>
      <c r="BE490" s="474"/>
      <c r="BF490" s="474"/>
      <c r="BG490" s="474"/>
      <c r="BH490" s="474"/>
      <c r="BI490" s="474"/>
      <c r="BJ490" s="474"/>
      <c r="CD490" s="474"/>
      <c r="CE490" s="474"/>
      <c r="CF490" s="474"/>
      <c r="CG490" s="474"/>
      <c r="CH490" s="474"/>
      <c r="CI490" s="474"/>
      <c r="CJ490" s="474"/>
      <c r="CK490" s="474"/>
      <c r="CM490" s="474"/>
      <c r="CN490" s="474"/>
      <c r="CO490" s="474"/>
      <c r="CP490" s="474"/>
      <c r="CQ490" s="474"/>
      <c r="CR490" s="474"/>
      <c r="CS490" s="474"/>
      <c r="CT490" s="474"/>
    </row>
    <row r="491" spans="1:98" s="35" customFormat="1" ht="12" customHeight="1">
      <c r="A491" s="474"/>
      <c r="B491" s="474"/>
      <c r="C491" s="474"/>
      <c r="D491" s="474"/>
      <c r="E491" s="474"/>
      <c r="F491" s="474"/>
      <c r="G491" s="474"/>
      <c r="H491" s="474"/>
      <c r="J491" s="474"/>
      <c r="K491" s="474"/>
      <c r="L491" s="474"/>
      <c r="M491" s="474"/>
      <c r="N491" s="474"/>
      <c r="O491" s="474"/>
      <c r="P491" s="474"/>
      <c r="Q491" s="474"/>
      <c r="S491" s="474"/>
      <c r="T491" s="474"/>
      <c r="U491" s="474"/>
      <c r="V491" s="474"/>
      <c r="W491" s="474"/>
      <c r="X491" s="474"/>
      <c r="Y491" s="474"/>
      <c r="Z491" s="474"/>
      <c r="AB491" s="474"/>
      <c r="AC491" s="474"/>
      <c r="AD491" s="474"/>
      <c r="AE491" s="474"/>
      <c r="AF491" s="474"/>
      <c r="AG491" s="474"/>
      <c r="AH491" s="474"/>
      <c r="AI491" s="474"/>
      <c r="AK491" s="474"/>
      <c r="AL491" s="474"/>
      <c r="AM491" s="474"/>
      <c r="AN491" s="474"/>
      <c r="AO491" s="474"/>
      <c r="AP491" s="474"/>
      <c r="AQ491" s="474"/>
      <c r="AR491" s="474"/>
      <c r="AS491" s="474"/>
      <c r="AT491" s="474"/>
      <c r="AU491" s="474"/>
      <c r="AV491" s="474"/>
      <c r="AW491" s="474"/>
      <c r="AX491" s="474"/>
      <c r="AY491" s="474"/>
      <c r="AZ491" s="474"/>
      <c r="BA491" s="474"/>
      <c r="BC491" s="474"/>
      <c r="BD491" s="474"/>
      <c r="BE491" s="474"/>
      <c r="BF491" s="474"/>
      <c r="BG491" s="474"/>
      <c r="BH491" s="474"/>
      <c r="BI491" s="474"/>
      <c r="BJ491" s="474"/>
      <c r="CD491" s="474"/>
      <c r="CE491" s="474"/>
      <c r="CF491" s="474"/>
      <c r="CG491" s="474"/>
      <c r="CH491" s="474"/>
      <c r="CI491" s="474"/>
      <c r="CJ491" s="474"/>
      <c r="CK491" s="474"/>
      <c r="CM491" s="474"/>
      <c r="CN491" s="474"/>
      <c r="CO491" s="474"/>
      <c r="CP491" s="474"/>
      <c r="CQ491" s="474"/>
      <c r="CR491" s="474"/>
      <c r="CS491" s="474"/>
      <c r="CT491" s="474"/>
    </row>
    <row r="492" spans="1:98" s="35" customFormat="1" ht="12" customHeight="1">
      <c r="A492" s="474"/>
      <c r="B492" s="474"/>
      <c r="C492" s="474"/>
      <c r="D492" s="474"/>
      <c r="E492" s="474"/>
      <c r="F492" s="474"/>
      <c r="G492" s="474"/>
      <c r="H492" s="474"/>
      <c r="J492" s="474"/>
      <c r="K492" s="474"/>
      <c r="L492" s="474"/>
      <c r="M492" s="474"/>
      <c r="N492" s="474"/>
      <c r="O492" s="474"/>
      <c r="P492" s="474"/>
      <c r="Q492" s="474"/>
      <c r="S492" s="474"/>
      <c r="T492" s="474"/>
      <c r="U492" s="474"/>
      <c r="V492" s="474"/>
      <c r="W492" s="474"/>
      <c r="X492" s="474"/>
      <c r="Y492" s="474"/>
      <c r="Z492" s="474"/>
      <c r="AB492" s="474"/>
      <c r="AC492" s="474"/>
      <c r="AD492" s="474"/>
      <c r="AE492" s="474"/>
      <c r="AF492" s="474"/>
      <c r="AG492" s="474"/>
      <c r="AH492" s="474"/>
      <c r="AI492" s="474"/>
      <c r="AK492" s="474"/>
      <c r="AL492" s="474"/>
      <c r="AM492" s="474"/>
      <c r="AN492" s="474"/>
      <c r="AO492" s="474"/>
      <c r="AP492" s="474"/>
      <c r="AQ492" s="474"/>
      <c r="AR492" s="474"/>
      <c r="AS492" s="474"/>
      <c r="AT492" s="474"/>
      <c r="AU492" s="474"/>
      <c r="AV492" s="474"/>
      <c r="AW492" s="474"/>
      <c r="AX492" s="474"/>
      <c r="AY492" s="474"/>
      <c r="AZ492" s="474"/>
      <c r="BA492" s="474"/>
      <c r="BC492" s="474"/>
      <c r="BD492" s="474"/>
      <c r="BE492" s="474"/>
      <c r="BF492" s="474"/>
      <c r="BG492" s="474"/>
      <c r="BH492" s="474"/>
      <c r="BI492" s="474"/>
      <c r="BJ492" s="474"/>
      <c r="CD492" s="474"/>
      <c r="CE492" s="474"/>
      <c r="CF492" s="474"/>
      <c r="CG492" s="474"/>
      <c r="CH492" s="474"/>
      <c r="CI492" s="474"/>
      <c r="CJ492" s="474"/>
      <c r="CK492" s="474"/>
      <c r="CM492" s="474"/>
      <c r="CN492" s="474"/>
      <c r="CO492" s="474"/>
      <c r="CP492" s="474"/>
      <c r="CQ492" s="474"/>
      <c r="CR492" s="474"/>
      <c r="CS492" s="474"/>
      <c r="CT492" s="474"/>
    </row>
    <row r="493" spans="1:98" s="35" customFormat="1" ht="12" customHeight="1">
      <c r="A493" s="474"/>
      <c r="B493" s="474"/>
      <c r="C493" s="474"/>
      <c r="D493" s="474"/>
      <c r="E493" s="474"/>
      <c r="F493" s="474"/>
      <c r="G493" s="474"/>
      <c r="H493" s="474"/>
      <c r="J493" s="474"/>
      <c r="K493" s="474"/>
      <c r="L493" s="474"/>
      <c r="M493" s="474"/>
      <c r="N493" s="474"/>
      <c r="O493" s="474"/>
      <c r="P493" s="474"/>
      <c r="Q493" s="474"/>
      <c r="S493" s="474"/>
      <c r="T493" s="474"/>
      <c r="U493" s="474"/>
      <c r="V493" s="474"/>
      <c r="W493" s="474"/>
      <c r="X493" s="474"/>
      <c r="Y493" s="474"/>
      <c r="Z493" s="474"/>
      <c r="AB493" s="474"/>
      <c r="AC493" s="474"/>
      <c r="AD493" s="474"/>
      <c r="AE493" s="474"/>
      <c r="AF493" s="474"/>
      <c r="AG493" s="474"/>
      <c r="AH493" s="474"/>
      <c r="AI493" s="474"/>
      <c r="AK493" s="474"/>
      <c r="AL493" s="474"/>
      <c r="AM493" s="474"/>
      <c r="AN493" s="474"/>
      <c r="AO493" s="474"/>
      <c r="AP493" s="474"/>
      <c r="AQ493" s="474"/>
      <c r="AR493" s="474"/>
      <c r="AS493" s="474"/>
      <c r="AT493" s="474"/>
      <c r="AU493" s="474"/>
      <c r="AV493" s="474"/>
      <c r="AW493" s="474"/>
      <c r="AX493" s="474"/>
      <c r="AY493" s="474"/>
      <c r="AZ493" s="474"/>
      <c r="BA493" s="474"/>
      <c r="BC493" s="474"/>
      <c r="BD493" s="474"/>
      <c r="BE493" s="474"/>
      <c r="BF493" s="474"/>
      <c r="BG493" s="474"/>
      <c r="BH493" s="474"/>
      <c r="BI493" s="474"/>
      <c r="BJ493" s="474"/>
      <c r="CD493" s="474"/>
      <c r="CE493" s="474"/>
      <c r="CF493" s="474"/>
      <c r="CG493" s="474"/>
      <c r="CH493" s="474"/>
      <c r="CI493" s="474"/>
      <c r="CJ493" s="474"/>
      <c r="CK493" s="474"/>
      <c r="CM493" s="474"/>
      <c r="CN493" s="474"/>
      <c r="CO493" s="474"/>
      <c r="CP493" s="474"/>
      <c r="CQ493" s="474"/>
      <c r="CR493" s="474"/>
      <c r="CS493" s="474"/>
      <c r="CT493" s="474"/>
    </row>
    <row r="494" spans="1:98" s="35" customFormat="1" ht="12" customHeight="1">
      <c r="A494" s="474"/>
      <c r="B494" s="474"/>
      <c r="C494" s="474"/>
      <c r="D494" s="474"/>
      <c r="E494" s="474"/>
      <c r="F494" s="474"/>
      <c r="G494" s="474"/>
      <c r="H494" s="474"/>
      <c r="J494" s="474"/>
      <c r="K494" s="474"/>
      <c r="L494" s="474"/>
      <c r="M494" s="474"/>
      <c r="N494" s="474"/>
      <c r="O494" s="474"/>
      <c r="P494" s="474"/>
      <c r="Q494" s="474"/>
      <c r="S494" s="474"/>
      <c r="T494" s="474"/>
      <c r="U494" s="474"/>
      <c r="V494" s="474"/>
      <c r="W494" s="474"/>
      <c r="X494" s="474"/>
      <c r="Y494" s="474"/>
      <c r="Z494" s="474"/>
      <c r="AB494" s="474"/>
      <c r="AC494" s="474"/>
      <c r="AD494" s="474"/>
      <c r="AE494" s="474"/>
      <c r="AF494" s="474"/>
      <c r="AG494" s="474"/>
      <c r="AH494" s="474"/>
      <c r="AI494" s="474"/>
      <c r="AK494" s="474"/>
      <c r="AL494" s="474"/>
      <c r="AM494" s="474"/>
      <c r="AN494" s="474"/>
      <c r="AO494" s="474"/>
      <c r="AP494" s="474"/>
      <c r="AQ494" s="474"/>
      <c r="AR494" s="474"/>
      <c r="AS494" s="474"/>
      <c r="AT494" s="474"/>
      <c r="AU494" s="474"/>
      <c r="AV494" s="474"/>
      <c r="AW494" s="474"/>
      <c r="AX494" s="474"/>
      <c r="AY494" s="474"/>
      <c r="AZ494" s="474"/>
      <c r="BA494" s="474"/>
      <c r="BC494" s="474"/>
      <c r="BD494" s="474"/>
      <c r="BE494" s="474"/>
      <c r="BF494" s="474"/>
      <c r="BG494" s="474"/>
      <c r="BH494" s="474"/>
      <c r="BI494" s="474"/>
      <c r="BJ494" s="474"/>
      <c r="CD494" s="474"/>
      <c r="CE494" s="474"/>
      <c r="CF494" s="474"/>
      <c r="CG494" s="474"/>
      <c r="CH494" s="474"/>
      <c r="CI494" s="474"/>
      <c r="CJ494" s="474"/>
      <c r="CK494" s="474"/>
      <c r="CM494" s="474"/>
      <c r="CN494" s="474"/>
      <c r="CO494" s="474"/>
      <c r="CP494" s="474"/>
      <c r="CQ494" s="474"/>
      <c r="CR494" s="474"/>
      <c r="CS494" s="474"/>
      <c r="CT494" s="474"/>
    </row>
    <row r="495" spans="1:98" s="35" customFormat="1" ht="12" customHeight="1">
      <c r="A495" s="474"/>
      <c r="B495" s="474"/>
      <c r="C495" s="474"/>
      <c r="D495" s="474"/>
      <c r="E495" s="474"/>
      <c r="F495" s="474"/>
      <c r="G495" s="474"/>
      <c r="H495" s="474"/>
      <c r="J495" s="474"/>
      <c r="K495" s="474"/>
      <c r="L495" s="474"/>
      <c r="M495" s="474"/>
      <c r="N495" s="474"/>
      <c r="O495" s="474"/>
      <c r="P495" s="474"/>
      <c r="Q495" s="474"/>
      <c r="S495" s="474"/>
      <c r="T495" s="474"/>
      <c r="U495" s="474"/>
      <c r="V495" s="474"/>
      <c r="W495" s="474"/>
      <c r="X495" s="474"/>
      <c r="Y495" s="474"/>
      <c r="Z495" s="474"/>
      <c r="AB495" s="474"/>
      <c r="AC495" s="474"/>
      <c r="AD495" s="474"/>
      <c r="AE495" s="474"/>
      <c r="AF495" s="474"/>
      <c r="AG495" s="474"/>
      <c r="AH495" s="474"/>
      <c r="AI495" s="474"/>
      <c r="AK495" s="474"/>
      <c r="AL495" s="474"/>
      <c r="AM495" s="474"/>
      <c r="AN495" s="474"/>
      <c r="AO495" s="474"/>
      <c r="AP495" s="474"/>
      <c r="AQ495" s="474"/>
      <c r="AR495" s="474"/>
      <c r="AS495" s="474"/>
      <c r="AT495" s="474"/>
      <c r="AU495" s="474"/>
      <c r="AV495" s="474"/>
      <c r="AW495" s="474"/>
      <c r="AX495" s="474"/>
      <c r="AY495" s="474"/>
      <c r="AZ495" s="474"/>
      <c r="BA495" s="474"/>
      <c r="BC495" s="474"/>
      <c r="BD495" s="474"/>
      <c r="BE495" s="474"/>
      <c r="BF495" s="474"/>
      <c r="BG495" s="474"/>
      <c r="BH495" s="474"/>
      <c r="BI495" s="474"/>
      <c r="BJ495" s="474"/>
      <c r="CD495" s="474"/>
      <c r="CE495" s="474"/>
      <c r="CF495" s="474"/>
      <c r="CG495" s="474"/>
      <c r="CH495" s="474"/>
      <c r="CI495" s="474"/>
      <c r="CJ495" s="474"/>
      <c r="CK495" s="474"/>
      <c r="CM495" s="474"/>
      <c r="CN495" s="474"/>
      <c r="CO495" s="474"/>
      <c r="CP495" s="474"/>
      <c r="CQ495" s="474"/>
      <c r="CR495" s="474"/>
      <c r="CS495" s="474"/>
      <c r="CT495" s="474"/>
    </row>
    <row r="496" spans="1:98" s="35" customFormat="1" ht="12" customHeight="1">
      <c r="A496" s="474"/>
      <c r="B496" s="474"/>
      <c r="C496" s="474"/>
      <c r="D496" s="474"/>
      <c r="E496" s="474"/>
      <c r="F496" s="474"/>
      <c r="G496" s="474"/>
      <c r="H496" s="474"/>
      <c r="J496" s="474"/>
      <c r="K496" s="474"/>
      <c r="L496" s="474"/>
      <c r="M496" s="474"/>
      <c r="N496" s="474"/>
      <c r="O496" s="474"/>
      <c r="P496" s="474"/>
      <c r="Q496" s="474"/>
      <c r="S496" s="474"/>
      <c r="T496" s="474"/>
      <c r="U496" s="474"/>
      <c r="V496" s="474"/>
      <c r="W496" s="474"/>
      <c r="X496" s="474"/>
      <c r="Y496" s="474"/>
      <c r="Z496" s="474"/>
      <c r="AB496" s="474"/>
      <c r="AC496" s="474"/>
      <c r="AD496" s="474"/>
      <c r="AE496" s="474"/>
      <c r="AF496" s="474"/>
      <c r="AG496" s="474"/>
      <c r="AH496" s="474"/>
      <c r="AI496" s="474"/>
      <c r="AK496" s="474"/>
      <c r="AL496" s="474"/>
      <c r="AM496" s="474"/>
      <c r="AN496" s="474"/>
      <c r="AO496" s="474"/>
      <c r="AP496" s="474"/>
      <c r="AQ496" s="474"/>
      <c r="AR496" s="474"/>
      <c r="AS496" s="474"/>
      <c r="AT496" s="474"/>
      <c r="AU496" s="474"/>
      <c r="AV496" s="474"/>
      <c r="AW496" s="474"/>
      <c r="AX496" s="474"/>
      <c r="AY496" s="474"/>
      <c r="AZ496" s="474"/>
      <c r="BA496" s="474"/>
      <c r="BC496" s="474"/>
      <c r="BD496" s="474"/>
      <c r="BE496" s="474"/>
      <c r="BF496" s="474"/>
      <c r="BG496" s="474"/>
      <c r="BH496" s="474"/>
      <c r="BI496" s="474"/>
      <c r="BJ496" s="474"/>
      <c r="CD496" s="474"/>
      <c r="CE496" s="474"/>
      <c r="CF496" s="474"/>
      <c r="CG496" s="474"/>
      <c r="CH496" s="474"/>
      <c r="CI496" s="474"/>
      <c r="CJ496" s="474"/>
      <c r="CK496" s="474"/>
      <c r="CM496" s="474"/>
      <c r="CN496" s="474"/>
      <c r="CO496" s="474"/>
      <c r="CP496" s="474"/>
      <c r="CQ496" s="474"/>
      <c r="CR496" s="474"/>
      <c r="CS496" s="474"/>
      <c r="CT496" s="474"/>
    </row>
    <row r="497" spans="1:98" s="35" customFormat="1" ht="12" customHeight="1">
      <c r="A497" s="474"/>
      <c r="B497" s="474"/>
      <c r="C497" s="474"/>
      <c r="D497" s="474"/>
      <c r="E497" s="474"/>
      <c r="F497" s="474"/>
      <c r="G497" s="474"/>
      <c r="H497" s="474"/>
      <c r="J497" s="474"/>
      <c r="K497" s="474"/>
      <c r="L497" s="474"/>
      <c r="M497" s="474"/>
      <c r="N497" s="474"/>
      <c r="O497" s="474"/>
      <c r="P497" s="474"/>
      <c r="Q497" s="474"/>
      <c r="S497" s="474"/>
      <c r="T497" s="474"/>
      <c r="U497" s="474"/>
      <c r="V497" s="474"/>
      <c r="W497" s="474"/>
      <c r="X497" s="474"/>
      <c r="Y497" s="474"/>
      <c r="Z497" s="474"/>
      <c r="AB497" s="474"/>
      <c r="AC497" s="474"/>
      <c r="AD497" s="474"/>
      <c r="AE497" s="474"/>
      <c r="AF497" s="474"/>
      <c r="AG497" s="474"/>
      <c r="AH497" s="474"/>
      <c r="AI497" s="474"/>
      <c r="AK497" s="474"/>
      <c r="AL497" s="474"/>
      <c r="AM497" s="474"/>
      <c r="AN497" s="474"/>
      <c r="AO497" s="474"/>
      <c r="AP497" s="474"/>
      <c r="AQ497" s="474"/>
      <c r="AR497" s="474"/>
      <c r="AS497" s="474"/>
      <c r="AT497" s="474"/>
      <c r="AU497" s="474"/>
      <c r="AV497" s="474"/>
      <c r="AW497" s="474"/>
      <c r="AX497" s="474"/>
      <c r="AY497" s="474"/>
      <c r="AZ497" s="474"/>
      <c r="BA497" s="474"/>
      <c r="BC497" s="474"/>
      <c r="BD497" s="474"/>
      <c r="BE497" s="474"/>
      <c r="BF497" s="474"/>
      <c r="BG497" s="474"/>
      <c r="BH497" s="474"/>
      <c r="BI497" s="474"/>
      <c r="BJ497" s="474"/>
      <c r="CD497" s="474"/>
      <c r="CE497" s="474"/>
      <c r="CF497" s="474"/>
      <c r="CG497" s="474"/>
      <c r="CH497" s="474"/>
      <c r="CI497" s="474"/>
      <c r="CJ497" s="474"/>
      <c r="CK497" s="474"/>
      <c r="CM497" s="474"/>
      <c r="CN497" s="474"/>
      <c r="CO497" s="474"/>
      <c r="CP497" s="474"/>
      <c r="CQ497" s="474"/>
      <c r="CR497" s="474"/>
      <c r="CS497" s="474"/>
      <c r="CT497" s="474"/>
    </row>
    <row r="498" spans="1:98" s="35" customFormat="1" ht="12" customHeight="1">
      <c r="A498" s="474"/>
      <c r="B498" s="474"/>
      <c r="C498" s="474"/>
      <c r="D498" s="474"/>
      <c r="E498" s="474"/>
      <c r="F498" s="474"/>
      <c r="G498" s="474"/>
      <c r="H498" s="474"/>
      <c r="J498" s="474"/>
      <c r="K498" s="474"/>
      <c r="L498" s="474"/>
      <c r="M498" s="474"/>
      <c r="N498" s="474"/>
      <c r="O498" s="474"/>
      <c r="P498" s="474"/>
      <c r="Q498" s="474"/>
      <c r="S498" s="474"/>
      <c r="T498" s="474"/>
      <c r="U498" s="474"/>
      <c r="V498" s="474"/>
      <c r="W498" s="474"/>
      <c r="X498" s="474"/>
      <c r="Y498" s="474"/>
      <c r="Z498" s="474"/>
      <c r="AB498" s="474"/>
      <c r="AC498" s="474"/>
      <c r="AD498" s="474"/>
      <c r="AE498" s="474"/>
      <c r="AF498" s="474"/>
      <c r="AG498" s="474"/>
      <c r="AH498" s="474"/>
      <c r="AI498" s="474"/>
      <c r="AK498" s="474"/>
      <c r="AL498" s="474"/>
      <c r="AM498" s="474"/>
      <c r="AN498" s="474"/>
      <c r="AO498" s="474"/>
      <c r="AP498" s="474"/>
      <c r="AQ498" s="474"/>
      <c r="AR498" s="474"/>
      <c r="AS498" s="474"/>
      <c r="AT498" s="474"/>
      <c r="AU498" s="474"/>
      <c r="AV498" s="474"/>
      <c r="AW498" s="474"/>
      <c r="AX498" s="474"/>
      <c r="AY498" s="474"/>
      <c r="AZ498" s="474"/>
      <c r="BA498" s="474"/>
      <c r="BC498" s="474"/>
      <c r="BD498" s="474"/>
      <c r="BE498" s="474"/>
      <c r="BF498" s="474"/>
      <c r="BG498" s="474"/>
      <c r="BH498" s="474"/>
      <c r="BI498" s="474"/>
      <c r="BJ498" s="474"/>
      <c r="CD498" s="474"/>
      <c r="CE498" s="474"/>
      <c r="CF498" s="474"/>
      <c r="CG498" s="474"/>
      <c r="CH498" s="474"/>
      <c r="CI498" s="474"/>
      <c r="CJ498" s="474"/>
      <c r="CK498" s="474"/>
      <c r="CM498" s="474"/>
      <c r="CN498" s="474"/>
      <c r="CO498" s="474"/>
      <c r="CP498" s="474"/>
      <c r="CQ498" s="474"/>
      <c r="CR498" s="474"/>
      <c r="CS498" s="474"/>
      <c r="CT498" s="474"/>
    </row>
    <row r="499" spans="1:98" s="35" customFormat="1" ht="12" customHeight="1">
      <c r="A499" s="474"/>
      <c r="B499" s="474"/>
      <c r="C499" s="474"/>
      <c r="D499" s="474"/>
      <c r="E499" s="474"/>
      <c r="F499" s="474"/>
      <c r="G499" s="474"/>
      <c r="H499" s="474"/>
      <c r="J499" s="474"/>
      <c r="K499" s="474"/>
      <c r="L499" s="474"/>
      <c r="M499" s="474"/>
      <c r="N499" s="474"/>
      <c r="O499" s="474"/>
      <c r="P499" s="474"/>
      <c r="Q499" s="474"/>
      <c r="S499" s="474"/>
      <c r="T499" s="474"/>
      <c r="U499" s="474"/>
      <c r="V499" s="474"/>
      <c r="W499" s="474"/>
      <c r="X499" s="474"/>
      <c r="Y499" s="474"/>
      <c r="Z499" s="474"/>
      <c r="AB499" s="474"/>
      <c r="AC499" s="474"/>
      <c r="AD499" s="474"/>
      <c r="AE499" s="474"/>
      <c r="AF499" s="474"/>
      <c r="AG499" s="474"/>
      <c r="AH499" s="474"/>
      <c r="AI499" s="474"/>
      <c r="AK499" s="474"/>
      <c r="AL499" s="474"/>
      <c r="AM499" s="474"/>
      <c r="AN499" s="474"/>
      <c r="AO499" s="474"/>
      <c r="AP499" s="474"/>
      <c r="AQ499" s="474"/>
      <c r="AR499" s="474"/>
      <c r="AS499" s="474"/>
      <c r="AT499" s="474"/>
      <c r="AU499" s="474"/>
      <c r="AV499" s="474"/>
      <c r="AW499" s="474"/>
      <c r="AX499" s="474"/>
      <c r="AY499" s="474"/>
      <c r="AZ499" s="474"/>
      <c r="BA499" s="474"/>
      <c r="BC499" s="474"/>
      <c r="BD499" s="474"/>
      <c r="BE499" s="474"/>
      <c r="BF499" s="474"/>
      <c r="BG499" s="474"/>
      <c r="BH499" s="474"/>
      <c r="BI499" s="474"/>
      <c r="BJ499" s="474"/>
      <c r="CD499" s="474"/>
      <c r="CE499" s="474"/>
      <c r="CF499" s="474"/>
      <c r="CG499" s="474"/>
      <c r="CH499" s="474"/>
      <c r="CI499" s="474"/>
      <c r="CJ499" s="474"/>
      <c r="CK499" s="474"/>
      <c r="CM499" s="474"/>
      <c r="CN499" s="474"/>
      <c r="CO499" s="474"/>
      <c r="CP499" s="474"/>
      <c r="CQ499" s="474"/>
      <c r="CR499" s="474"/>
      <c r="CS499" s="474"/>
      <c r="CT499" s="474"/>
    </row>
    <row r="500" spans="1:98" s="35" customFormat="1" ht="12" customHeight="1">
      <c r="A500" s="474"/>
      <c r="B500" s="474"/>
      <c r="C500" s="474"/>
      <c r="D500" s="474"/>
      <c r="E500" s="474"/>
      <c r="F500" s="474"/>
      <c r="G500" s="474"/>
      <c r="H500" s="474"/>
      <c r="J500" s="474"/>
      <c r="K500" s="474"/>
      <c r="L500" s="474"/>
      <c r="M500" s="474"/>
      <c r="N500" s="474"/>
      <c r="O500" s="474"/>
      <c r="P500" s="474"/>
      <c r="Q500" s="474"/>
      <c r="S500" s="474"/>
      <c r="T500" s="474"/>
      <c r="U500" s="474"/>
      <c r="V500" s="474"/>
      <c r="W500" s="474"/>
      <c r="X500" s="474"/>
      <c r="Y500" s="474"/>
      <c r="Z500" s="474"/>
      <c r="AB500" s="474"/>
      <c r="AC500" s="474"/>
      <c r="AD500" s="474"/>
      <c r="AE500" s="474"/>
      <c r="AF500" s="474"/>
      <c r="AG500" s="474"/>
      <c r="AH500" s="474"/>
      <c r="AI500" s="474"/>
      <c r="AK500" s="474"/>
      <c r="AL500" s="474"/>
      <c r="AM500" s="474"/>
      <c r="AN500" s="474"/>
      <c r="AO500" s="474"/>
      <c r="AP500" s="474"/>
      <c r="AQ500" s="474"/>
      <c r="AR500" s="474"/>
      <c r="AS500" s="474"/>
      <c r="AT500" s="474"/>
      <c r="AU500" s="474"/>
      <c r="AV500" s="474"/>
      <c r="AW500" s="474"/>
      <c r="AX500" s="474"/>
      <c r="AY500" s="474"/>
      <c r="AZ500" s="474"/>
      <c r="BA500" s="474"/>
      <c r="BC500" s="474"/>
      <c r="BD500" s="474"/>
      <c r="BE500" s="474"/>
      <c r="BF500" s="474"/>
      <c r="BG500" s="474"/>
      <c r="BH500" s="474"/>
      <c r="BI500" s="474"/>
      <c r="BJ500" s="474"/>
      <c r="CD500" s="474"/>
      <c r="CE500" s="474"/>
      <c r="CF500" s="474"/>
      <c r="CG500" s="474"/>
      <c r="CH500" s="474"/>
      <c r="CI500" s="474"/>
      <c r="CJ500" s="474"/>
      <c r="CK500" s="474"/>
      <c r="CM500" s="474"/>
      <c r="CN500" s="474"/>
      <c r="CO500" s="474"/>
      <c r="CP500" s="474"/>
      <c r="CQ500" s="474"/>
      <c r="CR500" s="474"/>
      <c r="CS500" s="474"/>
      <c r="CT500" s="474"/>
    </row>
    <row r="501" spans="1:98" s="35" customFormat="1" ht="12" customHeight="1">
      <c r="A501" s="474"/>
      <c r="B501" s="474"/>
      <c r="C501" s="474"/>
      <c r="D501" s="474"/>
      <c r="E501" s="474"/>
      <c r="F501" s="474"/>
      <c r="G501" s="474"/>
      <c r="H501" s="474"/>
      <c r="J501" s="474"/>
      <c r="K501" s="474"/>
      <c r="L501" s="474"/>
      <c r="M501" s="474"/>
      <c r="N501" s="474"/>
      <c r="O501" s="474"/>
      <c r="P501" s="474"/>
      <c r="Q501" s="474"/>
      <c r="S501" s="474"/>
      <c r="T501" s="474"/>
      <c r="U501" s="474"/>
      <c r="V501" s="474"/>
      <c r="W501" s="474"/>
      <c r="X501" s="474"/>
      <c r="Y501" s="474"/>
      <c r="Z501" s="474"/>
      <c r="AB501" s="474"/>
      <c r="AC501" s="474"/>
      <c r="AD501" s="474"/>
      <c r="AE501" s="474"/>
      <c r="AF501" s="474"/>
      <c r="AG501" s="474"/>
      <c r="AH501" s="474"/>
      <c r="AI501" s="474"/>
      <c r="AK501" s="474"/>
      <c r="AL501" s="474"/>
      <c r="AM501" s="474"/>
      <c r="AN501" s="474"/>
      <c r="AO501" s="474"/>
      <c r="AP501" s="474"/>
      <c r="AQ501" s="474"/>
      <c r="AR501" s="474"/>
      <c r="AS501" s="474"/>
      <c r="AT501" s="474"/>
      <c r="AU501" s="474"/>
      <c r="AV501" s="474"/>
      <c r="AW501" s="474"/>
      <c r="AX501" s="474"/>
      <c r="AY501" s="474"/>
      <c r="AZ501" s="474"/>
      <c r="BA501" s="474"/>
      <c r="BC501" s="474"/>
      <c r="BD501" s="474"/>
      <c r="BE501" s="474"/>
      <c r="BF501" s="474"/>
      <c r="BG501" s="474"/>
      <c r="BH501" s="474"/>
      <c r="BI501" s="474"/>
      <c r="BJ501" s="474"/>
      <c r="CD501" s="474"/>
      <c r="CE501" s="474"/>
      <c r="CF501" s="474"/>
      <c r="CG501" s="474"/>
      <c r="CH501" s="474"/>
      <c r="CI501" s="474"/>
      <c r="CJ501" s="474"/>
      <c r="CK501" s="474"/>
      <c r="CM501" s="474"/>
      <c r="CN501" s="474"/>
      <c r="CO501" s="474"/>
      <c r="CP501" s="474"/>
      <c r="CQ501" s="474"/>
      <c r="CR501" s="474"/>
      <c r="CS501" s="474"/>
      <c r="CT501" s="474"/>
    </row>
    <row r="502" spans="1:98" s="35" customFormat="1" ht="12" customHeight="1">
      <c r="A502" s="474"/>
      <c r="B502" s="474"/>
      <c r="C502" s="474"/>
      <c r="D502" s="474"/>
      <c r="E502" s="474"/>
      <c r="F502" s="474"/>
      <c r="G502" s="474"/>
      <c r="H502" s="474"/>
      <c r="J502" s="474"/>
      <c r="K502" s="474"/>
      <c r="L502" s="474"/>
      <c r="M502" s="474"/>
      <c r="N502" s="474"/>
      <c r="O502" s="474"/>
      <c r="P502" s="474"/>
      <c r="Q502" s="474"/>
      <c r="S502" s="474"/>
      <c r="T502" s="474"/>
      <c r="U502" s="474"/>
      <c r="V502" s="474"/>
      <c r="W502" s="474"/>
      <c r="X502" s="474"/>
      <c r="Y502" s="474"/>
      <c r="Z502" s="474"/>
      <c r="AB502" s="474"/>
      <c r="AC502" s="474"/>
      <c r="AD502" s="474"/>
      <c r="AE502" s="474"/>
      <c r="AF502" s="474"/>
      <c r="AG502" s="474"/>
      <c r="AH502" s="474"/>
      <c r="AI502" s="474"/>
      <c r="AK502" s="474"/>
      <c r="AL502" s="474"/>
      <c r="AM502" s="474"/>
      <c r="AN502" s="474"/>
      <c r="AO502" s="474"/>
      <c r="AP502" s="474"/>
      <c r="AQ502" s="474"/>
      <c r="AR502" s="474"/>
      <c r="AS502" s="474"/>
      <c r="AT502" s="474"/>
      <c r="AU502" s="474"/>
      <c r="AV502" s="474"/>
      <c r="AW502" s="474"/>
      <c r="AX502" s="474"/>
      <c r="AY502" s="474"/>
      <c r="AZ502" s="474"/>
      <c r="BA502" s="474"/>
      <c r="BC502" s="474"/>
      <c r="BD502" s="474"/>
      <c r="BE502" s="474"/>
      <c r="BF502" s="474"/>
      <c r="BG502" s="474"/>
      <c r="BH502" s="474"/>
      <c r="BI502" s="474"/>
      <c r="BJ502" s="474"/>
      <c r="CD502" s="474"/>
      <c r="CE502" s="474"/>
      <c r="CF502" s="474"/>
      <c r="CG502" s="474"/>
      <c r="CH502" s="474"/>
      <c r="CI502" s="474"/>
      <c r="CJ502" s="474"/>
      <c r="CK502" s="474"/>
      <c r="CM502" s="474"/>
      <c r="CN502" s="474"/>
      <c r="CO502" s="474"/>
      <c r="CP502" s="474"/>
      <c r="CQ502" s="474"/>
      <c r="CR502" s="474"/>
      <c r="CS502" s="474"/>
      <c r="CT502" s="474"/>
    </row>
    <row r="503" spans="1:98" s="35" customFormat="1" ht="12" customHeight="1">
      <c r="A503" s="474"/>
      <c r="B503" s="474"/>
      <c r="C503" s="474"/>
      <c r="D503" s="474"/>
      <c r="E503" s="474"/>
      <c r="F503" s="474"/>
      <c r="G503" s="474"/>
      <c r="H503" s="474"/>
      <c r="J503" s="474"/>
      <c r="K503" s="474"/>
      <c r="L503" s="474"/>
      <c r="M503" s="474"/>
      <c r="N503" s="474"/>
      <c r="O503" s="474"/>
      <c r="P503" s="474"/>
      <c r="Q503" s="474"/>
      <c r="S503" s="474"/>
      <c r="T503" s="474"/>
      <c r="U503" s="474"/>
      <c r="V503" s="474"/>
      <c r="W503" s="474"/>
      <c r="X503" s="474"/>
      <c r="Y503" s="474"/>
      <c r="Z503" s="474"/>
      <c r="AB503" s="474"/>
      <c r="AC503" s="474"/>
      <c r="AD503" s="474"/>
      <c r="AE503" s="474"/>
      <c r="AF503" s="474"/>
      <c r="AG503" s="474"/>
      <c r="AH503" s="474"/>
      <c r="AI503" s="474"/>
      <c r="AK503" s="474"/>
      <c r="AL503" s="474"/>
      <c r="AM503" s="474"/>
      <c r="AN503" s="474"/>
      <c r="AO503" s="474"/>
      <c r="AP503" s="474"/>
      <c r="AQ503" s="474"/>
      <c r="AR503" s="474"/>
      <c r="AS503" s="474"/>
      <c r="AT503" s="474"/>
      <c r="AU503" s="474"/>
      <c r="AV503" s="474"/>
      <c r="AW503" s="474"/>
      <c r="AX503" s="474"/>
      <c r="AY503" s="474"/>
      <c r="AZ503" s="474"/>
      <c r="BA503" s="474"/>
      <c r="BC503" s="474"/>
      <c r="BD503" s="474"/>
      <c r="BE503" s="474"/>
      <c r="BF503" s="474"/>
      <c r="BG503" s="474"/>
      <c r="BH503" s="474"/>
      <c r="BI503" s="474"/>
      <c r="BJ503" s="474"/>
      <c r="CD503" s="474"/>
      <c r="CE503" s="474"/>
      <c r="CF503" s="474"/>
      <c r="CG503" s="474"/>
      <c r="CH503" s="474"/>
      <c r="CI503" s="474"/>
      <c r="CJ503" s="474"/>
      <c r="CK503" s="474"/>
      <c r="CM503" s="474"/>
      <c r="CN503" s="474"/>
      <c r="CO503" s="474"/>
      <c r="CP503" s="474"/>
      <c r="CQ503" s="474"/>
      <c r="CR503" s="474"/>
      <c r="CS503" s="474"/>
      <c r="CT503" s="474"/>
    </row>
    <row r="504" spans="1:98" s="35" customFormat="1" ht="12" customHeight="1">
      <c r="A504" s="474"/>
      <c r="B504" s="474"/>
      <c r="C504" s="474"/>
      <c r="D504" s="474"/>
      <c r="E504" s="474"/>
      <c r="F504" s="474"/>
      <c r="G504" s="474"/>
      <c r="H504" s="474"/>
      <c r="J504" s="474"/>
      <c r="K504" s="474"/>
      <c r="L504" s="474"/>
      <c r="M504" s="474"/>
      <c r="N504" s="474"/>
      <c r="O504" s="474"/>
      <c r="P504" s="474"/>
      <c r="Q504" s="474"/>
      <c r="S504" s="474"/>
      <c r="T504" s="474"/>
      <c r="U504" s="474"/>
      <c r="V504" s="474"/>
      <c r="W504" s="474"/>
      <c r="X504" s="474"/>
      <c r="Y504" s="474"/>
      <c r="Z504" s="474"/>
      <c r="AB504" s="474"/>
      <c r="AC504" s="474"/>
      <c r="AD504" s="474"/>
      <c r="AE504" s="474"/>
      <c r="AF504" s="474"/>
      <c r="AG504" s="474"/>
      <c r="AH504" s="474"/>
      <c r="AI504" s="474"/>
      <c r="AK504" s="474"/>
      <c r="AL504" s="474"/>
      <c r="AM504" s="474"/>
      <c r="AN504" s="474"/>
      <c r="AO504" s="474"/>
      <c r="AP504" s="474"/>
      <c r="AQ504" s="474"/>
      <c r="AR504" s="474"/>
      <c r="AS504" s="474"/>
      <c r="AT504" s="474"/>
      <c r="AU504" s="474"/>
      <c r="AV504" s="474"/>
      <c r="AW504" s="474"/>
      <c r="AX504" s="474"/>
      <c r="AY504" s="474"/>
      <c r="AZ504" s="474"/>
      <c r="BA504" s="474"/>
      <c r="BC504" s="474"/>
      <c r="BD504" s="474"/>
      <c r="BE504" s="474"/>
      <c r="BF504" s="474"/>
      <c r="BG504" s="474"/>
      <c r="BH504" s="474"/>
      <c r="BI504" s="474"/>
      <c r="BJ504" s="474"/>
      <c r="CD504" s="474"/>
      <c r="CE504" s="474"/>
      <c r="CF504" s="474"/>
      <c r="CG504" s="474"/>
      <c r="CH504" s="474"/>
      <c r="CI504" s="474"/>
      <c r="CJ504" s="474"/>
      <c r="CK504" s="474"/>
      <c r="CM504" s="474"/>
      <c r="CN504" s="474"/>
      <c r="CO504" s="474"/>
      <c r="CP504" s="474"/>
      <c r="CQ504" s="474"/>
      <c r="CR504" s="474"/>
      <c r="CS504" s="474"/>
      <c r="CT504" s="474"/>
    </row>
    <row r="505" spans="1:98" s="35" customFormat="1" ht="12" customHeight="1">
      <c r="A505" s="474"/>
      <c r="B505" s="474"/>
      <c r="C505" s="474"/>
      <c r="D505" s="474"/>
      <c r="E505" s="474"/>
      <c r="F505" s="474"/>
      <c r="G505" s="474"/>
      <c r="H505" s="474"/>
      <c r="J505" s="474"/>
      <c r="K505" s="474"/>
      <c r="L505" s="474"/>
      <c r="M505" s="474"/>
      <c r="N505" s="474"/>
      <c r="O505" s="474"/>
      <c r="P505" s="474"/>
      <c r="Q505" s="474"/>
      <c r="S505" s="474"/>
      <c r="T505" s="474"/>
      <c r="U505" s="474"/>
      <c r="V505" s="474"/>
      <c r="W505" s="474"/>
      <c r="X505" s="474"/>
      <c r="Y505" s="474"/>
      <c r="Z505" s="474"/>
      <c r="AB505" s="474"/>
      <c r="AC505" s="474"/>
      <c r="AD505" s="474"/>
      <c r="AE505" s="474"/>
      <c r="AF505" s="474"/>
      <c r="AG505" s="474"/>
      <c r="AH505" s="474"/>
      <c r="AI505" s="474"/>
      <c r="AK505" s="474"/>
      <c r="AL505" s="474"/>
      <c r="AM505" s="474"/>
      <c r="AN505" s="474"/>
      <c r="AO505" s="474"/>
      <c r="AP505" s="474"/>
      <c r="AQ505" s="474"/>
      <c r="AR505" s="474"/>
      <c r="AS505" s="474"/>
      <c r="AT505" s="474"/>
      <c r="AU505" s="474"/>
      <c r="AV505" s="474"/>
      <c r="AW505" s="474"/>
      <c r="AX505" s="474"/>
      <c r="AY505" s="474"/>
      <c r="AZ505" s="474"/>
      <c r="BA505" s="474"/>
      <c r="BC505" s="474"/>
      <c r="BD505" s="474"/>
      <c r="BE505" s="474"/>
      <c r="BF505" s="474"/>
      <c r="BG505" s="474"/>
      <c r="BH505" s="474"/>
      <c r="BI505" s="474"/>
      <c r="BJ505" s="474"/>
      <c r="CD505" s="474"/>
      <c r="CE505" s="474"/>
      <c r="CF505" s="474"/>
      <c r="CG505" s="474"/>
      <c r="CH505" s="474"/>
      <c r="CI505" s="474"/>
      <c r="CJ505" s="474"/>
      <c r="CK505" s="474"/>
      <c r="CM505" s="474"/>
      <c r="CN505" s="474"/>
      <c r="CO505" s="474"/>
      <c r="CP505" s="474"/>
      <c r="CQ505" s="474"/>
      <c r="CR505" s="474"/>
      <c r="CS505" s="474"/>
      <c r="CT505" s="474"/>
    </row>
    <row r="506" spans="1:98" s="35" customFormat="1" ht="12" customHeight="1">
      <c r="A506" s="474"/>
      <c r="B506" s="474"/>
      <c r="C506" s="474"/>
      <c r="D506" s="474"/>
      <c r="E506" s="474"/>
      <c r="F506" s="474"/>
      <c r="G506" s="474"/>
      <c r="H506" s="474"/>
      <c r="J506" s="474"/>
      <c r="K506" s="474"/>
      <c r="L506" s="474"/>
      <c r="M506" s="474"/>
      <c r="N506" s="474"/>
      <c r="O506" s="474"/>
      <c r="P506" s="474"/>
      <c r="Q506" s="474"/>
      <c r="S506" s="474"/>
      <c r="T506" s="474"/>
      <c r="U506" s="474"/>
      <c r="V506" s="474"/>
      <c r="W506" s="474"/>
      <c r="X506" s="474"/>
      <c r="Y506" s="474"/>
      <c r="Z506" s="474"/>
      <c r="AB506" s="474"/>
      <c r="AC506" s="474"/>
      <c r="AD506" s="474"/>
      <c r="AE506" s="474"/>
      <c r="AF506" s="474"/>
      <c r="AG506" s="474"/>
      <c r="AH506" s="474"/>
      <c r="AI506" s="474"/>
      <c r="AK506" s="474"/>
      <c r="AL506" s="474"/>
      <c r="AM506" s="474"/>
      <c r="AN506" s="474"/>
      <c r="AO506" s="474"/>
      <c r="AP506" s="474"/>
      <c r="AQ506" s="474"/>
      <c r="AR506" s="474"/>
      <c r="AS506" s="474"/>
      <c r="AT506" s="474"/>
      <c r="AU506" s="474"/>
      <c r="AV506" s="474"/>
      <c r="AW506" s="474"/>
      <c r="AX506" s="474"/>
      <c r="AY506" s="474"/>
      <c r="AZ506" s="474"/>
      <c r="BA506" s="474"/>
      <c r="BC506" s="474"/>
      <c r="BD506" s="474"/>
      <c r="BE506" s="474"/>
      <c r="BF506" s="474"/>
      <c r="BG506" s="474"/>
      <c r="BH506" s="474"/>
      <c r="BI506" s="474"/>
      <c r="BJ506" s="474"/>
      <c r="CD506" s="474"/>
      <c r="CE506" s="474"/>
      <c r="CF506" s="474"/>
      <c r="CG506" s="474"/>
      <c r="CH506" s="474"/>
      <c r="CI506" s="474"/>
      <c r="CJ506" s="474"/>
      <c r="CK506" s="474"/>
      <c r="CM506" s="474"/>
      <c r="CN506" s="474"/>
      <c r="CO506" s="474"/>
      <c r="CP506" s="474"/>
      <c r="CQ506" s="474"/>
      <c r="CR506" s="474"/>
      <c r="CS506" s="474"/>
      <c r="CT506" s="474"/>
    </row>
    <row r="507" spans="1:98" s="35" customFormat="1" ht="12" customHeight="1">
      <c r="A507" s="474"/>
      <c r="B507" s="474"/>
      <c r="C507" s="474"/>
      <c r="D507" s="474"/>
      <c r="E507" s="474"/>
      <c r="F507" s="474"/>
      <c r="G507" s="474"/>
      <c r="H507" s="474"/>
      <c r="J507" s="474"/>
      <c r="K507" s="474"/>
      <c r="L507" s="474"/>
      <c r="M507" s="474"/>
      <c r="N507" s="474"/>
      <c r="O507" s="474"/>
      <c r="P507" s="474"/>
      <c r="Q507" s="474"/>
      <c r="S507" s="474"/>
      <c r="T507" s="474"/>
      <c r="U507" s="474"/>
      <c r="V507" s="474"/>
      <c r="W507" s="474"/>
      <c r="X507" s="474"/>
      <c r="Y507" s="474"/>
      <c r="Z507" s="474"/>
      <c r="AB507" s="474"/>
      <c r="AC507" s="474"/>
      <c r="AD507" s="474"/>
      <c r="AE507" s="474"/>
      <c r="AF507" s="474"/>
      <c r="AG507" s="474"/>
      <c r="AH507" s="474"/>
      <c r="AI507" s="474"/>
      <c r="AK507" s="474"/>
      <c r="AL507" s="474"/>
      <c r="AM507" s="474"/>
      <c r="AN507" s="474"/>
      <c r="AO507" s="474"/>
      <c r="AP507" s="474"/>
      <c r="AQ507" s="474"/>
      <c r="AR507" s="474"/>
      <c r="AS507" s="474"/>
      <c r="AT507" s="474"/>
      <c r="AU507" s="474"/>
      <c r="AV507" s="474"/>
      <c r="AW507" s="474"/>
      <c r="AX507" s="474"/>
      <c r="AY507" s="474"/>
      <c r="AZ507" s="474"/>
      <c r="BA507" s="474"/>
      <c r="BC507" s="474"/>
      <c r="BD507" s="474"/>
      <c r="BE507" s="474"/>
      <c r="BF507" s="474"/>
      <c r="BG507" s="474"/>
      <c r="BH507" s="474"/>
      <c r="BI507" s="474"/>
      <c r="BJ507" s="474"/>
      <c r="CD507" s="474"/>
      <c r="CE507" s="474"/>
      <c r="CF507" s="474"/>
      <c r="CG507" s="474"/>
      <c r="CH507" s="474"/>
      <c r="CI507" s="474"/>
      <c r="CJ507" s="474"/>
      <c r="CK507" s="474"/>
      <c r="CM507" s="474"/>
      <c r="CN507" s="474"/>
      <c r="CO507" s="474"/>
      <c r="CP507" s="474"/>
      <c r="CQ507" s="474"/>
      <c r="CR507" s="474"/>
      <c r="CS507" s="474"/>
      <c r="CT507" s="474"/>
    </row>
    <row r="508" spans="1:98" s="35" customFormat="1" ht="12" customHeight="1">
      <c r="A508" s="474"/>
      <c r="B508" s="474"/>
      <c r="C508" s="474"/>
      <c r="D508" s="474"/>
      <c r="E508" s="474"/>
      <c r="F508" s="474"/>
      <c r="G508" s="474"/>
      <c r="H508" s="474"/>
      <c r="J508" s="474"/>
      <c r="K508" s="474"/>
      <c r="L508" s="474"/>
      <c r="M508" s="474"/>
      <c r="N508" s="474"/>
      <c r="O508" s="474"/>
      <c r="P508" s="474"/>
      <c r="Q508" s="474"/>
      <c r="S508" s="474"/>
      <c r="T508" s="474"/>
      <c r="U508" s="474"/>
      <c r="V508" s="474"/>
      <c r="W508" s="474"/>
      <c r="X508" s="474"/>
      <c r="Y508" s="474"/>
      <c r="Z508" s="474"/>
      <c r="AB508" s="474"/>
      <c r="AC508" s="474"/>
      <c r="AD508" s="474"/>
      <c r="AE508" s="474"/>
      <c r="AF508" s="474"/>
      <c r="AG508" s="474"/>
      <c r="AH508" s="474"/>
      <c r="AI508" s="474"/>
      <c r="AK508" s="474"/>
      <c r="AL508" s="474"/>
      <c r="AM508" s="474"/>
      <c r="AN508" s="474"/>
      <c r="AO508" s="474"/>
      <c r="AP508" s="474"/>
      <c r="AQ508" s="474"/>
      <c r="AR508" s="474"/>
      <c r="AS508" s="474"/>
      <c r="AT508" s="474"/>
      <c r="AU508" s="474"/>
      <c r="AV508" s="474"/>
      <c r="AW508" s="474"/>
      <c r="AX508" s="474"/>
      <c r="AY508" s="474"/>
      <c r="AZ508" s="474"/>
      <c r="BA508" s="474"/>
      <c r="BC508" s="474"/>
      <c r="BD508" s="474"/>
      <c r="BE508" s="474"/>
      <c r="BF508" s="474"/>
      <c r="BG508" s="474"/>
      <c r="BH508" s="474"/>
      <c r="BI508" s="474"/>
      <c r="BJ508" s="474"/>
      <c r="CD508" s="474"/>
      <c r="CE508" s="474"/>
      <c r="CF508" s="474"/>
      <c r="CG508" s="474"/>
      <c r="CH508" s="474"/>
      <c r="CI508" s="474"/>
      <c r="CJ508" s="474"/>
      <c r="CK508" s="474"/>
      <c r="CM508" s="474"/>
      <c r="CN508" s="474"/>
      <c r="CO508" s="474"/>
      <c r="CP508" s="474"/>
      <c r="CQ508" s="474"/>
      <c r="CR508" s="474"/>
      <c r="CS508" s="474"/>
      <c r="CT508" s="474"/>
    </row>
    <row r="509" spans="1:98" s="35" customFormat="1" ht="12" customHeight="1">
      <c r="A509" s="474"/>
      <c r="B509" s="474"/>
      <c r="C509" s="474"/>
      <c r="D509" s="474"/>
      <c r="E509" s="474"/>
      <c r="F509" s="474"/>
      <c r="G509" s="474"/>
      <c r="H509" s="474"/>
      <c r="J509" s="474"/>
      <c r="K509" s="474"/>
      <c r="L509" s="474"/>
      <c r="M509" s="474"/>
      <c r="N509" s="474"/>
      <c r="O509" s="474"/>
      <c r="P509" s="474"/>
      <c r="Q509" s="474"/>
      <c r="S509" s="474"/>
      <c r="T509" s="474"/>
      <c r="U509" s="474"/>
      <c r="V509" s="474"/>
      <c r="W509" s="474"/>
      <c r="X509" s="474"/>
      <c r="Y509" s="474"/>
      <c r="Z509" s="474"/>
      <c r="AB509" s="474"/>
      <c r="AC509" s="474"/>
      <c r="AD509" s="474"/>
      <c r="AE509" s="474"/>
      <c r="AF509" s="474"/>
      <c r="AG509" s="474"/>
      <c r="AH509" s="474"/>
      <c r="AI509" s="474"/>
      <c r="AK509" s="474"/>
      <c r="AL509" s="474"/>
      <c r="AM509" s="474"/>
      <c r="AN509" s="474"/>
      <c r="AO509" s="474"/>
      <c r="AP509" s="474"/>
      <c r="AQ509" s="474"/>
      <c r="AR509" s="474"/>
      <c r="AS509" s="474"/>
      <c r="AT509" s="474"/>
      <c r="AU509" s="474"/>
      <c r="AV509" s="474"/>
      <c r="AW509" s="474"/>
      <c r="AX509" s="474"/>
      <c r="AY509" s="474"/>
      <c r="AZ509" s="474"/>
      <c r="BA509" s="474"/>
      <c r="BC509" s="474"/>
      <c r="BD509" s="474"/>
      <c r="BE509" s="474"/>
      <c r="BF509" s="474"/>
      <c r="BG509" s="474"/>
      <c r="BH509" s="474"/>
      <c r="BI509" s="474"/>
      <c r="BJ509" s="474"/>
      <c r="CD509" s="474"/>
      <c r="CE509" s="474"/>
      <c r="CF509" s="474"/>
      <c r="CG509" s="474"/>
      <c r="CH509" s="474"/>
      <c r="CI509" s="474"/>
      <c r="CJ509" s="474"/>
      <c r="CK509" s="474"/>
      <c r="CM509" s="474"/>
      <c r="CN509" s="474"/>
      <c r="CO509" s="474"/>
      <c r="CP509" s="474"/>
      <c r="CQ509" s="474"/>
      <c r="CR509" s="474"/>
      <c r="CS509" s="474"/>
      <c r="CT509" s="474"/>
    </row>
    <row r="510" spans="1:98" s="35" customFormat="1" ht="12" customHeight="1">
      <c r="A510" s="474"/>
      <c r="B510" s="474"/>
      <c r="C510" s="474"/>
      <c r="D510" s="474"/>
      <c r="E510" s="474"/>
      <c r="F510" s="474"/>
      <c r="G510" s="474"/>
      <c r="H510" s="474"/>
      <c r="J510" s="474"/>
      <c r="K510" s="474"/>
      <c r="L510" s="474"/>
      <c r="M510" s="474"/>
      <c r="N510" s="474"/>
      <c r="O510" s="474"/>
      <c r="P510" s="474"/>
      <c r="Q510" s="474"/>
      <c r="S510" s="474"/>
      <c r="T510" s="474"/>
      <c r="U510" s="474"/>
      <c r="V510" s="474"/>
      <c r="W510" s="474"/>
      <c r="X510" s="474"/>
      <c r="Y510" s="474"/>
      <c r="Z510" s="474"/>
      <c r="AB510" s="474"/>
      <c r="AC510" s="474"/>
      <c r="AD510" s="474"/>
      <c r="AE510" s="474"/>
      <c r="AF510" s="474"/>
      <c r="AG510" s="474"/>
      <c r="AH510" s="474"/>
      <c r="AI510" s="474"/>
      <c r="AK510" s="474"/>
      <c r="AL510" s="474"/>
      <c r="AM510" s="474"/>
      <c r="AN510" s="474"/>
      <c r="AO510" s="474"/>
      <c r="AP510" s="474"/>
      <c r="AQ510" s="474"/>
      <c r="AR510" s="474"/>
      <c r="AS510" s="474"/>
      <c r="AT510" s="474"/>
      <c r="AU510" s="474"/>
      <c r="AV510" s="474"/>
      <c r="AW510" s="474"/>
      <c r="AX510" s="474"/>
      <c r="AY510" s="474"/>
      <c r="AZ510" s="474"/>
      <c r="BA510" s="474"/>
      <c r="BC510" s="474"/>
      <c r="BD510" s="474"/>
      <c r="BE510" s="474"/>
      <c r="BF510" s="474"/>
      <c r="BG510" s="474"/>
      <c r="BH510" s="474"/>
      <c r="BI510" s="474"/>
      <c r="BJ510" s="474"/>
      <c r="CD510" s="474"/>
      <c r="CE510" s="474"/>
      <c r="CF510" s="474"/>
      <c r="CG510" s="474"/>
      <c r="CH510" s="474"/>
      <c r="CI510" s="474"/>
      <c r="CJ510" s="474"/>
      <c r="CK510" s="474"/>
      <c r="CM510" s="474"/>
      <c r="CN510" s="474"/>
      <c r="CO510" s="474"/>
      <c r="CP510" s="474"/>
      <c r="CQ510" s="474"/>
      <c r="CR510" s="474"/>
      <c r="CS510" s="474"/>
      <c r="CT510" s="474"/>
    </row>
    <row r="511" spans="1:98" s="35" customFormat="1" ht="12" customHeight="1">
      <c r="A511" s="474"/>
      <c r="B511" s="474"/>
      <c r="C511" s="474"/>
      <c r="D511" s="474"/>
      <c r="E511" s="474"/>
      <c r="F511" s="474"/>
      <c r="G511" s="474"/>
      <c r="H511" s="474"/>
      <c r="J511" s="474"/>
      <c r="K511" s="474"/>
      <c r="L511" s="474"/>
      <c r="M511" s="474"/>
      <c r="N511" s="474"/>
      <c r="O511" s="474"/>
      <c r="P511" s="474"/>
      <c r="Q511" s="474"/>
      <c r="S511" s="474"/>
      <c r="T511" s="474"/>
      <c r="U511" s="474"/>
      <c r="V511" s="474"/>
      <c r="W511" s="474"/>
      <c r="X511" s="474"/>
      <c r="Y511" s="474"/>
      <c r="Z511" s="474"/>
      <c r="AB511" s="474"/>
      <c r="AC511" s="474"/>
      <c r="AD511" s="474"/>
      <c r="AE511" s="474"/>
      <c r="AF511" s="474"/>
      <c r="AG511" s="474"/>
      <c r="AH511" s="474"/>
      <c r="AI511" s="474"/>
      <c r="AK511" s="474"/>
      <c r="AL511" s="474"/>
      <c r="AM511" s="474"/>
      <c r="AN511" s="474"/>
      <c r="AO511" s="474"/>
      <c r="AP511" s="474"/>
      <c r="AQ511" s="474"/>
      <c r="AR511" s="474"/>
      <c r="AS511" s="474"/>
      <c r="AT511" s="474"/>
      <c r="AU511" s="474"/>
      <c r="AV511" s="474"/>
      <c r="AW511" s="474"/>
      <c r="AX511" s="474"/>
      <c r="AY511" s="474"/>
      <c r="AZ511" s="474"/>
      <c r="BA511" s="474"/>
      <c r="BC511" s="474"/>
      <c r="BD511" s="474"/>
      <c r="BE511" s="474"/>
      <c r="BF511" s="474"/>
      <c r="BG511" s="474"/>
      <c r="BH511" s="474"/>
      <c r="BI511" s="474"/>
      <c r="BJ511" s="474"/>
      <c r="CD511" s="474"/>
      <c r="CE511" s="474"/>
      <c r="CF511" s="474"/>
      <c r="CG511" s="474"/>
      <c r="CH511" s="474"/>
      <c r="CI511" s="474"/>
      <c r="CJ511" s="474"/>
      <c r="CK511" s="474"/>
      <c r="CM511" s="474"/>
      <c r="CN511" s="474"/>
      <c r="CO511" s="474"/>
      <c r="CP511" s="474"/>
      <c r="CQ511" s="474"/>
      <c r="CR511" s="474"/>
      <c r="CS511" s="474"/>
      <c r="CT511" s="474"/>
    </row>
    <row r="512" spans="1:98" s="35" customFormat="1" ht="12" customHeight="1">
      <c r="A512" s="474"/>
      <c r="B512" s="474"/>
      <c r="C512" s="474"/>
      <c r="D512" s="474"/>
      <c r="E512" s="474"/>
      <c r="F512" s="474"/>
      <c r="G512" s="474"/>
      <c r="H512" s="474"/>
      <c r="J512" s="474"/>
      <c r="K512" s="474"/>
      <c r="L512" s="474"/>
      <c r="M512" s="474"/>
      <c r="N512" s="474"/>
      <c r="O512" s="474"/>
      <c r="P512" s="474"/>
      <c r="Q512" s="474"/>
      <c r="S512" s="474"/>
      <c r="T512" s="474"/>
      <c r="U512" s="474"/>
      <c r="V512" s="474"/>
      <c r="W512" s="474"/>
      <c r="X512" s="474"/>
      <c r="Y512" s="474"/>
      <c r="Z512" s="474"/>
      <c r="AB512" s="474"/>
      <c r="AC512" s="474"/>
      <c r="AD512" s="474"/>
      <c r="AE512" s="474"/>
      <c r="AF512" s="474"/>
      <c r="AG512" s="474"/>
      <c r="AH512" s="474"/>
      <c r="AI512" s="474"/>
      <c r="AK512" s="474"/>
      <c r="AL512" s="474"/>
      <c r="AM512" s="474"/>
      <c r="AN512" s="474"/>
      <c r="AO512" s="474"/>
      <c r="AP512" s="474"/>
      <c r="AQ512" s="474"/>
      <c r="AR512" s="474"/>
      <c r="AS512" s="474"/>
      <c r="AT512" s="474"/>
      <c r="AU512" s="474"/>
      <c r="AV512" s="474"/>
      <c r="AW512" s="474"/>
      <c r="AX512" s="474"/>
      <c r="AY512" s="474"/>
      <c r="AZ512" s="474"/>
      <c r="BA512" s="474"/>
      <c r="BC512" s="474"/>
      <c r="BD512" s="474"/>
      <c r="BE512" s="474"/>
      <c r="BF512" s="474"/>
      <c r="BG512" s="474"/>
      <c r="BH512" s="474"/>
      <c r="BI512" s="474"/>
      <c r="BJ512" s="474"/>
      <c r="CD512" s="474"/>
      <c r="CE512" s="474"/>
      <c r="CF512" s="474"/>
      <c r="CG512" s="474"/>
      <c r="CH512" s="474"/>
      <c r="CI512" s="474"/>
      <c r="CJ512" s="474"/>
      <c r="CK512" s="474"/>
      <c r="CM512" s="474"/>
      <c r="CN512" s="474"/>
      <c r="CO512" s="474"/>
      <c r="CP512" s="474"/>
      <c r="CQ512" s="474"/>
      <c r="CR512" s="474"/>
      <c r="CS512" s="474"/>
      <c r="CT512" s="474"/>
    </row>
    <row r="513" spans="1:98" s="35" customFormat="1" ht="12" customHeight="1">
      <c r="A513" s="474"/>
      <c r="B513" s="474"/>
      <c r="C513" s="474"/>
      <c r="D513" s="474"/>
      <c r="E513" s="474"/>
      <c r="F513" s="474"/>
      <c r="G513" s="474"/>
      <c r="H513" s="474"/>
      <c r="J513" s="474"/>
      <c r="K513" s="474"/>
      <c r="L513" s="474"/>
      <c r="M513" s="474"/>
      <c r="N513" s="474"/>
      <c r="O513" s="474"/>
      <c r="P513" s="474"/>
      <c r="Q513" s="474"/>
      <c r="S513" s="474"/>
      <c r="T513" s="474"/>
      <c r="U513" s="474"/>
      <c r="V513" s="474"/>
      <c r="W513" s="474"/>
      <c r="X513" s="474"/>
      <c r="Y513" s="474"/>
      <c r="Z513" s="474"/>
      <c r="AB513" s="474"/>
      <c r="AC513" s="474"/>
      <c r="AD513" s="474"/>
      <c r="AE513" s="474"/>
      <c r="AF513" s="474"/>
      <c r="AG513" s="474"/>
      <c r="AH513" s="474"/>
      <c r="AI513" s="474"/>
      <c r="AK513" s="474"/>
      <c r="AL513" s="474"/>
      <c r="AM513" s="474"/>
      <c r="AN513" s="474"/>
      <c r="AO513" s="474"/>
      <c r="AP513" s="474"/>
      <c r="AQ513" s="474"/>
      <c r="AR513" s="474"/>
      <c r="AS513" s="474"/>
      <c r="AT513" s="474"/>
      <c r="AU513" s="474"/>
      <c r="AV513" s="474"/>
      <c r="AW513" s="474"/>
      <c r="AX513" s="474"/>
      <c r="AY513" s="474"/>
      <c r="AZ513" s="474"/>
      <c r="BA513" s="474"/>
      <c r="BC513" s="474"/>
      <c r="BD513" s="474"/>
      <c r="BE513" s="474"/>
      <c r="BF513" s="474"/>
      <c r="BG513" s="474"/>
      <c r="BH513" s="474"/>
      <c r="BI513" s="474"/>
      <c r="BJ513" s="474"/>
      <c r="CD513" s="474"/>
      <c r="CE513" s="474"/>
      <c r="CF513" s="474"/>
      <c r="CG513" s="474"/>
      <c r="CH513" s="474"/>
      <c r="CI513" s="474"/>
      <c r="CJ513" s="474"/>
      <c r="CK513" s="474"/>
      <c r="CM513" s="474"/>
      <c r="CN513" s="474"/>
      <c r="CO513" s="474"/>
      <c r="CP513" s="474"/>
      <c r="CQ513" s="474"/>
      <c r="CR513" s="474"/>
      <c r="CS513" s="474"/>
      <c r="CT513" s="474"/>
    </row>
    <row r="514" spans="1:98" s="35" customFormat="1" ht="12" customHeight="1">
      <c r="A514" s="474"/>
      <c r="B514" s="474"/>
      <c r="C514" s="474"/>
      <c r="D514" s="474"/>
      <c r="E514" s="474"/>
      <c r="F514" s="474"/>
      <c r="G514" s="474"/>
      <c r="H514" s="474"/>
      <c r="J514" s="474"/>
      <c r="K514" s="474"/>
      <c r="L514" s="474"/>
      <c r="M514" s="474"/>
      <c r="N514" s="474"/>
      <c r="O514" s="474"/>
      <c r="P514" s="474"/>
      <c r="Q514" s="474"/>
      <c r="S514" s="474"/>
      <c r="T514" s="474"/>
      <c r="U514" s="474"/>
      <c r="V514" s="474"/>
      <c r="W514" s="474"/>
      <c r="X514" s="474"/>
      <c r="Y514" s="474"/>
      <c r="Z514" s="474"/>
      <c r="AB514" s="474"/>
      <c r="AC514" s="474"/>
      <c r="AD514" s="474"/>
      <c r="AE514" s="474"/>
      <c r="AF514" s="474"/>
      <c r="AG514" s="474"/>
      <c r="AH514" s="474"/>
      <c r="AI514" s="474"/>
      <c r="AK514" s="474"/>
      <c r="AL514" s="474"/>
      <c r="AM514" s="474"/>
      <c r="AN514" s="474"/>
      <c r="AO514" s="474"/>
      <c r="AP514" s="474"/>
      <c r="AQ514" s="474"/>
      <c r="AR514" s="474"/>
      <c r="AS514" s="474"/>
      <c r="AT514" s="474"/>
      <c r="AU514" s="474"/>
      <c r="AV514" s="474"/>
      <c r="AW514" s="474"/>
      <c r="AX514" s="474"/>
      <c r="AY514" s="474"/>
      <c r="AZ514" s="474"/>
      <c r="BA514" s="474"/>
      <c r="BC514" s="474"/>
      <c r="BD514" s="474"/>
      <c r="BE514" s="474"/>
      <c r="BF514" s="474"/>
      <c r="BG514" s="474"/>
      <c r="BH514" s="474"/>
      <c r="BI514" s="474"/>
      <c r="BJ514" s="474"/>
      <c r="CD514" s="474"/>
      <c r="CE514" s="474"/>
      <c r="CF514" s="474"/>
      <c r="CG514" s="474"/>
      <c r="CH514" s="474"/>
      <c r="CI514" s="474"/>
      <c r="CJ514" s="474"/>
      <c r="CK514" s="474"/>
      <c r="CM514" s="474"/>
      <c r="CN514" s="474"/>
      <c r="CO514" s="474"/>
      <c r="CP514" s="474"/>
      <c r="CQ514" s="474"/>
      <c r="CR514" s="474"/>
      <c r="CS514" s="474"/>
      <c r="CT514" s="474"/>
    </row>
    <row r="515" spans="1:98" s="35" customFormat="1" ht="12" customHeight="1">
      <c r="A515" s="474"/>
      <c r="B515" s="474"/>
      <c r="C515" s="474"/>
      <c r="D515" s="474"/>
      <c r="E515" s="474"/>
      <c r="F515" s="474"/>
      <c r="G515" s="474"/>
      <c r="H515" s="474"/>
      <c r="J515" s="474"/>
      <c r="K515" s="474"/>
      <c r="L515" s="474"/>
      <c r="M515" s="474"/>
      <c r="N515" s="474"/>
      <c r="O515" s="474"/>
      <c r="P515" s="474"/>
      <c r="Q515" s="474"/>
      <c r="S515" s="474"/>
      <c r="T515" s="474"/>
      <c r="U515" s="474"/>
      <c r="V515" s="474"/>
      <c r="W515" s="474"/>
      <c r="X515" s="474"/>
      <c r="Y515" s="474"/>
      <c r="Z515" s="474"/>
      <c r="AB515" s="474"/>
      <c r="AC515" s="474"/>
      <c r="AD515" s="474"/>
      <c r="AE515" s="474"/>
      <c r="AF515" s="474"/>
      <c r="AG515" s="474"/>
      <c r="AH515" s="474"/>
      <c r="AI515" s="474"/>
      <c r="AK515" s="474"/>
      <c r="AL515" s="474"/>
      <c r="AM515" s="474"/>
      <c r="AN515" s="474"/>
      <c r="AO515" s="474"/>
      <c r="AP515" s="474"/>
      <c r="AQ515" s="474"/>
      <c r="AR515" s="474"/>
      <c r="AS515" s="474"/>
      <c r="AT515" s="474"/>
      <c r="AU515" s="474"/>
      <c r="AV515" s="474"/>
      <c r="AW515" s="474"/>
      <c r="AX515" s="474"/>
      <c r="AY515" s="474"/>
      <c r="AZ515" s="474"/>
      <c r="BA515" s="474"/>
      <c r="BC515" s="474"/>
      <c r="BD515" s="474"/>
      <c r="BE515" s="474"/>
      <c r="BF515" s="474"/>
      <c r="BG515" s="474"/>
      <c r="BH515" s="474"/>
      <c r="BI515" s="474"/>
      <c r="BJ515" s="474"/>
      <c r="CD515" s="474"/>
      <c r="CE515" s="474"/>
      <c r="CF515" s="474"/>
      <c r="CG515" s="474"/>
      <c r="CH515" s="474"/>
      <c r="CI515" s="474"/>
      <c r="CJ515" s="474"/>
      <c r="CK515" s="474"/>
      <c r="CM515" s="474"/>
      <c r="CN515" s="474"/>
      <c r="CO515" s="474"/>
      <c r="CP515" s="474"/>
      <c r="CQ515" s="474"/>
      <c r="CR515" s="474"/>
      <c r="CS515" s="474"/>
      <c r="CT515" s="474"/>
    </row>
    <row r="516" spans="1:98" s="35" customFormat="1" ht="12" customHeight="1">
      <c r="A516" s="474"/>
      <c r="B516" s="474"/>
      <c r="C516" s="474"/>
      <c r="D516" s="474"/>
      <c r="E516" s="474"/>
      <c r="F516" s="474"/>
      <c r="G516" s="474"/>
      <c r="H516" s="474"/>
      <c r="J516" s="474"/>
      <c r="K516" s="474"/>
      <c r="L516" s="474"/>
      <c r="M516" s="474"/>
      <c r="N516" s="474"/>
      <c r="O516" s="474"/>
      <c r="P516" s="474"/>
      <c r="Q516" s="474"/>
      <c r="S516" s="474"/>
      <c r="T516" s="474"/>
      <c r="U516" s="474"/>
      <c r="V516" s="474"/>
      <c r="W516" s="474"/>
      <c r="X516" s="474"/>
      <c r="Y516" s="474"/>
      <c r="Z516" s="474"/>
      <c r="AB516" s="474"/>
      <c r="AC516" s="474"/>
      <c r="AD516" s="474"/>
      <c r="AE516" s="474"/>
      <c r="AF516" s="474"/>
      <c r="AG516" s="474"/>
      <c r="AH516" s="474"/>
      <c r="AI516" s="474"/>
      <c r="AK516" s="474"/>
      <c r="AL516" s="474"/>
      <c r="AM516" s="474"/>
      <c r="AN516" s="474"/>
      <c r="AO516" s="474"/>
      <c r="AP516" s="474"/>
      <c r="AQ516" s="474"/>
      <c r="AR516" s="474"/>
      <c r="AS516" s="474"/>
      <c r="AT516" s="474"/>
      <c r="AU516" s="474"/>
      <c r="AV516" s="474"/>
      <c r="AW516" s="474"/>
      <c r="AX516" s="474"/>
      <c r="AY516" s="474"/>
      <c r="AZ516" s="474"/>
      <c r="BA516" s="474"/>
      <c r="BC516" s="474"/>
      <c r="BD516" s="474"/>
      <c r="BE516" s="474"/>
      <c r="BF516" s="474"/>
      <c r="BG516" s="474"/>
      <c r="BH516" s="474"/>
      <c r="BI516" s="474"/>
      <c r="BJ516" s="474"/>
      <c r="CD516" s="474"/>
      <c r="CE516" s="474"/>
      <c r="CF516" s="474"/>
      <c r="CG516" s="474"/>
      <c r="CH516" s="474"/>
      <c r="CI516" s="474"/>
      <c r="CJ516" s="474"/>
      <c r="CK516" s="474"/>
      <c r="CM516" s="474"/>
      <c r="CN516" s="474"/>
      <c r="CO516" s="474"/>
      <c r="CP516" s="474"/>
      <c r="CQ516" s="474"/>
      <c r="CR516" s="474"/>
      <c r="CS516" s="474"/>
      <c r="CT516" s="474"/>
    </row>
    <row r="517" spans="1:98" s="35" customFormat="1" ht="12" customHeight="1">
      <c r="A517" s="474"/>
      <c r="B517" s="474"/>
      <c r="C517" s="474"/>
      <c r="D517" s="474"/>
      <c r="E517" s="474"/>
      <c r="F517" s="474"/>
      <c r="G517" s="474"/>
      <c r="H517" s="474"/>
      <c r="J517" s="474"/>
      <c r="K517" s="474"/>
      <c r="L517" s="474"/>
      <c r="M517" s="474"/>
      <c r="N517" s="474"/>
      <c r="O517" s="474"/>
      <c r="P517" s="474"/>
      <c r="Q517" s="474"/>
      <c r="S517" s="474"/>
      <c r="T517" s="474"/>
      <c r="U517" s="474"/>
      <c r="V517" s="474"/>
      <c r="W517" s="474"/>
      <c r="X517" s="474"/>
      <c r="Y517" s="474"/>
      <c r="Z517" s="474"/>
      <c r="AB517" s="474"/>
      <c r="AC517" s="474"/>
      <c r="AD517" s="474"/>
      <c r="AE517" s="474"/>
      <c r="AF517" s="474"/>
      <c r="AG517" s="474"/>
      <c r="AH517" s="474"/>
      <c r="AI517" s="474"/>
      <c r="AK517" s="474"/>
      <c r="AL517" s="474"/>
      <c r="AM517" s="474"/>
      <c r="AN517" s="474"/>
      <c r="AO517" s="474"/>
      <c r="AP517" s="474"/>
      <c r="AQ517" s="474"/>
      <c r="AR517" s="474"/>
      <c r="AS517" s="474"/>
      <c r="AT517" s="474"/>
      <c r="AU517" s="474"/>
      <c r="AV517" s="474"/>
      <c r="AW517" s="474"/>
      <c r="AX517" s="474"/>
      <c r="AY517" s="474"/>
      <c r="AZ517" s="474"/>
      <c r="BA517" s="474"/>
      <c r="BC517" s="474"/>
      <c r="BD517" s="474"/>
      <c r="BE517" s="474"/>
      <c r="BF517" s="474"/>
      <c r="BG517" s="474"/>
      <c r="BH517" s="474"/>
      <c r="BI517" s="474"/>
      <c r="BJ517" s="474"/>
      <c r="CD517" s="474"/>
      <c r="CE517" s="474"/>
      <c r="CF517" s="474"/>
      <c r="CG517" s="474"/>
      <c r="CH517" s="474"/>
      <c r="CI517" s="474"/>
      <c r="CJ517" s="474"/>
      <c r="CK517" s="474"/>
      <c r="CM517" s="474"/>
      <c r="CN517" s="474"/>
      <c r="CO517" s="474"/>
      <c r="CP517" s="474"/>
      <c r="CQ517" s="474"/>
      <c r="CR517" s="474"/>
      <c r="CS517" s="474"/>
      <c r="CT517" s="474"/>
    </row>
    <row r="518" spans="1:98" s="35" customFormat="1" ht="12" customHeight="1">
      <c r="A518" s="474"/>
      <c r="B518" s="474"/>
      <c r="C518" s="474"/>
      <c r="D518" s="474"/>
      <c r="E518" s="474"/>
      <c r="F518" s="474"/>
      <c r="G518" s="474"/>
      <c r="H518" s="474"/>
      <c r="J518" s="474"/>
      <c r="K518" s="474"/>
      <c r="L518" s="474"/>
      <c r="M518" s="474"/>
      <c r="N518" s="474"/>
      <c r="O518" s="474"/>
      <c r="P518" s="474"/>
      <c r="Q518" s="474"/>
      <c r="S518" s="474"/>
      <c r="T518" s="474"/>
      <c r="U518" s="474"/>
      <c r="V518" s="474"/>
      <c r="W518" s="474"/>
      <c r="X518" s="474"/>
      <c r="Y518" s="474"/>
      <c r="Z518" s="474"/>
      <c r="AB518" s="474"/>
      <c r="AC518" s="474"/>
      <c r="AD518" s="474"/>
      <c r="AE518" s="474"/>
      <c r="AF518" s="474"/>
      <c r="AG518" s="474"/>
      <c r="AH518" s="474"/>
      <c r="AI518" s="474"/>
      <c r="AK518" s="474"/>
      <c r="AL518" s="474"/>
      <c r="AM518" s="474"/>
      <c r="AN518" s="474"/>
      <c r="AO518" s="474"/>
      <c r="AP518" s="474"/>
      <c r="AQ518" s="474"/>
      <c r="AR518" s="474"/>
      <c r="AS518" s="474"/>
      <c r="AT518" s="474"/>
      <c r="AU518" s="474"/>
      <c r="AV518" s="474"/>
      <c r="AW518" s="474"/>
      <c r="AX518" s="474"/>
      <c r="AY518" s="474"/>
      <c r="AZ518" s="474"/>
      <c r="BA518" s="474"/>
      <c r="BC518" s="474"/>
      <c r="BD518" s="474"/>
      <c r="BE518" s="474"/>
      <c r="BF518" s="474"/>
      <c r="BG518" s="474"/>
      <c r="BH518" s="474"/>
      <c r="BI518" s="474"/>
      <c r="BJ518" s="474"/>
      <c r="CD518" s="474"/>
      <c r="CE518" s="474"/>
      <c r="CF518" s="474"/>
      <c r="CG518" s="474"/>
      <c r="CH518" s="474"/>
      <c r="CI518" s="474"/>
      <c r="CJ518" s="474"/>
      <c r="CK518" s="474"/>
      <c r="CM518" s="474"/>
      <c r="CN518" s="474"/>
      <c r="CO518" s="474"/>
      <c r="CP518" s="474"/>
      <c r="CQ518" s="474"/>
      <c r="CR518" s="474"/>
      <c r="CS518" s="474"/>
      <c r="CT518" s="474"/>
    </row>
    <row r="519" spans="1:98" s="35" customFormat="1" ht="12" customHeight="1">
      <c r="A519" s="474"/>
      <c r="B519" s="474"/>
      <c r="C519" s="474"/>
      <c r="D519" s="474"/>
      <c r="E519" s="474"/>
      <c r="F519" s="474"/>
      <c r="G519" s="474"/>
      <c r="H519" s="474"/>
      <c r="J519" s="474"/>
      <c r="K519" s="474"/>
      <c r="L519" s="474"/>
      <c r="M519" s="474"/>
      <c r="N519" s="474"/>
      <c r="O519" s="474"/>
      <c r="P519" s="474"/>
      <c r="Q519" s="474"/>
      <c r="S519" s="474"/>
      <c r="T519" s="474"/>
      <c r="U519" s="474"/>
      <c r="V519" s="474"/>
      <c r="W519" s="474"/>
      <c r="X519" s="474"/>
      <c r="Y519" s="474"/>
      <c r="Z519" s="474"/>
      <c r="AB519" s="474"/>
      <c r="AC519" s="474"/>
      <c r="AD519" s="474"/>
      <c r="AE519" s="474"/>
      <c r="AF519" s="474"/>
      <c r="AG519" s="474"/>
      <c r="AH519" s="474"/>
      <c r="AI519" s="474"/>
      <c r="AK519" s="474"/>
      <c r="AL519" s="474"/>
      <c r="AM519" s="474"/>
      <c r="AN519" s="474"/>
      <c r="AO519" s="474"/>
      <c r="AP519" s="474"/>
      <c r="AQ519" s="474"/>
      <c r="AR519" s="474"/>
      <c r="AS519" s="474"/>
      <c r="AT519" s="474"/>
      <c r="AU519" s="474"/>
      <c r="AV519" s="474"/>
      <c r="AW519" s="474"/>
      <c r="AX519" s="474"/>
      <c r="AY519" s="474"/>
      <c r="AZ519" s="474"/>
      <c r="BA519" s="474"/>
      <c r="BC519" s="474"/>
      <c r="BD519" s="474"/>
      <c r="BE519" s="474"/>
      <c r="BF519" s="474"/>
      <c r="BG519" s="474"/>
      <c r="BH519" s="474"/>
      <c r="BI519" s="474"/>
      <c r="BJ519" s="474"/>
      <c r="CD519" s="474"/>
      <c r="CE519" s="474"/>
      <c r="CF519" s="474"/>
      <c r="CG519" s="474"/>
      <c r="CH519" s="474"/>
      <c r="CI519" s="474"/>
      <c r="CJ519" s="474"/>
      <c r="CK519" s="474"/>
      <c r="CM519" s="474"/>
      <c r="CN519" s="474"/>
      <c r="CO519" s="474"/>
      <c r="CP519" s="474"/>
      <c r="CQ519" s="474"/>
      <c r="CR519" s="474"/>
      <c r="CS519" s="474"/>
      <c r="CT519" s="474"/>
    </row>
    <row r="520" spans="1:98" s="35" customFormat="1" ht="12" customHeight="1">
      <c r="A520" s="474"/>
      <c r="B520" s="474"/>
      <c r="C520" s="474"/>
      <c r="D520" s="474"/>
      <c r="E520" s="474"/>
      <c r="F520" s="474"/>
      <c r="G520" s="474"/>
      <c r="H520" s="474"/>
      <c r="J520" s="474"/>
      <c r="K520" s="474"/>
      <c r="L520" s="474"/>
      <c r="M520" s="474"/>
      <c r="N520" s="474"/>
      <c r="O520" s="474"/>
      <c r="P520" s="474"/>
      <c r="Q520" s="474"/>
      <c r="S520" s="474"/>
      <c r="T520" s="474"/>
      <c r="U520" s="474"/>
      <c r="V520" s="474"/>
      <c r="W520" s="474"/>
      <c r="X520" s="474"/>
      <c r="Y520" s="474"/>
      <c r="Z520" s="474"/>
      <c r="AB520" s="474"/>
      <c r="AC520" s="474"/>
      <c r="AD520" s="474"/>
      <c r="AE520" s="474"/>
      <c r="AF520" s="474"/>
      <c r="AG520" s="474"/>
      <c r="AH520" s="474"/>
      <c r="AI520" s="474"/>
      <c r="AK520" s="474"/>
      <c r="AL520" s="474"/>
      <c r="AM520" s="474"/>
      <c r="AN520" s="474"/>
      <c r="AO520" s="474"/>
      <c r="AP520" s="474"/>
      <c r="AQ520" s="474"/>
      <c r="AR520" s="474"/>
      <c r="AS520" s="474"/>
      <c r="AT520" s="474"/>
      <c r="AU520" s="474"/>
      <c r="AV520" s="474"/>
      <c r="AW520" s="474"/>
      <c r="AX520" s="474"/>
      <c r="AY520" s="474"/>
      <c r="AZ520" s="474"/>
      <c r="BA520" s="474"/>
      <c r="BC520" s="474"/>
      <c r="BD520" s="474"/>
      <c r="BE520" s="474"/>
      <c r="BF520" s="474"/>
      <c r="BG520" s="474"/>
      <c r="BH520" s="474"/>
      <c r="BI520" s="474"/>
      <c r="BJ520" s="474"/>
      <c r="CD520" s="474"/>
      <c r="CE520" s="474"/>
      <c r="CF520" s="474"/>
      <c r="CG520" s="474"/>
      <c r="CH520" s="474"/>
      <c r="CI520" s="474"/>
      <c r="CJ520" s="474"/>
      <c r="CK520" s="474"/>
      <c r="CM520" s="474"/>
      <c r="CN520" s="474"/>
      <c r="CO520" s="474"/>
      <c r="CP520" s="474"/>
      <c r="CQ520" s="474"/>
      <c r="CR520" s="474"/>
      <c r="CS520" s="474"/>
      <c r="CT520" s="474"/>
    </row>
    <row r="521" spans="1:98" s="35" customFormat="1" ht="12" customHeight="1">
      <c r="A521" s="474"/>
      <c r="B521" s="474"/>
      <c r="C521" s="474"/>
      <c r="D521" s="474"/>
      <c r="E521" s="474"/>
      <c r="F521" s="474"/>
      <c r="G521" s="474"/>
      <c r="H521" s="474"/>
      <c r="J521" s="474"/>
      <c r="K521" s="474"/>
      <c r="L521" s="474"/>
      <c r="M521" s="474"/>
      <c r="N521" s="474"/>
      <c r="O521" s="474"/>
      <c r="P521" s="474"/>
      <c r="Q521" s="474"/>
      <c r="S521" s="474"/>
      <c r="T521" s="474"/>
      <c r="U521" s="474"/>
      <c r="V521" s="474"/>
      <c r="W521" s="474"/>
      <c r="X521" s="474"/>
      <c r="Y521" s="474"/>
      <c r="Z521" s="474"/>
      <c r="AB521" s="474"/>
      <c r="AC521" s="474"/>
      <c r="AD521" s="474"/>
      <c r="AE521" s="474"/>
      <c r="AF521" s="474"/>
      <c r="AG521" s="474"/>
      <c r="AH521" s="474"/>
      <c r="AI521" s="474"/>
      <c r="AK521" s="474"/>
      <c r="AL521" s="474"/>
      <c r="AM521" s="474"/>
      <c r="AN521" s="474"/>
      <c r="AO521" s="474"/>
      <c r="AP521" s="474"/>
      <c r="AQ521" s="474"/>
      <c r="AR521" s="474"/>
      <c r="AS521" s="474"/>
      <c r="AT521" s="474"/>
      <c r="AU521" s="474"/>
      <c r="AV521" s="474"/>
      <c r="AW521" s="474"/>
      <c r="AX521" s="474"/>
      <c r="AY521" s="474"/>
      <c r="AZ521" s="474"/>
      <c r="BA521" s="474"/>
      <c r="BC521" s="474"/>
      <c r="BD521" s="474"/>
      <c r="BE521" s="474"/>
      <c r="BF521" s="474"/>
      <c r="BG521" s="474"/>
      <c r="BH521" s="474"/>
      <c r="BI521" s="474"/>
      <c r="BJ521" s="474"/>
      <c r="CD521" s="474"/>
      <c r="CE521" s="474"/>
      <c r="CF521" s="474"/>
      <c r="CG521" s="474"/>
      <c r="CH521" s="474"/>
      <c r="CI521" s="474"/>
      <c r="CJ521" s="474"/>
      <c r="CK521" s="474"/>
      <c r="CM521" s="474"/>
      <c r="CN521" s="474"/>
      <c r="CO521" s="474"/>
      <c r="CP521" s="474"/>
      <c r="CQ521" s="474"/>
      <c r="CR521" s="474"/>
      <c r="CS521" s="474"/>
      <c r="CT521" s="474"/>
    </row>
    <row r="522" spans="1:98" s="35" customFormat="1" ht="12" customHeight="1">
      <c r="A522" s="474"/>
      <c r="B522" s="474"/>
      <c r="C522" s="474"/>
      <c r="D522" s="474"/>
      <c r="E522" s="474"/>
      <c r="F522" s="474"/>
      <c r="G522" s="474"/>
      <c r="H522" s="474"/>
      <c r="J522" s="474"/>
      <c r="K522" s="474"/>
      <c r="L522" s="474"/>
      <c r="M522" s="474"/>
      <c r="N522" s="474"/>
      <c r="O522" s="474"/>
      <c r="P522" s="474"/>
      <c r="Q522" s="474"/>
      <c r="S522" s="474"/>
      <c r="T522" s="474"/>
      <c r="U522" s="474"/>
      <c r="V522" s="474"/>
      <c r="W522" s="474"/>
      <c r="X522" s="474"/>
      <c r="Y522" s="474"/>
      <c r="Z522" s="474"/>
      <c r="AB522" s="474"/>
      <c r="AC522" s="474"/>
      <c r="AD522" s="474"/>
      <c r="AE522" s="474"/>
      <c r="AF522" s="474"/>
      <c r="AG522" s="474"/>
      <c r="AH522" s="474"/>
      <c r="AI522" s="474"/>
      <c r="AK522" s="474"/>
      <c r="AL522" s="474"/>
      <c r="AM522" s="474"/>
      <c r="AN522" s="474"/>
      <c r="AO522" s="474"/>
      <c r="AP522" s="474"/>
      <c r="AQ522" s="474"/>
      <c r="AR522" s="474"/>
      <c r="AS522" s="474"/>
      <c r="AT522" s="474"/>
      <c r="AU522" s="474"/>
      <c r="AV522" s="474"/>
      <c r="AW522" s="474"/>
      <c r="AX522" s="474"/>
      <c r="AY522" s="474"/>
      <c r="AZ522" s="474"/>
      <c r="BA522" s="474"/>
      <c r="BC522" s="474"/>
      <c r="BD522" s="474"/>
      <c r="BE522" s="474"/>
      <c r="BF522" s="474"/>
      <c r="BG522" s="474"/>
      <c r="BH522" s="474"/>
      <c r="BI522" s="474"/>
      <c r="BJ522" s="474"/>
      <c r="CD522" s="474"/>
      <c r="CE522" s="474"/>
      <c r="CF522" s="474"/>
      <c r="CG522" s="474"/>
      <c r="CH522" s="474"/>
      <c r="CI522" s="474"/>
      <c r="CJ522" s="474"/>
      <c r="CK522" s="474"/>
      <c r="CM522" s="474"/>
      <c r="CN522" s="474"/>
      <c r="CO522" s="474"/>
      <c r="CP522" s="474"/>
      <c r="CQ522" s="474"/>
      <c r="CR522" s="474"/>
      <c r="CS522" s="474"/>
      <c r="CT522" s="474"/>
    </row>
    <row r="523" spans="1:98" s="35" customFormat="1" ht="12" customHeight="1">
      <c r="A523" s="474"/>
      <c r="B523" s="474"/>
      <c r="C523" s="474"/>
      <c r="D523" s="474"/>
      <c r="E523" s="474"/>
      <c r="F523" s="474"/>
      <c r="G523" s="474"/>
      <c r="H523" s="474"/>
      <c r="J523" s="474"/>
      <c r="K523" s="474"/>
      <c r="L523" s="474"/>
      <c r="M523" s="474"/>
      <c r="N523" s="474"/>
      <c r="O523" s="474"/>
      <c r="P523" s="474"/>
      <c r="Q523" s="474"/>
      <c r="S523" s="474"/>
      <c r="T523" s="474"/>
      <c r="U523" s="474"/>
      <c r="V523" s="474"/>
      <c r="W523" s="474"/>
      <c r="X523" s="474"/>
      <c r="Y523" s="474"/>
      <c r="Z523" s="474"/>
      <c r="AB523" s="474"/>
      <c r="AC523" s="474"/>
      <c r="AD523" s="474"/>
      <c r="AE523" s="474"/>
      <c r="AF523" s="474"/>
      <c r="AG523" s="474"/>
      <c r="AH523" s="474"/>
      <c r="AI523" s="474"/>
      <c r="AK523" s="474"/>
      <c r="AL523" s="474"/>
      <c r="AM523" s="474"/>
      <c r="AN523" s="474"/>
      <c r="AO523" s="474"/>
      <c r="AP523" s="474"/>
      <c r="AQ523" s="474"/>
      <c r="AR523" s="474"/>
      <c r="AS523" s="474"/>
      <c r="AT523" s="474"/>
      <c r="AU523" s="474"/>
      <c r="AV523" s="474"/>
      <c r="AW523" s="474"/>
      <c r="AX523" s="474"/>
      <c r="AY523" s="474"/>
      <c r="AZ523" s="474"/>
      <c r="BA523" s="474"/>
      <c r="BC523" s="474"/>
      <c r="BD523" s="474"/>
      <c r="BE523" s="474"/>
      <c r="BF523" s="474"/>
      <c r="BG523" s="474"/>
      <c r="BH523" s="474"/>
      <c r="BI523" s="474"/>
      <c r="BJ523" s="474"/>
      <c r="CD523" s="474"/>
      <c r="CE523" s="474"/>
      <c r="CF523" s="474"/>
      <c r="CG523" s="474"/>
      <c r="CH523" s="474"/>
      <c r="CI523" s="474"/>
      <c r="CJ523" s="474"/>
      <c r="CK523" s="474"/>
      <c r="CM523" s="474"/>
      <c r="CN523" s="474"/>
      <c r="CO523" s="474"/>
      <c r="CP523" s="474"/>
      <c r="CQ523" s="474"/>
      <c r="CR523" s="474"/>
      <c r="CS523" s="474"/>
      <c r="CT523" s="474"/>
    </row>
  </sheetData>
  <sortState ref="T5:Z158">
    <sortCondition ref="V5:V158"/>
  </sortState>
  <mergeCells count="152">
    <mergeCell ref="CM159:CR159"/>
    <mergeCell ref="CM171:CR171"/>
    <mergeCell ref="CM184:CR184"/>
    <mergeCell ref="CM188:CR188"/>
    <mergeCell ref="CM192:CR192"/>
    <mergeCell ref="CM193:CR193"/>
    <mergeCell ref="CM115:CR115"/>
    <mergeCell ref="CM123:CR123"/>
    <mergeCell ref="CM125:CR125"/>
    <mergeCell ref="CM130:CR130"/>
    <mergeCell ref="CM145:CR145"/>
    <mergeCell ref="CM147:CR147"/>
    <mergeCell ref="CM150:CR150"/>
    <mergeCell ref="CM152:CR152"/>
    <mergeCell ref="CM154:CR154"/>
    <mergeCell ref="CM186:CR186"/>
    <mergeCell ref="CM106:CR106"/>
    <mergeCell ref="CM108:CR108"/>
    <mergeCell ref="CV38:DA38"/>
    <mergeCell ref="CV47:DA47"/>
    <mergeCell ref="CV49:DA49"/>
    <mergeCell ref="CV55:DA55"/>
    <mergeCell ref="CV57:DA57"/>
    <mergeCell ref="CV88:DA88"/>
    <mergeCell ref="CV90:DA90"/>
    <mergeCell ref="CV98:DA98"/>
    <mergeCell ref="CV81:DA81"/>
    <mergeCell ref="CV85:DA85"/>
    <mergeCell ref="CV92:DA92"/>
    <mergeCell ref="CV100:DA100"/>
    <mergeCell ref="CV103:DA103"/>
    <mergeCell ref="CV107:DA107"/>
    <mergeCell ref="CV108:DA108"/>
    <mergeCell ref="CV3:CV4"/>
    <mergeCell ref="CW3:CW4"/>
    <mergeCell ref="CX3:CX4"/>
    <mergeCell ref="CY3:CY4"/>
    <mergeCell ref="CZ3:CZ4"/>
    <mergeCell ref="DA3:DA4"/>
    <mergeCell ref="CV19:DA19"/>
    <mergeCell ref="CV21:DA21"/>
    <mergeCell ref="CV36:DA36"/>
    <mergeCell ref="CM111:CR111"/>
    <mergeCell ref="CM113:CR113"/>
    <mergeCell ref="CM117:CR117"/>
    <mergeCell ref="CM33:CR33"/>
    <mergeCell ref="CM35:CR35"/>
    <mergeCell ref="CM37:CR37"/>
    <mergeCell ref="CM119:CR119"/>
    <mergeCell ref="CM133:CR133"/>
    <mergeCell ref="CM39:CR39"/>
    <mergeCell ref="CM44:CR44"/>
    <mergeCell ref="CM47:CR47"/>
    <mergeCell ref="CM51:CR51"/>
    <mergeCell ref="CM53:CR53"/>
    <mergeCell ref="CM57:CR57"/>
    <mergeCell ref="CM59:CR59"/>
    <mergeCell ref="CM61:CR61"/>
    <mergeCell ref="CM64:CR64"/>
    <mergeCell ref="CM66:CR66"/>
    <mergeCell ref="CM68:CR68"/>
    <mergeCell ref="CM70:CR70"/>
    <mergeCell ref="CM95:CR95"/>
    <mergeCell ref="CM97:CR97"/>
    <mergeCell ref="CM101:CR101"/>
    <mergeCell ref="CM104:CR104"/>
    <mergeCell ref="CR3:CR4"/>
    <mergeCell ref="CS3:CT3"/>
    <mergeCell ref="CM12:CR12"/>
    <mergeCell ref="CM24:CR24"/>
    <mergeCell ref="CM31:CR31"/>
    <mergeCell ref="CM3:CM4"/>
    <mergeCell ref="CN3:CN4"/>
    <mergeCell ref="CO3:CO4"/>
    <mergeCell ref="CP3:CP4"/>
    <mergeCell ref="CQ3:CQ4"/>
    <mergeCell ref="BZ3:BZ4"/>
    <mergeCell ref="CA3:CB3"/>
    <mergeCell ref="BU3:BU4"/>
    <mergeCell ref="BV3:BV4"/>
    <mergeCell ref="BW3:BW4"/>
    <mergeCell ref="BX3:BX4"/>
    <mergeCell ref="BY3:BY4"/>
    <mergeCell ref="BQ3:BQ4"/>
    <mergeCell ref="BR3:BS3"/>
    <mergeCell ref="A3:A4"/>
    <mergeCell ref="B3:B4"/>
    <mergeCell ref="C3:C4"/>
    <mergeCell ref="D3:D4"/>
    <mergeCell ref="E3:E4"/>
    <mergeCell ref="F3:F4"/>
    <mergeCell ref="G3:H3"/>
    <mergeCell ref="J3:J4"/>
    <mergeCell ref="K3:K4"/>
    <mergeCell ref="L3:L4"/>
    <mergeCell ref="M3:M4"/>
    <mergeCell ref="P3:Q3"/>
    <mergeCell ref="N3:N4"/>
    <mergeCell ref="O3:O4"/>
    <mergeCell ref="X3:X4"/>
    <mergeCell ref="Y3:Z3"/>
    <mergeCell ref="S3:S4"/>
    <mergeCell ref="T3:T4"/>
    <mergeCell ref="U3:U4"/>
    <mergeCell ref="V3:V4"/>
    <mergeCell ref="W3:W4"/>
    <mergeCell ref="BP3:BP4"/>
    <mergeCell ref="BH3:BH4"/>
    <mergeCell ref="BI3:BJ3"/>
    <mergeCell ref="BC3:BC4"/>
    <mergeCell ref="BD3:BD4"/>
    <mergeCell ref="BE3:BE4"/>
    <mergeCell ref="AG3:AG4"/>
    <mergeCell ref="AH3:AI3"/>
    <mergeCell ref="AB3:AB4"/>
    <mergeCell ref="AC3:AC4"/>
    <mergeCell ref="AD3:AD4"/>
    <mergeCell ref="AE3:AE4"/>
    <mergeCell ref="AF3:AF4"/>
    <mergeCell ref="AP3:AP4"/>
    <mergeCell ref="AQ3:AR3"/>
    <mergeCell ref="AK3:AK4"/>
    <mergeCell ref="AL3:AL4"/>
    <mergeCell ref="AM3:AM4"/>
    <mergeCell ref="AN3:AN4"/>
    <mergeCell ref="AO3:AO4"/>
    <mergeCell ref="BF3:BF4"/>
    <mergeCell ref="BG3:BG4"/>
    <mergeCell ref="CV111:DB112"/>
    <mergeCell ref="CV113:CZ113"/>
    <mergeCell ref="CV116:CZ117"/>
    <mergeCell ref="DA116:DA117"/>
    <mergeCell ref="DB116:DB117"/>
    <mergeCell ref="CM139:CR139"/>
    <mergeCell ref="AY3:AY4"/>
    <mergeCell ref="AZ3:BA3"/>
    <mergeCell ref="AT3:AT4"/>
    <mergeCell ref="AU3:AU4"/>
    <mergeCell ref="AV3:AV4"/>
    <mergeCell ref="AW3:AW4"/>
    <mergeCell ref="AX3:AX4"/>
    <mergeCell ref="CI3:CI4"/>
    <mergeCell ref="CJ3:CK3"/>
    <mergeCell ref="CD3:CD4"/>
    <mergeCell ref="CE3:CE4"/>
    <mergeCell ref="CF3:CF4"/>
    <mergeCell ref="CG3:CG4"/>
    <mergeCell ref="CH3:CH4"/>
    <mergeCell ref="BL3:BL4"/>
    <mergeCell ref="BM3:BM4"/>
    <mergeCell ref="BN3:BN4"/>
    <mergeCell ref="BO3:BO4"/>
  </mergeCells>
  <printOptions horizontalCentered="1"/>
  <pageMargins left="0.2" right="0.14000000000000001" top="0.12" bottom="0.39" header="0.14000000000000001" footer="0.2"/>
  <pageSetup paperSize="9" scale="78" orientation="portrait" horizontalDpi="4294967293" verticalDpi="300" r:id="rId1"/>
  <headerFooter>
    <oddFooter>Page &amp;P of &amp;N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104"/>
  <sheetViews>
    <sheetView showGridLines="0" view="pageBreakPreview" topLeftCell="A67" zoomScale="70" zoomScaleNormal="85" zoomScaleSheetLayoutView="70" workbookViewId="0">
      <selection activeCell="G80" sqref="G80"/>
    </sheetView>
  </sheetViews>
  <sheetFormatPr defaultRowHeight="15"/>
  <cols>
    <col min="1" max="2" width="4.28515625" style="474" customWidth="1"/>
    <col min="3" max="3" width="64.42578125" style="474" customWidth="1"/>
    <col min="4" max="4" width="21.7109375" style="43" customWidth="1"/>
    <col min="5" max="5" width="25.85546875" style="43" bestFit="1" customWidth="1"/>
    <col min="6" max="6" width="16.7109375" bestFit="1" customWidth="1"/>
    <col min="7" max="7" width="27.140625" bestFit="1" customWidth="1"/>
    <col min="8" max="8" width="6.5703125" customWidth="1"/>
    <col min="9" max="9" width="20.7109375" customWidth="1"/>
    <col min="10" max="10" width="14.85546875" bestFit="1" customWidth="1"/>
    <col min="11" max="11" width="25.42578125" bestFit="1" customWidth="1"/>
    <col min="12" max="12" width="20.5703125" bestFit="1" customWidth="1"/>
    <col min="13" max="13" width="25.85546875" bestFit="1" customWidth="1"/>
    <col min="14" max="14" width="25.42578125" bestFit="1" customWidth="1"/>
    <col min="15" max="16" width="22.28515625" bestFit="1" customWidth="1"/>
  </cols>
  <sheetData>
    <row r="1" spans="1:16" ht="19.5">
      <c r="A1" s="573" t="s">
        <v>1680</v>
      </c>
      <c r="B1" s="36"/>
      <c r="C1" s="525"/>
      <c r="D1" s="525"/>
      <c r="E1" s="642" t="s">
        <v>1705</v>
      </c>
      <c r="H1" s="640"/>
      <c r="I1" s="640"/>
      <c r="J1" s="640"/>
      <c r="K1" s="640"/>
      <c r="L1" s="640"/>
      <c r="M1" s="640"/>
      <c r="N1" s="640"/>
      <c r="O1" s="640"/>
      <c r="P1" s="642" t="s">
        <v>1710</v>
      </c>
    </row>
    <row r="2" spans="1:16" ht="18.75" customHeight="1">
      <c r="A2" s="576" t="s">
        <v>1676</v>
      </c>
      <c r="B2" s="36"/>
      <c r="C2" s="525"/>
      <c r="D2" s="525"/>
      <c r="E2" s="525"/>
      <c r="H2" s="1877"/>
      <c r="I2" s="1877"/>
      <c r="J2" s="1877"/>
      <c r="K2" s="1877"/>
      <c r="L2" s="1877"/>
      <c r="M2" s="1877"/>
      <c r="N2" s="1877"/>
      <c r="O2" s="1877"/>
      <c r="P2" s="1877"/>
    </row>
    <row r="3" spans="1:16">
      <c r="A3" s="1581" t="s">
        <v>69</v>
      </c>
      <c r="B3" s="1581" t="s">
        <v>2</v>
      </c>
      <c r="C3" s="1581" t="s">
        <v>70</v>
      </c>
      <c r="D3" s="1907" t="s">
        <v>71</v>
      </c>
      <c r="E3" s="1907"/>
      <c r="H3" s="619" t="s">
        <v>1689</v>
      </c>
    </row>
    <row r="4" spans="1:16">
      <c r="A4" s="1581"/>
      <c r="B4" s="1581"/>
      <c r="C4" s="1581"/>
      <c r="D4" s="1907"/>
      <c r="E4" s="1907"/>
      <c r="H4" s="1890" t="s">
        <v>69</v>
      </c>
      <c r="I4" s="1890" t="s">
        <v>81</v>
      </c>
      <c r="J4" s="1886" t="s">
        <v>1691</v>
      </c>
      <c r="K4" s="1887"/>
      <c r="L4" s="1891"/>
      <c r="M4" s="1889"/>
      <c r="N4" s="1889"/>
      <c r="O4" s="1889"/>
    </row>
    <row r="5" spans="1:16">
      <c r="A5" s="1581"/>
      <c r="B5" s="1581"/>
      <c r="C5" s="1581"/>
      <c r="D5" s="1907" t="s">
        <v>54</v>
      </c>
      <c r="E5" s="1581" t="s">
        <v>55</v>
      </c>
      <c r="H5" s="1890"/>
      <c r="I5" s="1890"/>
      <c r="J5" s="531" t="s">
        <v>54</v>
      </c>
      <c r="K5" s="621" t="s">
        <v>55</v>
      </c>
      <c r="L5" s="628"/>
      <c r="M5" s="629"/>
      <c r="N5" s="629"/>
      <c r="O5" s="629"/>
    </row>
    <row r="6" spans="1:16">
      <c r="A6" s="1581"/>
      <c r="B6" s="1581"/>
      <c r="C6" s="1581"/>
      <c r="D6" s="1907"/>
      <c r="E6" s="1581"/>
      <c r="H6" s="532">
        <v>1</v>
      </c>
      <c r="I6" s="488" t="s">
        <v>1690</v>
      </c>
      <c r="J6" s="611">
        <f>SUM(Master_Data!M144)</f>
        <v>12049</v>
      </c>
      <c r="K6" s="611">
        <f>SUM(Master_Data!N144)</f>
        <v>7784742075.3969994</v>
      </c>
      <c r="L6" s="630"/>
      <c r="M6" s="465"/>
      <c r="N6" s="465"/>
      <c r="O6" s="465"/>
    </row>
    <row r="7" spans="1:16">
      <c r="A7" s="53">
        <v>1</v>
      </c>
      <c r="B7" s="83" t="s">
        <v>16</v>
      </c>
      <c r="C7" s="556" t="s">
        <v>13</v>
      </c>
      <c r="D7" s="554">
        <v>0</v>
      </c>
      <c r="E7" s="544">
        <v>142500000</v>
      </c>
      <c r="F7" s="487"/>
      <c r="G7" s="487"/>
      <c r="H7" s="1887" t="s">
        <v>68</v>
      </c>
      <c r="I7" s="1888"/>
      <c r="J7" s="612">
        <f>SUM(J6)</f>
        <v>12049</v>
      </c>
      <c r="K7" s="612">
        <f>SUM(K6)</f>
        <v>7784742075.3969994</v>
      </c>
    </row>
    <row r="8" spans="1:16">
      <c r="A8" s="9">
        <v>2</v>
      </c>
      <c r="B8" s="21" t="s">
        <v>344</v>
      </c>
      <c r="C8" s="557" t="s">
        <v>173</v>
      </c>
      <c r="D8" s="542">
        <v>6050</v>
      </c>
      <c r="E8" s="542">
        <v>0</v>
      </c>
      <c r="H8" s="619" t="s">
        <v>1688</v>
      </c>
    </row>
    <row r="9" spans="1:16">
      <c r="A9" s="9">
        <v>3</v>
      </c>
      <c r="B9" s="328" t="s">
        <v>21</v>
      </c>
      <c r="C9" s="558" t="s">
        <v>20</v>
      </c>
      <c r="D9" s="39">
        <v>0</v>
      </c>
      <c r="E9" s="39">
        <f>SUM('Outs Inv'!CT31)</f>
        <v>1798458635.9219999</v>
      </c>
      <c r="H9" s="1890" t="s">
        <v>69</v>
      </c>
      <c r="I9" s="1890" t="s">
        <v>1431</v>
      </c>
      <c r="J9" s="1886" t="s">
        <v>1430</v>
      </c>
      <c r="K9" s="1886"/>
      <c r="L9" s="1886" t="s">
        <v>1432</v>
      </c>
      <c r="M9" s="1886"/>
      <c r="N9" s="1886" t="s">
        <v>1693</v>
      </c>
      <c r="O9" s="1886"/>
      <c r="P9" s="1886"/>
    </row>
    <row r="10" spans="1:16">
      <c r="A10" s="9">
        <v>4</v>
      </c>
      <c r="B10" s="21" t="s">
        <v>25</v>
      </c>
      <c r="C10" s="558" t="s">
        <v>24</v>
      </c>
      <c r="D10" s="39">
        <v>0</v>
      </c>
      <c r="E10" s="39">
        <v>4400000</v>
      </c>
      <c r="H10" s="1890"/>
      <c r="I10" s="1890"/>
      <c r="J10" s="531" t="s">
        <v>54</v>
      </c>
      <c r="K10" s="531" t="s">
        <v>55</v>
      </c>
      <c r="L10" s="531" t="s">
        <v>54</v>
      </c>
      <c r="M10" s="531" t="s">
        <v>55</v>
      </c>
      <c r="N10" s="1887" t="s">
        <v>1620</v>
      </c>
      <c r="O10" s="1888"/>
      <c r="P10" s="531" t="s">
        <v>1</v>
      </c>
    </row>
    <row r="11" spans="1:16">
      <c r="A11" s="9">
        <v>5</v>
      </c>
      <c r="B11" s="21" t="s">
        <v>329</v>
      </c>
      <c r="C11" s="559" t="s">
        <v>190</v>
      </c>
      <c r="D11" s="542">
        <v>0</v>
      </c>
      <c r="E11" s="542">
        <v>50000000</v>
      </c>
      <c r="H11" s="331">
        <v>1</v>
      </c>
      <c r="I11" s="331" t="s">
        <v>4</v>
      </c>
      <c r="J11" s="489">
        <f>SUM(Bill_Out!N65)</f>
        <v>0</v>
      </c>
      <c r="K11" s="489" t="e">
        <f>SUM(Bill_Out!O65)</f>
        <v>#VALUE!</v>
      </c>
      <c r="L11" s="490">
        <f>SUM(Sum_BM!F75)</f>
        <v>0</v>
      </c>
      <c r="M11" s="490">
        <f>SUM(Sum_BM!H75)</f>
        <v>3465091933</v>
      </c>
      <c r="N11" s="616">
        <f>-SUM(Sum_BM!G75)</f>
        <v>0</v>
      </c>
      <c r="O11" s="639">
        <f>-SUM(Sum_BM!I75)</f>
        <v>4539528.5</v>
      </c>
      <c r="P11" s="639">
        <f>-SUM(Sum_BM!J75)</f>
        <v>61493543.5854</v>
      </c>
    </row>
    <row r="12" spans="1:16">
      <c r="A12" s="9">
        <v>6</v>
      </c>
      <c r="B12" s="21" t="s">
        <v>1665</v>
      </c>
      <c r="C12" s="558" t="s">
        <v>1625</v>
      </c>
      <c r="D12" s="39">
        <v>0</v>
      </c>
      <c r="E12" s="39">
        <v>53415450</v>
      </c>
      <c r="H12" s="331">
        <v>2</v>
      </c>
      <c r="I12" s="331" t="s">
        <v>379</v>
      </c>
      <c r="J12" s="489">
        <f>SUM(Bill_Out!N132)</f>
        <v>0</v>
      </c>
      <c r="K12" s="489" t="e">
        <f>SUM(Bill_Out!O132)</f>
        <v>#VALUE!</v>
      </c>
      <c r="L12" s="490">
        <f>SUM(Sum_BM!U75)</f>
        <v>0</v>
      </c>
      <c r="M12" s="490">
        <f>SUM(Sum_BM!W75)</f>
        <v>2321526523</v>
      </c>
      <c r="N12" s="616">
        <f>-SUM(Sum_BM!V75)</f>
        <v>0</v>
      </c>
      <c r="O12" s="490">
        <f ca="1">-SUM(Sum_BM!X75)</f>
        <v>0</v>
      </c>
      <c r="P12" s="490">
        <f>-SUM(Sum_BM!Y75)</f>
        <v>32532394.511840001</v>
      </c>
    </row>
    <row r="13" spans="1:16">
      <c r="A13" s="9">
        <v>7</v>
      </c>
      <c r="B13" s="21" t="s">
        <v>27</v>
      </c>
      <c r="C13" s="558" t="s">
        <v>49</v>
      </c>
      <c r="D13" s="39">
        <v>0</v>
      </c>
      <c r="E13" s="39">
        <f>SUM('Outs Inv'!CT39)</f>
        <v>30328606</v>
      </c>
      <c r="H13" s="331">
        <v>3</v>
      </c>
      <c r="I13" s="331" t="s">
        <v>5</v>
      </c>
      <c r="J13" s="489">
        <f>SUM(Bill_Out!N188)</f>
        <v>0</v>
      </c>
      <c r="K13" s="489" t="e">
        <f>SUM(Bill_Out!O188)</f>
        <v>#VALUE!</v>
      </c>
      <c r="L13" s="490">
        <f>SUM(Sum_BM!AJ75)</f>
        <v>0</v>
      </c>
      <c r="M13" s="490">
        <f>SUM(Sum_BM!AL75)</f>
        <v>2109952616</v>
      </c>
      <c r="N13" s="616">
        <f>-SUM(Sum_BM!AK75)</f>
        <v>0</v>
      </c>
      <c r="O13" s="490">
        <f ca="1">-SUM(Sum_BM!AM75)</f>
        <v>1850000</v>
      </c>
      <c r="P13" s="490">
        <f>-SUM(Sum_BM!AN75)</f>
        <v>36688268.328160003</v>
      </c>
    </row>
    <row r="14" spans="1:16">
      <c r="A14" s="9">
        <v>8</v>
      </c>
      <c r="B14" s="21" t="s">
        <v>29</v>
      </c>
      <c r="C14" s="560" t="s">
        <v>28</v>
      </c>
      <c r="D14" s="39">
        <v>0</v>
      </c>
      <c r="E14" s="39">
        <v>72600000</v>
      </c>
      <c r="H14" s="331">
        <v>4</v>
      </c>
      <c r="I14" s="331" t="s">
        <v>57</v>
      </c>
      <c r="J14" s="489">
        <f>SUM(Bill_Out!N258)</f>
        <v>0</v>
      </c>
      <c r="K14" s="489" t="e">
        <f>SUM(Bill_Out!O258)</f>
        <v>#VALUE!</v>
      </c>
      <c r="L14" s="490">
        <f>SUM(Sum_BM!AY75)</f>
        <v>0</v>
      </c>
      <c r="M14" s="490">
        <f>SUM(Sum_BM!BA75)</f>
        <v>1706594408</v>
      </c>
      <c r="N14" s="616">
        <f>-SUM(Sum_BM!AZ75)</f>
        <v>0</v>
      </c>
      <c r="O14" s="490">
        <f>-SUM(Sum_BM!BB75)</f>
        <v>1850000</v>
      </c>
      <c r="P14" s="490">
        <f>-SUM(Sum_BM!BC75)</f>
        <v>30187982.600000001</v>
      </c>
    </row>
    <row r="15" spans="1:16">
      <c r="A15" s="9">
        <v>9</v>
      </c>
      <c r="B15" s="21" t="s">
        <v>330</v>
      </c>
      <c r="C15" s="561" t="s">
        <v>205</v>
      </c>
      <c r="D15" s="542">
        <v>0</v>
      </c>
      <c r="E15" s="542">
        <v>19606100</v>
      </c>
      <c r="H15" s="331">
        <v>5</v>
      </c>
      <c r="I15" s="331" t="s">
        <v>58</v>
      </c>
      <c r="J15" s="489">
        <f>SUM(Bill_Out!N314)</f>
        <v>0</v>
      </c>
      <c r="K15" s="489" t="e">
        <f>SUM(Bill_Out!O314)</f>
        <v>#VALUE!</v>
      </c>
      <c r="L15" s="490">
        <f>SUM(Sum_BM!BN75)</f>
        <v>0</v>
      </c>
      <c r="M15" s="490">
        <f>SUM(Sum_BM!BP75)</f>
        <v>1992089475</v>
      </c>
      <c r="N15" s="616">
        <f>-SUM(Sum_BM!BO75)</f>
        <v>0</v>
      </c>
      <c r="O15" s="490">
        <f>-SUM(Sum_BM!BQ75)</f>
        <v>1850000</v>
      </c>
      <c r="P15" s="490">
        <f>-SUM(Sum_BM!BR75)</f>
        <v>36341396.102119997</v>
      </c>
    </row>
    <row r="16" spans="1:16">
      <c r="A16" s="9">
        <v>10</v>
      </c>
      <c r="B16" s="21" t="s">
        <v>30</v>
      </c>
      <c r="C16" s="560" t="s">
        <v>95</v>
      </c>
      <c r="D16" s="39">
        <v>0</v>
      </c>
      <c r="E16" s="39">
        <f>SUM('Outs Inv'!CT51)</f>
        <v>4914000</v>
      </c>
      <c r="H16" s="331">
        <v>6</v>
      </c>
      <c r="I16" s="331" t="s">
        <v>59</v>
      </c>
      <c r="J16" s="489">
        <f>SUM(Bill_Out!N371)</f>
        <v>0</v>
      </c>
      <c r="K16" s="489" t="e">
        <f>SUM(Bill_Out!O371)</f>
        <v>#VALUE!</v>
      </c>
      <c r="L16" s="490">
        <f>SUM(Sum_BM!CC75)</f>
        <v>0</v>
      </c>
      <c r="M16" s="490">
        <f>SUM(Sum_BM!CE75)</f>
        <v>4579442431</v>
      </c>
      <c r="N16" s="616">
        <f>-SUM(Sum_BM!CD75)</f>
        <v>0</v>
      </c>
      <c r="O16" s="490">
        <f ca="1">-SUM(Sum_BM!CF75)</f>
        <v>1850000</v>
      </c>
      <c r="P16" s="490">
        <f>-SUM(Sum_BM!CG75)</f>
        <v>74841230.051039994</v>
      </c>
    </row>
    <row r="17" spans="1:16">
      <c r="A17" s="9">
        <v>11</v>
      </c>
      <c r="B17" s="21" t="s">
        <v>603</v>
      </c>
      <c r="C17" s="558" t="s">
        <v>591</v>
      </c>
      <c r="D17" s="39">
        <v>0</v>
      </c>
      <c r="E17" s="39">
        <v>30800000</v>
      </c>
      <c r="H17" s="331">
        <v>7</v>
      </c>
      <c r="I17" s="331" t="s">
        <v>60</v>
      </c>
      <c r="J17" s="489">
        <f>SUM(Bill_Out!N422)</f>
        <v>0</v>
      </c>
      <c r="K17" s="489" t="e">
        <f>SUM(Bill_Out!O422)</f>
        <v>#VALUE!</v>
      </c>
      <c r="L17" s="490">
        <f>SUM(Sum_BM!CR75)</f>
        <v>0</v>
      </c>
      <c r="M17" s="490">
        <f>SUM(Sum_BM!CT75)</f>
        <v>2914179808</v>
      </c>
      <c r="N17" s="616">
        <f>-SUM(Sum_BM!CS75)</f>
        <v>0</v>
      </c>
      <c r="O17" s="490">
        <f>-SUM(Sum_BM!CU75)</f>
        <v>1850000</v>
      </c>
      <c r="P17" s="490">
        <f>-SUM(Sum_BM!CV75)</f>
        <v>52047224.32</v>
      </c>
    </row>
    <row r="18" spans="1:16">
      <c r="A18" s="9">
        <v>12</v>
      </c>
      <c r="B18" s="21" t="s">
        <v>36</v>
      </c>
      <c r="C18" s="558" t="s">
        <v>35</v>
      </c>
      <c r="D18" s="39">
        <v>0</v>
      </c>
      <c r="E18" s="39">
        <f>SUM('Outs Inv'!CT57)</f>
        <v>45720620</v>
      </c>
      <c r="H18" s="331">
        <v>8</v>
      </c>
      <c r="I18" s="331" t="s">
        <v>559</v>
      </c>
      <c r="J18" s="489">
        <f>SUM(Bill_Out!N472)</f>
        <v>0</v>
      </c>
      <c r="K18" s="489" t="e">
        <f>SUM(Bill_Out!O472)</f>
        <v>#VALUE!</v>
      </c>
      <c r="L18" s="490">
        <f>SUM(Sum_BM!DG75)</f>
        <v>0</v>
      </c>
      <c r="M18" s="490">
        <f>SUM(Sum_BM!DI75)</f>
        <v>1748007356</v>
      </c>
      <c r="N18" s="616">
        <f>-SUM(Sum_BM!DH75)</f>
        <v>0</v>
      </c>
      <c r="O18" s="490">
        <f>-SUM(Sum_BM!DJ75)</f>
        <v>1850000</v>
      </c>
      <c r="P18" s="490">
        <f>-SUM(Sum_BM!DK75)</f>
        <v>32616379.386700001</v>
      </c>
    </row>
    <row r="19" spans="1:16">
      <c r="A19" s="9">
        <v>13</v>
      </c>
      <c r="B19" s="21" t="s">
        <v>132</v>
      </c>
      <c r="C19" s="558" t="s">
        <v>131</v>
      </c>
      <c r="D19" s="39">
        <v>0</v>
      </c>
      <c r="E19" s="39">
        <v>1890240000</v>
      </c>
      <c r="H19" s="331">
        <v>9</v>
      </c>
      <c r="I19" s="331" t="s">
        <v>602</v>
      </c>
      <c r="J19" s="489">
        <f>SUM(Bill_Out!N530)</f>
        <v>0</v>
      </c>
      <c r="K19" s="489" t="e">
        <f>SUM(Bill_Out!O530)</f>
        <v>#VALUE!</v>
      </c>
      <c r="L19" s="490">
        <f>SUM(Sum_BM!DV75)</f>
        <v>0</v>
      </c>
      <c r="M19" s="490">
        <f>SUM(Sum_BM!DX75)</f>
        <v>1237905579.3100002</v>
      </c>
      <c r="N19" s="616">
        <f>-SUM(Sum_BM!DW75)</f>
        <v>0</v>
      </c>
      <c r="O19" s="490">
        <f>-SUM(Sum_BM!DY75)</f>
        <v>0</v>
      </c>
      <c r="P19" s="490">
        <f>-SUM(Sum_BM!DZ75)</f>
        <v>22239623.439999998</v>
      </c>
    </row>
    <row r="20" spans="1:16">
      <c r="A20" s="9">
        <v>14</v>
      </c>
      <c r="B20" s="21" t="s">
        <v>331</v>
      </c>
      <c r="C20" s="561" t="s">
        <v>112</v>
      </c>
      <c r="D20" s="542">
        <v>330</v>
      </c>
      <c r="E20" s="542">
        <v>0</v>
      </c>
      <c r="H20" s="331">
        <v>10</v>
      </c>
      <c r="I20" s="331" t="s">
        <v>641</v>
      </c>
      <c r="J20" s="489">
        <f>SUM(Bill_Out!N606)</f>
        <v>0</v>
      </c>
      <c r="K20" s="489" t="e">
        <f>SUM(Bill_Out!O606)</f>
        <v>#VALUE!</v>
      </c>
      <c r="L20" s="490">
        <f>SUM(Sum_BM!EK75)</f>
        <v>0</v>
      </c>
      <c r="M20" s="490">
        <f>SUM(Sum_BM!EM75)</f>
        <v>914490929</v>
      </c>
      <c r="N20" s="616">
        <f>-SUM(Sum_BM!EL75)</f>
        <v>0</v>
      </c>
      <c r="O20" s="490">
        <f>-SUM(Sum_BM!EN75)</f>
        <v>0</v>
      </c>
      <c r="P20" s="490">
        <f>-SUM(Sum_BM!EO75)</f>
        <v>16935017.200000003</v>
      </c>
    </row>
    <row r="21" spans="1:16">
      <c r="A21" s="9">
        <v>15</v>
      </c>
      <c r="B21" s="21" t="s">
        <v>120</v>
      </c>
      <c r="C21" s="558" t="s">
        <v>121</v>
      </c>
      <c r="D21" s="39">
        <v>0</v>
      </c>
      <c r="E21" s="39">
        <f>SUM('Outs Inv'!CT64)</f>
        <v>121550000</v>
      </c>
      <c r="H21" s="331">
        <v>11</v>
      </c>
      <c r="I21" s="331" t="s">
        <v>1616</v>
      </c>
      <c r="J21" s="153">
        <f>SUM(Bill_Out!N675)</f>
        <v>0</v>
      </c>
      <c r="K21" s="153" t="e">
        <f>SUM(Bill_Out!O675)</f>
        <v>#VALUE!</v>
      </c>
      <c r="L21" s="617">
        <f>SUM(Sum_BM!EZ75)</f>
        <v>0</v>
      </c>
      <c r="M21" s="617">
        <f>SUM(Sum_BM!FB75)</f>
        <v>142900000</v>
      </c>
      <c r="N21" s="616">
        <f>-SUM(Sum_BM!FA75)</f>
        <v>0</v>
      </c>
      <c r="O21" s="617">
        <f>-SUM(Sum_BM!FC75)</f>
        <v>1850000</v>
      </c>
      <c r="P21" s="617">
        <f>-SUM(Sum_BM!FD75)</f>
        <v>2100000</v>
      </c>
    </row>
    <row r="22" spans="1:16">
      <c r="A22" s="9">
        <v>16</v>
      </c>
      <c r="B22" s="21" t="s">
        <v>332</v>
      </c>
      <c r="C22" s="561" t="s">
        <v>207</v>
      </c>
      <c r="D22" s="542">
        <v>0</v>
      </c>
      <c r="E22" s="542">
        <v>13640000</v>
      </c>
      <c r="H22" s="610">
        <v>12</v>
      </c>
      <c r="I22" s="610" t="s">
        <v>1617</v>
      </c>
      <c r="J22" s="611">
        <f>SUM(Bill_Out!N756)</f>
        <v>0</v>
      </c>
      <c r="K22" s="611" t="e">
        <f>SUM(Bill_Out!O756)</f>
        <v>#VALUE!</v>
      </c>
      <c r="L22" s="617">
        <f>SUM(Sum_BM!FO75)</f>
        <v>0</v>
      </c>
      <c r="M22" s="617">
        <f>SUM(Sum_BM!FQ75)</f>
        <v>895292185.98000002</v>
      </c>
      <c r="N22" s="616">
        <f>-SUM(Sum_BM!FP75)</f>
        <v>0</v>
      </c>
      <c r="O22" s="617">
        <f>-SUM(Sum_BM!FR75)</f>
        <v>0</v>
      </c>
      <c r="P22" s="617">
        <f>-SUM(Sum_BM!FS75)</f>
        <v>16579484.925799999</v>
      </c>
    </row>
    <row r="23" spans="1:16">
      <c r="A23" s="9">
        <v>17</v>
      </c>
      <c r="B23" s="21" t="s">
        <v>201</v>
      </c>
      <c r="C23" s="558" t="s">
        <v>151</v>
      </c>
      <c r="D23" s="39">
        <v>0</v>
      </c>
      <c r="E23" s="39">
        <f>SUM('Outs Inv'!CT68)</f>
        <v>24200000</v>
      </c>
      <c r="H23" s="1887" t="s">
        <v>68</v>
      </c>
      <c r="I23" s="1888"/>
      <c r="J23" s="612">
        <f t="shared" ref="J23:P23" si="0">SUM(J11:J22)</f>
        <v>0</v>
      </c>
      <c r="K23" s="612" t="e">
        <f>SUM(K11:K22)</f>
        <v>#VALUE!</v>
      </c>
      <c r="L23" s="618">
        <f t="shared" si="0"/>
        <v>0</v>
      </c>
      <c r="M23" s="612">
        <f t="shared" si="0"/>
        <v>24027473244.290001</v>
      </c>
      <c r="N23" s="618">
        <f t="shared" si="0"/>
        <v>0</v>
      </c>
      <c r="O23" s="618">
        <f t="shared" ca="1" si="0"/>
        <v>17489528.5</v>
      </c>
      <c r="P23" s="612">
        <f t="shared" si="0"/>
        <v>414602544.45106</v>
      </c>
    </row>
    <row r="24" spans="1:16">
      <c r="A24" s="9">
        <v>18</v>
      </c>
      <c r="B24" s="21" t="s">
        <v>14</v>
      </c>
      <c r="C24" s="557" t="s">
        <v>387</v>
      </c>
      <c r="D24" s="542">
        <v>0</v>
      </c>
      <c r="E24" s="542">
        <v>696000000</v>
      </c>
      <c r="J24" s="620"/>
      <c r="K24" s="133"/>
    </row>
    <row r="25" spans="1:16">
      <c r="A25" s="9">
        <v>19</v>
      </c>
      <c r="B25" s="21" t="s">
        <v>41</v>
      </c>
      <c r="C25" s="560" t="s">
        <v>40</v>
      </c>
      <c r="D25" s="39">
        <v>0</v>
      </c>
      <c r="E25" s="39">
        <f>SUM('Outs Inv'!CT95)</f>
        <v>294459119</v>
      </c>
      <c r="H25" s="1879" t="s">
        <v>1698</v>
      </c>
      <c r="I25" s="1880"/>
      <c r="J25" s="1880"/>
      <c r="K25" s="1880"/>
      <c r="L25" s="1881"/>
      <c r="M25" s="1866">
        <f>SUM(J7,J23)</f>
        <v>12049</v>
      </c>
      <c r="N25" s="1866" t="e">
        <f>SUM(K7,K23)</f>
        <v>#VALUE!</v>
      </c>
    </row>
    <row r="26" spans="1:16">
      <c r="A26" s="9">
        <v>20</v>
      </c>
      <c r="B26" s="21" t="s">
        <v>127</v>
      </c>
      <c r="C26" s="560" t="s">
        <v>128</v>
      </c>
      <c r="D26" s="39">
        <v>0</v>
      </c>
      <c r="E26" s="39">
        <v>11000000</v>
      </c>
      <c r="H26" s="1882"/>
      <c r="I26" s="1883"/>
      <c r="J26" s="1883"/>
      <c r="K26" s="1883"/>
      <c r="L26" s="1884"/>
      <c r="M26" s="1867"/>
      <c r="N26" s="1867"/>
    </row>
    <row r="27" spans="1:16">
      <c r="A27" s="9">
        <v>21</v>
      </c>
      <c r="B27" s="474">
        <v>211</v>
      </c>
      <c r="C27" s="8" t="s">
        <v>159</v>
      </c>
      <c r="D27" s="39">
        <v>0</v>
      </c>
      <c r="E27" s="39">
        <f>SUM('Outs Inv'!CT101)</f>
        <v>16280000</v>
      </c>
      <c r="H27" s="635" t="s">
        <v>1697</v>
      </c>
      <c r="I27" s="636"/>
      <c r="J27" s="636"/>
      <c r="K27" s="609" t="s">
        <v>54</v>
      </c>
      <c r="L27" s="631" t="s">
        <v>55</v>
      </c>
    </row>
    <row r="28" spans="1:16">
      <c r="A28" s="9">
        <v>22</v>
      </c>
      <c r="B28" s="21" t="s">
        <v>46</v>
      </c>
      <c r="C28" s="562" t="s">
        <v>45</v>
      </c>
      <c r="D28" s="39">
        <v>0</v>
      </c>
      <c r="E28" s="39">
        <v>26400000</v>
      </c>
      <c r="H28" s="630" t="s">
        <v>1695</v>
      </c>
      <c r="I28" s="465"/>
      <c r="J28" s="465"/>
      <c r="K28" s="487">
        <f>SUM(L23)</f>
        <v>0</v>
      </c>
      <c r="L28" s="632">
        <f>SUM(M23)</f>
        <v>24027473244.290001</v>
      </c>
    </row>
    <row r="29" spans="1:16">
      <c r="A29" s="9">
        <v>23</v>
      </c>
      <c r="B29" s="21" t="s">
        <v>336</v>
      </c>
      <c r="C29" s="557" t="s">
        <v>208</v>
      </c>
      <c r="D29" s="542">
        <v>0</v>
      </c>
      <c r="E29" s="542">
        <v>1400000</v>
      </c>
      <c r="H29" s="630" t="s">
        <v>1696</v>
      </c>
      <c r="I29" s="465"/>
      <c r="J29" s="465"/>
      <c r="K29" s="133">
        <f>SUM(N23)</f>
        <v>0</v>
      </c>
      <c r="L29" s="632">
        <f ca="1">SUM(O23)</f>
        <v>17489528.5</v>
      </c>
    </row>
    <row r="30" spans="1:16">
      <c r="A30" s="9">
        <v>24</v>
      </c>
      <c r="B30" s="21" t="s">
        <v>134</v>
      </c>
      <c r="C30" s="558" t="s">
        <v>133</v>
      </c>
      <c r="D30" s="39">
        <v>0</v>
      </c>
      <c r="E30" s="39">
        <v>33000000</v>
      </c>
      <c r="H30" s="630" t="s">
        <v>1703</v>
      </c>
      <c r="I30" s="465"/>
      <c r="J30" s="465"/>
      <c r="L30" s="633">
        <f>SUM(P23)</f>
        <v>414602544.45106</v>
      </c>
    </row>
    <row r="31" spans="1:16">
      <c r="A31" s="9">
        <v>25</v>
      </c>
      <c r="B31" s="21" t="s">
        <v>334</v>
      </c>
      <c r="C31" s="557" t="s">
        <v>209</v>
      </c>
      <c r="D31" s="542">
        <v>0</v>
      </c>
      <c r="E31" s="542">
        <v>75500000</v>
      </c>
      <c r="H31" s="1887" t="s">
        <v>1694</v>
      </c>
      <c r="I31" s="1900"/>
      <c r="J31" s="1900"/>
      <c r="K31" s="1900"/>
      <c r="L31" s="1888"/>
      <c r="M31" s="612">
        <f>SUM(K28:K30)</f>
        <v>0</v>
      </c>
      <c r="N31" s="612">
        <f ca="1">SUM(L28:L30)</f>
        <v>24459565317.241062</v>
      </c>
    </row>
    <row r="32" spans="1:16">
      <c r="A32" s="9">
        <v>26</v>
      </c>
      <c r="B32" s="21" t="s">
        <v>335</v>
      </c>
      <c r="C32" s="557" t="s">
        <v>210</v>
      </c>
      <c r="D32" s="542">
        <v>0</v>
      </c>
      <c r="E32" s="542">
        <v>8800000</v>
      </c>
      <c r="H32" s="635" t="s">
        <v>1699</v>
      </c>
      <c r="I32" s="636"/>
      <c r="J32" s="636"/>
      <c r="K32" s="636"/>
      <c r="L32" s="637"/>
    </row>
    <row r="33" spans="1:14">
      <c r="A33" s="9">
        <v>27</v>
      </c>
      <c r="B33" s="21" t="s">
        <v>72</v>
      </c>
      <c r="C33" s="558" t="s">
        <v>111</v>
      </c>
      <c r="D33" s="39">
        <v>0</v>
      </c>
      <c r="E33" s="39">
        <v>84480000</v>
      </c>
      <c r="H33" s="634" t="s">
        <v>1700</v>
      </c>
      <c r="I33" s="465"/>
      <c r="J33" s="465"/>
      <c r="K33" s="465"/>
      <c r="L33" s="638">
        <f>SUM(Master_Data!W145)</f>
        <v>0</v>
      </c>
    </row>
    <row r="34" spans="1:14">
      <c r="A34" s="9">
        <v>28</v>
      </c>
      <c r="B34" s="21" t="s">
        <v>452</v>
      </c>
      <c r="C34" s="558" t="s">
        <v>430</v>
      </c>
      <c r="D34" s="39">
        <v>0</v>
      </c>
      <c r="E34" s="39">
        <v>-7738700</v>
      </c>
      <c r="H34" s="634" t="s">
        <v>1701</v>
      </c>
      <c r="I34" s="465"/>
      <c r="J34" s="465"/>
      <c r="K34" s="465"/>
      <c r="L34" s="638">
        <f>SUM(Master_Data!W865)</f>
        <v>7186070765.4186373</v>
      </c>
    </row>
    <row r="35" spans="1:14">
      <c r="A35" s="9">
        <v>29</v>
      </c>
      <c r="B35" s="21" t="s">
        <v>107</v>
      </c>
      <c r="C35" s="562" t="s">
        <v>108</v>
      </c>
      <c r="D35" s="39">
        <v>0</v>
      </c>
      <c r="E35" s="39">
        <v>24200000</v>
      </c>
      <c r="H35" s="1887" t="s">
        <v>1702</v>
      </c>
      <c r="I35" s="1900"/>
      <c r="J35" s="1900"/>
      <c r="K35" s="1900"/>
      <c r="L35" s="1888"/>
      <c r="M35" s="612">
        <f>SUM(K32:K34)</f>
        <v>0</v>
      </c>
      <c r="N35" s="612">
        <f>SUM(L32:L34)</f>
        <v>7186070765.4186373</v>
      </c>
    </row>
    <row r="36" spans="1:14">
      <c r="A36" s="9">
        <v>30</v>
      </c>
      <c r="B36" s="21" t="s">
        <v>608</v>
      </c>
      <c r="C36" s="562" t="s">
        <v>606</v>
      </c>
      <c r="D36" s="39">
        <v>0</v>
      </c>
      <c r="E36" s="39">
        <v>72600000</v>
      </c>
      <c r="H36" s="1901" t="s">
        <v>71</v>
      </c>
      <c r="I36" s="1902"/>
      <c r="J36" s="1902"/>
      <c r="K36" s="1902"/>
      <c r="L36" s="1903"/>
      <c r="M36" s="1868">
        <f>M25-M31-M35</f>
        <v>12049</v>
      </c>
      <c r="N36" s="1885" t="e">
        <f ca="1">N25-N31-N35</f>
        <v>#VALUE!</v>
      </c>
    </row>
    <row r="37" spans="1:14">
      <c r="A37" s="9">
        <v>31</v>
      </c>
      <c r="B37" s="21" t="s">
        <v>642</v>
      </c>
      <c r="C37" s="562" t="s">
        <v>639</v>
      </c>
      <c r="D37" s="39">
        <v>0</v>
      </c>
      <c r="E37" s="39">
        <f>SUM('Outs Inv'!CT125)</f>
        <v>9784813.5</v>
      </c>
      <c r="H37" s="1904"/>
      <c r="I37" s="1905"/>
      <c r="J37" s="1905"/>
      <c r="K37" s="1905"/>
      <c r="L37" s="1906"/>
      <c r="M37" s="1869"/>
      <c r="N37" s="1885"/>
    </row>
    <row r="38" spans="1:14">
      <c r="A38" s="9">
        <v>32</v>
      </c>
      <c r="B38" s="21" t="s">
        <v>135</v>
      </c>
      <c r="C38" s="558" t="s">
        <v>136</v>
      </c>
      <c r="D38" s="39">
        <v>0</v>
      </c>
      <c r="E38" s="39">
        <f>SUM('Outs Inv'!CT130)</f>
        <v>193050000</v>
      </c>
    </row>
    <row r="39" spans="1:14">
      <c r="A39" s="9">
        <v>33</v>
      </c>
      <c r="B39" s="21" t="s">
        <v>645</v>
      </c>
      <c r="C39" s="558" t="s">
        <v>644</v>
      </c>
      <c r="D39" s="39">
        <v>0</v>
      </c>
      <c r="E39" s="39">
        <v>50600000</v>
      </c>
    </row>
    <row r="40" spans="1:14">
      <c r="A40" s="9">
        <v>34</v>
      </c>
      <c r="B40" s="21" t="s">
        <v>73</v>
      </c>
      <c r="C40" s="563" t="s">
        <v>212</v>
      </c>
      <c r="D40" s="542">
        <v>0</v>
      </c>
      <c r="E40" s="542">
        <v>42900000</v>
      </c>
    </row>
    <row r="41" spans="1:14">
      <c r="A41" s="9">
        <v>35</v>
      </c>
      <c r="B41" s="21" t="s">
        <v>337</v>
      </c>
      <c r="C41" s="557" t="s">
        <v>213</v>
      </c>
      <c r="D41" s="542">
        <v>0</v>
      </c>
      <c r="E41" s="542">
        <v>101750000</v>
      </c>
    </row>
    <row r="42" spans="1:14">
      <c r="A42" s="9">
        <v>36</v>
      </c>
      <c r="B42" s="21" t="s">
        <v>1664</v>
      </c>
      <c r="C42" s="558" t="s">
        <v>1623</v>
      </c>
      <c r="D42" s="39">
        <v>0</v>
      </c>
      <c r="E42" s="39">
        <v>66000000</v>
      </c>
    </row>
    <row r="43" spans="1:14">
      <c r="A43" s="9">
        <v>37</v>
      </c>
      <c r="B43" s="21" t="s">
        <v>453</v>
      </c>
      <c r="C43" s="558" t="s">
        <v>445</v>
      </c>
      <c r="D43" s="39">
        <v>0</v>
      </c>
      <c r="E43" s="39">
        <v>22000000</v>
      </c>
    </row>
    <row r="44" spans="1:14">
      <c r="A44" s="9">
        <v>38</v>
      </c>
      <c r="B44" s="21" t="s">
        <v>343</v>
      </c>
      <c r="C44" s="557" t="s">
        <v>215</v>
      </c>
      <c r="D44" s="542">
        <v>99</v>
      </c>
      <c r="E44" s="542">
        <v>0</v>
      </c>
    </row>
    <row r="45" spans="1:14">
      <c r="A45" s="9">
        <v>39</v>
      </c>
      <c r="B45" s="21" t="s">
        <v>422</v>
      </c>
      <c r="C45" s="558" t="s">
        <v>412</v>
      </c>
      <c r="D45" s="39">
        <v>0</v>
      </c>
      <c r="E45" s="39">
        <v>24200000</v>
      </c>
    </row>
    <row r="46" spans="1:14">
      <c r="A46" s="9">
        <v>40</v>
      </c>
      <c r="B46" s="21" t="s">
        <v>338</v>
      </c>
      <c r="C46" s="557" t="s">
        <v>216</v>
      </c>
      <c r="D46" s="542">
        <v>5570</v>
      </c>
      <c r="E46" s="542">
        <v>0</v>
      </c>
    </row>
    <row r="47" spans="1:14">
      <c r="A47" s="9">
        <v>41</v>
      </c>
      <c r="B47" s="21" t="s">
        <v>340</v>
      </c>
      <c r="C47" s="557" t="s">
        <v>217</v>
      </c>
      <c r="D47" s="542">
        <v>0</v>
      </c>
      <c r="E47" s="542">
        <v>49403850</v>
      </c>
    </row>
    <row r="48" spans="1:14">
      <c r="A48" s="9">
        <v>42</v>
      </c>
      <c r="B48" s="21" t="s">
        <v>17</v>
      </c>
      <c r="C48" s="558" t="s">
        <v>47</v>
      </c>
      <c r="D48" s="39">
        <v>0</v>
      </c>
      <c r="E48" s="39">
        <v>1221583300</v>
      </c>
    </row>
    <row r="49" spans="1:5">
      <c r="A49" s="9">
        <v>43</v>
      </c>
      <c r="B49" s="21" t="s">
        <v>341</v>
      </c>
      <c r="C49" s="557" t="s">
        <v>218</v>
      </c>
      <c r="D49" s="542">
        <v>0</v>
      </c>
      <c r="E49" s="542">
        <v>8223100</v>
      </c>
    </row>
    <row r="50" spans="1:5">
      <c r="A50" s="9">
        <v>44</v>
      </c>
      <c r="B50" s="21" t="s">
        <v>342</v>
      </c>
      <c r="C50" s="557" t="s">
        <v>219</v>
      </c>
      <c r="D50" s="542">
        <v>0</v>
      </c>
      <c r="E50" s="542">
        <v>5000000</v>
      </c>
    </row>
    <row r="51" spans="1:5" ht="15" customHeight="1">
      <c r="A51" s="100">
        <v>45</v>
      </c>
      <c r="B51" s="25" t="s">
        <v>74</v>
      </c>
      <c r="C51" s="564" t="s">
        <v>98</v>
      </c>
      <c r="D51" s="41">
        <v>0</v>
      </c>
      <c r="E51" s="41">
        <f>SUM('Outs Inv'!CT192)</f>
        <v>390901992.80000001</v>
      </c>
    </row>
    <row r="52" spans="1:5" ht="24" customHeight="1">
      <c r="A52" s="1818" t="s">
        <v>68</v>
      </c>
      <c r="B52" s="1613"/>
      <c r="C52" s="1614"/>
      <c r="D52" s="529">
        <v>12049</v>
      </c>
      <c r="E52" s="574">
        <f>SUM(E7:E51)</f>
        <v>7824150887.2220001</v>
      </c>
    </row>
    <row r="53" spans="1:5" ht="15" customHeight="1">
      <c r="A53" s="649"/>
      <c r="B53" s="649"/>
      <c r="C53" s="649"/>
      <c r="D53" s="92"/>
      <c r="E53" s="92"/>
    </row>
    <row r="54" spans="1:5" ht="15" customHeight="1">
      <c r="A54" s="244"/>
      <c r="B54" s="244"/>
      <c r="C54" s="244"/>
      <c r="D54" s="441"/>
      <c r="E54" s="441"/>
    </row>
    <row r="55" spans="1:5" ht="15" customHeight="1">
      <c r="A55" s="244"/>
      <c r="B55" s="244"/>
      <c r="C55" s="244"/>
      <c r="D55" s="441"/>
      <c r="E55" s="441"/>
    </row>
    <row r="56" spans="1:5" ht="15" customHeight="1">
      <c r="A56" s="244"/>
      <c r="B56" s="244"/>
      <c r="C56" s="244"/>
      <c r="D56" s="441"/>
      <c r="E56" s="441"/>
    </row>
    <row r="57" spans="1:5" ht="15" customHeight="1">
      <c r="A57" s="648"/>
      <c r="B57" s="648"/>
      <c r="C57" s="648"/>
      <c r="D57" s="650"/>
      <c r="E57" s="650"/>
    </row>
    <row r="58" spans="1:5">
      <c r="A58" s="42">
        <v>1</v>
      </c>
      <c r="B58" s="552" t="s">
        <v>14</v>
      </c>
      <c r="C58" s="553" t="s">
        <v>1655</v>
      </c>
      <c r="D58" s="554">
        <v>0</v>
      </c>
      <c r="E58" s="555">
        <v>-306852.10359993391</v>
      </c>
    </row>
    <row r="59" spans="1:5">
      <c r="A59" s="9">
        <v>2</v>
      </c>
      <c r="B59" s="21" t="s">
        <v>14</v>
      </c>
      <c r="C59" s="8" t="s">
        <v>427</v>
      </c>
      <c r="D59" s="39">
        <v>0</v>
      </c>
      <c r="E59" s="543">
        <v>405100.26824998856</v>
      </c>
    </row>
    <row r="60" spans="1:5">
      <c r="A60" s="9">
        <v>3</v>
      </c>
      <c r="B60" s="21" t="s">
        <v>14</v>
      </c>
      <c r="C60" s="8" t="s">
        <v>1621</v>
      </c>
      <c r="D60" s="39">
        <v>0</v>
      </c>
      <c r="E60" s="543">
        <v>19287970.5</v>
      </c>
    </row>
    <row r="61" spans="1:5">
      <c r="A61" s="9">
        <v>4</v>
      </c>
      <c r="B61" s="21" t="s">
        <v>14</v>
      </c>
      <c r="C61" s="8" t="s">
        <v>762</v>
      </c>
      <c r="D61" s="39">
        <v>0</v>
      </c>
      <c r="E61" s="543">
        <v>2233500</v>
      </c>
    </row>
    <row r="62" spans="1:5">
      <c r="A62" s="9">
        <v>5</v>
      </c>
      <c r="B62" s="21" t="s">
        <v>14</v>
      </c>
      <c r="C62" s="8" t="s">
        <v>760</v>
      </c>
      <c r="D62" s="39">
        <v>0</v>
      </c>
      <c r="E62" s="543">
        <v>50000</v>
      </c>
    </row>
    <row r="63" spans="1:5">
      <c r="A63" s="9">
        <v>6</v>
      </c>
      <c r="B63" s="21" t="s">
        <v>123</v>
      </c>
      <c r="C63" s="8" t="s">
        <v>396</v>
      </c>
      <c r="D63" s="39">
        <v>0</v>
      </c>
      <c r="E63" s="543">
        <v>600962.19359992445</v>
      </c>
    </row>
    <row r="64" spans="1:5">
      <c r="A64" s="100">
        <v>7</v>
      </c>
      <c r="B64" s="25" t="s">
        <v>107</v>
      </c>
      <c r="C64" s="16" t="s">
        <v>211</v>
      </c>
      <c r="D64" s="41">
        <v>0</v>
      </c>
      <c r="E64" s="41">
        <f>SUM(E58:E63)</f>
        <v>22270680.858249977</v>
      </c>
    </row>
    <row r="65" spans="1:8">
      <c r="A65" s="1835" t="s">
        <v>68</v>
      </c>
      <c r="B65" s="1836"/>
      <c r="C65" s="1836"/>
      <c r="D65" s="530">
        <f>SUM(D58:D64)</f>
        <v>0</v>
      </c>
      <c r="E65" s="99">
        <f>SUM(E58:E64)</f>
        <v>44541361.716499954</v>
      </c>
    </row>
    <row r="68" spans="1:8" ht="26.25">
      <c r="A68" s="643" t="s">
        <v>1704</v>
      </c>
    </row>
    <row r="69" spans="1:8" ht="15.75">
      <c r="A69" s="644" t="s">
        <v>1706</v>
      </c>
    </row>
    <row r="71" spans="1:8">
      <c r="A71" s="645" t="s">
        <v>1707</v>
      </c>
    </row>
    <row r="72" spans="1:8">
      <c r="A72" s="1870" t="s">
        <v>81</v>
      </c>
      <c r="B72" s="1871"/>
      <c r="C72" s="1871"/>
      <c r="D72" s="1871"/>
      <c r="E72" s="1872"/>
      <c r="F72" s="1876" t="s">
        <v>54</v>
      </c>
      <c r="G72" s="1876" t="s">
        <v>55</v>
      </c>
    </row>
    <row r="73" spans="1:8">
      <c r="A73" s="1873"/>
      <c r="B73" s="1874"/>
      <c r="C73" s="1874"/>
      <c r="D73" s="1874"/>
      <c r="E73" s="1875"/>
      <c r="F73" s="1876"/>
      <c r="G73" s="1876"/>
    </row>
    <row r="74" spans="1:8">
      <c r="A74" s="1879" t="s">
        <v>1698</v>
      </c>
      <c r="B74" s="1880"/>
      <c r="C74" s="1880"/>
      <c r="D74" s="1880"/>
      <c r="E74" s="1881"/>
      <c r="F74" s="1866">
        <v>22609</v>
      </c>
      <c r="G74" s="1866">
        <v>44135633568.042679</v>
      </c>
      <c r="H74" s="1878"/>
    </row>
    <row r="75" spans="1:8">
      <c r="A75" s="1882"/>
      <c r="B75" s="1883"/>
      <c r="C75" s="1883"/>
      <c r="D75" s="1883"/>
      <c r="E75" s="1884"/>
      <c r="F75" s="1867"/>
      <c r="G75" s="1867"/>
      <c r="H75" s="1878"/>
    </row>
    <row r="76" spans="1:8">
      <c r="A76" s="635" t="s">
        <v>1697</v>
      </c>
      <c r="B76" s="636"/>
      <c r="C76" s="636"/>
      <c r="D76" s="609" t="s">
        <v>54</v>
      </c>
      <c r="E76" s="631" t="s">
        <v>55</v>
      </c>
      <c r="H76" s="465"/>
    </row>
    <row r="77" spans="1:8">
      <c r="A77" s="630" t="s">
        <v>1695</v>
      </c>
      <c r="B77" s="465"/>
      <c r="C77" s="465"/>
      <c r="D77" s="487">
        <v>10368</v>
      </c>
      <c r="E77" s="632">
        <v>34750562725</v>
      </c>
      <c r="H77" s="465"/>
    </row>
    <row r="78" spans="1:8">
      <c r="A78" s="630" t="s">
        <v>1696</v>
      </c>
      <c r="B78" s="465"/>
      <c r="C78" s="465"/>
      <c r="D78" s="133">
        <v>192</v>
      </c>
      <c r="E78" s="632">
        <v>598587368.56612599</v>
      </c>
      <c r="H78" s="465"/>
    </row>
    <row r="79" spans="1:8">
      <c r="A79" s="630" t="s">
        <v>1703</v>
      </c>
      <c r="B79" s="465"/>
      <c r="C79" s="465"/>
      <c r="D79"/>
      <c r="E79" s="633">
        <v>602787965.245</v>
      </c>
      <c r="H79" s="465"/>
    </row>
    <row r="80" spans="1:8">
      <c r="A80" s="1887" t="s">
        <v>1694</v>
      </c>
      <c r="B80" s="1900"/>
      <c r="C80" s="1900"/>
      <c r="D80" s="1900"/>
      <c r="E80" s="1888"/>
      <c r="F80" s="612">
        <v>10560</v>
      </c>
      <c r="G80" s="612">
        <v>35951938058.811127</v>
      </c>
      <c r="H80" s="641"/>
    </row>
    <row r="81" spans="1:8">
      <c r="A81" s="635" t="s">
        <v>1699</v>
      </c>
      <c r="B81" s="636"/>
      <c r="C81" s="636"/>
      <c r="D81" s="636"/>
      <c r="E81" s="637"/>
      <c r="H81" s="465"/>
    </row>
    <row r="82" spans="1:8">
      <c r="A82" s="634" t="s">
        <v>1700</v>
      </c>
      <c r="B82" s="465"/>
      <c r="C82" s="465"/>
      <c r="D82" s="465"/>
      <c r="E82" s="638">
        <v>75280000</v>
      </c>
      <c r="H82" s="465"/>
    </row>
    <row r="83" spans="1:8">
      <c r="A83" s="634" t="s">
        <v>1701</v>
      </c>
      <c r="B83" s="465"/>
      <c r="C83" s="465"/>
      <c r="D83" s="465"/>
      <c r="E83" s="638">
        <v>1099999.9999790192</v>
      </c>
      <c r="H83" s="465"/>
    </row>
    <row r="84" spans="1:8">
      <c r="A84" s="1887" t="s">
        <v>1702</v>
      </c>
      <c r="B84" s="1900"/>
      <c r="C84" s="1900"/>
      <c r="D84" s="1900"/>
      <c r="E84" s="1888"/>
      <c r="F84" s="612">
        <v>0</v>
      </c>
      <c r="G84" s="612">
        <v>76379999.999979019</v>
      </c>
      <c r="H84" s="641"/>
    </row>
    <row r="85" spans="1:8">
      <c r="A85" s="1901" t="s">
        <v>71</v>
      </c>
      <c r="B85" s="1902"/>
      <c r="C85" s="1902"/>
      <c r="D85" s="1902"/>
      <c r="E85" s="1903"/>
      <c r="F85" s="1868">
        <v>12049</v>
      </c>
      <c r="G85" s="1868">
        <v>8107315509.2315731</v>
      </c>
      <c r="H85" s="1899"/>
    </row>
    <row r="86" spans="1:8">
      <c r="A86" s="1904"/>
      <c r="B86" s="1905"/>
      <c r="C86" s="1905"/>
      <c r="D86" s="1905"/>
      <c r="E86" s="1906"/>
      <c r="F86" s="1869"/>
      <c r="G86" s="1869"/>
      <c r="H86" s="1899"/>
    </row>
    <row r="88" spans="1:8">
      <c r="A88" s="645" t="s">
        <v>1708</v>
      </c>
    </row>
    <row r="89" spans="1:8" ht="15" customHeight="1">
      <c r="A89" s="1893" t="s">
        <v>1683</v>
      </c>
      <c r="B89" s="1894"/>
      <c r="C89" s="1894"/>
      <c r="D89" s="1894"/>
      <c r="E89" s="1895"/>
      <c r="F89" s="582"/>
      <c r="G89" s="582"/>
      <c r="H89" s="582"/>
    </row>
    <row r="90" spans="1:8" ht="15" customHeight="1">
      <c r="A90" s="1896"/>
      <c r="B90" s="1897"/>
      <c r="C90" s="1897"/>
      <c r="D90" s="1897"/>
      <c r="E90" s="1898"/>
      <c r="F90" s="582"/>
      <c r="G90" s="582"/>
      <c r="H90" s="582"/>
    </row>
    <row r="91" spans="1:8" ht="15.75">
      <c r="A91" s="586" t="s">
        <v>1677</v>
      </c>
      <c r="B91" s="587"/>
      <c r="C91" s="587"/>
      <c r="D91" s="588" t="s">
        <v>54</v>
      </c>
      <c r="E91" s="588" t="s">
        <v>55</v>
      </c>
    </row>
    <row r="92" spans="1:8">
      <c r="A92" s="102">
        <v>1</v>
      </c>
      <c r="B92" s="104" t="s">
        <v>1681</v>
      </c>
      <c r="C92" s="104"/>
      <c r="D92" s="583">
        <v>12049</v>
      </c>
      <c r="E92" s="584">
        <v>7824150887.2220001</v>
      </c>
    </row>
    <row r="93" spans="1:8">
      <c r="A93" s="102">
        <v>2</v>
      </c>
      <c r="B93" s="104" t="s">
        <v>1682</v>
      </c>
      <c r="C93" s="104"/>
      <c r="D93" s="585" t="s">
        <v>14</v>
      </c>
      <c r="E93" s="584">
        <v>283164621.96175408</v>
      </c>
    </row>
    <row r="94" spans="1:8">
      <c r="A94" s="1819" t="s">
        <v>61</v>
      </c>
      <c r="B94" s="1848"/>
      <c r="C94" s="1849"/>
      <c r="D94" s="1851">
        <f>SUM(D92:D93)</f>
        <v>12049</v>
      </c>
      <c r="E94" s="1853">
        <f>SUM(E92:E93)</f>
        <v>8107315509.183754</v>
      </c>
    </row>
    <row r="95" spans="1:8">
      <c r="A95" s="1835"/>
      <c r="B95" s="1836"/>
      <c r="C95" s="1850"/>
      <c r="D95" s="1852"/>
      <c r="E95" s="1854"/>
    </row>
    <row r="97" spans="1:5">
      <c r="A97" s="645" t="s">
        <v>1709</v>
      </c>
    </row>
    <row r="98" spans="1:5">
      <c r="A98" s="1908" t="s">
        <v>1681</v>
      </c>
      <c r="B98" s="1908"/>
      <c r="C98" s="1908"/>
      <c r="D98" s="1908"/>
      <c r="E98" s="1908"/>
    </row>
    <row r="99" spans="1:5">
      <c r="A99" s="1908"/>
      <c r="B99" s="1908"/>
      <c r="C99" s="1908"/>
      <c r="D99" s="1908"/>
      <c r="E99" s="1908"/>
    </row>
    <row r="100" spans="1:5">
      <c r="A100" s="1909" t="s">
        <v>81</v>
      </c>
      <c r="B100" s="1910"/>
      <c r="C100" s="1911"/>
      <c r="D100" s="575" t="s">
        <v>54</v>
      </c>
      <c r="E100" s="575" t="s">
        <v>55</v>
      </c>
    </row>
    <row r="101" spans="1:5">
      <c r="A101" s="571">
        <v>1</v>
      </c>
      <c r="B101" s="565"/>
      <c r="C101" s="569" t="s">
        <v>1675</v>
      </c>
      <c r="D101" s="589">
        <v>0</v>
      </c>
      <c r="E101" s="567">
        <f>SUM(E9,E10,E12,E13,E14,E16,E17,E18,E19,E21,E23,E25,E26,E28,E30,E33,E34,E35,E36,E37,E38,E39,E42,E43,E45,E48,E51,E27)</f>
        <v>6609427837.2220001</v>
      </c>
    </row>
    <row r="102" spans="1:5">
      <c r="A102" s="572">
        <v>2</v>
      </c>
      <c r="B102" s="566"/>
      <c r="C102" s="570" t="s">
        <v>1671</v>
      </c>
      <c r="D102" s="590">
        <f>SUM(D8,D20,D44,D46)</f>
        <v>12049</v>
      </c>
      <c r="E102" s="568">
        <f>SUM(E7,E11,E15,E22,E24,E29,E31,E32,E40,E41,E47,E49,E50)</f>
        <v>1214723050</v>
      </c>
    </row>
    <row r="103" spans="1:5" ht="24.75" customHeight="1">
      <c r="A103" s="1616" t="s">
        <v>68</v>
      </c>
      <c r="B103" s="1617"/>
      <c r="C103" s="1892"/>
      <c r="D103" s="591">
        <f>SUM(D101:D102)</f>
        <v>12049</v>
      </c>
      <c r="E103" s="575">
        <f>SUM(E101:E102)</f>
        <v>7824150887.2220001</v>
      </c>
    </row>
    <row r="104" spans="1:5">
      <c r="E104" s="43">
        <f>Master_Data!N144-'Lap Akhir Tahun'!E103</f>
        <v>-39408811.825000763</v>
      </c>
    </row>
  </sheetData>
  <mergeCells count="50">
    <mergeCell ref="E5:E6"/>
    <mergeCell ref="D3:E4"/>
    <mergeCell ref="A65:C65"/>
    <mergeCell ref="A98:E99"/>
    <mergeCell ref="A100:C100"/>
    <mergeCell ref="A80:E80"/>
    <mergeCell ref="A84:E84"/>
    <mergeCell ref="A85:E86"/>
    <mergeCell ref="A3:A6"/>
    <mergeCell ref="B3:B6"/>
    <mergeCell ref="C3:C6"/>
    <mergeCell ref="D5:D6"/>
    <mergeCell ref="A52:C52"/>
    <mergeCell ref="I9:I10"/>
    <mergeCell ref="J9:K9"/>
    <mergeCell ref="L9:M9"/>
    <mergeCell ref="A103:C103"/>
    <mergeCell ref="D94:D95"/>
    <mergeCell ref="E94:E95"/>
    <mergeCell ref="A94:C95"/>
    <mergeCell ref="A89:E90"/>
    <mergeCell ref="H85:H86"/>
    <mergeCell ref="H25:L26"/>
    <mergeCell ref="M25:M26"/>
    <mergeCell ref="H31:L31"/>
    <mergeCell ref="H35:L35"/>
    <mergeCell ref="H36:L37"/>
    <mergeCell ref="M36:M37"/>
    <mergeCell ref="F85:F86"/>
    <mergeCell ref="H2:P2"/>
    <mergeCell ref="H74:H75"/>
    <mergeCell ref="A74:E75"/>
    <mergeCell ref="F74:F75"/>
    <mergeCell ref="N36:N37"/>
    <mergeCell ref="N25:N26"/>
    <mergeCell ref="N9:P9"/>
    <mergeCell ref="N10:O10"/>
    <mergeCell ref="N4:O4"/>
    <mergeCell ref="H4:H5"/>
    <mergeCell ref="I4:I5"/>
    <mergeCell ref="J4:K4"/>
    <mergeCell ref="L4:M4"/>
    <mergeCell ref="H7:I7"/>
    <mergeCell ref="H23:I23"/>
    <mergeCell ref="H9:H10"/>
    <mergeCell ref="G74:G75"/>
    <mergeCell ref="G85:G86"/>
    <mergeCell ref="A72:E73"/>
    <mergeCell ref="F72:F73"/>
    <mergeCell ref="G72:G73"/>
  </mergeCells>
  <pageMargins left="0.54" right="0.28999999999999998" top="0.75" bottom="0.75" header="0.3" footer="0.3"/>
  <pageSetup paperSize="9" scale="79" orientation="portrait" verticalDpi="36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22" sqref="I22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19</vt:i4>
      </vt:variant>
    </vt:vector>
  </HeadingPairs>
  <TitlesOfParts>
    <vt:vector size="33" baseType="lpstr">
      <vt:lpstr>Master_Data</vt:lpstr>
      <vt:lpstr>RBU</vt:lpstr>
      <vt:lpstr>Proyeksi pend</vt:lpstr>
      <vt:lpstr>Cheklist Inv</vt:lpstr>
      <vt:lpstr>Monitor Inv</vt:lpstr>
      <vt:lpstr>Sheet1</vt:lpstr>
      <vt:lpstr>Pay Reff</vt:lpstr>
      <vt:lpstr>Bill_Out</vt:lpstr>
      <vt:lpstr>Sum_Billing</vt:lpstr>
      <vt:lpstr>Report_BM</vt:lpstr>
      <vt:lpstr>Sum_BM</vt:lpstr>
      <vt:lpstr>Outs Inv</vt:lpstr>
      <vt:lpstr>Lap Akhir Tahun</vt:lpstr>
      <vt:lpstr>Sheet2</vt:lpstr>
      <vt:lpstr>Bill_Out!Print_Area</vt:lpstr>
      <vt:lpstr>'Lap Akhir Tahun'!Print_Area</vt:lpstr>
      <vt:lpstr>Master_Data!Print_Area</vt:lpstr>
      <vt:lpstr>'Monitor Inv'!Print_Area</vt:lpstr>
      <vt:lpstr>'Outs Inv'!Print_Area</vt:lpstr>
      <vt:lpstr>'Proyeksi pend'!Print_Area</vt:lpstr>
      <vt:lpstr>RBU!Print_Area</vt:lpstr>
      <vt:lpstr>Report_BM!Print_Area</vt:lpstr>
      <vt:lpstr>Sum_Billing!Print_Area</vt:lpstr>
      <vt:lpstr>Sum_BM!Print_Area</vt:lpstr>
      <vt:lpstr>Bill_Out!Print_Titles</vt:lpstr>
      <vt:lpstr>Master_Data!Print_Titles</vt:lpstr>
      <vt:lpstr>'Monitor Inv'!Print_Titles</vt:lpstr>
      <vt:lpstr>'Outs Inv'!Print_Titles</vt:lpstr>
      <vt:lpstr>'Proyeksi pend'!Print_Titles</vt:lpstr>
      <vt:lpstr>RBU!Print_Titles</vt:lpstr>
      <vt:lpstr>Report_BM!Print_Titles</vt:lpstr>
      <vt:lpstr>Sum_Billing!Print_Titles</vt:lpstr>
      <vt:lpstr>Sum_BM!Print_Titles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BKU-MUNIR</dc:creator>
  <cp:lastModifiedBy>INDRI</cp:lastModifiedBy>
  <cp:lastPrinted>2018-06-28T04:11:20Z</cp:lastPrinted>
  <dcterms:created xsi:type="dcterms:W3CDTF">2015-01-27T01:39:19Z</dcterms:created>
  <dcterms:modified xsi:type="dcterms:W3CDTF">2018-06-28T09:55:01Z</dcterms:modified>
</cp:coreProperties>
</file>